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Models\SATIMGE_Veda\AFOLU\"/>
    </mc:Choice>
  </mc:AlternateContent>
  <xr:revisionPtr revIDLastSave="0" documentId="13_ncr:1_{2B609B80-DE8B-4D7A-9A74-F0B611D424DD}" xr6:coauthVersionLast="47" xr6:coauthVersionMax="47" xr10:uidLastSave="{00000000-0000-0000-0000-000000000000}"/>
  <bookViews>
    <workbookView xWindow="3510" yWindow="3510" windowWidth="21600" windowHeight="11385" firstSheet="1" activeTab="3" xr2:uid="{00000000-000D-0000-FFFF-FFFF00000000}"/>
  </bookViews>
  <sheets>
    <sheet name="Notes" sheetId="56" r:id="rId1"/>
    <sheet name="IndexG2E" sheetId="59" r:id="rId2"/>
    <sheet name="IndexE2G" sheetId="60" r:id="rId3"/>
    <sheet name="DriversCGE" sheetId="61" r:id="rId4"/>
    <sheet name="GHGSummary" sheetId="62" r:id="rId5"/>
    <sheet name="OtherSummary" sheetId="71" r:id="rId6"/>
    <sheet name="IPCC Categories" sheetId="35" r:id="rId7"/>
    <sheet name="Drivers" sheetId="47" r:id="rId8"/>
    <sheet name="Constants" sheetId="46" r:id="rId9"/>
    <sheet name="Levers &amp; variables" sheetId="58" r:id="rId10"/>
    <sheet name="Intermediate calculations" sheetId="50" r:id="rId11"/>
    <sheet name="Data" sheetId="57" r:id="rId12"/>
    <sheet name="BFAP verification" sheetId="55" state="hidden" r:id="rId13"/>
    <sheet name="Mitigation drivers" sheetId="51" state="hidden" r:id="rId14"/>
    <sheet name="Activity data" sheetId="36" r:id="rId15"/>
    <sheet name="EF" sheetId="33" r:id="rId16"/>
    <sheet name="Aggregated EF" sheetId="39" r:id="rId17"/>
    <sheet name="Emissions" sheetId="34" r:id="rId18"/>
    <sheet name="Emissions summary" sheetId="45" r:id="rId19"/>
    <sheet name="Net zero activities &amp; levers" sheetId="64" r:id="rId20"/>
    <sheet name="Net zero Activity data" sheetId="70" r:id="rId21"/>
    <sheet name="Net zero Intermediate calcs" sheetId="69" r:id="rId22"/>
    <sheet name="Net zero supporting data" sheetId="65" r:id="rId23"/>
    <sheet name="Net zero emission reductions" sheetId="67" r:id="rId24"/>
    <sheet name="Net zero emission summary" sheetId="68" r:id="rId25"/>
    <sheet name="Net zero outputs" sheetId="63" r:id="rId26"/>
    <sheet name="Lists" sheetId="66" r:id="rId27"/>
  </sheets>
  <externalReferences>
    <externalReference r:id="rId28"/>
    <externalReference r:id="rId29"/>
    <externalReference r:id="rId30"/>
    <externalReference r:id="rId31"/>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60" l="1"/>
  <c r="C8" i="71"/>
  <c r="BQ5" i="50"/>
  <c r="BQ6" i="50"/>
  <c r="BQ7" i="50"/>
  <c r="BQ8" i="50"/>
  <c r="BQ9" i="50"/>
  <c r="BQ10" i="50"/>
  <c r="BQ11" i="50"/>
  <c r="BQ12" i="50"/>
  <c r="BQ13" i="50"/>
  <c r="BQ14" i="50"/>
  <c r="BQ15" i="50"/>
  <c r="BQ16" i="50"/>
  <c r="BQ17" i="50"/>
  <c r="BQ18" i="50"/>
  <c r="BQ19" i="50"/>
  <c r="BQ20" i="50"/>
  <c r="BQ21" i="50"/>
  <c r="BQ22" i="50"/>
  <c r="BQ23" i="50"/>
  <c r="BQ24" i="50"/>
  <c r="BQ25" i="50"/>
  <c r="BQ26" i="50"/>
  <c r="BQ27" i="50"/>
  <c r="BQ28" i="50"/>
  <c r="BQ29" i="50"/>
  <c r="BQ30" i="50"/>
  <c r="BQ31" i="50"/>
  <c r="BQ32" i="50"/>
  <c r="BQ33" i="50"/>
  <c r="BQ34" i="50"/>
  <c r="BQ35" i="50"/>
  <c r="BQ36" i="50"/>
  <c r="BQ37" i="50"/>
  <c r="BQ38" i="50"/>
  <c r="BQ39" i="50"/>
  <c r="BQ40" i="50"/>
  <c r="BQ41" i="50"/>
  <c r="BQ42" i="50"/>
  <c r="BQ43" i="50"/>
  <c r="BQ44" i="50"/>
  <c r="BQ45" i="50"/>
  <c r="BQ46" i="50"/>
  <c r="BQ47" i="50"/>
  <c r="BQ48" i="50"/>
  <c r="BQ49" i="50"/>
  <c r="BQ50" i="50"/>
  <c r="BQ51" i="50"/>
  <c r="BQ52" i="50"/>
  <c r="BQ53" i="50"/>
  <c r="BQ54" i="50"/>
  <c r="BQ55" i="50"/>
  <c r="BQ56" i="50"/>
  <c r="BQ57" i="50"/>
  <c r="BQ58" i="50"/>
  <c r="BQ59" i="50"/>
  <c r="BQ60" i="50"/>
  <c r="BQ61" i="50"/>
  <c r="BQ62" i="50"/>
  <c r="BQ63" i="50"/>
  <c r="BQ64" i="50"/>
  <c r="BQ65" i="50"/>
  <c r="BQ4" i="50"/>
  <c r="BP5" i="50"/>
  <c r="BP6" i="50"/>
  <c r="BP7" i="50"/>
  <c r="BP8" i="50"/>
  <c r="BP9" i="50"/>
  <c r="BP10" i="50"/>
  <c r="BP11" i="50"/>
  <c r="BP12" i="50"/>
  <c r="BP13" i="50"/>
  <c r="BP14" i="50"/>
  <c r="BP15" i="50"/>
  <c r="BP16" i="50"/>
  <c r="BP17" i="50"/>
  <c r="BP18" i="50"/>
  <c r="BP19" i="50"/>
  <c r="BP20" i="50"/>
  <c r="BP21" i="50"/>
  <c r="BP22" i="50"/>
  <c r="BP23" i="50"/>
  <c r="BP24" i="50"/>
  <c r="BP25" i="50"/>
  <c r="BP26" i="50"/>
  <c r="BP27" i="50"/>
  <c r="BP28" i="50"/>
  <c r="BP29" i="50"/>
  <c r="BP30" i="50"/>
  <c r="BP31" i="50"/>
  <c r="BP32" i="50"/>
  <c r="BP33" i="50"/>
  <c r="BP34" i="50"/>
  <c r="BP35" i="50"/>
  <c r="BP36" i="50"/>
  <c r="BP37" i="50"/>
  <c r="BP38" i="50"/>
  <c r="BP39" i="50"/>
  <c r="BP40" i="50"/>
  <c r="BP41" i="50"/>
  <c r="BP42" i="50"/>
  <c r="BP43" i="50"/>
  <c r="BP44" i="50"/>
  <c r="BP45" i="50"/>
  <c r="BP46" i="50"/>
  <c r="BP47" i="50"/>
  <c r="BP48" i="50"/>
  <c r="BP49" i="50"/>
  <c r="BP50" i="50"/>
  <c r="BP51" i="50"/>
  <c r="BP52" i="50"/>
  <c r="BP53" i="50"/>
  <c r="BP54" i="50"/>
  <c r="BP55" i="50"/>
  <c r="BP56" i="50"/>
  <c r="BP57" i="50"/>
  <c r="BP58" i="50"/>
  <c r="BP59" i="50"/>
  <c r="BP60" i="50"/>
  <c r="BP61" i="50"/>
  <c r="BP62" i="50"/>
  <c r="BP63" i="50"/>
  <c r="BP64" i="50"/>
  <c r="BP65" i="50"/>
  <c r="BP4" i="50"/>
  <c r="D6" i="71" l="1"/>
  <c r="E6" i="71" s="1"/>
  <c r="F6" i="71" s="1"/>
  <c r="G6" i="71" s="1"/>
  <c r="H6" i="71" s="1"/>
  <c r="I6" i="71" s="1"/>
  <c r="J6" i="71" s="1"/>
  <c r="K6" i="71" s="1"/>
  <c r="L6" i="71" s="1"/>
  <c r="M6" i="71" s="1"/>
  <c r="N6" i="71" s="1"/>
  <c r="O6" i="71" s="1"/>
  <c r="P6" i="71" s="1"/>
  <c r="Q6" i="71" s="1"/>
  <c r="R6" i="71" s="1"/>
  <c r="S6" i="71" s="1"/>
  <c r="T6" i="71" s="1"/>
  <c r="U6" i="71" s="1"/>
  <c r="V6" i="71" s="1"/>
  <c r="W6" i="71" s="1"/>
  <c r="X6" i="71" s="1"/>
  <c r="Y6" i="71" s="1"/>
  <c r="Z6" i="71" s="1"/>
  <c r="AA6" i="71" s="1"/>
  <c r="AB6" i="71" s="1"/>
  <c r="AC6" i="71" s="1"/>
  <c r="AD6" i="71" s="1"/>
  <c r="AE6" i="71" s="1"/>
  <c r="AF6" i="71" s="1"/>
  <c r="AG6" i="71" s="1"/>
  <c r="AH6" i="71" s="1"/>
  <c r="AI6" i="71" s="1"/>
  <c r="AJ6" i="71" s="1"/>
  <c r="AK6" i="71" s="1"/>
  <c r="AL6" i="71" s="1"/>
  <c r="AM6" i="71" s="1"/>
  <c r="AN6" i="71" s="1"/>
  <c r="AO6" i="71" s="1"/>
  <c r="AA19" i="47"/>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C1" i="64" l="1"/>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L1092" i="67"/>
  <c r="M1092" i="67"/>
  <c r="N1092" i="67"/>
  <c r="O1092" i="67"/>
  <c r="P1092" i="67"/>
  <c r="L1131" i="67"/>
  <c r="M1131" i="67"/>
  <c r="N1131" i="67"/>
  <c r="O1131" i="67"/>
  <c r="P1131" i="67"/>
  <c r="L1147" i="67"/>
  <c r="M1147" i="67"/>
  <c r="N1147" i="67"/>
  <c r="O1147" i="67"/>
  <c r="P1147" i="67"/>
  <c r="L1196" i="67"/>
  <c r="M1196" i="67"/>
  <c r="N1196" i="67"/>
  <c r="O1196" i="67"/>
  <c r="P1196" i="67"/>
  <c r="L1212" i="67"/>
  <c r="M1212" i="67"/>
  <c r="N1212" i="67"/>
  <c r="O1212" i="67"/>
  <c r="P1212" i="67"/>
  <c r="K1212" i="67"/>
  <c r="K1196" i="67"/>
  <c r="K1147" i="67"/>
  <c r="K1131"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L1404" i="67"/>
  <c r="M1404" i="67"/>
  <c r="N1404" i="67"/>
  <c r="O1404" i="67"/>
  <c r="P1404" i="67"/>
  <c r="L1477" i="67"/>
  <c r="M1477" i="67"/>
  <c r="N1477" i="67"/>
  <c r="O1477" i="67"/>
  <c r="P1477" i="67"/>
  <c r="L1493" i="67"/>
  <c r="M1493" i="67"/>
  <c r="N1493" i="67"/>
  <c r="O1493" i="67"/>
  <c r="P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L1558" i="67"/>
  <c r="M1558" i="67"/>
  <c r="N1558" i="67"/>
  <c r="O1558" i="67"/>
  <c r="P1558" i="67"/>
  <c r="K1558" i="67"/>
  <c r="K1542" i="67"/>
  <c r="K1525" i="67"/>
  <c r="K1526" i="67"/>
  <c r="K1504" i="67"/>
  <c r="K1505" i="67"/>
  <c r="K1493" i="67"/>
  <c r="K1477"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O1061"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M996" i="67"/>
  <c r="M980" i="67"/>
  <c r="O941" i="67"/>
  <c r="O927" i="67"/>
  <c r="K927" i="67"/>
  <c r="N1061"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P996" i="67"/>
  <c r="L996" i="67"/>
  <c r="P980" i="67"/>
  <c r="L980" i="67"/>
  <c r="N941" i="67"/>
  <c r="N927" i="67"/>
  <c r="K980" i="67"/>
  <c r="K1159" i="67"/>
  <c r="K1008" i="67"/>
  <c r="M1061"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O996" i="67"/>
  <c r="O980" i="67"/>
  <c r="M941" i="67"/>
  <c r="M927" i="67"/>
  <c r="K941" i="67"/>
  <c r="K1158" i="67"/>
  <c r="K1007" i="67"/>
  <c r="K1180" i="67"/>
  <c r="K1029" i="67"/>
  <c r="K1045" i="67"/>
  <c r="K1061" i="67"/>
  <c r="P1061" i="67"/>
  <c r="L1061"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N996" i="67"/>
  <c r="N980" i="67"/>
  <c r="P941" i="67"/>
  <c r="L941"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O335" i="67"/>
  <c r="K335" i="67"/>
  <c r="M321" i="67"/>
  <c r="N335" i="67"/>
  <c r="P321" i="67"/>
  <c r="L321" i="67"/>
  <c r="M335" i="67"/>
  <c r="O321" i="67"/>
  <c r="K321" i="67"/>
  <c r="P335" i="67"/>
  <c r="L335"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O625" i="67"/>
  <c r="O776" i="67"/>
  <c r="P639" i="67"/>
  <c r="P790" i="67"/>
  <c r="L639" i="67"/>
  <c r="L790" i="67"/>
  <c r="N625" i="67"/>
  <c r="N776" i="67"/>
  <c r="K625" i="67"/>
  <c r="K776" i="67"/>
  <c r="O639" i="67"/>
  <c r="O790" i="67"/>
  <c r="K639" i="67"/>
  <c r="K790" i="67"/>
  <c r="M625" i="67"/>
  <c r="M776" i="67"/>
  <c r="M639" i="67"/>
  <c r="M790" i="67"/>
  <c r="N639" i="67"/>
  <c r="N790" i="67"/>
  <c r="P625" i="67"/>
  <c r="P776" i="67"/>
  <c r="L625" i="67"/>
  <c r="L776" i="67"/>
  <c r="K473" i="67"/>
  <c r="P487" i="67"/>
  <c r="L487" i="67"/>
  <c r="N473" i="67"/>
  <c r="M487" i="67"/>
  <c r="O473" i="67"/>
  <c r="O487" i="67"/>
  <c r="K487" i="67"/>
  <c r="M473" i="67"/>
  <c r="N487" i="67"/>
  <c r="P473" i="67"/>
  <c r="L473" i="67"/>
  <c r="O15" i="67"/>
  <c r="O168" i="67"/>
  <c r="L29" i="67"/>
  <c r="L182" i="67"/>
  <c r="N15" i="67"/>
  <c r="N1231" i="67" s="1"/>
  <c r="N168" i="67"/>
  <c r="O29" i="67"/>
  <c r="O182" i="67"/>
  <c r="K29" i="67"/>
  <c r="K1245" i="67" s="1"/>
  <c r="K182" i="67"/>
  <c r="M15" i="67"/>
  <c r="M1231" i="67" s="1"/>
  <c r="M168" i="67"/>
  <c r="M29" i="67"/>
  <c r="M1245" i="67" s="1"/>
  <c r="M182" i="67"/>
  <c r="K15" i="67"/>
  <c r="K1231" i="67" s="1"/>
  <c r="K168" i="67"/>
  <c r="P29" i="67"/>
  <c r="P1245" i="67" s="1"/>
  <c r="P182" i="67"/>
  <c r="N29" i="67"/>
  <c r="N1245" i="67" s="1"/>
  <c r="N182" i="67"/>
  <c r="P15" i="67"/>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P1231" i="67" l="1"/>
  <c r="O1245" i="67"/>
  <c r="L1245" i="67"/>
  <c r="O1231"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L390" i="67"/>
  <c r="M390" i="67"/>
  <c r="N390" i="67"/>
  <c r="O390" i="67"/>
  <c r="P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K402" i="67"/>
  <c r="K401" i="67"/>
  <c r="K390" i="67"/>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H11" i="62" l="1"/>
  <c r="E17" i="62"/>
  <c r="F11" i="62"/>
  <c r="E11" i="62"/>
  <c r="D11" i="62"/>
  <c r="D17" i="62"/>
  <c r="I17" i="62"/>
  <c r="G11" i="62"/>
  <c r="H17" i="62"/>
  <c r="G17" i="62"/>
  <c r="I11" i="62"/>
  <c r="F17" i="62"/>
  <c r="F20" i="69"/>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O455" i="67"/>
  <c r="M439" i="67"/>
  <c r="AW423" i="67"/>
  <c r="AS423" i="67"/>
  <c r="AO423" i="67"/>
  <c r="AK423" i="67"/>
  <c r="AG423" i="67"/>
  <c r="AC423" i="67"/>
  <c r="Y423" i="67"/>
  <c r="U423" i="67"/>
  <c r="Q423" i="67"/>
  <c r="M423" i="67"/>
  <c r="AU422" i="67"/>
  <c r="AQ422" i="67"/>
  <c r="AM422" i="67"/>
  <c r="AI422" i="67"/>
  <c r="AE422" i="67"/>
  <c r="AA422" i="67"/>
  <c r="W422" i="67"/>
  <c r="S422" i="67"/>
  <c r="O422" i="67"/>
  <c r="M374" i="67"/>
  <c r="K422" i="67"/>
  <c r="N455" i="67"/>
  <c r="P439" i="67"/>
  <c r="L439" i="67"/>
  <c r="AV423" i="67"/>
  <c r="AR423" i="67"/>
  <c r="AN423" i="67"/>
  <c r="AJ423" i="67"/>
  <c r="AF423" i="67"/>
  <c r="AB423" i="67"/>
  <c r="X423" i="67"/>
  <c r="T423" i="67"/>
  <c r="P423" i="67"/>
  <c r="L423" i="67"/>
  <c r="AT422" i="67"/>
  <c r="AP422" i="67"/>
  <c r="AL422" i="67"/>
  <c r="AH422" i="67"/>
  <c r="AD422" i="67"/>
  <c r="Z422" i="67"/>
  <c r="V422" i="67"/>
  <c r="R422" i="67"/>
  <c r="N422" i="67"/>
  <c r="P374" i="67"/>
  <c r="L374" i="67"/>
  <c r="K423" i="67"/>
  <c r="K439" i="67"/>
  <c r="M455" i="67"/>
  <c r="O439" i="67"/>
  <c r="AU423" i="67"/>
  <c r="AQ423" i="67"/>
  <c r="AM423" i="67"/>
  <c r="AI423" i="67"/>
  <c r="AE423" i="67"/>
  <c r="AA423" i="67"/>
  <c r="W423" i="67"/>
  <c r="S423" i="67"/>
  <c r="O423" i="67"/>
  <c r="AW422" i="67"/>
  <c r="AS422" i="67"/>
  <c r="AO422" i="67"/>
  <c r="AK422" i="67"/>
  <c r="AG422" i="67"/>
  <c r="AC422" i="67"/>
  <c r="Y422" i="67"/>
  <c r="U422" i="67"/>
  <c r="Q422" i="67"/>
  <c r="M422" i="67"/>
  <c r="O374" i="67"/>
  <c r="K455" i="67"/>
  <c r="P455" i="67"/>
  <c r="L455" i="67"/>
  <c r="N439" i="67"/>
  <c r="AT423" i="67"/>
  <c r="AP423" i="67"/>
  <c r="AL423" i="67"/>
  <c r="AH423" i="67"/>
  <c r="AD423" i="67"/>
  <c r="Z423" i="67"/>
  <c r="V423" i="67"/>
  <c r="R423" i="67"/>
  <c r="N423" i="67"/>
  <c r="AV422" i="67"/>
  <c r="AR422" i="67"/>
  <c r="AN422" i="67"/>
  <c r="AJ422" i="67"/>
  <c r="AF422" i="67"/>
  <c r="AB422" i="67"/>
  <c r="X422" i="67"/>
  <c r="T422" i="67"/>
  <c r="P422" i="67"/>
  <c r="L422" i="67"/>
  <c r="N374" i="67"/>
  <c r="K857" i="67"/>
  <c r="AW857" i="67"/>
  <c r="AS857" i="67"/>
  <c r="AO857" i="67"/>
  <c r="AK857" i="67"/>
  <c r="AG857" i="67"/>
  <c r="AC857" i="67"/>
  <c r="Y857" i="67"/>
  <c r="U857" i="67"/>
  <c r="Q857" i="67"/>
  <c r="M857" i="67"/>
  <c r="AU856" i="67"/>
  <c r="AQ856" i="67"/>
  <c r="AM856" i="67"/>
  <c r="AI856" i="67"/>
  <c r="AE856" i="67"/>
  <c r="AA856" i="67"/>
  <c r="W856" i="67"/>
  <c r="S856" i="67"/>
  <c r="O856" i="67"/>
  <c r="O845" i="67"/>
  <c r="K845" i="67"/>
  <c r="AV857" i="67"/>
  <c r="AR857" i="67"/>
  <c r="AN857" i="67"/>
  <c r="AJ857" i="67"/>
  <c r="AF857" i="67"/>
  <c r="AB857" i="67"/>
  <c r="X857" i="67"/>
  <c r="T857" i="67"/>
  <c r="P857" i="67"/>
  <c r="L857" i="67"/>
  <c r="AT856" i="67"/>
  <c r="AP856" i="67"/>
  <c r="AL856" i="67"/>
  <c r="AH856" i="67"/>
  <c r="AD856" i="67"/>
  <c r="Z856" i="67"/>
  <c r="V856" i="67"/>
  <c r="R856" i="67"/>
  <c r="N856" i="67"/>
  <c r="N845" i="67"/>
  <c r="AU857" i="67"/>
  <c r="AQ857" i="67"/>
  <c r="AM857" i="67"/>
  <c r="AI857" i="67"/>
  <c r="AE857" i="67"/>
  <c r="AA857" i="67"/>
  <c r="W857" i="67"/>
  <c r="S857" i="67"/>
  <c r="O857" i="67"/>
  <c r="AW856" i="67"/>
  <c r="AS856" i="67"/>
  <c r="AO856" i="67"/>
  <c r="AK856" i="67"/>
  <c r="AG856" i="67"/>
  <c r="AC856" i="67"/>
  <c r="Y856" i="67"/>
  <c r="U856" i="67"/>
  <c r="Q856" i="67"/>
  <c r="M856" i="67"/>
  <c r="M845" i="67"/>
  <c r="K856" i="67"/>
  <c r="AT857" i="67"/>
  <c r="AP857" i="67"/>
  <c r="AL857" i="67"/>
  <c r="AH857" i="67"/>
  <c r="AD857" i="67"/>
  <c r="Z857" i="67"/>
  <c r="V857" i="67"/>
  <c r="R857" i="67"/>
  <c r="N857" i="67"/>
  <c r="AV856" i="67"/>
  <c r="AR856" i="67"/>
  <c r="AN856" i="67"/>
  <c r="AJ856" i="67"/>
  <c r="AF856" i="67"/>
  <c r="AB856" i="67"/>
  <c r="X856" i="67"/>
  <c r="T856" i="67"/>
  <c r="P856" i="67"/>
  <c r="L856" i="67"/>
  <c r="P845" i="67"/>
  <c r="L845" i="67"/>
  <c r="AE193" i="65"/>
  <c r="AF188" i="65"/>
  <c r="AE192" i="65"/>
  <c r="AE194" i="65"/>
  <c r="K526" i="67"/>
  <c r="K829" i="67"/>
  <c r="K743" i="67"/>
  <c r="K894" i="67"/>
  <c r="K574" i="67"/>
  <c r="K877" i="67"/>
  <c r="K575" i="67"/>
  <c r="K878" i="67"/>
  <c r="K759" i="67"/>
  <c r="K910" i="67"/>
  <c r="O759" i="67"/>
  <c r="O910"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O526" i="67"/>
  <c r="O829" i="67"/>
  <c r="N759" i="67"/>
  <c r="N910"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N526" i="67"/>
  <c r="N829" i="67"/>
  <c r="M759" i="67"/>
  <c r="M910"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M526" i="67"/>
  <c r="M829" i="67"/>
  <c r="P759" i="67"/>
  <c r="P910" i="67"/>
  <c r="L759" i="67"/>
  <c r="L910"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P542" i="67"/>
  <c r="P694" i="67"/>
  <c r="L542" i="67"/>
  <c r="L694" i="67"/>
  <c r="K286" i="67"/>
  <c r="K591" i="67"/>
  <c r="O607" i="67"/>
  <c r="O286" i="67"/>
  <c r="O591" i="67"/>
  <c r="N607" i="67"/>
  <c r="N286" i="67"/>
  <c r="N591" i="67"/>
  <c r="K607" i="67"/>
  <c r="M607" i="67"/>
  <c r="M286" i="67"/>
  <c r="M591" i="67"/>
  <c r="P607" i="67"/>
  <c r="L607" i="67"/>
  <c r="P286" i="67"/>
  <c r="P591" i="67"/>
  <c r="L286" i="67"/>
  <c r="L591" i="67"/>
  <c r="N302" i="67"/>
  <c r="O302" i="67"/>
  <c r="K302" i="67"/>
  <c r="M302" i="67"/>
  <c r="P302" i="67"/>
  <c r="L302" i="67"/>
  <c r="K68" i="67"/>
  <c r="K221" i="67"/>
  <c r="AQ117" i="67"/>
  <c r="AQ270" i="67"/>
  <c r="AE117" i="67"/>
  <c r="AE270" i="67"/>
  <c r="S117" i="67"/>
  <c r="S270" i="67"/>
  <c r="AW116" i="67"/>
  <c r="AW269" i="67"/>
  <c r="AK116" i="67"/>
  <c r="AK269" i="67"/>
  <c r="Y116" i="67"/>
  <c r="Y269" i="67"/>
  <c r="M116" i="67"/>
  <c r="M269" i="67"/>
  <c r="AU96" i="67"/>
  <c r="AU249" i="67"/>
  <c r="AE96" i="67"/>
  <c r="AE249" i="67"/>
  <c r="S96" i="67"/>
  <c r="S249" i="67"/>
  <c r="AW95" i="67"/>
  <c r="AW248" i="67"/>
  <c r="AK95" i="67"/>
  <c r="AK248" i="67"/>
  <c r="AC95" i="67"/>
  <c r="AC1311" i="67" s="1"/>
  <c r="AC248" i="67"/>
  <c r="U95" i="67"/>
  <c r="U248" i="67"/>
  <c r="K116" i="67"/>
  <c r="K269" i="67"/>
  <c r="K96" i="67"/>
  <c r="K1312" i="67" s="1"/>
  <c r="K249" i="67"/>
  <c r="AM117" i="67"/>
  <c r="AM270" i="67"/>
  <c r="AA117" i="67"/>
  <c r="AA270" i="67"/>
  <c r="AS116" i="67"/>
  <c r="AS269" i="67"/>
  <c r="AG116" i="67"/>
  <c r="AG269" i="67"/>
  <c r="U116" i="67"/>
  <c r="U269" i="67"/>
  <c r="AM96" i="67"/>
  <c r="AM1312" i="67" s="1"/>
  <c r="AM249" i="67"/>
  <c r="AA96" i="67"/>
  <c r="AA249" i="67"/>
  <c r="AS95" i="67"/>
  <c r="AS1311" i="67" s="1"/>
  <c r="AS248" i="67"/>
  <c r="AG95" i="67"/>
  <c r="AG248" i="67"/>
  <c r="Q95" i="67"/>
  <c r="Q248"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249" i="67"/>
  <c r="W96" i="67"/>
  <c r="W1312" i="67" s="1"/>
  <c r="W249" i="67"/>
  <c r="O96" i="67"/>
  <c r="O1312" i="67" s="1"/>
  <c r="O249" i="67"/>
  <c r="AO95" i="67"/>
  <c r="AO248" i="67"/>
  <c r="Y95" i="67"/>
  <c r="Y248" i="67"/>
  <c r="M95" i="67"/>
  <c r="M1311" i="67" s="1"/>
  <c r="M248" i="67"/>
  <c r="O84" i="67"/>
  <c r="O1300" i="67" s="1"/>
  <c r="O237"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249" i="67"/>
  <c r="AP96" i="67"/>
  <c r="AP249" i="67"/>
  <c r="AL96" i="67"/>
  <c r="AL1312" i="67" s="1"/>
  <c r="AL249" i="67"/>
  <c r="AH96" i="67"/>
  <c r="AH249" i="67"/>
  <c r="AD96" i="67"/>
  <c r="AD1312" i="67" s="1"/>
  <c r="AD249" i="67"/>
  <c r="Z96" i="67"/>
  <c r="Z1312" i="67" s="1"/>
  <c r="Z249" i="67"/>
  <c r="V96" i="67"/>
  <c r="V249" i="67"/>
  <c r="R96" i="67"/>
  <c r="R249" i="67"/>
  <c r="N96" i="67"/>
  <c r="N1312" i="67" s="1"/>
  <c r="N249" i="67"/>
  <c r="AV95" i="67"/>
  <c r="AV248" i="67"/>
  <c r="AR95" i="67"/>
  <c r="AR1311" i="67" s="1"/>
  <c r="AR248" i="67"/>
  <c r="AN95" i="67"/>
  <c r="AN1311" i="67" s="1"/>
  <c r="AN248" i="67"/>
  <c r="AJ95" i="67"/>
  <c r="AJ248" i="67"/>
  <c r="AF95" i="67"/>
  <c r="AF248" i="67"/>
  <c r="AB95" i="67"/>
  <c r="AB1311" i="67" s="1"/>
  <c r="AB248" i="67"/>
  <c r="X95" i="67"/>
  <c r="X248" i="67"/>
  <c r="T95" i="67"/>
  <c r="T1311" i="67" s="1"/>
  <c r="T248" i="67"/>
  <c r="P95" i="67"/>
  <c r="P1311" i="67" s="1"/>
  <c r="P248" i="67"/>
  <c r="L95" i="67"/>
  <c r="L248" i="67"/>
  <c r="N84" i="67"/>
  <c r="N237" i="67"/>
  <c r="N68" i="67"/>
  <c r="N221" i="67"/>
  <c r="AW117" i="67"/>
  <c r="AW270" i="67"/>
  <c r="AS117" i="67"/>
  <c r="AS1333" i="67" s="1"/>
  <c r="AS270" i="67"/>
  <c r="AO117" i="67"/>
  <c r="AO270" i="67"/>
  <c r="AK117" i="67"/>
  <c r="AK1333" i="67" s="1"/>
  <c r="AK270" i="67"/>
  <c r="AG117" i="67"/>
  <c r="AG270" i="67"/>
  <c r="AC117" i="67"/>
  <c r="AC270" i="67"/>
  <c r="Y117" i="67"/>
  <c r="Y270" i="67"/>
  <c r="U117" i="67"/>
  <c r="U1333" i="67" s="1"/>
  <c r="U270" i="67"/>
  <c r="Q117" i="67"/>
  <c r="Q270" i="67"/>
  <c r="M117" i="67"/>
  <c r="M1333" i="67" s="1"/>
  <c r="M270" i="67"/>
  <c r="AU116" i="67"/>
  <c r="AU269" i="67"/>
  <c r="AQ116" i="67"/>
  <c r="AQ269" i="67"/>
  <c r="AM116" i="67"/>
  <c r="AM269" i="67"/>
  <c r="AI116" i="67"/>
  <c r="AI1332" i="67" s="1"/>
  <c r="AI269" i="67"/>
  <c r="AE116" i="67"/>
  <c r="AE269" i="67"/>
  <c r="AA116" i="67"/>
  <c r="AA1332" i="67" s="1"/>
  <c r="AA269" i="67"/>
  <c r="W116" i="67"/>
  <c r="W269" i="67"/>
  <c r="S116" i="67"/>
  <c r="S269" i="67"/>
  <c r="O116" i="67"/>
  <c r="O269" i="67"/>
  <c r="AW96" i="67"/>
  <c r="AW249" i="67"/>
  <c r="AS96" i="67"/>
  <c r="AS249" i="67"/>
  <c r="AO96" i="67"/>
  <c r="AO1312" i="67" s="1"/>
  <c r="AO249" i="67"/>
  <c r="AK96" i="67"/>
  <c r="AK1312" i="67" s="1"/>
  <c r="AK249" i="67"/>
  <c r="AG96" i="67"/>
  <c r="AG249" i="67"/>
  <c r="AC96" i="67"/>
  <c r="AC249" i="67"/>
  <c r="Y96" i="67"/>
  <c r="Y1312" i="67" s="1"/>
  <c r="Y249" i="67"/>
  <c r="U96" i="67"/>
  <c r="U249" i="67"/>
  <c r="Q96" i="67"/>
  <c r="Q1312" i="67" s="1"/>
  <c r="Q249" i="67"/>
  <c r="M96" i="67"/>
  <c r="M1312" i="67" s="1"/>
  <c r="M249" i="67"/>
  <c r="AU95" i="67"/>
  <c r="AU248" i="67"/>
  <c r="AQ95" i="67"/>
  <c r="AQ248" i="67"/>
  <c r="AM95" i="67"/>
  <c r="AM1311" i="67" s="1"/>
  <c r="AM248" i="67"/>
  <c r="AI95" i="67"/>
  <c r="AI248" i="67"/>
  <c r="AE95" i="67"/>
  <c r="AE1311" i="67" s="1"/>
  <c r="AE248" i="67"/>
  <c r="AA95" i="67"/>
  <c r="AA1311" i="67" s="1"/>
  <c r="AA248" i="67"/>
  <c r="W95" i="67"/>
  <c r="W248" i="67"/>
  <c r="S95" i="67"/>
  <c r="S248" i="67"/>
  <c r="O95" i="67"/>
  <c r="O1311" i="67" s="1"/>
  <c r="O248" i="67"/>
  <c r="M84" i="67"/>
  <c r="M237" i="67"/>
  <c r="M68" i="67"/>
  <c r="M221" i="67"/>
  <c r="AV117" i="67"/>
  <c r="AV270" i="67"/>
  <c r="AR117" i="67"/>
  <c r="AR270" i="67"/>
  <c r="AN117" i="67"/>
  <c r="AN270" i="67"/>
  <c r="AJ117" i="67"/>
  <c r="AJ1333" i="67" s="1"/>
  <c r="AJ270" i="67"/>
  <c r="AF117" i="67"/>
  <c r="AF270" i="67"/>
  <c r="AB117" i="67"/>
  <c r="AB270" i="67"/>
  <c r="X117" i="67"/>
  <c r="X270" i="67"/>
  <c r="T117" i="67"/>
  <c r="T270" i="67"/>
  <c r="P117" i="67"/>
  <c r="P270" i="67"/>
  <c r="L117" i="67"/>
  <c r="L1333" i="67" s="1"/>
  <c r="L270" i="67"/>
  <c r="AT116" i="67"/>
  <c r="AT269" i="67"/>
  <c r="AP116" i="67"/>
  <c r="AP269" i="67"/>
  <c r="AL116" i="67"/>
  <c r="AL269" i="67"/>
  <c r="AH116" i="67"/>
  <c r="AH269" i="67"/>
  <c r="AD116" i="67"/>
  <c r="AD269" i="67"/>
  <c r="Z116" i="67"/>
  <c r="Z1332" i="67" s="1"/>
  <c r="Z269" i="67"/>
  <c r="V116" i="67"/>
  <c r="V269" i="67"/>
  <c r="R116" i="67"/>
  <c r="R269" i="67"/>
  <c r="N116" i="67"/>
  <c r="N269" i="67"/>
  <c r="AV96" i="67"/>
  <c r="AV249" i="67"/>
  <c r="AR96" i="67"/>
  <c r="AR249" i="67"/>
  <c r="AN96" i="67"/>
  <c r="AN1312" i="67" s="1"/>
  <c r="AN249" i="67"/>
  <c r="AJ96" i="67"/>
  <c r="AJ249" i="67"/>
  <c r="AF96" i="67"/>
  <c r="AF249" i="67"/>
  <c r="AB96" i="67"/>
  <c r="AB249" i="67"/>
  <c r="X96" i="67"/>
  <c r="X249" i="67"/>
  <c r="T96" i="67"/>
  <c r="T249" i="67"/>
  <c r="P96" i="67"/>
  <c r="P1312" i="67" s="1"/>
  <c r="P249" i="67"/>
  <c r="L96" i="67"/>
  <c r="L249" i="67"/>
  <c r="AT95" i="67"/>
  <c r="AT248" i="67"/>
  <c r="AP95" i="67"/>
  <c r="AP1311" i="67" s="1"/>
  <c r="AP248" i="67"/>
  <c r="AL95" i="67"/>
  <c r="AL248" i="67"/>
  <c r="AH95" i="67"/>
  <c r="AH248" i="67"/>
  <c r="AD95" i="67"/>
  <c r="AD1311" i="67" s="1"/>
  <c r="AD248" i="67"/>
  <c r="Z95" i="67"/>
  <c r="Z248" i="67"/>
  <c r="V95" i="67"/>
  <c r="V248" i="67"/>
  <c r="R95" i="67"/>
  <c r="R248" i="67"/>
  <c r="N95" i="67"/>
  <c r="N248" i="67"/>
  <c r="P84" i="67"/>
  <c r="P237" i="67"/>
  <c r="L84" i="67"/>
  <c r="L237" i="67"/>
  <c r="P68" i="67"/>
  <c r="P221" i="67"/>
  <c r="L68" i="67"/>
  <c r="L221" i="67"/>
  <c r="K133" i="67"/>
  <c r="K1349" i="67" s="1"/>
  <c r="O149" i="67"/>
  <c r="O133" i="67"/>
  <c r="O1349" i="67" s="1"/>
  <c r="N149" i="67"/>
  <c r="N133" i="67"/>
  <c r="N1349" i="67" s="1"/>
  <c r="K149" i="67"/>
  <c r="K1365" i="67" s="1"/>
  <c r="M149" i="67"/>
  <c r="M133" i="67"/>
  <c r="M1349" i="67" s="1"/>
  <c r="P149" i="67"/>
  <c r="L149" i="67"/>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L1300" i="67" l="1"/>
  <c r="AF1312" i="67"/>
  <c r="M1365" i="67"/>
  <c r="O1365" i="67"/>
  <c r="AH1311" i="67"/>
  <c r="T1312" i="67"/>
  <c r="AR1312" i="67"/>
  <c r="S1311" i="67"/>
  <c r="AQ1311" i="67"/>
  <c r="AC1312" i="67"/>
  <c r="AF1311" i="67"/>
  <c r="R1312" i="67"/>
  <c r="AP1312" i="67"/>
  <c r="Y1311" i="67"/>
  <c r="L1365" i="67"/>
  <c r="P1365" i="67"/>
  <c r="N1311" i="67"/>
  <c r="AL1311" i="67"/>
  <c r="X1312" i="67"/>
  <c r="AV1312" i="67"/>
  <c r="AH1332" i="67"/>
  <c r="T1333" i="67"/>
  <c r="AR1333" i="67"/>
  <c r="M1300" i="67"/>
  <c r="W1311" i="67"/>
  <c r="AU1311" i="67"/>
  <c r="AG1312" i="67"/>
  <c r="S1332" i="67"/>
  <c r="AQ1332" i="67"/>
  <c r="AC1333" i="67"/>
  <c r="L1311" i="67"/>
  <c r="AJ1311" i="67"/>
  <c r="V1312" i="67"/>
  <c r="AT1312" i="67"/>
  <c r="AO1311" i="67"/>
  <c r="Q1311" i="67"/>
  <c r="AE1312" i="67"/>
  <c r="R1311" i="67"/>
  <c r="AB1312" i="67"/>
  <c r="AG1311" i="67"/>
  <c r="N1365" i="67"/>
  <c r="V1311" i="67"/>
  <c r="AP1332" i="67"/>
  <c r="AT1311" i="67"/>
  <c r="R1332" i="67"/>
  <c r="AB1333" i="67"/>
  <c r="P1300" i="67"/>
  <c r="Z1311" i="67"/>
  <c r="L1312" i="67"/>
  <c r="AJ1312" i="67"/>
  <c r="AI1311" i="67"/>
  <c r="U1312" i="67"/>
  <c r="AS1312" i="67"/>
  <c r="N1300" i="67"/>
  <c r="X1311" i="67"/>
  <c r="AV1311" i="67"/>
  <c r="AH1312" i="67"/>
  <c r="AI1312" i="67"/>
  <c r="AA1312" i="67"/>
  <c r="V26" i="69"/>
  <c r="V20" i="69"/>
  <c r="V21" i="69" s="1"/>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N1332" i="67"/>
  <c r="AL1332" i="67"/>
  <c r="P1333" i="67"/>
  <c r="AF1333" i="67"/>
  <c r="AN1333"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BL38" i="68" s="1"/>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C43" i="69" s="1"/>
  <c r="D35" i="57"/>
  <c r="E35" i="57"/>
  <c r="F35" i="57"/>
  <c r="H35" i="57"/>
  <c r="I35" i="57"/>
  <c r="J35" i="57"/>
  <c r="L35" i="57"/>
  <c r="M35" i="57"/>
  <c r="P35" i="57"/>
  <c r="Q35" i="57"/>
  <c r="T35" i="57"/>
  <c r="U35" i="57"/>
  <c r="V35" i="57"/>
  <c r="X35" i="57"/>
  <c r="Y35" i="57"/>
  <c r="Z35" i="57"/>
  <c r="AB35" i="57"/>
  <c r="AC35" i="57"/>
  <c r="AK34" i="62" l="1"/>
  <c r="F36" i="62"/>
  <c r="AB29" i="62"/>
  <c r="Y28" i="62"/>
  <c r="U30" i="62"/>
  <c r="G34" i="62"/>
  <c r="AI30" i="62"/>
  <c r="D30" i="62"/>
  <c r="F30" i="62"/>
  <c r="X30" i="62"/>
  <c r="AD29" i="62"/>
  <c r="K29" i="62"/>
  <c r="AE36" i="62"/>
  <c r="R36" i="62"/>
  <c r="L36" i="62"/>
  <c r="AB28" i="62"/>
  <c r="O28" i="62"/>
  <c r="F28" i="62"/>
  <c r="O36" i="62"/>
  <c r="J36" i="62"/>
  <c r="AP30" i="62"/>
  <c r="L28" i="62"/>
  <c r="M34" i="62"/>
  <c r="X34" i="62"/>
  <c r="S30" i="62"/>
  <c r="J30" i="62"/>
  <c r="AO30" i="62"/>
  <c r="H30" i="62"/>
  <c r="AE29" i="62"/>
  <c r="F29" i="62"/>
  <c r="G36" i="62"/>
  <c r="AK36" i="62"/>
  <c r="AO28" i="62"/>
  <c r="AI28" i="62"/>
  <c r="AN28" i="62"/>
  <c r="Z28" i="62"/>
  <c r="AG34" i="62"/>
  <c r="AB34" i="62"/>
  <c r="O34" i="62"/>
  <c r="F34" i="62"/>
  <c r="V29" i="62"/>
  <c r="AF34" i="62"/>
  <c r="E34" i="62"/>
  <c r="H34" i="62"/>
  <c r="K30" i="62"/>
  <c r="AK30" i="62"/>
  <c r="AG30" i="62"/>
  <c r="AJ29" i="62"/>
  <c r="W29" i="62"/>
  <c r="AG29" i="62"/>
  <c r="AI36" i="62"/>
  <c r="U36" i="62"/>
  <c r="AG28" i="62"/>
  <c r="AA28" i="62"/>
  <c r="AF28" i="62"/>
  <c r="R28" i="62"/>
  <c r="J34" i="62"/>
  <c r="AP36" i="62"/>
  <c r="AG36" i="62"/>
  <c r="X36" i="62"/>
  <c r="AN34" i="62"/>
  <c r="I30" i="62"/>
  <c r="D29" i="62"/>
  <c r="W36" i="62"/>
  <c r="D36" i="62"/>
  <c r="G28" i="62"/>
  <c r="AH28" i="62"/>
  <c r="AJ36" i="62"/>
  <c r="AH30" i="62"/>
  <c r="S36" i="62"/>
  <c r="K34" i="62"/>
  <c r="Q29" i="62"/>
  <c r="AD36" i="62"/>
  <c r="E36" i="62"/>
  <c r="Q28" i="62"/>
  <c r="K28" i="62"/>
  <c r="P28" i="62"/>
  <c r="U34" i="62"/>
  <c r="P34" i="62"/>
  <c r="AP34" i="62"/>
  <c r="AL36" i="62"/>
  <c r="AC36" i="62"/>
  <c r="Y30" i="62"/>
  <c r="S28" i="62"/>
  <c r="Y34" i="62"/>
  <c r="I34" i="62"/>
  <c r="AM30" i="62"/>
  <c r="AJ30" i="62"/>
  <c r="AP29" i="62"/>
  <c r="U29" i="62"/>
  <c r="V36" i="62"/>
  <c r="AN36" i="62"/>
  <c r="I28" i="62"/>
  <c r="H28" i="62"/>
  <c r="Q34" i="62"/>
  <c r="L34" i="62"/>
  <c r="AL34" i="62"/>
  <c r="AA30" i="62"/>
  <c r="AO34" i="62"/>
  <c r="O29" i="62"/>
  <c r="X28" i="62"/>
  <c r="T29" i="62"/>
  <c r="AD34" i="62"/>
  <c r="M30" i="62"/>
  <c r="L29" i="62"/>
  <c r="D28" i="62"/>
  <c r="AJ34" i="62"/>
  <c r="V34" i="62"/>
  <c r="AE30" i="62"/>
  <c r="E30" i="62"/>
  <c r="AB30" i="62"/>
  <c r="AN29" i="62"/>
  <c r="AH29" i="62"/>
  <c r="AK29" i="62"/>
  <c r="N36" i="62"/>
  <c r="AF36" i="62"/>
  <c r="AK28" i="62"/>
  <c r="AJ28" i="62"/>
  <c r="AP28" i="62"/>
  <c r="P30" i="62"/>
  <c r="S34" i="62"/>
  <c r="AL30" i="62"/>
  <c r="R29" i="62"/>
  <c r="AC29" i="62"/>
  <c r="T28" i="62"/>
  <c r="AL28" i="62"/>
  <c r="BF39" i="68"/>
  <c r="Z36" i="62"/>
  <c r="G29" i="62"/>
  <c r="N34" i="62"/>
  <c r="T30" i="62"/>
  <c r="P36" i="62"/>
  <c r="AM34" i="62"/>
  <c r="AH34" i="62"/>
  <c r="O30" i="62"/>
  <c r="AD30" i="62"/>
  <c r="L30" i="62"/>
  <c r="P29" i="62"/>
  <c r="J29" i="62"/>
  <c r="E29" i="62"/>
  <c r="Y36" i="62"/>
  <c r="H36" i="62"/>
  <c r="U28" i="62"/>
  <c r="AM28" i="62"/>
  <c r="AD28" i="62"/>
  <c r="AI34" i="62"/>
  <c r="AA36" i="62"/>
  <c r="AC34" i="62"/>
  <c r="I36" i="62"/>
  <c r="AC30" i="62"/>
  <c r="Y29" i="62"/>
  <c r="M36" i="62"/>
  <c r="Q30" i="62"/>
  <c r="T34" i="62"/>
  <c r="X29" i="62"/>
  <c r="AO36" i="62"/>
  <c r="AE34" i="62"/>
  <c r="Z34" i="62"/>
  <c r="G30" i="62"/>
  <c r="V30" i="62"/>
  <c r="AN30" i="62"/>
  <c r="H29" i="62"/>
  <c r="AA29" i="62"/>
  <c r="AO29" i="62"/>
  <c r="Q36" i="62"/>
  <c r="AB36" i="62"/>
  <c r="M28" i="62"/>
  <c r="AE28" i="62"/>
  <c r="V28" i="62"/>
  <c r="W35" i="62"/>
  <c r="D34" i="62"/>
  <c r="K36" i="62"/>
  <c r="AA34" i="62"/>
  <c r="J28" i="62"/>
  <c r="Z30" i="62"/>
  <c r="W30" i="62"/>
  <c r="AC28" i="62"/>
  <c r="W34" i="62"/>
  <c r="R34" i="62"/>
  <c r="R30" i="62"/>
  <c r="N30" i="62"/>
  <c r="AF30" i="62"/>
  <c r="AL29" i="62"/>
  <c r="S29" i="62"/>
  <c r="AM36" i="62"/>
  <c r="AH36" i="62"/>
  <c r="T36" i="62"/>
  <c r="E28" i="62"/>
  <c r="W28" i="62"/>
  <c r="N28" i="62"/>
  <c r="BJ39" i="68"/>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AA27" i="62" l="1"/>
  <c r="L32" i="62"/>
  <c r="H26" i="62"/>
  <c r="AP35" i="62"/>
  <c r="Y25" i="62"/>
  <c r="AF33" i="62"/>
  <c r="U27" i="62"/>
  <c r="P32" i="62"/>
  <c r="I26" i="62"/>
  <c r="K35" i="62"/>
  <c r="AJ25" i="62"/>
  <c r="G35" i="62"/>
  <c r="AM27" i="62"/>
  <c r="AH32" i="62"/>
  <c r="K26" i="62"/>
  <c r="X31" i="62"/>
  <c r="M31" i="62"/>
  <c r="T33" i="62"/>
  <c r="AH27" i="62"/>
  <c r="AN35" i="62"/>
  <c r="V35" i="62"/>
  <c r="E35" i="62"/>
  <c r="S27" i="62"/>
  <c r="H32" i="62"/>
  <c r="AN26" i="62"/>
  <c r="AH35" i="62"/>
  <c r="F31" i="62"/>
  <c r="AM35" i="62"/>
  <c r="T27" i="62"/>
  <c r="I32" i="62"/>
  <c r="AK26" i="62"/>
  <c r="J35" i="62"/>
  <c r="AG25" i="62"/>
  <c r="AF35" i="62"/>
  <c r="AI27" i="62"/>
  <c r="M32" i="62"/>
  <c r="AP26" i="62"/>
  <c r="H33" i="62"/>
  <c r="D31" i="62"/>
  <c r="Q33" i="62"/>
  <c r="G32" i="62"/>
  <c r="O35" i="62"/>
  <c r="AL33" i="62"/>
  <c r="N35" i="62"/>
  <c r="AN33" i="62"/>
  <c r="P26" i="62"/>
  <c r="AK25" i="62"/>
  <c r="G27" i="62"/>
  <c r="J26" i="62"/>
  <c r="F27" i="62"/>
  <c r="U25" i="62"/>
  <c r="L26" i="62"/>
  <c r="T25" i="62"/>
  <c r="M27" i="62"/>
  <c r="AN32" i="62"/>
  <c r="AC26" i="62"/>
  <c r="AL31" i="62"/>
  <c r="W33" i="62"/>
  <c r="Q27" i="62"/>
  <c r="AG32" i="62"/>
  <c r="AD26" i="62"/>
  <c r="F35" i="62"/>
  <c r="N31" i="62"/>
  <c r="D33" i="62"/>
  <c r="AC27" i="62"/>
  <c r="F32" i="62"/>
  <c r="AK35" i="62"/>
  <c r="V27" i="62"/>
  <c r="I35" i="62"/>
  <c r="J33" i="62"/>
  <c r="D32" i="62"/>
  <c r="X35" i="62"/>
  <c r="AF31" i="62"/>
  <c r="P33" i="62"/>
  <c r="AO35" i="62"/>
  <c r="X33" i="62"/>
  <c r="T35" i="62"/>
  <c r="D26" i="62"/>
  <c r="AL35" i="62"/>
  <c r="Q25" i="62"/>
  <c r="AJ35" i="62"/>
  <c r="L27" i="62"/>
  <c r="Y32" i="62"/>
  <c r="V26" i="62"/>
  <c r="F25" i="62"/>
  <c r="AI31" i="62"/>
  <c r="S33" i="62"/>
  <c r="H27" i="62"/>
  <c r="Z32" i="62"/>
  <c r="E26" i="62"/>
  <c r="AB35" i="62"/>
  <c r="K31" i="62"/>
  <c r="AE33" i="62"/>
  <c r="AB27" i="62"/>
  <c r="AP32" i="62"/>
  <c r="AD35" i="62"/>
  <c r="AB32" i="62"/>
  <c r="U35" i="62"/>
  <c r="AP33" i="62"/>
  <c r="AJ32" i="62"/>
  <c r="AI35" i="62"/>
  <c r="AI26" i="62"/>
  <c r="AF29" i="62"/>
  <c r="T32" i="62"/>
  <c r="U33" i="62"/>
  <c r="AD31" i="62"/>
  <c r="R32" i="62"/>
  <c r="AL25" i="62"/>
  <c r="AH31" i="62"/>
  <c r="E33" i="62"/>
  <c r="AN27" i="62"/>
  <c r="AA32" i="62"/>
  <c r="AO26" i="62"/>
  <c r="N25" i="62"/>
  <c r="J31" i="62"/>
  <c r="AA33" i="62"/>
  <c r="Y27" i="62"/>
  <c r="N32" i="62"/>
  <c r="R35" i="62"/>
  <c r="X32" i="62"/>
  <c r="S35" i="62"/>
  <c r="AD33" i="62"/>
  <c r="AF32" i="62"/>
  <c r="D25" i="62"/>
  <c r="AB25" i="62"/>
  <c r="H35" i="62"/>
  <c r="Q35" i="62"/>
  <c r="AF26" i="62"/>
  <c r="W26" i="62"/>
  <c r="U26" i="62"/>
  <c r="Z35" i="62"/>
  <c r="AA31" i="62"/>
  <c r="K33" i="62"/>
  <c r="AO27" i="62"/>
  <c r="S32" i="62"/>
  <c r="AG26" i="62"/>
  <c r="AI25" i="62"/>
  <c r="W31" i="62"/>
  <c r="AK33" i="62"/>
  <c r="AD27" i="62"/>
  <c r="AK32" i="62"/>
  <c r="AH26" i="62"/>
  <c r="K25" i="62"/>
  <c r="AP31" i="62"/>
  <c r="M33" i="62"/>
  <c r="P27" i="62"/>
  <c r="AJ26" i="62"/>
  <c r="V25" i="62"/>
  <c r="W25" i="62"/>
  <c r="Z25" i="62"/>
  <c r="O27" i="62"/>
  <c r="Q32" i="62"/>
  <c r="T26" i="62"/>
  <c r="U31" i="62"/>
  <c r="L35" i="62"/>
  <c r="AC33" i="62"/>
  <c r="AF27" i="62"/>
  <c r="Z26" i="62"/>
  <c r="G25" i="62"/>
  <c r="T31" i="62"/>
  <c r="AJ33" i="62"/>
  <c r="R27" i="62"/>
  <c r="AD32" i="62"/>
  <c r="AL26" i="62"/>
  <c r="R25" i="62"/>
  <c r="AE31" i="62"/>
  <c r="L33" i="62"/>
  <c r="D27" i="62"/>
  <c r="AY27" i="68"/>
  <c r="X26" i="62"/>
  <c r="S25" i="62"/>
  <c r="L25" i="62"/>
  <c r="X25" i="62"/>
  <c r="K27" i="62"/>
  <c r="K32" i="62"/>
  <c r="AO32" i="62"/>
  <c r="W27" i="62"/>
  <c r="AA35" i="62"/>
  <c r="N26" i="62"/>
  <c r="R31" i="62"/>
  <c r="AC32" i="62"/>
  <c r="O26" i="62"/>
  <c r="AD25" i="62"/>
  <c r="O31" i="62"/>
  <c r="AB33" i="62"/>
  <c r="N27" i="62"/>
  <c r="V32" i="62"/>
  <c r="AA26" i="62"/>
  <c r="AM25" i="62"/>
  <c r="Q31" i="62"/>
  <c r="AG33" i="62"/>
  <c r="M29" i="62"/>
  <c r="AL32" i="62"/>
  <c r="AM26" i="62"/>
  <c r="O25" i="62"/>
  <c r="AB31" i="62"/>
  <c r="I33" i="62"/>
  <c r="AL27" i="62"/>
  <c r="M26" i="62"/>
  <c r="AH25" i="62"/>
  <c r="S31" i="62"/>
  <c r="M25" i="62"/>
  <c r="E27" i="62"/>
  <c r="U32" i="62"/>
  <c r="AG31" i="62"/>
  <c r="I27" i="62"/>
  <c r="Y26" i="62"/>
  <c r="AA25" i="62"/>
  <c r="L31" i="62"/>
  <c r="Y33" i="62"/>
  <c r="J27" i="62"/>
  <c r="W32" i="62"/>
  <c r="AE26" i="62"/>
  <c r="H25" i="62"/>
  <c r="H31" i="62"/>
  <c r="Z33" i="62"/>
  <c r="I29" i="62"/>
  <c r="AI32" i="62"/>
  <c r="D35" i="62"/>
  <c r="J25" i="62"/>
  <c r="Y31" i="62"/>
  <c r="AO33" i="62"/>
  <c r="Z27" i="62"/>
  <c r="F26" i="62"/>
  <c r="I25" i="62"/>
  <c r="Z31" i="62"/>
  <c r="G33" i="62"/>
  <c r="AK27" i="62"/>
  <c r="O32" i="62"/>
  <c r="AJ31" i="62"/>
  <c r="O33" i="62"/>
  <c r="R26" i="62"/>
  <c r="I31" i="62"/>
  <c r="R33" i="62"/>
  <c r="AM32" i="62"/>
  <c r="Y35" i="62"/>
  <c r="AN25" i="62"/>
  <c r="AN31" i="62"/>
  <c r="F33" i="62"/>
  <c r="Z29" i="62"/>
  <c r="J32" i="62"/>
  <c r="AG35" i="62"/>
  <c r="P25" i="62"/>
  <c r="P31" i="62"/>
  <c r="AH33" i="62"/>
  <c r="AI29" i="62"/>
  <c r="G26" i="62"/>
  <c r="AO25" i="62"/>
  <c r="G31" i="62"/>
  <c r="AM33" i="62"/>
  <c r="AJ27" i="62"/>
  <c r="AE32" i="62"/>
  <c r="AK31" i="62"/>
  <c r="AF25" i="62"/>
  <c r="AP25" i="62"/>
  <c r="AP27" i="62"/>
  <c r="S26" i="62"/>
  <c r="AE25" i="62"/>
  <c r="AO31" i="62"/>
  <c r="V33" i="62"/>
  <c r="AM29" i="62"/>
  <c r="AG27" i="62"/>
  <c r="M35" i="62"/>
  <c r="AC25" i="62"/>
  <c r="AC31" i="62"/>
  <c r="AE27" i="62"/>
  <c r="N29" i="62"/>
  <c r="AB26" i="62"/>
  <c r="AC35" i="62"/>
  <c r="E25" i="62"/>
  <c r="E31" i="62"/>
  <c r="N33" i="62"/>
  <c r="E32" i="62"/>
  <c r="Q26" i="62"/>
  <c r="V31" i="62"/>
  <c r="AM31" i="62"/>
  <c r="AI33" i="62"/>
  <c r="X27" i="62"/>
  <c r="P35" i="62"/>
  <c r="AE35" i="62"/>
  <c r="BQ27" i="68"/>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N15" i="57"/>
  <c r="O15" i="57"/>
  <c r="P15" i="57"/>
  <c r="Q15" i="57"/>
  <c r="R15" i="57"/>
  <c r="S15" i="57"/>
  <c r="T15" i="57"/>
  <c r="U15" i="57"/>
  <c r="V15" i="57"/>
  <c r="W15" i="57"/>
  <c r="X15" i="57"/>
  <c r="D9" i="50"/>
  <c r="D10" i="50" s="1"/>
  <c r="D15" i="57" s="1"/>
  <c r="E9" i="50"/>
  <c r="E10" i="50" s="1"/>
  <c r="E15" i="57" s="1"/>
  <c r="F9" i="50"/>
  <c r="F10" i="50" s="1"/>
  <c r="F15" i="57" s="1"/>
  <c r="G9" i="50"/>
  <c r="G10" i="50" s="1"/>
  <c r="G15" i="57" s="1"/>
  <c r="H9" i="50"/>
  <c r="H10" i="50" s="1"/>
  <c r="H15" i="57" s="1"/>
  <c r="I9" i="50"/>
  <c r="I10" i="50" s="1"/>
  <c r="I15" i="57" s="1"/>
  <c r="J9" i="50"/>
  <c r="J10" i="50" s="1"/>
  <c r="J15" i="57" s="1"/>
  <c r="K9" i="50"/>
  <c r="K10" i="50" s="1"/>
  <c r="K15" i="57" s="1"/>
  <c r="L9" i="50"/>
  <c r="L10" i="50" s="1"/>
  <c r="L15" i="57"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N11" i="50" l="1"/>
  <c r="N11" i="69"/>
  <c r="W11" i="50"/>
  <c r="W11" i="69"/>
  <c r="V11" i="50"/>
  <c r="V11" i="69"/>
  <c r="U11" i="50"/>
  <c r="U11" i="69"/>
  <c r="T11" i="50"/>
  <c r="T11" i="69"/>
  <c r="M11" i="50"/>
  <c r="M11" i="69"/>
  <c r="X11" i="50"/>
  <c r="X11" i="69"/>
  <c r="K11" i="50"/>
  <c r="K11" i="69"/>
  <c r="J11" i="50"/>
  <c r="J11" i="69"/>
  <c r="S11" i="50"/>
  <c r="S11" i="69"/>
  <c r="L11" i="50"/>
  <c r="L11" i="69"/>
  <c r="I11" i="50"/>
  <c r="I11" i="69"/>
  <c r="R11" i="50"/>
  <c r="R11" i="69"/>
  <c r="E11" i="50"/>
  <c r="E11" i="69"/>
  <c r="H11" i="50"/>
  <c r="H11" i="69"/>
  <c r="Q11" i="50"/>
  <c r="Q11" i="69"/>
  <c r="D11" i="50"/>
  <c r="D11" i="69"/>
  <c r="G11" i="50"/>
  <c r="G11" i="69"/>
  <c r="P11" i="50"/>
  <c r="P11" i="69"/>
  <c r="F11" i="50"/>
  <c r="F11" i="69"/>
  <c r="O11" i="50"/>
  <c r="O11" i="69"/>
  <c r="AC25" i="65"/>
  <c r="Z27" i="65"/>
  <c r="Z26" i="65"/>
  <c r="AA28" i="65"/>
  <c r="AB29" i="65"/>
  <c r="AK24" i="57"/>
  <c r="AJ24" i="57"/>
  <c r="AI65" i="50"/>
  <c r="AJ65" i="50" s="1"/>
  <c r="BC65" i="50"/>
  <c r="AS65" i="50"/>
  <c r="AA65" i="50"/>
  <c r="C15" i="57"/>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C11" i="50" l="1"/>
  <c r="C11" i="69"/>
  <c r="AD25" i="65"/>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Z4" i="50"/>
  <c r="AA4" i="50"/>
  <c r="AB4" i="50"/>
  <c r="AC4" i="50"/>
  <c r="AD4" i="50"/>
  <c r="AE4" i="50"/>
  <c r="AF4" i="50"/>
  <c r="AG4" i="50"/>
  <c r="AH4" i="50"/>
  <c r="AI4" i="50"/>
  <c r="AJ4" i="50"/>
  <c r="AK4" i="50"/>
  <c r="AL4" i="50"/>
  <c r="AM4" i="50"/>
  <c r="AN4" i="50"/>
  <c r="AO4" i="50"/>
  <c r="AP4" i="50"/>
  <c r="AQ4" i="50"/>
  <c r="AR4" i="50"/>
  <c r="AS4" i="50"/>
  <c r="AT4" i="50"/>
  <c r="AU4" i="50"/>
  <c r="AV4" i="50"/>
  <c r="AW4" i="50"/>
  <c r="AX4" i="50"/>
  <c r="AY4" i="50"/>
  <c r="AZ4" i="50"/>
  <c r="BA4" i="50"/>
  <c r="BB4" i="50"/>
  <c r="BC4" i="50"/>
  <c r="BD4" i="50"/>
  <c r="BE4" i="50"/>
  <c r="BF4" i="50"/>
  <c r="BG4" i="50"/>
  <c r="BH4" i="50"/>
  <c r="BI4" i="50"/>
  <c r="BJ4" i="50"/>
  <c r="BK4" i="50"/>
  <c r="Z4" i="57" l="1"/>
  <c r="AE4" i="57"/>
  <c r="AF4" i="57"/>
  <c r="Y4" i="57"/>
  <c r="AD4" i="57"/>
  <c r="AG4" i="57"/>
  <c r="AC4" i="57"/>
  <c r="AB4" i="57"/>
  <c r="AH4" i="57"/>
  <c r="AA4" i="57"/>
  <c r="AK25" i="65"/>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K25" i="69"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V8" i="57"/>
  <c r="V21" i="57"/>
  <c r="J8" i="57"/>
  <c r="J21" i="57"/>
  <c r="AC8" i="57"/>
  <c r="AC21" i="57"/>
  <c r="Y8" i="57"/>
  <c r="Y21" i="57"/>
  <c r="U8" i="57"/>
  <c r="U21" i="57"/>
  <c r="Q8" i="57"/>
  <c r="Q21" i="57"/>
  <c r="M8" i="57"/>
  <c r="M21" i="57"/>
  <c r="I8" i="57"/>
  <c r="I21" i="57"/>
  <c r="E8" i="57"/>
  <c r="E21" i="57"/>
  <c r="Z8" i="57"/>
  <c r="Z21" i="57"/>
  <c r="AB22" i="57"/>
  <c r="AB7" i="57" s="1"/>
  <c r="AB21" i="57"/>
  <c r="X22" i="57"/>
  <c r="X7" i="57" s="1"/>
  <c r="X21" i="57"/>
  <c r="T22" i="57"/>
  <c r="T7" i="57" s="1"/>
  <c r="T21" i="57"/>
  <c r="P22" i="57"/>
  <c r="P7" i="57" s="1"/>
  <c r="P21" i="57"/>
  <c r="L22" i="57"/>
  <c r="L7" i="57" s="1"/>
  <c r="L21" i="57"/>
  <c r="H22" i="57"/>
  <c r="H7" i="57" s="1"/>
  <c r="H21" i="57"/>
  <c r="D22" i="57"/>
  <c r="D7" i="57" s="1"/>
  <c r="D21" i="57"/>
  <c r="AD8" i="57"/>
  <c r="AD21" i="57"/>
  <c r="R8" i="57"/>
  <c r="R21" i="57"/>
  <c r="F8" i="57"/>
  <c r="F21" i="57"/>
  <c r="AA8" i="57"/>
  <c r="AA21" i="57"/>
  <c r="W8" i="57"/>
  <c r="W21" i="57"/>
  <c r="S8" i="57"/>
  <c r="S21" i="57"/>
  <c r="O8" i="57"/>
  <c r="O21" i="57"/>
  <c r="K8" i="57"/>
  <c r="G8" i="57"/>
  <c r="G21" i="57"/>
  <c r="C8" i="57"/>
  <c r="C21" i="57"/>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O25" i="50" l="1"/>
  <c r="O25" i="69"/>
  <c r="X25" i="50"/>
  <c r="X25" i="69"/>
  <c r="Q25" i="50"/>
  <c r="Q25" i="69"/>
  <c r="N25" i="50"/>
  <c r="N25" i="69"/>
  <c r="S25" i="50"/>
  <c r="S25" i="69"/>
  <c r="D25" i="50"/>
  <c r="D25" i="69"/>
  <c r="U25" i="50"/>
  <c r="U25" i="69"/>
  <c r="L25" i="50"/>
  <c r="L25" i="69"/>
  <c r="E25" i="50"/>
  <c r="E25" i="69"/>
  <c r="H25" i="50"/>
  <c r="H25" i="69"/>
  <c r="C25" i="50"/>
  <c r="C25" i="69"/>
  <c r="W25" i="50"/>
  <c r="W25" i="69"/>
  <c r="F25" i="50"/>
  <c r="F25" i="69"/>
  <c r="P25" i="50"/>
  <c r="P25" i="69"/>
  <c r="I25" i="50"/>
  <c r="I25" i="69"/>
  <c r="J25" i="50"/>
  <c r="J25" i="69"/>
  <c r="G25" i="50"/>
  <c r="G25" i="69"/>
  <c r="R25" i="50"/>
  <c r="R25" i="69"/>
  <c r="T25" i="50"/>
  <c r="T25" i="69"/>
  <c r="M25" i="50"/>
  <c r="M25" i="69"/>
  <c r="V25" i="50"/>
  <c r="V25" i="69"/>
  <c r="AN25" i="65"/>
  <c r="AK27" i="65"/>
  <c r="AL28" i="65"/>
  <c r="AK26" i="65"/>
  <c r="AM29" i="65"/>
  <c r="S7" i="57"/>
  <c r="AJ23" i="57"/>
  <c r="AK23" i="57"/>
  <c r="AG42" i="36"/>
  <c r="AF83" i="36"/>
  <c r="U58" i="50"/>
  <c r="U59" i="50" s="1"/>
  <c r="V58" i="50"/>
  <c r="V59" i="50" s="1"/>
  <c r="AK21" i="57"/>
  <c r="K25" i="50"/>
  <c r="AJ21" i="57"/>
  <c r="AD6" i="57"/>
  <c r="BD25" i="69" l="1"/>
  <c r="AR25" i="69"/>
  <c r="AF25" i="69"/>
  <c r="BG25" i="69"/>
  <c r="BC25" i="69"/>
  <c r="AQ25" i="69"/>
  <c r="AE25" i="69"/>
  <c r="AH25" i="69"/>
  <c r="BB25" i="69"/>
  <c r="AP25" i="69"/>
  <c r="AD25" i="69"/>
  <c r="BA25" i="69"/>
  <c r="AO25" i="69"/>
  <c r="AC25" i="69"/>
  <c r="AU25" i="69"/>
  <c r="AZ25" i="69"/>
  <c r="AN25" i="69"/>
  <c r="AB25" i="69"/>
  <c r="BK25" i="69"/>
  <c r="AY25" i="69"/>
  <c r="AM25" i="69"/>
  <c r="AA25" i="69"/>
  <c r="BJ25" i="69"/>
  <c r="AX25" i="69"/>
  <c r="AL25" i="69"/>
  <c r="Z25" i="69"/>
  <c r="AI25" i="69"/>
  <c r="AT25" i="69"/>
  <c r="BI25" i="69"/>
  <c r="AW25" i="69"/>
  <c r="AK25" i="69"/>
  <c r="Y25" i="69"/>
  <c r="BH25" i="69"/>
  <c r="AV25" i="69"/>
  <c r="AJ25" i="69"/>
  <c r="BE25" i="69"/>
  <c r="AS25" i="69"/>
  <c r="AG25" i="69"/>
  <c r="BF25" i="69"/>
  <c r="AN29" i="65"/>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l="1"/>
  <c r="Q1078" i="67"/>
  <c r="Q1092" i="67"/>
  <c r="Q1196" i="67"/>
  <c r="Q1212" i="67"/>
  <c r="Q1390" i="67"/>
  <c r="Q1404" i="67"/>
  <c r="Q1542" i="67"/>
  <c r="Q1558" i="67"/>
  <c r="AN26" i="65"/>
  <c r="AN27" i="65"/>
  <c r="Y5" i="47"/>
  <c r="Q941" i="67" l="1"/>
  <c r="Q639" i="67"/>
  <c r="Q790" i="67"/>
  <c r="Q29" i="67"/>
  <c r="Q487" i="67"/>
  <c r="Q335" i="67"/>
  <c r="Q182" i="67"/>
  <c r="Q1245" i="67"/>
  <c r="AK16" i="68"/>
  <c r="J17" i="62" s="1"/>
  <c r="Q1061" i="67"/>
  <c r="Q759" i="67"/>
  <c r="Q910" i="67"/>
  <c r="Q455" i="67"/>
  <c r="Q302" i="67"/>
  <c r="Q149" i="67"/>
  <c r="Q607" i="67"/>
  <c r="Q927" i="67"/>
  <c r="Q473" i="67"/>
  <c r="Q15" i="67"/>
  <c r="Q168" i="67"/>
  <c r="Q321" i="67"/>
  <c r="Q625" i="67"/>
  <c r="Q776" i="67"/>
  <c r="AK9" i="68"/>
  <c r="J11" i="62" s="1"/>
  <c r="AL16" i="36"/>
  <c r="R1078" i="67"/>
  <c r="R1092" i="67"/>
  <c r="R1196" i="67"/>
  <c r="R1212" i="67"/>
  <c r="R1390" i="67"/>
  <c r="R1404" i="67"/>
  <c r="R1542" i="67"/>
  <c r="R1558" i="67"/>
  <c r="Q1045" i="67"/>
  <c r="Q133" i="67"/>
  <c r="Q1349" i="67" s="1"/>
  <c r="Q286" i="67"/>
  <c r="Q591" i="67"/>
  <c r="Q439" i="67"/>
  <c r="Q743" i="67"/>
  <c r="Q894" i="67"/>
  <c r="X4" i="50"/>
  <c r="X4" i="69"/>
  <c r="X5" i="47"/>
  <c r="X4" i="57" l="1"/>
  <c r="X68" i="50"/>
  <c r="Q1231" i="67"/>
  <c r="R927" i="67"/>
  <c r="R321" i="67"/>
  <c r="R15" i="67"/>
  <c r="R625" i="67"/>
  <c r="R776" i="67"/>
  <c r="R168" i="67"/>
  <c r="R473" i="67"/>
  <c r="AL9" i="68"/>
  <c r="K11" i="62" s="1"/>
  <c r="R1061" i="67"/>
  <c r="R302" i="67"/>
  <c r="R759" i="67"/>
  <c r="R910" i="67"/>
  <c r="R455" i="67"/>
  <c r="R607" i="67"/>
  <c r="R149" i="67"/>
  <c r="AM16" i="36"/>
  <c r="S1078" i="67"/>
  <c r="S1092" i="67"/>
  <c r="S1196" i="67"/>
  <c r="S1212" i="67"/>
  <c r="S1390" i="67"/>
  <c r="S1404" i="67"/>
  <c r="S1542" i="67"/>
  <c r="S1558" i="67"/>
  <c r="Q1365" i="67"/>
  <c r="R1045" i="67"/>
  <c r="R439" i="67"/>
  <c r="R591" i="67"/>
  <c r="R133" i="67"/>
  <c r="R743" i="67"/>
  <c r="R894" i="67"/>
  <c r="R286" i="67"/>
  <c r="R941" i="67"/>
  <c r="R487" i="67"/>
  <c r="R29" i="67"/>
  <c r="R182" i="67"/>
  <c r="R790" i="67"/>
  <c r="R639" i="67"/>
  <c r="R335" i="67"/>
  <c r="AL16" i="68"/>
  <c r="K17" i="62" s="1"/>
  <c r="W4" i="50"/>
  <c r="W4" i="69"/>
  <c r="W5" i="47"/>
  <c r="W4" i="57" l="1"/>
  <c r="W68" i="50"/>
  <c r="R1245" i="67"/>
  <c r="S1045" i="67"/>
  <c r="S743" i="67"/>
  <c r="S894" i="67"/>
  <c r="S286" i="67"/>
  <c r="S591" i="67"/>
  <c r="S439" i="67"/>
  <c r="S133" i="67"/>
  <c r="S941" i="67"/>
  <c r="S487" i="67"/>
  <c r="S29" i="67"/>
  <c r="S335" i="67"/>
  <c r="S182" i="67"/>
  <c r="S790" i="67"/>
  <c r="S639" i="67"/>
  <c r="AM16" i="68"/>
  <c r="L17" i="62" s="1"/>
  <c r="S1061" i="67"/>
  <c r="S149" i="67"/>
  <c r="S607" i="67"/>
  <c r="S455" i="67"/>
  <c r="S302" i="67"/>
  <c r="S759" i="67"/>
  <c r="S910" i="67"/>
  <c r="R1349" i="67"/>
  <c r="AN16" i="36"/>
  <c r="T1212" i="67"/>
  <c r="T1078" i="67"/>
  <c r="T1092" i="67"/>
  <c r="T1196" i="67"/>
  <c r="T1558" i="67"/>
  <c r="T1542" i="67"/>
  <c r="T1390" i="67"/>
  <c r="T1404" i="67"/>
  <c r="S927" i="67"/>
  <c r="S321" i="67"/>
  <c r="S625" i="67"/>
  <c r="S473" i="67"/>
  <c r="S15" i="67"/>
  <c r="S776" i="67"/>
  <c r="S168" i="67"/>
  <c r="S1231" i="67" s="1"/>
  <c r="AM9" i="68"/>
  <c r="L11" i="62" s="1"/>
  <c r="R1231" i="67"/>
  <c r="R1365" i="67"/>
  <c r="V4" i="50"/>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V4" i="57" l="1"/>
  <c r="V68" i="50"/>
  <c r="S1349" i="67"/>
  <c r="S1245" i="67"/>
  <c r="T1045" i="67"/>
  <c r="T591" i="67"/>
  <c r="T439" i="67"/>
  <c r="T743" i="67"/>
  <c r="T894" i="67"/>
  <c r="T286" i="67"/>
  <c r="T133" i="67"/>
  <c r="T1349" i="67" s="1"/>
  <c r="AO16" i="36"/>
  <c r="U1212" i="67"/>
  <c r="U1078" i="67"/>
  <c r="U1092" i="67"/>
  <c r="U1196" i="67"/>
  <c r="U1558" i="67"/>
  <c r="U1390" i="67"/>
  <c r="U1404" i="67"/>
  <c r="U1542" i="67"/>
  <c r="T1061" i="67"/>
  <c r="T759" i="67"/>
  <c r="T455" i="67"/>
  <c r="T910" i="67"/>
  <c r="T302" i="67"/>
  <c r="T607" i="67"/>
  <c r="T149" i="67"/>
  <c r="S1365" i="67"/>
  <c r="T941" i="67"/>
  <c r="T335" i="67"/>
  <c r="T29" i="67"/>
  <c r="T639" i="67"/>
  <c r="T790" i="67"/>
  <c r="T487" i="67"/>
  <c r="T182" i="67"/>
  <c r="AN16" i="68"/>
  <c r="M17" i="62" s="1"/>
  <c r="T927" i="67"/>
  <c r="T625" i="67"/>
  <c r="T776" i="67"/>
  <c r="T321" i="67"/>
  <c r="T15" i="67"/>
  <c r="T473" i="67"/>
  <c r="T168" i="67"/>
  <c r="AN9" i="68"/>
  <c r="M11" i="62" s="1"/>
  <c r="U4" i="50"/>
  <c r="U4" i="69"/>
  <c r="U5" i="47"/>
  <c r="B6" i="46"/>
  <c r="U4" i="57" l="1"/>
  <c r="U68" i="50"/>
  <c r="T1365" i="67"/>
  <c r="T1245" i="67"/>
  <c r="U1045" i="67"/>
  <c r="U133" i="67"/>
  <c r="U286" i="67"/>
  <c r="U591" i="67"/>
  <c r="U743" i="67"/>
  <c r="U439" i="67"/>
  <c r="U894" i="67"/>
  <c r="U1349" i="67"/>
  <c r="AP16" i="36"/>
  <c r="V1196" i="67"/>
  <c r="V1212" i="67"/>
  <c r="V1078" i="67"/>
  <c r="V1092" i="67"/>
  <c r="V1542" i="67"/>
  <c r="V1558" i="67"/>
  <c r="V1404" i="67"/>
  <c r="V1390" i="67"/>
  <c r="U941" i="67"/>
  <c r="U639" i="67"/>
  <c r="U29" i="67"/>
  <c r="U335" i="67"/>
  <c r="U790" i="67"/>
  <c r="U487" i="67"/>
  <c r="U182" i="67"/>
  <c r="AO16" i="68"/>
  <c r="N17" i="62" s="1"/>
  <c r="T1231" i="67"/>
  <c r="U927" i="67"/>
  <c r="U321" i="67"/>
  <c r="U15" i="67"/>
  <c r="U625" i="67"/>
  <c r="U776" i="67"/>
  <c r="U473" i="67"/>
  <c r="U168" i="67"/>
  <c r="U1231" i="67"/>
  <c r="AO9" i="68"/>
  <c r="N11" i="62" s="1"/>
  <c r="U1061" i="67"/>
  <c r="U455" i="67"/>
  <c r="U302" i="67"/>
  <c r="U910" i="67"/>
  <c r="U149" i="67"/>
  <c r="U759" i="67"/>
  <c r="U607" i="67"/>
  <c r="T4" i="50"/>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T4" i="57" l="1"/>
  <c r="T68" i="50"/>
  <c r="AQ16" i="36"/>
  <c r="W1196" i="67"/>
  <c r="W1212" i="67"/>
  <c r="W1078" i="67"/>
  <c r="W1092" i="67"/>
  <c r="W1542" i="67"/>
  <c r="W1558" i="67"/>
  <c r="W1390" i="67"/>
  <c r="W1404" i="67"/>
  <c r="U1245" i="67"/>
  <c r="V927" i="67"/>
  <c r="V625" i="67"/>
  <c r="V1231" i="67" s="1"/>
  <c r="V776" i="67"/>
  <c r="V168" i="67"/>
  <c r="V473" i="67"/>
  <c r="V15" i="67"/>
  <c r="V321" i="67"/>
  <c r="AP9" i="68"/>
  <c r="O11" i="62" s="1"/>
  <c r="U1365" i="67"/>
  <c r="V941" i="67"/>
  <c r="V29" i="67"/>
  <c r="V487" i="67"/>
  <c r="V182" i="67"/>
  <c r="V335" i="67"/>
  <c r="V639" i="67"/>
  <c r="V790" i="67"/>
  <c r="AP16" i="68"/>
  <c r="O17" i="62" s="1"/>
  <c r="V1061" i="67"/>
  <c r="V759" i="67"/>
  <c r="V302" i="67"/>
  <c r="V910" i="67"/>
  <c r="V455" i="67"/>
  <c r="V607" i="67"/>
  <c r="V149" i="67"/>
  <c r="V1365" i="67" s="1"/>
  <c r="V1045" i="67"/>
  <c r="V133" i="67"/>
  <c r="V439" i="67"/>
  <c r="V743" i="67"/>
  <c r="V894" i="67"/>
  <c r="V286" i="67"/>
  <c r="V591" i="67"/>
  <c r="M1110" i="67"/>
  <c r="N1110" i="67"/>
  <c r="K1110" i="67"/>
  <c r="O1110" i="67"/>
  <c r="P1110" i="67"/>
  <c r="Q1110" i="67"/>
  <c r="R1110" i="67"/>
  <c r="S1110" i="67"/>
  <c r="W1110" i="67"/>
  <c r="T1110" i="67"/>
  <c r="V1110" i="67"/>
  <c r="U1110" i="67"/>
  <c r="L1110" i="67"/>
  <c r="X1110" i="67"/>
  <c r="V1422" i="67"/>
  <c r="W1422" i="67"/>
  <c r="L1422" i="67"/>
  <c r="X1422" i="67"/>
  <c r="T1422" i="67"/>
  <c r="M1422" i="67"/>
  <c r="N1422" i="67"/>
  <c r="K1422" i="67"/>
  <c r="O1422" i="67"/>
  <c r="P1422" i="67"/>
  <c r="Q1422" i="67"/>
  <c r="R1422" i="67"/>
  <c r="U1422" i="67"/>
  <c r="S1422" i="67"/>
  <c r="AD1509" i="67"/>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69"/>
  <c r="S5" i="47"/>
  <c r="H61" i="33"/>
  <c r="H60" i="33"/>
  <c r="H59" i="33"/>
  <c r="H58" i="33"/>
  <c r="H57" i="33"/>
  <c r="H56" i="33"/>
  <c r="H55" i="33"/>
  <c r="H54" i="33"/>
  <c r="S4" i="57" l="1"/>
  <c r="S68" i="50"/>
  <c r="V1245" i="67"/>
  <c r="W941" i="67"/>
  <c r="W487" i="67"/>
  <c r="W29" i="67"/>
  <c r="W182" i="67"/>
  <c r="W335" i="67"/>
  <c r="W639" i="67"/>
  <c r="W790" i="67"/>
  <c r="AQ16" i="68"/>
  <c r="P17" i="62" s="1"/>
  <c r="W927" i="67"/>
  <c r="W473" i="67"/>
  <c r="W321" i="67"/>
  <c r="W15" i="67"/>
  <c r="W168" i="67"/>
  <c r="W625" i="67"/>
  <c r="W776" i="67"/>
  <c r="AQ9" i="68"/>
  <c r="P11" i="62" s="1"/>
  <c r="W1061" i="67"/>
  <c r="W149" i="67"/>
  <c r="W607" i="67"/>
  <c r="W302" i="67"/>
  <c r="W759" i="67"/>
  <c r="W455" i="67"/>
  <c r="W910" i="67"/>
  <c r="W1045" i="67"/>
  <c r="W133" i="67"/>
  <c r="W743" i="67"/>
  <c r="W894" i="67"/>
  <c r="W439" i="67"/>
  <c r="W286" i="67"/>
  <c r="W591" i="67"/>
  <c r="V1349" i="67"/>
  <c r="AR16" i="36"/>
  <c r="X1196" i="67"/>
  <c r="X1212" i="67"/>
  <c r="X1092" i="67"/>
  <c r="X1078" i="67"/>
  <c r="X1404" i="67"/>
  <c r="X1542" i="67"/>
  <c r="X1558" i="67"/>
  <c r="X1390" i="67"/>
  <c r="O959" i="67"/>
  <c r="O200" i="67"/>
  <c r="O657" i="67"/>
  <c r="O353" i="67"/>
  <c r="O808" i="67"/>
  <c r="O505" i="67"/>
  <c r="O47" i="67"/>
  <c r="AI24" i="68"/>
  <c r="X959" i="67"/>
  <c r="X505" i="67"/>
  <c r="X47" i="67"/>
  <c r="X353" i="67"/>
  <c r="X657" i="67"/>
  <c r="X808" i="67"/>
  <c r="X200" i="67"/>
  <c r="AR24" i="68"/>
  <c r="K959" i="67"/>
  <c r="K353" i="67"/>
  <c r="K47" i="67"/>
  <c r="K200" i="67"/>
  <c r="K657" i="67"/>
  <c r="K808" i="67"/>
  <c r="K505" i="67"/>
  <c r="K1263" i="67"/>
  <c r="AE24" i="68"/>
  <c r="N959" i="67"/>
  <c r="N505" i="67"/>
  <c r="N47" i="67"/>
  <c r="N657" i="67"/>
  <c r="N353" i="67"/>
  <c r="N808" i="67"/>
  <c r="N200" i="67"/>
  <c r="AH24" i="68"/>
  <c r="R959" i="67"/>
  <c r="R47" i="67"/>
  <c r="R657" i="67"/>
  <c r="R200" i="67"/>
  <c r="R808" i="67"/>
  <c r="R353" i="67"/>
  <c r="R505" i="67"/>
  <c r="AL24" i="68"/>
  <c r="Q959" i="67"/>
  <c r="Q808" i="67"/>
  <c r="Q200" i="67"/>
  <c r="Q47" i="67"/>
  <c r="Q657" i="67"/>
  <c r="Q505" i="67"/>
  <c r="Q353" i="67"/>
  <c r="AK24" i="68"/>
  <c r="W959" i="67"/>
  <c r="W353" i="67"/>
  <c r="W657" i="67"/>
  <c r="W808" i="67"/>
  <c r="W47" i="67"/>
  <c r="W1263" i="67" s="1"/>
  <c r="W200" i="67"/>
  <c r="W505" i="67"/>
  <c r="AQ24" i="68"/>
  <c r="P959" i="67"/>
  <c r="P808" i="67"/>
  <c r="P200" i="67"/>
  <c r="P505" i="67"/>
  <c r="P353" i="67"/>
  <c r="P657" i="67"/>
  <c r="P47" i="67"/>
  <c r="AJ24" i="68"/>
  <c r="M959" i="67"/>
  <c r="M505" i="67"/>
  <c r="M657" i="67"/>
  <c r="M808" i="67"/>
  <c r="M353" i="67"/>
  <c r="M47" i="67"/>
  <c r="M1263" i="67" s="1"/>
  <c r="M200" i="67"/>
  <c r="AG24" i="68"/>
  <c r="V959" i="67"/>
  <c r="V657" i="67"/>
  <c r="V808" i="67"/>
  <c r="V353" i="67"/>
  <c r="V47" i="67"/>
  <c r="V200" i="67"/>
  <c r="V505" i="67"/>
  <c r="AP24" i="68"/>
  <c r="L959" i="67"/>
  <c r="L657" i="67"/>
  <c r="L808" i="67"/>
  <c r="L200" i="67"/>
  <c r="L47" i="67"/>
  <c r="L505" i="67"/>
  <c r="L353" i="67"/>
  <c r="AF24" i="68"/>
  <c r="S959" i="67"/>
  <c r="S353" i="67"/>
  <c r="S657" i="67"/>
  <c r="S808" i="67"/>
  <c r="S505" i="67"/>
  <c r="S47" i="67"/>
  <c r="S200" i="67"/>
  <c r="AM24" i="68"/>
  <c r="T959" i="67"/>
  <c r="T47" i="67"/>
  <c r="T200" i="67"/>
  <c r="T505" i="67"/>
  <c r="T353" i="67"/>
  <c r="T657" i="67"/>
  <c r="T808" i="67"/>
  <c r="AN24" i="68"/>
  <c r="U959" i="67"/>
  <c r="U47" i="67"/>
  <c r="U353" i="67"/>
  <c r="U200" i="67"/>
  <c r="U657" i="67"/>
  <c r="U808" i="67"/>
  <c r="U505" i="67"/>
  <c r="AO24" i="68"/>
  <c r="AN1022" i="67"/>
  <c r="AN1173" i="67"/>
  <c r="AN416" i="67"/>
  <c r="AN568" i="67"/>
  <c r="AN871" i="67"/>
  <c r="AN110" i="67"/>
  <c r="AN1326" i="67" s="1"/>
  <c r="AN263" i="67"/>
  <c r="AN720" i="67"/>
  <c r="N1024" i="67"/>
  <c r="N1175" i="67"/>
  <c r="N418" i="67"/>
  <c r="N873" i="67"/>
  <c r="N570" i="67"/>
  <c r="N112" i="67"/>
  <c r="N265" i="67"/>
  <c r="N722" i="67"/>
  <c r="R1023" i="67"/>
  <c r="R1174" i="67"/>
  <c r="R417" i="67"/>
  <c r="R872" i="67"/>
  <c r="R569" i="67"/>
  <c r="R111" i="67"/>
  <c r="R264" i="67"/>
  <c r="R721" i="67"/>
  <c r="L1025" i="67"/>
  <c r="L1176" i="67"/>
  <c r="L419" i="67"/>
  <c r="L571" i="67"/>
  <c r="L874" i="67"/>
  <c r="L113" i="67"/>
  <c r="L266" i="67"/>
  <c r="L723" i="67"/>
  <c r="AF1027" i="67"/>
  <c r="AF1178" i="67"/>
  <c r="AF421" i="67"/>
  <c r="AF573" i="67"/>
  <c r="AF876" i="67"/>
  <c r="AF115" i="67"/>
  <c r="AF268" i="67"/>
  <c r="AF725" i="67"/>
  <c r="T1182" i="67"/>
  <c r="T1031" i="67"/>
  <c r="T425" i="67"/>
  <c r="T577" i="67"/>
  <c r="T880" i="67"/>
  <c r="T119" i="67"/>
  <c r="T272" i="67"/>
  <c r="T729" i="67"/>
  <c r="AT1183" i="67"/>
  <c r="AT1032" i="67"/>
  <c r="AT426" i="67"/>
  <c r="AT578" i="67"/>
  <c r="AT881" i="67"/>
  <c r="AT120" i="67"/>
  <c r="AT273" i="67"/>
  <c r="AT1336" i="67" s="1"/>
  <c r="AT730" i="67"/>
  <c r="AE1174" i="67"/>
  <c r="AE1023" i="67"/>
  <c r="AE417" i="67"/>
  <c r="AE569" i="67"/>
  <c r="AE872" i="67"/>
  <c r="AE264" i="67"/>
  <c r="AE111" i="67"/>
  <c r="AE721" i="67"/>
  <c r="AE1003" i="67"/>
  <c r="AE1154" i="67"/>
  <c r="AE397" i="67"/>
  <c r="AE852" i="67"/>
  <c r="AE91" i="67"/>
  <c r="AE244" i="67"/>
  <c r="AE549" i="67"/>
  <c r="AE701" i="67"/>
  <c r="Y1004" i="67"/>
  <c r="Y1155" i="67"/>
  <c r="Y398" i="67"/>
  <c r="Y853" i="67"/>
  <c r="Y702" i="67"/>
  <c r="Y550" i="67"/>
  <c r="Y92" i="67"/>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1313" i="67" s="1"/>
  <c r="AM250" i="67"/>
  <c r="AM555" i="67"/>
  <c r="AM707" i="67"/>
  <c r="AG1161" i="67"/>
  <c r="AG1010" i="67"/>
  <c r="AG404" i="67"/>
  <c r="AG859" i="67"/>
  <c r="AG708" i="67"/>
  <c r="AG556" i="67"/>
  <c r="AG98" i="67"/>
  <c r="AG251" i="67"/>
  <c r="AA1162" i="67"/>
  <c r="AA1011" i="67"/>
  <c r="AA405" i="67"/>
  <c r="AA1315" i="67" s="1"/>
  <c r="AA860" i="67"/>
  <c r="AA99" i="67"/>
  <c r="AA252" i="67"/>
  <c r="AA557" i="67"/>
  <c r="AA709" i="67"/>
  <c r="AP1022" i="67"/>
  <c r="AP1173" i="67"/>
  <c r="AP416" i="67"/>
  <c r="AP871" i="67"/>
  <c r="AP568" i="67"/>
  <c r="AP110" i="67"/>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1329" i="67" s="1"/>
  <c r="AD266" i="67"/>
  <c r="AD723" i="67"/>
  <c r="X1026" i="67"/>
  <c r="X1177" i="67"/>
  <c r="X420" i="67"/>
  <c r="X572" i="67"/>
  <c r="X875" i="67"/>
  <c r="X267" i="67"/>
  <c r="X724" i="67"/>
  <c r="X114" i="67"/>
  <c r="R1027" i="67"/>
  <c r="R1178" i="67"/>
  <c r="R421" i="67"/>
  <c r="R573" i="67"/>
  <c r="R876" i="67"/>
  <c r="R115" i="67"/>
  <c r="R268" i="67"/>
  <c r="R725" i="67"/>
  <c r="L1181" i="67"/>
  <c r="L1030" i="67"/>
  <c r="L424" i="67"/>
  <c r="L879" i="67"/>
  <c r="L576" i="67"/>
  <c r="L118" i="67"/>
  <c r="L271" i="67"/>
  <c r="L728" i="67"/>
  <c r="AR1181" i="67"/>
  <c r="AR1030" i="67"/>
  <c r="AR424" i="67"/>
  <c r="AR879" i="67"/>
  <c r="AR576" i="67"/>
  <c r="AR118" i="67"/>
  <c r="AR271" i="67"/>
  <c r="AR728" i="67"/>
  <c r="AL1182" i="67"/>
  <c r="AL1031" i="67"/>
  <c r="AL425" i="67"/>
  <c r="AL577" i="67"/>
  <c r="AL880" i="67"/>
  <c r="AL119" i="67"/>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1336" i="67" s="1"/>
  <c r="AG273" i="67"/>
  <c r="AG730"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1328" i="67" s="1"/>
  <c r="AK265" i="67"/>
  <c r="AK722" i="67"/>
  <c r="N1033" i="67"/>
  <c r="N1184" i="67"/>
  <c r="N427" i="67"/>
  <c r="N882" i="67"/>
  <c r="N579" i="67"/>
  <c r="N121" i="67"/>
  <c r="N731" i="67"/>
  <c r="N274" i="67"/>
  <c r="AG1153" i="67"/>
  <c r="AG1002" i="67"/>
  <c r="AG396" i="67"/>
  <c r="AG851" i="67"/>
  <c r="AG548" i="67"/>
  <c r="AG700" i="67"/>
  <c r="AG90" i="67"/>
  <c r="AG243" i="67"/>
  <c r="O1178" i="67"/>
  <c r="O1027" i="67"/>
  <c r="O421" i="67"/>
  <c r="O876" i="67"/>
  <c r="O573" i="67"/>
  <c r="O115" i="67"/>
  <c r="O268" i="67"/>
  <c r="O1331" i="67" s="1"/>
  <c r="O725" i="67"/>
  <c r="AC1032" i="67"/>
  <c r="AC1183" i="67"/>
  <c r="AC426" i="67"/>
  <c r="AC578" i="67"/>
  <c r="AC881" i="67"/>
  <c r="AC120" i="67"/>
  <c r="AC273" i="67"/>
  <c r="AC730" i="67"/>
  <c r="AG1033" i="67"/>
  <c r="AG1184" i="67"/>
  <c r="AG427" i="67"/>
  <c r="AG1337" i="67" s="1"/>
  <c r="AG579" i="67"/>
  <c r="AG731" i="67"/>
  <c r="AG882" i="67"/>
  <c r="AG121" i="67"/>
  <c r="AG274" i="67"/>
  <c r="O1025" i="67"/>
  <c r="O1176" i="67"/>
  <c r="O419" i="67"/>
  <c r="O571" i="67"/>
  <c r="O874" i="67"/>
  <c r="O113" i="67"/>
  <c r="O723" i="67"/>
  <c r="O266" i="67"/>
  <c r="V1033" i="67"/>
  <c r="V1184" i="67"/>
  <c r="V427" i="67"/>
  <c r="V882" i="67"/>
  <c r="V579" i="67"/>
  <c r="V121" i="67"/>
  <c r="V731" i="67"/>
  <c r="V274" i="67"/>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266" i="67"/>
  <c r="P723" i="67"/>
  <c r="AV1025" i="67"/>
  <c r="AV1176" i="67"/>
  <c r="AV419" i="67"/>
  <c r="AV571" i="67"/>
  <c r="AV874" i="67"/>
  <c r="AV113" i="67"/>
  <c r="AV266" i="67"/>
  <c r="AV723" i="67"/>
  <c r="AP1026" i="67"/>
  <c r="AP1177" i="67"/>
  <c r="AP420" i="67"/>
  <c r="AP572" i="67"/>
  <c r="AP875" i="67"/>
  <c r="AP267" i="67"/>
  <c r="AP114" i="67"/>
  <c r="AP724" i="67"/>
  <c r="AJ1027" i="67"/>
  <c r="AJ1178" i="67"/>
  <c r="AJ421" i="67"/>
  <c r="AJ573" i="67"/>
  <c r="AJ876" i="67"/>
  <c r="AJ115" i="67"/>
  <c r="AJ268" i="67"/>
  <c r="AJ725" i="67"/>
  <c r="AD1030" i="67"/>
  <c r="AD1181" i="67"/>
  <c r="AD424" i="67"/>
  <c r="AD576" i="67"/>
  <c r="AD879" i="67"/>
  <c r="AD118" i="67"/>
  <c r="AD271" i="67"/>
  <c r="AD728" i="67"/>
  <c r="X1031" i="67"/>
  <c r="X1182" i="67"/>
  <c r="X425" i="67"/>
  <c r="X1335" i="67" s="1"/>
  <c r="X577" i="67"/>
  <c r="X880" i="67"/>
  <c r="X272" i="67"/>
  <c r="X729" i="67"/>
  <c r="X119" i="67"/>
  <c r="R1032" i="67"/>
  <c r="R1183" i="67"/>
  <c r="R426" i="67"/>
  <c r="R578" i="67"/>
  <c r="R881" i="67"/>
  <c r="R120" i="67"/>
  <c r="R273" i="67"/>
  <c r="R730" i="67"/>
  <c r="L1033" i="67"/>
  <c r="L1184" i="67"/>
  <c r="L427" i="67"/>
  <c r="L882" i="67"/>
  <c r="L579" i="67"/>
  <c r="L731" i="67"/>
  <c r="L121" i="67"/>
  <c r="L274" i="67"/>
  <c r="AO1022" i="67"/>
  <c r="AO1173" i="67"/>
  <c r="AO416" i="67"/>
  <c r="AO871" i="67"/>
  <c r="AO568" i="67"/>
  <c r="AO263" i="67"/>
  <c r="AO720" i="67"/>
  <c r="AO110" i="67"/>
  <c r="AI1023" i="67"/>
  <c r="AI1174" i="67"/>
  <c r="AI417" i="67"/>
  <c r="AI872" i="67"/>
  <c r="AI569" i="67"/>
  <c r="AI111" i="67"/>
  <c r="AI264" i="67"/>
  <c r="AI721" i="67"/>
  <c r="AI1024" i="67"/>
  <c r="AI1175" i="67"/>
  <c r="AI418" i="67"/>
  <c r="AI570" i="67"/>
  <c r="AI873" i="67"/>
  <c r="AI112" i="67"/>
  <c r="AI265" i="67"/>
  <c r="AI722" i="67"/>
  <c r="AC1025" i="67"/>
  <c r="AC1176" i="67"/>
  <c r="AC419" i="67"/>
  <c r="AC874" i="67"/>
  <c r="AC571" i="67"/>
  <c r="AC113" i="67"/>
  <c r="AC266" i="67"/>
  <c r="AC723" i="67"/>
  <c r="W1026" i="67"/>
  <c r="W1177" i="67"/>
  <c r="W420" i="67"/>
  <c r="W572" i="67"/>
  <c r="W875" i="67"/>
  <c r="W114" i="67"/>
  <c r="W267" i="67"/>
  <c r="W724" i="67"/>
  <c r="Q1027" i="67"/>
  <c r="Q1178" i="67"/>
  <c r="Q421" i="67"/>
  <c r="Q573" i="67"/>
  <c r="Q876" i="67"/>
  <c r="Q115" i="67"/>
  <c r="Q268" i="67"/>
  <c r="Q725" i="67"/>
  <c r="Q1331" i="67" s="1"/>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720" i="67"/>
  <c r="AT1022" i="67"/>
  <c r="AT1173" i="67"/>
  <c r="AT416" i="67"/>
  <c r="AT568" i="67"/>
  <c r="AT871" i="67"/>
  <c r="AT110" i="67"/>
  <c r="AT263" i="67"/>
  <c r="AT720" i="67"/>
  <c r="AN1023" i="67"/>
  <c r="AN1174" i="67"/>
  <c r="AN417" i="67"/>
  <c r="AN569" i="67"/>
  <c r="AN872" i="67"/>
  <c r="AN111" i="67"/>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1331" i="67" s="1"/>
  <c r="V268" i="67"/>
  <c r="V725" i="67"/>
  <c r="P1030" i="67"/>
  <c r="P1181" i="67"/>
  <c r="P424" i="67"/>
  <c r="P879" i="67"/>
  <c r="P576" i="67"/>
  <c r="P271" i="67"/>
  <c r="P728" i="67"/>
  <c r="P118" i="67"/>
  <c r="AV1030" i="67"/>
  <c r="AV1181" i="67"/>
  <c r="AV424" i="67"/>
  <c r="AV879" i="67"/>
  <c r="AV576" i="67"/>
  <c r="AV271" i="67"/>
  <c r="AV728" i="67"/>
  <c r="AV118" i="67"/>
  <c r="AP1031" i="67"/>
  <c r="AP1182" i="67"/>
  <c r="AP425" i="67"/>
  <c r="AP577" i="67"/>
  <c r="AP880" i="67"/>
  <c r="AP119" i="67"/>
  <c r="AP272" i="67"/>
  <c r="AP729" i="67"/>
  <c r="AJ1032" i="67"/>
  <c r="AJ1183" i="67"/>
  <c r="AJ426" i="67"/>
  <c r="AJ578" i="67"/>
  <c r="AJ881" i="67"/>
  <c r="AJ120" i="67"/>
  <c r="AJ273" i="67"/>
  <c r="AJ730" i="67"/>
  <c r="Y1175" i="67"/>
  <c r="Y1024" i="67"/>
  <c r="Y418" i="67"/>
  <c r="Y873" i="67"/>
  <c r="Y570" i="67"/>
  <c r="Y112" i="67"/>
  <c r="Y265" i="67"/>
  <c r="Y722" i="67"/>
  <c r="AM1178" i="67"/>
  <c r="AM1027" i="67"/>
  <c r="AM421" i="67"/>
  <c r="AM573" i="67"/>
  <c r="AM876" i="67"/>
  <c r="AM268" i="67"/>
  <c r="AM115" i="67"/>
  <c r="AM725" i="67"/>
  <c r="AO1183" i="67"/>
  <c r="AO1032" i="67"/>
  <c r="AO426" i="67"/>
  <c r="AO881" i="67"/>
  <c r="AO578" i="67"/>
  <c r="AO120" i="67"/>
  <c r="AO1336" i="67" s="1"/>
  <c r="AO273" i="67"/>
  <c r="AO730" i="67"/>
  <c r="AM1033" i="67"/>
  <c r="AM1184" i="67"/>
  <c r="AM427" i="67"/>
  <c r="AM882" i="67"/>
  <c r="AM731" i="67"/>
  <c r="AM579" i="67"/>
  <c r="AM121" i="67"/>
  <c r="AM274" i="67"/>
  <c r="AM1337" i="67" s="1"/>
  <c r="W1182" i="67"/>
  <c r="W1031" i="67"/>
  <c r="W425" i="67"/>
  <c r="W577" i="67"/>
  <c r="W880" i="67"/>
  <c r="W119" i="67"/>
  <c r="W272" i="67"/>
  <c r="W729" i="67"/>
  <c r="AS1002" i="67"/>
  <c r="AS1153" i="67"/>
  <c r="AS396" i="67"/>
  <c r="AS851" i="67"/>
  <c r="AS548" i="67"/>
  <c r="AS700" i="67"/>
  <c r="AS90" i="67"/>
  <c r="AS243" i="67"/>
  <c r="AA1027" i="67"/>
  <c r="AA1178" i="67"/>
  <c r="AA421" i="67"/>
  <c r="AA573" i="67"/>
  <c r="AA876" i="67"/>
  <c r="AA115" i="67"/>
  <c r="AA268" i="67"/>
  <c r="AA725" i="67"/>
  <c r="AA1331" i="67"/>
  <c r="AI1032" i="67"/>
  <c r="AI1183" i="67"/>
  <c r="AI426" i="67"/>
  <c r="AI578" i="67"/>
  <c r="AI881" i="67"/>
  <c r="AI120" i="67"/>
  <c r="AI273" i="67"/>
  <c r="AI730" i="67"/>
  <c r="AJ1163" i="67"/>
  <c r="AJ1012" i="67"/>
  <c r="AJ406" i="67"/>
  <c r="AJ861" i="67"/>
  <c r="AJ100" i="67"/>
  <c r="AJ253" i="67"/>
  <c r="AJ558" i="67"/>
  <c r="AJ710" i="67"/>
  <c r="AE1025" i="67"/>
  <c r="AE1176" i="67"/>
  <c r="AE419" i="67"/>
  <c r="AE571" i="67"/>
  <c r="AE874" i="67"/>
  <c r="AE266" i="67"/>
  <c r="AE113" i="67"/>
  <c r="AE723" i="67"/>
  <c r="Z1184" i="67"/>
  <c r="Z1033" i="67"/>
  <c r="Z427" i="67"/>
  <c r="Z882" i="67"/>
  <c r="Z731" i="67"/>
  <c r="Z579" i="67"/>
  <c r="Z121" i="67"/>
  <c r="Z274" i="67"/>
  <c r="Z1337" i="67" s="1"/>
  <c r="AE1178" i="67"/>
  <c r="AE1027" i="67"/>
  <c r="AE421" i="67"/>
  <c r="AE573" i="67"/>
  <c r="AE876" i="67"/>
  <c r="AE725" i="67"/>
  <c r="AE115" i="67"/>
  <c r="AE268" i="67"/>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1328" i="67" s="1"/>
  <c r="Z722" i="67"/>
  <c r="T1025" i="67"/>
  <c r="T1176" i="67"/>
  <c r="T419" i="67"/>
  <c r="T874" i="67"/>
  <c r="T571" i="67"/>
  <c r="T113" i="67"/>
  <c r="T266" i="67"/>
  <c r="T723" i="67"/>
  <c r="N1026" i="67"/>
  <c r="N1177" i="67"/>
  <c r="N420" i="67"/>
  <c r="N572" i="67"/>
  <c r="N875" i="67"/>
  <c r="N114" i="67"/>
  <c r="N267" i="67"/>
  <c r="N724" i="67"/>
  <c r="AT1026" i="67"/>
  <c r="AT1177" i="67"/>
  <c r="AT420" i="67"/>
  <c r="AT572" i="67"/>
  <c r="AT875" i="67"/>
  <c r="AT114" i="67"/>
  <c r="AT267" i="67"/>
  <c r="AT724" i="67"/>
  <c r="AN1027" i="67"/>
  <c r="AN1178" i="67"/>
  <c r="AN421" i="67"/>
  <c r="AN876" i="67"/>
  <c r="AN573" i="67"/>
  <c r="AN115" i="67"/>
  <c r="AN1331" i="67" s="1"/>
  <c r="AN268" i="67"/>
  <c r="AN725" i="67"/>
  <c r="AH1030" i="67"/>
  <c r="AH1181" i="67"/>
  <c r="AH424" i="67"/>
  <c r="AH879" i="67"/>
  <c r="AH576" i="67"/>
  <c r="AH118" i="67"/>
  <c r="AH271" i="67"/>
  <c r="AH728" i="67"/>
  <c r="AH1334" i="67" s="1"/>
  <c r="AB1182" i="67"/>
  <c r="AB1031" i="67"/>
  <c r="AB425" i="67"/>
  <c r="AB880" i="67"/>
  <c r="AB577" i="67"/>
  <c r="AB119" i="67"/>
  <c r="AB272" i="67"/>
  <c r="AB729" i="67"/>
  <c r="V1183" i="67"/>
  <c r="V1032" i="67"/>
  <c r="V426" i="67"/>
  <c r="V881" i="67"/>
  <c r="V578" i="67"/>
  <c r="V120" i="67"/>
  <c r="V273" i="67"/>
  <c r="V730" i="67"/>
  <c r="M1173" i="67"/>
  <c r="M1022" i="67"/>
  <c r="M416" i="67"/>
  <c r="M568" i="67"/>
  <c r="M871" i="67"/>
  <c r="M110" i="67"/>
  <c r="M263" i="67"/>
  <c r="M720" i="67"/>
  <c r="AS1173" i="67"/>
  <c r="AS1022" i="67"/>
  <c r="AS416" i="67"/>
  <c r="AS568" i="67"/>
  <c r="AS871" i="67"/>
  <c r="AS110" i="67"/>
  <c r="AS263" i="67"/>
  <c r="AS720" i="67"/>
  <c r="AM1174" i="67"/>
  <c r="AM1023" i="67"/>
  <c r="AM417" i="67"/>
  <c r="AM872" i="67"/>
  <c r="AM569" i="67"/>
  <c r="AM111" i="67"/>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1309" i="67" s="1"/>
  <c r="AA246" i="67"/>
  <c r="AA551" i="67"/>
  <c r="AA703" i="67"/>
  <c r="U1006" i="67"/>
  <c r="U1157" i="67"/>
  <c r="U400" i="67"/>
  <c r="U855" i="67"/>
  <c r="U552" i="67"/>
  <c r="U704" i="67"/>
  <c r="U94" i="67"/>
  <c r="U247" i="67"/>
  <c r="U1310" i="67" s="1"/>
  <c r="O1030" i="67"/>
  <c r="O1181" i="67"/>
  <c r="O424" i="67"/>
  <c r="O576" i="67"/>
  <c r="O879" i="67"/>
  <c r="O118" i="67"/>
  <c r="O271" i="67"/>
  <c r="O728" i="67"/>
  <c r="AU1030" i="67"/>
  <c r="AU1181" i="67"/>
  <c r="AU424" i="67"/>
  <c r="AU576" i="67"/>
  <c r="AU879" i="67"/>
  <c r="AU118" i="67"/>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1327" i="67" s="1"/>
  <c r="L264" i="67"/>
  <c r="L721" i="67"/>
  <c r="AR1023" i="67"/>
  <c r="AR1174" i="67"/>
  <c r="AR417" i="67"/>
  <c r="AR569" i="67"/>
  <c r="AR872" i="67"/>
  <c r="AR111" i="67"/>
  <c r="AR264" i="67"/>
  <c r="AR721" i="67"/>
  <c r="AR1024" i="67"/>
  <c r="AR1175" i="67"/>
  <c r="AR418" i="67"/>
  <c r="AR873" i="67"/>
  <c r="AR570" i="67"/>
  <c r="AR112" i="67"/>
  <c r="AR265" i="67"/>
  <c r="AR1328" i="67" s="1"/>
  <c r="AR722" i="67"/>
  <c r="AL1025" i="67"/>
  <c r="AL1176" i="67"/>
  <c r="AL419" i="67"/>
  <c r="AL571" i="67"/>
  <c r="AL874" i="67"/>
  <c r="AL113" i="67"/>
  <c r="AL266" i="67"/>
  <c r="AL723" i="67"/>
  <c r="AF1026" i="67"/>
  <c r="AF1177" i="67"/>
  <c r="AF420" i="67"/>
  <c r="AF875" i="67"/>
  <c r="AF572" i="67"/>
  <c r="AF114" i="67"/>
  <c r="AF1330" i="67" s="1"/>
  <c r="AF267" i="67"/>
  <c r="AF724" i="67"/>
  <c r="Z1027" i="67"/>
  <c r="Z1178" i="67"/>
  <c r="Z421" i="67"/>
  <c r="Z876" i="67"/>
  <c r="Z573" i="67"/>
  <c r="Z115" i="67"/>
  <c r="Z268" i="67"/>
  <c r="Z725" i="67"/>
  <c r="T1181" i="67"/>
  <c r="T1030" i="67"/>
  <c r="T424" i="67"/>
  <c r="T576" i="67"/>
  <c r="T879" i="67"/>
  <c r="T118" i="67"/>
  <c r="T271" i="67"/>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730" i="67"/>
  <c r="AQ1184" i="67"/>
  <c r="AQ1033" i="67"/>
  <c r="AQ427" i="67"/>
  <c r="AQ882" i="67"/>
  <c r="AQ579" i="67"/>
  <c r="AQ731" i="67"/>
  <c r="AQ121" i="67"/>
  <c r="AQ274" i="67"/>
  <c r="R1184" i="67"/>
  <c r="R1033" i="67"/>
  <c r="R427" i="67"/>
  <c r="R882" i="67"/>
  <c r="R731" i="67"/>
  <c r="R579" i="67"/>
  <c r="R121" i="67"/>
  <c r="R274" i="67"/>
  <c r="AC1024" i="67"/>
  <c r="AC1328" i="67" s="1"/>
  <c r="AC1175" i="67"/>
  <c r="AC418" i="67"/>
  <c r="AC570" i="67"/>
  <c r="AC873" i="67"/>
  <c r="AC112" i="67"/>
  <c r="AC265" i="67"/>
  <c r="AC722" i="67"/>
  <c r="AQ1027" i="67"/>
  <c r="AQ1178" i="67"/>
  <c r="AQ421" i="67"/>
  <c r="AQ573" i="67"/>
  <c r="AQ876" i="67"/>
  <c r="AQ115" i="67"/>
  <c r="AQ268" i="67"/>
  <c r="AQ725" i="67"/>
  <c r="AQ1032" i="67"/>
  <c r="AQ1183" i="67"/>
  <c r="AQ426" i="67"/>
  <c r="AQ881" i="67"/>
  <c r="AQ578" i="67"/>
  <c r="AQ120" i="67"/>
  <c r="AQ273" i="67"/>
  <c r="AQ730" i="67"/>
  <c r="AN1184" i="67"/>
  <c r="AN1033" i="67"/>
  <c r="AN427" i="67"/>
  <c r="AN882" i="67"/>
  <c r="AN579" i="67"/>
  <c r="AN121" i="67"/>
  <c r="AN731" i="67"/>
  <c r="AN274" i="67"/>
  <c r="Y1026" i="67"/>
  <c r="Y1177" i="67"/>
  <c r="Y420" i="67"/>
  <c r="Y875" i="67"/>
  <c r="Y572" i="67"/>
  <c r="Y114" i="67"/>
  <c r="Y267" i="67"/>
  <c r="Y724" i="67"/>
  <c r="AH1184" i="67"/>
  <c r="AH1033" i="67"/>
  <c r="AH427" i="67"/>
  <c r="AH882" i="67"/>
  <c r="AH579" i="67"/>
  <c r="AH731" i="67"/>
  <c r="AH121" i="67"/>
  <c r="AH274" i="67"/>
  <c r="AG1175" i="67"/>
  <c r="AG1024" i="67"/>
  <c r="AG418" i="67"/>
  <c r="AG570" i="67"/>
  <c r="AG873" i="67"/>
  <c r="AG112" i="67"/>
  <c r="AG265" i="67"/>
  <c r="AG722" i="67"/>
  <c r="AU1178" i="67"/>
  <c r="AU1027" i="67"/>
  <c r="AU421" i="67"/>
  <c r="AU876" i="67"/>
  <c r="AU573" i="67"/>
  <c r="AU115" i="67"/>
  <c r="AU1331" i="67" s="1"/>
  <c r="AU268" i="67"/>
  <c r="AU725" i="67"/>
  <c r="AS1032" i="67"/>
  <c r="AS1183" i="67"/>
  <c r="AS426" i="67"/>
  <c r="AS578" i="67"/>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265" i="67"/>
  <c r="Q722" i="67"/>
  <c r="AJ1173" i="67"/>
  <c r="AJ1022" i="67"/>
  <c r="AJ416" i="67"/>
  <c r="AJ568" i="67"/>
  <c r="AJ871" i="67"/>
  <c r="AJ110" i="67"/>
  <c r="AJ263" i="67"/>
  <c r="AJ720" i="67"/>
  <c r="AD1174" i="67"/>
  <c r="AD1023" i="67"/>
  <c r="AD417" i="67"/>
  <c r="AD872" i="67"/>
  <c r="AD569" i="67"/>
  <c r="AD111" i="67"/>
  <c r="AD1327" i="67" s="1"/>
  <c r="AD264" i="67"/>
  <c r="AD721" i="67"/>
  <c r="AD1024" i="67"/>
  <c r="AD1175" i="67"/>
  <c r="AD418" i="67"/>
  <c r="AD873" i="67"/>
  <c r="AD570" i="67"/>
  <c r="AD112" i="67"/>
  <c r="AD265" i="67"/>
  <c r="AD722" i="67"/>
  <c r="X1025" i="67"/>
  <c r="X1176" i="67"/>
  <c r="X419" i="67"/>
  <c r="X874" i="67"/>
  <c r="X571" i="67"/>
  <c r="X266" i="67"/>
  <c r="X113" i="67"/>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1331" i="67" s="1"/>
  <c r="AR268" i="67"/>
  <c r="AR725" i="67"/>
  <c r="AL1030" i="67"/>
  <c r="AL1181" i="67"/>
  <c r="AL424" i="67"/>
  <c r="AL879" i="67"/>
  <c r="AL576" i="67"/>
  <c r="AL118" i="67"/>
  <c r="AL271" i="67"/>
  <c r="AL728" i="67"/>
  <c r="AF1031" i="67"/>
  <c r="AF1182" i="67"/>
  <c r="AF425" i="67"/>
  <c r="AF880" i="67"/>
  <c r="AF577" i="67"/>
  <c r="AF119" i="67"/>
  <c r="AF272" i="67"/>
  <c r="AF729" i="67"/>
  <c r="Z1032" i="67"/>
  <c r="Z1183" i="67"/>
  <c r="Z426" i="67"/>
  <c r="Z881" i="67"/>
  <c r="Z578" i="67"/>
  <c r="Z120" i="67"/>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K1155" i="67"/>
  <c r="AK1004" i="67"/>
  <c r="AK398" i="67"/>
  <c r="AK853" i="67"/>
  <c r="AK92" i="67"/>
  <c r="AK245" i="67"/>
  <c r="AK550" i="67"/>
  <c r="AK702" i="67"/>
  <c r="AK1308" i="67" s="1"/>
  <c r="AE1156" i="67"/>
  <c r="AE1005" i="67"/>
  <c r="AE399" i="67"/>
  <c r="AE551" i="67"/>
  <c r="AE703" i="67"/>
  <c r="AE854" i="67"/>
  <c r="AE93" i="67"/>
  <c r="AE246" i="67"/>
  <c r="Y1157" i="67"/>
  <c r="Y1006" i="67"/>
  <c r="Y400" i="67"/>
  <c r="Y855" i="67"/>
  <c r="Y704" i="67"/>
  <c r="Y552" i="67"/>
  <c r="Y94" i="67"/>
  <c r="Y247" i="67"/>
  <c r="S1030" i="67"/>
  <c r="S1181" i="67"/>
  <c r="S424" i="67"/>
  <c r="S879" i="67"/>
  <c r="S576" i="67"/>
  <c r="S118" i="67"/>
  <c r="S271" i="67"/>
  <c r="S728" i="67"/>
  <c r="M1031" i="67"/>
  <c r="M1182" i="67"/>
  <c r="M425" i="67"/>
  <c r="M577" i="67"/>
  <c r="M880" i="67"/>
  <c r="M119" i="67"/>
  <c r="M272" i="67"/>
  <c r="M729" i="67"/>
  <c r="M1335" i="67" s="1"/>
  <c r="AS1031" i="67"/>
  <c r="AS1182" i="67"/>
  <c r="AS425" i="67"/>
  <c r="AS577" i="67"/>
  <c r="AS880" i="67"/>
  <c r="AS119" i="67"/>
  <c r="AS272" i="67"/>
  <c r="AS729" i="67"/>
  <c r="V1022" i="67"/>
  <c r="V1173" i="67"/>
  <c r="V416" i="67"/>
  <c r="V871" i="67"/>
  <c r="V568" i="67"/>
  <c r="V110" i="67"/>
  <c r="V263" i="67"/>
  <c r="V1326" i="67" s="1"/>
  <c r="V720" i="67"/>
  <c r="P1023" i="67"/>
  <c r="P1174" i="67"/>
  <c r="P417" i="67"/>
  <c r="P872" i="67"/>
  <c r="P569" i="67"/>
  <c r="P111" i="67"/>
  <c r="P264" i="67"/>
  <c r="P721" i="67"/>
  <c r="AV1023" i="67"/>
  <c r="AV1174" i="67"/>
  <c r="AV417" i="67"/>
  <c r="AV569" i="67"/>
  <c r="AV872" i="67"/>
  <c r="AV111" i="67"/>
  <c r="AV264" i="67"/>
  <c r="AV721" i="67"/>
  <c r="AV1175" i="67"/>
  <c r="AV1024" i="67"/>
  <c r="AV418" i="67"/>
  <c r="AV570" i="67"/>
  <c r="AV873" i="67"/>
  <c r="AV722" i="67"/>
  <c r="AV112" i="67"/>
  <c r="AV1328" i="67" s="1"/>
  <c r="AV265" i="67"/>
  <c r="AP1176" i="67"/>
  <c r="AP1025" i="67"/>
  <c r="AP419" i="67"/>
  <c r="AP571" i="67"/>
  <c r="AP874" i="67"/>
  <c r="AP113" i="67"/>
  <c r="AP266" i="67"/>
  <c r="AP1329" i="67" s="1"/>
  <c r="AP723" i="67"/>
  <c r="AJ1177" i="67"/>
  <c r="AJ1026" i="67"/>
  <c r="AJ420" i="67"/>
  <c r="AJ572" i="67"/>
  <c r="AJ875" i="67"/>
  <c r="AJ114" i="67"/>
  <c r="AJ267" i="67"/>
  <c r="AJ724" i="67"/>
  <c r="AD1178" i="67"/>
  <c r="AD1027" i="67"/>
  <c r="AD421" i="67"/>
  <c r="AD573" i="67"/>
  <c r="AD876" i="67"/>
  <c r="AD115" i="67"/>
  <c r="AD268" i="67"/>
  <c r="AD725" i="67"/>
  <c r="X1030" i="67"/>
  <c r="X1181" i="67"/>
  <c r="X424" i="67"/>
  <c r="X576" i="67"/>
  <c r="X879" i="67"/>
  <c r="X728" i="67"/>
  <c r="X118" i="67"/>
  <c r="X271" i="67"/>
  <c r="R1031" i="67"/>
  <c r="R1182" i="67"/>
  <c r="R425" i="67"/>
  <c r="R880" i="67"/>
  <c r="R577" i="67"/>
  <c r="R119" i="67"/>
  <c r="R272" i="67"/>
  <c r="R729" i="67"/>
  <c r="L1032" i="67"/>
  <c r="L1183" i="67"/>
  <c r="L426" i="67"/>
  <c r="L881" i="67"/>
  <c r="L578" i="67"/>
  <c r="L120" i="67"/>
  <c r="L1336" i="67" s="1"/>
  <c r="L273" i="67"/>
  <c r="L730"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271" i="67"/>
  <c r="AG728" i="67"/>
  <c r="O1033" i="67"/>
  <c r="O1184" i="67"/>
  <c r="O427" i="67"/>
  <c r="O882" i="67"/>
  <c r="O579" i="67"/>
  <c r="O731" i="67"/>
  <c r="O121" i="67"/>
  <c r="O274" i="67"/>
  <c r="AU1033" i="67"/>
  <c r="AU1184" i="67"/>
  <c r="AU427" i="67"/>
  <c r="AU882" i="67"/>
  <c r="AU579" i="67"/>
  <c r="AU731" i="67"/>
  <c r="AU121" i="67"/>
  <c r="AU274" i="67"/>
  <c r="AL1033" i="67"/>
  <c r="AL1184" i="67"/>
  <c r="AL427" i="67"/>
  <c r="AL882" i="67"/>
  <c r="AL579" i="67"/>
  <c r="AL121" i="67"/>
  <c r="AL731" i="67"/>
  <c r="AL274" i="67"/>
  <c r="AS1024" i="67"/>
  <c r="AS1175" i="67"/>
  <c r="AS418" i="67"/>
  <c r="AS570" i="67"/>
  <c r="AS873" i="67"/>
  <c r="AS112" i="67"/>
  <c r="AS265" i="67"/>
  <c r="AS722" i="67"/>
  <c r="U1181" i="67"/>
  <c r="U1334" i="67" s="1"/>
  <c r="U1030" i="67"/>
  <c r="U424" i="67"/>
  <c r="U879" i="67"/>
  <c r="U576" i="67"/>
  <c r="U118" i="67"/>
  <c r="U271" i="67"/>
  <c r="U728"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271" i="67"/>
  <c r="Y728" i="67"/>
  <c r="M1033" i="67"/>
  <c r="M1184" i="67"/>
  <c r="M427" i="67"/>
  <c r="M1337" i="67" s="1"/>
  <c r="M882" i="67"/>
  <c r="M121" i="67"/>
  <c r="M274" i="67"/>
  <c r="M579" i="67"/>
  <c r="M731" i="67"/>
  <c r="AS1033" i="67"/>
  <c r="AS1184" i="67"/>
  <c r="AS427" i="67"/>
  <c r="AS882" i="67"/>
  <c r="AS121" i="67"/>
  <c r="AS274" i="67"/>
  <c r="AS579" i="67"/>
  <c r="AS731" i="67"/>
  <c r="AI1027" i="67"/>
  <c r="AI1178" i="67"/>
  <c r="AI421" i="67"/>
  <c r="AI876" i="67"/>
  <c r="AI573" i="67"/>
  <c r="AI115" i="67"/>
  <c r="AI268" i="67"/>
  <c r="AI725" i="67"/>
  <c r="K1027" i="67"/>
  <c r="K1178" i="67"/>
  <c r="K725" i="67"/>
  <c r="K573" i="67"/>
  <c r="K115" i="67"/>
  <c r="K421" i="67"/>
  <c r="K876" i="67"/>
  <c r="K268" i="67"/>
  <c r="K1181" i="67"/>
  <c r="K1030" i="67"/>
  <c r="K271" i="67"/>
  <c r="K576" i="67"/>
  <c r="K879" i="67"/>
  <c r="K728" i="67"/>
  <c r="K424" i="67"/>
  <c r="K118" i="67"/>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1328" i="67" s="1"/>
  <c r="R265" i="67"/>
  <c r="R722" i="67"/>
  <c r="AR1025" i="67"/>
  <c r="AR1176" i="67"/>
  <c r="AR419" i="67"/>
  <c r="AR571" i="67"/>
  <c r="AR874" i="67"/>
  <c r="AR113" i="67"/>
  <c r="AR266" i="67"/>
  <c r="AR723" i="67"/>
  <c r="AL1026" i="67"/>
  <c r="AL1177" i="67"/>
  <c r="AL420" i="67"/>
  <c r="AL875" i="67"/>
  <c r="AL572" i="67"/>
  <c r="AL114" i="67"/>
  <c r="AL267" i="67"/>
  <c r="AL724" i="67"/>
  <c r="Z1030" i="67"/>
  <c r="Z1181" i="67"/>
  <c r="Z424" i="67"/>
  <c r="Z576" i="67"/>
  <c r="Z879" i="67"/>
  <c r="Z118" i="67"/>
  <c r="Z271" i="67"/>
  <c r="Z728" i="67"/>
  <c r="N1183" i="67"/>
  <c r="N1032" i="67"/>
  <c r="N426" i="67"/>
  <c r="N881" i="67"/>
  <c r="N578" i="67"/>
  <c r="N120" i="67"/>
  <c r="N1336" i="67" s="1"/>
  <c r="N273" i="67"/>
  <c r="N730" i="67"/>
  <c r="AK1173" i="67"/>
  <c r="AK1022" i="67"/>
  <c r="AK416" i="67"/>
  <c r="AK871" i="67"/>
  <c r="AK568" i="67"/>
  <c r="AK110" i="67"/>
  <c r="AK1326" i="67" s="1"/>
  <c r="AK263" i="67"/>
  <c r="AK720" i="67"/>
  <c r="N1003" i="67"/>
  <c r="N1154" i="67"/>
  <c r="N397" i="67"/>
  <c r="N852" i="67"/>
  <c r="N701" i="67"/>
  <c r="N549" i="67"/>
  <c r="N244" i="67"/>
  <c r="N91" i="67"/>
  <c r="X1152" i="67"/>
  <c r="X1001" i="67"/>
  <c r="X395" i="67"/>
  <c r="X850" i="67"/>
  <c r="X547" i="67"/>
  <c r="X699" i="67"/>
  <c r="X89" i="67"/>
  <c r="X242" i="67"/>
  <c r="AR48" i="68"/>
  <c r="R1153" i="67"/>
  <c r="R1002" i="67"/>
  <c r="R396" i="67"/>
  <c r="R851" i="67"/>
  <c r="R90" i="67"/>
  <c r="R243" i="67"/>
  <c r="R548" i="67"/>
  <c r="R700" i="67"/>
  <c r="R1154" i="67"/>
  <c r="R1003" i="67"/>
  <c r="R397" i="67"/>
  <c r="R852" i="67"/>
  <c r="R701" i="67"/>
  <c r="R549" i="67"/>
  <c r="R91" i="67"/>
  <c r="R244" i="67"/>
  <c r="L1155" i="67"/>
  <c r="L1004" i="67"/>
  <c r="L398" i="67"/>
  <c r="L853" i="67"/>
  <c r="L702" i="67"/>
  <c r="L550" i="67"/>
  <c r="L92" i="67"/>
  <c r="L1308" i="67" s="1"/>
  <c r="L245" i="67"/>
  <c r="AR1155" i="67"/>
  <c r="AR1004" i="67"/>
  <c r="AR398" i="67"/>
  <c r="AR853" i="67"/>
  <c r="AR702" i="67"/>
  <c r="AR550" i="67"/>
  <c r="AR92" i="67"/>
  <c r="AR245" i="67"/>
  <c r="AL1156" i="67"/>
  <c r="AL1005" i="67"/>
  <c r="AL399" i="67"/>
  <c r="AL854" i="67"/>
  <c r="AL551" i="67"/>
  <c r="AL703" i="67"/>
  <c r="AL93" i="67"/>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266" i="67"/>
  <c r="Y723" i="67"/>
  <c r="S1026" i="67"/>
  <c r="S1177" i="67"/>
  <c r="S420" i="67"/>
  <c r="S875" i="67"/>
  <c r="S572" i="67"/>
  <c r="S114" i="67"/>
  <c r="S267" i="67"/>
  <c r="S724" i="67"/>
  <c r="M1027" i="67"/>
  <c r="M1178" i="67"/>
  <c r="M421" i="67"/>
  <c r="M876" i="67"/>
  <c r="M573" i="67"/>
  <c r="M115" i="67"/>
  <c r="M1331" i="67" s="1"/>
  <c r="M268" i="67"/>
  <c r="M725" i="67"/>
  <c r="AS1027" i="67"/>
  <c r="AS1178" i="67"/>
  <c r="AS421" i="67"/>
  <c r="AS876" i="67"/>
  <c r="AS573" i="67"/>
  <c r="AS115" i="67"/>
  <c r="AS1331" i="67" s="1"/>
  <c r="AS268" i="67"/>
  <c r="AS725" i="67"/>
  <c r="AM1030" i="67"/>
  <c r="AM1181" i="67"/>
  <c r="AM424" i="67"/>
  <c r="AM879" i="67"/>
  <c r="AM576" i="67"/>
  <c r="AM118" i="67"/>
  <c r="AM271" i="67"/>
  <c r="AM728" i="67"/>
  <c r="AG1031" i="67"/>
  <c r="AG1182" i="67"/>
  <c r="AG425" i="67"/>
  <c r="AG880" i="67"/>
  <c r="AG577" i="67"/>
  <c r="AG119" i="67"/>
  <c r="AG272" i="67"/>
  <c r="AG729" i="67"/>
  <c r="AA1032" i="67"/>
  <c r="AA1183" i="67"/>
  <c r="AA426" i="67"/>
  <c r="AA881" i="67"/>
  <c r="AA578" i="67"/>
  <c r="AA120" i="67"/>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1309" i="67" s="1"/>
  <c r="X246"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F1011" i="67"/>
  <c r="AF1162" i="67"/>
  <c r="AF405" i="67"/>
  <c r="AF860" i="67"/>
  <c r="AF557" i="67"/>
  <c r="AF709" i="67"/>
  <c r="AF99" i="67"/>
  <c r="AF252" i="67"/>
  <c r="AO1153" i="67"/>
  <c r="AO1002" i="67"/>
  <c r="AO396" i="67"/>
  <c r="AO851" i="67"/>
  <c r="AO700" i="67"/>
  <c r="AO548" i="67"/>
  <c r="AO243" i="67"/>
  <c r="AO90" i="67"/>
  <c r="W1157" i="67"/>
  <c r="W1006" i="67"/>
  <c r="W400" i="67"/>
  <c r="W855" i="67"/>
  <c r="W552" i="67"/>
  <c r="W704" i="67"/>
  <c r="W94" i="67"/>
  <c r="W247" i="67"/>
  <c r="AG1162" i="67"/>
  <c r="AG1011" i="67"/>
  <c r="AG405" i="67"/>
  <c r="AG860" i="67"/>
  <c r="AG709" i="67"/>
  <c r="AG557" i="67"/>
  <c r="AG252" i="67"/>
  <c r="AG99" i="67"/>
  <c r="AI1163" i="67"/>
  <c r="AI1012" i="67"/>
  <c r="AI406" i="67"/>
  <c r="AI861" i="67"/>
  <c r="AI558" i="67"/>
  <c r="AI710" i="67"/>
  <c r="AI100" i="67"/>
  <c r="AI253" i="67"/>
  <c r="AA1173" i="67"/>
  <c r="AA1022" i="67"/>
  <c r="AA416" i="67"/>
  <c r="AA871" i="67"/>
  <c r="AA568" i="67"/>
  <c r="AA110" i="67"/>
  <c r="AA263" i="67"/>
  <c r="AA1326" i="67" s="1"/>
  <c r="AA720" i="67"/>
  <c r="AC1174" i="67"/>
  <c r="AC1023" i="67"/>
  <c r="AC417" i="67"/>
  <c r="AC569" i="67"/>
  <c r="AC872" i="67"/>
  <c r="AC111" i="67"/>
  <c r="AC264" i="67"/>
  <c r="AC721" i="67"/>
  <c r="AW1156" i="67"/>
  <c r="AW1005" i="67"/>
  <c r="AW399" i="67"/>
  <c r="AW854" i="67"/>
  <c r="AW93" i="67"/>
  <c r="AW246" i="67"/>
  <c r="AW551" i="67"/>
  <c r="AW703" i="67"/>
  <c r="Y1162" i="67"/>
  <c r="Y1011" i="67"/>
  <c r="Y405" i="67"/>
  <c r="Y860" i="67"/>
  <c r="Y99" i="67"/>
  <c r="Y557" i="67"/>
  <c r="Y252" i="67"/>
  <c r="Y1315" i="67" s="1"/>
  <c r="Y709" i="67"/>
  <c r="AF1184" i="67"/>
  <c r="AF1033" i="67"/>
  <c r="AF427" i="67"/>
  <c r="AF882" i="67"/>
  <c r="AF579" i="67"/>
  <c r="AF121" i="67"/>
  <c r="AF731" i="67"/>
  <c r="AF274" i="67"/>
  <c r="AK1154" i="67"/>
  <c r="AK1003" i="67"/>
  <c r="AK397" i="67"/>
  <c r="AK852" i="67"/>
  <c r="AK549" i="67"/>
  <c r="AK701" i="67"/>
  <c r="AK91" i="67"/>
  <c r="AK244" i="67"/>
  <c r="N1012" i="67"/>
  <c r="N1163" i="67"/>
  <c r="N406" i="67"/>
  <c r="N861" i="67"/>
  <c r="N558" i="67"/>
  <c r="N710" i="67"/>
  <c r="N100" i="67"/>
  <c r="N253" i="67"/>
  <c r="AG1174" i="67"/>
  <c r="AG1023" i="67"/>
  <c r="AG417" i="67"/>
  <c r="AG569" i="67"/>
  <c r="AG872" i="67"/>
  <c r="AG111" i="67"/>
  <c r="AG264" i="67"/>
  <c r="AG721" i="67"/>
  <c r="O1157" i="67"/>
  <c r="O1006" i="67"/>
  <c r="O400" i="67"/>
  <c r="O855" i="67"/>
  <c r="O704" i="67"/>
  <c r="O552" i="67"/>
  <c r="O94" i="67"/>
  <c r="O1310" i="67" s="1"/>
  <c r="O247" i="67"/>
  <c r="AC1162" i="67"/>
  <c r="AC1011" i="67"/>
  <c r="AC405" i="67"/>
  <c r="AC860" i="67"/>
  <c r="AC709" i="67"/>
  <c r="AC557" i="67"/>
  <c r="AC252" i="67"/>
  <c r="AC99" i="67"/>
  <c r="AC1315" i="67" s="1"/>
  <c r="AG1012" i="67"/>
  <c r="AG1163" i="67"/>
  <c r="AG406" i="67"/>
  <c r="AG861" i="67"/>
  <c r="AG710" i="67"/>
  <c r="AG558" i="67"/>
  <c r="AG100" i="67"/>
  <c r="AG253" i="67"/>
  <c r="O1155" i="67"/>
  <c r="O1004" i="67"/>
  <c r="O398" i="67"/>
  <c r="O853" i="67"/>
  <c r="O702" i="67"/>
  <c r="O550" i="67"/>
  <c r="O92" i="67"/>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93" i="67"/>
  <c r="AJ1006" i="67"/>
  <c r="AJ1157" i="67"/>
  <c r="AJ400" i="67"/>
  <c r="AJ855" i="67"/>
  <c r="AJ94" i="67"/>
  <c r="AJ1310" i="67" s="1"/>
  <c r="AJ247" i="67"/>
  <c r="AJ552" i="67"/>
  <c r="AJ704" i="67"/>
  <c r="AD1160" i="67"/>
  <c r="AD1009" i="67"/>
  <c r="AD403" i="67"/>
  <c r="AD858" i="67"/>
  <c r="AD555" i="67"/>
  <c r="AD707" i="67"/>
  <c r="AD97" i="67"/>
  <c r="AD250" i="67"/>
  <c r="X1161" i="67"/>
  <c r="X1010" i="67"/>
  <c r="X404" i="67"/>
  <c r="X859" i="67"/>
  <c r="X556" i="67"/>
  <c r="X708" i="67"/>
  <c r="X98" i="67"/>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1306" i="67" s="1"/>
  <c r="AI700" i="67"/>
  <c r="AI243" i="67"/>
  <c r="AI1154" i="67"/>
  <c r="AI1003" i="67"/>
  <c r="AI397" i="67"/>
  <c r="AI701" i="67"/>
  <c r="AI852" i="67"/>
  <c r="AI549" i="67"/>
  <c r="AI91" i="67"/>
  <c r="AI244" i="67"/>
  <c r="AC1155" i="67"/>
  <c r="AC1004" i="67"/>
  <c r="AC398" i="67"/>
  <c r="AC853" i="67"/>
  <c r="AC550" i="67"/>
  <c r="AC702" i="67"/>
  <c r="AC92" i="67"/>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H1155" i="67"/>
  <c r="AH1004" i="67"/>
  <c r="AH398" i="67"/>
  <c r="AH550" i="67"/>
  <c r="AH702" i="67"/>
  <c r="AH853" i="67"/>
  <c r="AH92" i="67"/>
  <c r="AH245" i="67"/>
  <c r="AB1156" i="67"/>
  <c r="AB1005" i="67"/>
  <c r="AB399" i="67"/>
  <c r="AB854" i="67"/>
  <c r="AB551" i="67"/>
  <c r="AB703" i="67"/>
  <c r="AB93" i="67"/>
  <c r="AB1309" i="67" s="1"/>
  <c r="AB246" i="67"/>
  <c r="V1157" i="67"/>
  <c r="V1006" i="67"/>
  <c r="V400" i="67"/>
  <c r="V855" i="67"/>
  <c r="V552" i="67"/>
  <c r="V704" i="67"/>
  <c r="V247" i="67"/>
  <c r="V94" i="67"/>
  <c r="P1009" i="67"/>
  <c r="P1160" i="67"/>
  <c r="P403" i="67"/>
  <c r="P858" i="67"/>
  <c r="P555" i="67"/>
  <c r="P707" i="67"/>
  <c r="P97" i="67"/>
  <c r="P250" i="67"/>
  <c r="AV1009" i="67"/>
  <c r="AV1160" i="67"/>
  <c r="AV403" i="67"/>
  <c r="AV858" i="67"/>
  <c r="AV555" i="67"/>
  <c r="AV707" i="67"/>
  <c r="AV250" i="67"/>
  <c r="AV97" i="67"/>
  <c r="AP1010" i="67"/>
  <c r="AP1161" i="67"/>
  <c r="AP404" i="67"/>
  <c r="AP556" i="67"/>
  <c r="AP708" i="67"/>
  <c r="AP859" i="67"/>
  <c r="AP98" i="67"/>
  <c r="AP251" i="67"/>
  <c r="AJ1011" i="67"/>
  <c r="AJ1162" i="67"/>
  <c r="AJ405" i="67"/>
  <c r="AJ860" i="67"/>
  <c r="AJ99" i="67"/>
  <c r="AJ252" i="67"/>
  <c r="AJ557" i="67"/>
  <c r="AJ709" i="67"/>
  <c r="Y1154" i="67"/>
  <c r="Y1003" i="67"/>
  <c r="Y397" i="67"/>
  <c r="Y1307" i="67" s="1"/>
  <c r="Y852" i="67"/>
  <c r="Y549" i="67"/>
  <c r="Y701" i="67"/>
  <c r="Y91" i="67"/>
  <c r="Y244"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253" i="67"/>
  <c r="W1161" i="67"/>
  <c r="W1010" i="67"/>
  <c r="W404" i="67"/>
  <c r="W859" i="67"/>
  <c r="W556" i="67"/>
  <c r="W708" i="67"/>
  <c r="W98" i="67"/>
  <c r="W251" i="67"/>
  <c r="AS1174" i="67"/>
  <c r="AS1023" i="67"/>
  <c r="AS417" i="67"/>
  <c r="AS569" i="67"/>
  <c r="AS872" i="67"/>
  <c r="AS111" i="67"/>
  <c r="AS264" i="67"/>
  <c r="AS721" i="67"/>
  <c r="AA1157" i="67"/>
  <c r="AA1006" i="67"/>
  <c r="AA400" i="67"/>
  <c r="AA855" i="67"/>
  <c r="AA94" i="67"/>
  <c r="AA1310" i="67" s="1"/>
  <c r="AA247" i="67"/>
  <c r="AA552" i="67"/>
  <c r="AA704"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245" i="67"/>
  <c r="Z1012" i="67"/>
  <c r="Z1163" i="67"/>
  <c r="Z406" i="67"/>
  <c r="Z861" i="67"/>
  <c r="Z710" i="67"/>
  <c r="Z558" i="67"/>
  <c r="Z253" i="67"/>
  <c r="Z100" i="67"/>
  <c r="AE1157" i="67"/>
  <c r="AE1006" i="67"/>
  <c r="AE400" i="67"/>
  <c r="AE855" i="67"/>
  <c r="AE704" i="67"/>
  <c r="AE552" i="67"/>
  <c r="AE94" i="67"/>
  <c r="AE247" i="67"/>
  <c r="AK1162" i="67"/>
  <c r="AK1011" i="67"/>
  <c r="AK405" i="67"/>
  <c r="AK557" i="67"/>
  <c r="AK709" i="67"/>
  <c r="AK860" i="67"/>
  <c r="AK99" i="67"/>
  <c r="AK1315" i="67" s="1"/>
  <c r="AK252" i="67"/>
  <c r="AU1155" i="67"/>
  <c r="AU1004" i="67"/>
  <c r="AU398" i="67"/>
  <c r="AU853" i="67"/>
  <c r="AU550" i="67"/>
  <c r="AU702" i="67"/>
  <c r="AU92" i="67"/>
  <c r="AU245" i="67"/>
  <c r="P1154" i="67"/>
  <c r="P1003" i="67"/>
  <c r="P397" i="67"/>
  <c r="P852" i="67"/>
  <c r="P701" i="67"/>
  <c r="P549" i="67"/>
  <c r="P91" i="67"/>
  <c r="P1307" i="67" s="1"/>
  <c r="P244" i="67"/>
  <c r="AF1152" i="67"/>
  <c r="AF1001" i="67"/>
  <c r="AF395" i="67"/>
  <c r="AF850" i="67"/>
  <c r="AF699" i="67"/>
  <c r="AF547" i="67"/>
  <c r="AF89" i="67"/>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N1156" i="67"/>
  <c r="N1005" i="67"/>
  <c r="N399" i="67"/>
  <c r="N854" i="67"/>
  <c r="N93" i="67"/>
  <c r="N246" i="67"/>
  <c r="N551" i="67"/>
  <c r="N703" i="67"/>
  <c r="AT1156" i="67"/>
  <c r="AT1005" i="67"/>
  <c r="AT399" i="67"/>
  <c r="AT854" i="67"/>
  <c r="AT93" i="67"/>
  <c r="AT246" i="67"/>
  <c r="AT551" i="67"/>
  <c r="AT703" i="67"/>
  <c r="AN1157" i="67"/>
  <c r="AN1006" i="67"/>
  <c r="AN400" i="67"/>
  <c r="AN855" i="67"/>
  <c r="AN552" i="67"/>
  <c r="AN704" i="67"/>
  <c r="AN94" i="67"/>
  <c r="AN247" i="67"/>
  <c r="AH1009" i="67"/>
  <c r="AH1160" i="67"/>
  <c r="AH403" i="67"/>
  <c r="AH858" i="67"/>
  <c r="AH707" i="67"/>
  <c r="AH1313" i="67" s="1"/>
  <c r="AH555" i="67"/>
  <c r="AH97" i="67"/>
  <c r="AH250"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242" i="67"/>
  <c r="AG48" i="68"/>
  <c r="AS1152" i="67"/>
  <c r="AS1001" i="67"/>
  <c r="AS395" i="67"/>
  <c r="AS699" i="67"/>
  <c r="AS850" i="67"/>
  <c r="AS547" i="67"/>
  <c r="AS89" i="67"/>
  <c r="AS1305" i="67" s="1"/>
  <c r="AS242" i="67"/>
  <c r="BM48" i="68"/>
  <c r="AM1153" i="67"/>
  <c r="AM1002" i="67"/>
  <c r="AM396" i="67"/>
  <c r="AM851" i="67"/>
  <c r="AM700" i="67"/>
  <c r="AM548" i="67"/>
  <c r="AM243" i="67"/>
  <c r="AM90" i="67"/>
  <c r="AM1024" i="67"/>
  <c r="AM1175" i="67"/>
  <c r="AM418" i="67"/>
  <c r="AM570" i="67"/>
  <c r="AM873" i="67"/>
  <c r="AM112" i="67"/>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548" i="67"/>
  <c r="L700" i="67"/>
  <c r="AR1002" i="67"/>
  <c r="AR1153" i="67"/>
  <c r="AR396" i="67"/>
  <c r="AR851" i="67"/>
  <c r="AR90" i="67"/>
  <c r="AR243" i="67"/>
  <c r="AR548" i="67"/>
  <c r="AR700" i="67"/>
  <c r="AR1154" i="67"/>
  <c r="AR1003" i="67"/>
  <c r="AR397" i="67"/>
  <c r="AR852" i="67"/>
  <c r="AR549" i="67"/>
  <c r="AR91" i="67"/>
  <c r="AR701" i="67"/>
  <c r="AR244" i="67"/>
  <c r="AR1307" i="67" s="1"/>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91" i="67"/>
  <c r="AO244" i="67"/>
  <c r="Q1160" i="67"/>
  <c r="Q1009" i="67"/>
  <c r="Q403" i="67"/>
  <c r="Q1313" i="67" s="1"/>
  <c r="Q555" i="67"/>
  <c r="Q707" i="67"/>
  <c r="Q858" i="67"/>
  <c r="Q97" i="67"/>
  <c r="Q250" i="67"/>
  <c r="AV1011" i="67"/>
  <c r="AV1162" i="67"/>
  <c r="AV405" i="67"/>
  <c r="AV860" i="67"/>
  <c r="AV557" i="67"/>
  <c r="AV709" i="67"/>
  <c r="AV99" i="67"/>
  <c r="AV252" i="67"/>
  <c r="AQ1163" i="67"/>
  <c r="AQ1012" i="67"/>
  <c r="AQ406" i="67"/>
  <c r="AQ861" i="67"/>
  <c r="AQ710" i="67"/>
  <c r="AQ558" i="67"/>
  <c r="AQ253" i="67"/>
  <c r="AQ100" i="67"/>
  <c r="R1012" i="67"/>
  <c r="R1163" i="67"/>
  <c r="R406" i="67"/>
  <c r="R861" i="67"/>
  <c r="R558" i="67"/>
  <c r="R710" i="67"/>
  <c r="R100" i="67"/>
  <c r="R253" i="67"/>
  <c r="AC1154" i="67"/>
  <c r="AC1003" i="67"/>
  <c r="AC397" i="67"/>
  <c r="AC852" i="67"/>
  <c r="AC701" i="67"/>
  <c r="AC549" i="67"/>
  <c r="AC91" i="67"/>
  <c r="AC244" i="67"/>
  <c r="AQ1157" i="67"/>
  <c r="AQ1006" i="67"/>
  <c r="AQ400" i="67"/>
  <c r="AQ855" i="67"/>
  <c r="AQ94" i="67"/>
  <c r="AQ247" i="67"/>
  <c r="AQ1310" i="67" s="1"/>
  <c r="AQ552" i="67"/>
  <c r="AQ704" i="67"/>
  <c r="AQ1162" i="67"/>
  <c r="AQ1011" i="67"/>
  <c r="AQ405" i="67"/>
  <c r="AQ860" i="67"/>
  <c r="AQ99" i="67"/>
  <c r="AQ252" i="67"/>
  <c r="AQ557" i="67"/>
  <c r="AQ709" i="67"/>
  <c r="AN1012" i="67"/>
  <c r="AN1163" i="67"/>
  <c r="AN406" i="67"/>
  <c r="AN1316" i="67" s="1"/>
  <c r="AN861" i="67"/>
  <c r="AN710" i="67"/>
  <c r="AN558" i="67"/>
  <c r="AN100" i="67"/>
  <c r="AN253" i="67"/>
  <c r="Y1156" i="67"/>
  <c r="Y1005" i="67"/>
  <c r="Y399" i="67"/>
  <c r="Y854" i="67"/>
  <c r="Y703" i="67"/>
  <c r="Y551" i="67"/>
  <c r="Y93" i="67"/>
  <c r="Y246" i="67"/>
  <c r="AH1012" i="67"/>
  <c r="AH1163" i="67"/>
  <c r="AH406" i="67"/>
  <c r="AH861" i="67"/>
  <c r="AH558" i="67"/>
  <c r="AH710" i="67"/>
  <c r="AH100" i="67"/>
  <c r="AH253" i="67"/>
  <c r="AG1154" i="67"/>
  <c r="AG1003" i="67"/>
  <c r="AG397" i="67"/>
  <c r="AG852" i="67"/>
  <c r="AG701" i="67"/>
  <c r="AG549" i="67"/>
  <c r="AG244" i="67"/>
  <c r="AG91" i="67"/>
  <c r="AU1157" i="67"/>
  <c r="AU1006" i="67"/>
  <c r="AU400" i="67"/>
  <c r="AU855" i="67"/>
  <c r="AU704" i="67"/>
  <c r="AU552" i="67"/>
  <c r="AU94" i="67"/>
  <c r="AU247" i="67"/>
  <c r="AS1162" i="67"/>
  <c r="AS1011" i="67"/>
  <c r="AS405" i="67"/>
  <c r="AS709" i="67"/>
  <c r="AS860" i="67"/>
  <c r="AS557" i="67"/>
  <c r="AS252" i="67"/>
  <c r="AS99" i="67"/>
  <c r="AO1012" i="67"/>
  <c r="AO1163" i="67"/>
  <c r="AO406" i="67"/>
  <c r="AO861" i="67"/>
  <c r="AO558" i="67"/>
  <c r="AO710" i="67"/>
  <c r="AO100" i="67"/>
  <c r="AO253" i="67"/>
  <c r="AO1156" i="67"/>
  <c r="AO1005" i="67"/>
  <c r="AO399" i="67"/>
  <c r="AO854" i="67"/>
  <c r="AO551" i="67"/>
  <c r="AO703" i="67"/>
  <c r="AO93" i="67"/>
  <c r="AO246" i="67"/>
  <c r="AP1012" i="67"/>
  <c r="AP1163" i="67"/>
  <c r="AP406" i="67"/>
  <c r="AP861" i="67"/>
  <c r="AP710" i="67"/>
  <c r="AP558" i="67"/>
  <c r="AP100" i="67"/>
  <c r="AP253" i="67"/>
  <c r="Q1154" i="67"/>
  <c r="Q1003" i="67"/>
  <c r="Q397" i="67"/>
  <c r="Q701" i="67"/>
  <c r="Q852" i="67"/>
  <c r="Q549" i="67"/>
  <c r="Q244" i="67"/>
  <c r="Q91" i="67"/>
  <c r="AJ1152" i="67"/>
  <c r="AJ1001" i="67"/>
  <c r="AJ395" i="67"/>
  <c r="AJ850" i="67"/>
  <c r="AJ547" i="67"/>
  <c r="AJ699" i="67"/>
  <c r="BD48" i="68"/>
  <c r="AJ89" i="67"/>
  <c r="AJ1305" i="67" s="1"/>
  <c r="AJ242" i="67"/>
  <c r="AD1153" i="67"/>
  <c r="AD1002" i="67"/>
  <c r="AD396" i="67"/>
  <c r="AD548" i="67"/>
  <c r="AD700" i="67"/>
  <c r="AD851" i="67"/>
  <c r="AD243" i="67"/>
  <c r="AD90" i="67"/>
  <c r="AD1003" i="67"/>
  <c r="AD1154" i="67"/>
  <c r="AD397" i="67"/>
  <c r="AD852" i="67"/>
  <c r="AD701" i="67"/>
  <c r="AD549" i="67"/>
  <c r="AD244" i="67"/>
  <c r="AD91" i="67"/>
  <c r="X1004" i="67"/>
  <c r="X1155" i="67"/>
  <c r="X398" i="67"/>
  <c r="X853" i="67"/>
  <c r="X92" i="67"/>
  <c r="X245" i="67"/>
  <c r="X550" i="67"/>
  <c r="X702" i="67"/>
  <c r="R1005" i="67"/>
  <c r="R1156" i="67"/>
  <c r="R399" i="67"/>
  <c r="R854" i="67"/>
  <c r="R703" i="67"/>
  <c r="R551" i="67"/>
  <c r="R93" i="67"/>
  <c r="R1309" i="67" s="1"/>
  <c r="R246" i="67"/>
  <c r="L1006" i="67"/>
  <c r="L1157" i="67"/>
  <c r="L400" i="67"/>
  <c r="L855" i="67"/>
  <c r="L552" i="67"/>
  <c r="L704" i="67"/>
  <c r="L94" i="67"/>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556" i="67"/>
  <c r="AF708" i="67"/>
  <c r="Z1162" i="67"/>
  <c r="Z1011" i="67"/>
  <c r="Z405" i="67"/>
  <c r="Z860" i="67"/>
  <c r="Z709" i="67"/>
  <c r="Z557" i="67"/>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700" i="67"/>
  <c r="AQ243" i="67"/>
  <c r="AQ1024" i="67"/>
  <c r="AQ1175" i="67"/>
  <c r="AQ418" i="67"/>
  <c r="AQ873" i="67"/>
  <c r="AQ570" i="67"/>
  <c r="AQ112" i="67"/>
  <c r="AQ265" i="67"/>
  <c r="AQ722" i="67"/>
  <c r="AK1025" i="67"/>
  <c r="AK1329" i="67" s="1"/>
  <c r="AK1176" i="67"/>
  <c r="AK419" i="67"/>
  <c r="AK571" i="67"/>
  <c r="AK874" i="67"/>
  <c r="AK113" i="67"/>
  <c r="AK266" i="67"/>
  <c r="AK723" i="67"/>
  <c r="AE1026" i="67"/>
  <c r="AE1177" i="67"/>
  <c r="AE420" i="67"/>
  <c r="AE875" i="67"/>
  <c r="AE572" i="67"/>
  <c r="AE114" i="67"/>
  <c r="AE267" i="67"/>
  <c r="AE724" i="67"/>
  <c r="Y1027" i="67"/>
  <c r="Y1178" i="67"/>
  <c r="Y421" i="67"/>
  <c r="Y876" i="67"/>
  <c r="Y573" i="67"/>
  <c r="Y115" i="67"/>
  <c r="Y268" i="67"/>
  <c r="Y725" i="67"/>
  <c r="S1009" i="67"/>
  <c r="S1160" i="67"/>
  <c r="S403" i="67"/>
  <c r="S858" i="67"/>
  <c r="S555" i="67"/>
  <c r="S707" i="67"/>
  <c r="S250" i="67"/>
  <c r="S97" i="67"/>
  <c r="M1010" i="67"/>
  <c r="M1161" i="67"/>
  <c r="M404" i="67"/>
  <c r="M859" i="67"/>
  <c r="M98" i="67"/>
  <c r="M251" i="67"/>
  <c r="M556" i="67"/>
  <c r="M708" i="67"/>
  <c r="AS1010" i="67"/>
  <c r="AS1161" i="67"/>
  <c r="AS404" i="67"/>
  <c r="AS859" i="67"/>
  <c r="AS98" i="67"/>
  <c r="AS251" i="67"/>
  <c r="AS556" i="67"/>
  <c r="AS708" i="67"/>
  <c r="V1152" i="67"/>
  <c r="V1001" i="67"/>
  <c r="V395" i="67"/>
  <c r="V850" i="67"/>
  <c r="V547" i="67"/>
  <c r="V89" i="67"/>
  <c r="V699" i="67"/>
  <c r="V242" i="67"/>
  <c r="V1305" i="67" s="1"/>
  <c r="AP48" i="68"/>
  <c r="P1153" i="67"/>
  <c r="P1002" i="67"/>
  <c r="P396" i="67"/>
  <c r="P548" i="67"/>
  <c r="P700" i="67"/>
  <c r="P851" i="67"/>
  <c r="P90" i="67"/>
  <c r="P243" i="67"/>
  <c r="AV1153" i="67"/>
  <c r="AV1002" i="67"/>
  <c r="AV396" i="67"/>
  <c r="AV548" i="67"/>
  <c r="AV700" i="67"/>
  <c r="AV851" i="67"/>
  <c r="AV90" i="67"/>
  <c r="AV243" i="67"/>
  <c r="AV1154" i="67"/>
  <c r="AV1003" i="67"/>
  <c r="AV397" i="67"/>
  <c r="AV852" i="67"/>
  <c r="AV701" i="67"/>
  <c r="AV549" i="67"/>
  <c r="AV91" i="67"/>
  <c r="AV1307" i="67" s="1"/>
  <c r="AV244" i="67"/>
  <c r="AP1155" i="67"/>
  <c r="AP1004" i="67"/>
  <c r="AP398" i="67"/>
  <c r="AP702" i="67"/>
  <c r="AP853" i="67"/>
  <c r="AP550" i="67"/>
  <c r="AP245" i="67"/>
  <c r="AP92" i="67"/>
  <c r="AJ1156" i="67"/>
  <c r="AJ1005" i="67"/>
  <c r="AJ399" i="67"/>
  <c r="AJ854" i="67"/>
  <c r="AJ703" i="67"/>
  <c r="AJ551" i="67"/>
  <c r="AJ246" i="67"/>
  <c r="AJ93" i="67"/>
  <c r="AD1157" i="67"/>
  <c r="AD1006" i="67"/>
  <c r="AD400" i="67"/>
  <c r="AD855" i="67"/>
  <c r="AD704" i="67"/>
  <c r="AD552" i="67"/>
  <c r="AD94" i="67"/>
  <c r="AD247" i="67"/>
  <c r="X1009" i="67"/>
  <c r="X1160" i="67"/>
  <c r="X403" i="67"/>
  <c r="X858" i="67"/>
  <c r="X707" i="67"/>
  <c r="X555" i="67"/>
  <c r="X97" i="67"/>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253" i="67"/>
  <c r="AU1163" i="67"/>
  <c r="AU1012" i="67"/>
  <c r="AU406" i="67"/>
  <c r="AU861" i="67"/>
  <c r="AU558" i="67"/>
  <c r="AU710" i="67"/>
  <c r="AU100" i="67"/>
  <c r="AU253" i="67"/>
  <c r="AL1012" i="67"/>
  <c r="AL1163" i="67"/>
  <c r="AL406" i="67"/>
  <c r="AL861" i="67"/>
  <c r="AL710" i="67"/>
  <c r="AL558" i="67"/>
  <c r="AL253" i="67"/>
  <c r="AL100" i="67"/>
  <c r="AS1154" i="67"/>
  <c r="AS1003" i="67"/>
  <c r="AS397" i="67"/>
  <c r="AS852" i="67"/>
  <c r="AS701" i="67"/>
  <c r="AS549" i="67"/>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731" i="67"/>
  <c r="AV274" i="67"/>
  <c r="S1157" i="67"/>
  <c r="S1006" i="67"/>
  <c r="S400" i="67"/>
  <c r="S855" i="67"/>
  <c r="S552" i="67"/>
  <c r="S704" i="67"/>
  <c r="S94" i="67"/>
  <c r="S247" i="67"/>
  <c r="AT1012" i="67"/>
  <c r="AT1163" i="67"/>
  <c r="AT406" i="67"/>
  <c r="AT861" i="67"/>
  <c r="AT558" i="67"/>
  <c r="AT710" i="67"/>
  <c r="AT100" i="67"/>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558" i="67"/>
  <c r="M710" i="67"/>
  <c r="AS1163" i="67"/>
  <c r="AS1012" i="67"/>
  <c r="AS406" i="67"/>
  <c r="AS861" i="67"/>
  <c r="AS100" i="67"/>
  <c r="AS253" i="67"/>
  <c r="AS558" i="67"/>
  <c r="AS710" i="67"/>
  <c r="AS1316" i="67" s="1"/>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265" i="67"/>
  <c r="M722" i="67"/>
  <c r="AB1025" i="67"/>
  <c r="AB1176" i="67"/>
  <c r="AB419" i="67"/>
  <c r="AB571" i="67"/>
  <c r="AB874" i="67"/>
  <c r="AB113" i="67"/>
  <c r="AB266" i="67"/>
  <c r="AB723" i="67"/>
  <c r="P1027" i="67"/>
  <c r="P1178" i="67"/>
  <c r="P421" i="67"/>
  <c r="P573" i="67"/>
  <c r="P876" i="67"/>
  <c r="P115" i="67"/>
  <c r="P268" i="67"/>
  <c r="P725" i="67"/>
  <c r="AP1030" i="67"/>
  <c r="AP1181" i="67"/>
  <c r="AP424" i="67"/>
  <c r="AP1334" i="67" s="1"/>
  <c r="AP576" i="67"/>
  <c r="AP879" i="67"/>
  <c r="AP118" i="67"/>
  <c r="AP271" i="67"/>
  <c r="AP728"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1313" i="67" s="1"/>
  <c r="W250" i="67"/>
  <c r="W555" i="67"/>
  <c r="W707" i="67"/>
  <c r="Q1031" i="67"/>
  <c r="Q1182" i="67"/>
  <c r="Q425" i="67"/>
  <c r="Q577" i="67"/>
  <c r="Q880" i="67"/>
  <c r="Q729" i="67"/>
  <c r="Q119" i="67"/>
  <c r="Q272" i="67"/>
  <c r="AW1161" i="67"/>
  <c r="AW1010" i="67"/>
  <c r="AW404" i="67"/>
  <c r="AW859" i="67"/>
  <c r="AW708" i="67"/>
  <c r="AW556" i="67"/>
  <c r="AW98" i="67"/>
  <c r="AW251" i="67"/>
  <c r="Z1022" i="67"/>
  <c r="Z1173" i="67"/>
  <c r="Z416" i="67"/>
  <c r="Z568" i="67"/>
  <c r="Z871" i="67"/>
  <c r="Z720" i="67"/>
  <c r="Z110" i="67"/>
  <c r="Z263" i="67"/>
  <c r="T1023" i="67"/>
  <c r="T1174" i="67"/>
  <c r="T417" i="67"/>
  <c r="T872" i="67"/>
  <c r="T569" i="67"/>
  <c r="T111" i="67"/>
  <c r="T264" i="67"/>
  <c r="T721" i="67"/>
  <c r="T1024" i="67"/>
  <c r="T1175" i="67"/>
  <c r="T418" i="67"/>
  <c r="T570" i="67"/>
  <c r="T873" i="67"/>
  <c r="T112" i="67"/>
  <c r="T265" i="67"/>
  <c r="T722" i="67"/>
  <c r="N1025" i="67"/>
  <c r="N1329" i="67" s="1"/>
  <c r="N1176" i="67"/>
  <c r="N419" i="67"/>
  <c r="N874" i="67"/>
  <c r="N571" i="67"/>
  <c r="N113" i="67"/>
  <c r="N266" i="67"/>
  <c r="N723" i="67"/>
  <c r="AT1025" i="67"/>
  <c r="AT1176" i="67"/>
  <c r="AT419" i="67"/>
  <c r="AT874" i="67"/>
  <c r="AT571" i="67"/>
  <c r="AT113" i="67"/>
  <c r="AT266" i="67"/>
  <c r="AT723" i="67"/>
  <c r="AN1026" i="67"/>
  <c r="AN1177" i="67"/>
  <c r="AN420" i="67"/>
  <c r="AN572" i="67"/>
  <c r="AN875" i="67"/>
  <c r="AN114" i="67"/>
  <c r="AN267" i="67"/>
  <c r="AN724" i="67"/>
  <c r="AH1027" i="67"/>
  <c r="AH1178" i="67"/>
  <c r="AH421" i="67"/>
  <c r="AH573" i="67"/>
  <c r="AH876" i="67"/>
  <c r="AH268" i="67"/>
  <c r="AH725" i="67"/>
  <c r="AH115" i="67"/>
  <c r="AB1181" i="67"/>
  <c r="AB1030" i="67"/>
  <c r="AB424" i="67"/>
  <c r="AB879" i="67"/>
  <c r="AB576" i="67"/>
  <c r="AB118" i="67"/>
  <c r="AB271" i="67"/>
  <c r="AB728" i="67"/>
  <c r="V1182" i="67"/>
  <c r="V1031" i="67"/>
  <c r="V425" i="67"/>
  <c r="V577" i="67"/>
  <c r="V880" i="67"/>
  <c r="V119" i="67"/>
  <c r="V272" i="67"/>
  <c r="V729" i="67"/>
  <c r="P1183" i="67"/>
  <c r="P1032" i="67"/>
  <c r="P426" i="67"/>
  <c r="P578" i="67"/>
  <c r="P881" i="67"/>
  <c r="P273" i="67"/>
  <c r="P120" i="67"/>
  <c r="P730" i="67"/>
  <c r="O1173" i="67"/>
  <c r="O1022" i="67"/>
  <c r="O416" i="67"/>
  <c r="O871" i="67"/>
  <c r="O568" i="67"/>
  <c r="O110" i="67"/>
  <c r="O1326" i="67" s="1"/>
  <c r="O263" i="67"/>
  <c r="O720"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266" i="67"/>
  <c r="W723" i="67"/>
  <c r="AK1181" i="67"/>
  <c r="AK1030" i="67"/>
  <c r="AK424" i="67"/>
  <c r="AK879" i="67"/>
  <c r="AK576" i="67"/>
  <c r="AK118" i="67"/>
  <c r="AK271" i="67"/>
  <c r="AK728" i="67"/>
  <c r="P1012" i="67"/>
  <c r="P1163" i="67"/>
  <c r="P406" i="67"/>
  <c r="P558" i="67"/>
  <c r="P710" i="67"/>
  <c r="P861" i="67"/>
  <c r="P253" i="67"/>
  <c r="P100" i="67"/>
  <c r="K1182" i="67"/>
  <c r="K1031" i="67"/>
  <c r="K425" i="67"/>
  <c r="K880" i="67"/>
  <c r="K119" i="67"/>
  <c r="K272" i="67"/>
  <c r="K577" i="67"/>
  <c r="K729" i="67"/>
  <c r="M1181" i="67"/>
  <c r="M1030" i="67"/>
  <c r="M424" i="67"/>
  <c r="M576" i="67"/>
  <c r="M879" i="67"/>
  <c r="M118" i="67"/>
  <c r="M271" i="67"/>
  <c r="M728" i="67"/>
  <c r="K1152" i="67"/>
  <c r="K1001" i="67"/>
  <c r="K395" i="67"/>
  <c r="K850" i="67"/>
  <c r="K89" i="67"/>
  <c r="K242" i="67"/>
  <c r="K547" i="67"/>
  <c r="K699" i="67"/>
  <c r="AE48" i="68"/>
  <c r="AA1176" i="67"/>
  <c r="AA1025" i="67"/>
  <c r="AA419" i="67"/>
  <c r="AA874" i="67"/>
  <c r="AA571" i="67"/>
  <c r="AA113" i="67"/>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271" i="67"/>
  <c r="AC728" i="67"/>
  <c r="AW1153" i="67"/>
  <c r="AW1002" i="67"/>
  <c r="AW396" i="67"/>
  <c r="AW851" i="67"/>
  <c r="AW548" i="67"/>
  <c r="AW700" i="67"/>
  <c r="AW90" i="67"/>
  <c r="AW243" i="67"/>
  <c r="AM1182" i="67"/>
  <c r="AM1335" i="67" s="1"/>
  <c r="AM1031" i="67"/>
  <c r="AM425" i="67"/>
  <c r="AM577" i="67"/>
  <c r="AM880" i="67"/>
  <c r="AM119" i="67"/>
  <c r="AM272" i="67"/>
  <c r="AM729" i="67"/>
  <c r="L1173" i="67"/>
  <c r="L1022" i="67"/>
  <c r="L416" i="67"/>
  <c r="L871" i="67"/>
  <c r="L568" i="67"/>
  <c r="L110" i="67"/>
  <c r="L263" i="67"/>
  <c r="L720" i="67"/>
  <c r="AR1173" i="67"/>
  <c r="AR1022" i="67"/>
  <c r="AR416" i="67"/>
  <c r="AR871" i="67"/>
  <c r="AR568" i="67"/>
  <c r="AR110" i="67"/>
  <c r="AR263" i="67"/>
  <c r="AR720" i="67"/>
  <c r="AL1174" i="67"/>
  <c r="AL1023" i="67"/>
  <c r="AL417" i="67"/>
  <c r="AL569" i="67"/>
  <c r="AL872" i="67"/>
  <c r="AL111" i="67"/>
  <c r="AL264" i="67"/>
  <c r="AL721" i="67"/>
  <c r="AL1024" i="67"/>
  <c r="AL1175" i="67"/>
  <c r="AL418" i="67"/>
  <c r="AL873" i="67"/>
  <c r="AL570" i="67"/>
  <c r="AL112" i="67"/>
  <c r="AL265" i="67"/>
  <c r="AL722" i="67"/>
  <c r="AF1025" i="67"/>
  <c r="AF1176" i="67"/>
  <c r="AF419" i="67"/>
  <c r="AF571" i="67"/>
  <c r="AF874" i="67"/>
  <c r="AF113" i="67"/>
  <c r="AF266" i="67"/>
  <c r="AF723" i="67"/>
  <c r="Z1026" i="67"/>
  <c r="Z1177" i="67"/>
  <c r="Z420" i="67"/>
  <c r="Z875" i="67"/>
  <c r="Z572" i="67"/>
  <c r="Z267" i="67"/>
  <c r="Z724" i="67"/>
  <c r="Z114" i="67"/>
  <c r="T1027" i="67"/>
  <c r="T1178" i="67"/>
  <c r="T421" i="67"/>
  <c r="T573" i="67"/>
  <c r="T876" i="67"/>
  <c r="T115" i="67"/>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1335" i="67" s="1"/>
  <c r="AN272" i="67"/>
  <c r="AN729" i="67"/>
  <c r="AH1032" i="67"/>
  <c r="AH1183" i="67"/>
  <c r="AH426" i="67"/>
  <c r="AH578" i="67"/>
  <c r="AH881" i="67"/>
  <c r="AH120" i="67"/>
  <c r="AH273" i="67"/>
  <c r="AH1336" i="67" s="1"/>
  <c r="AH730" i="67"/>
  <c r="Y1022" i="67"/>
  <c r="Y1173" i="67"/>
  <c r="Y416" i="67"/>
  <c r="Y871" i="67"/>
  <c r="Y568" i="67"/>
  <c r="Y110" i="67"/>
  <c r="Y263" i="67"/>
  <c r="Y720" i="67"/>
  <c r="S1023" i="67"/>
  <c r="S1174" i="67"/>
  <c r="S417" i="67"/>
  <c r="S872" i="67"/>
  <c r="S569" i="67"/>
  <c r="S111" i="67"/>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1330" i="67" s="1"/>
  <c r="AM267" i="67"/>
  <c r="AM724" i="67"/>
  <c r="AG1027" i="67"/>
  <c r="AG1178" i="67"/>
  <c r="AG421" i="67"/>
  <c r="AG573" i="67"/>
  <c r="AG876" i="67"/>
  <c r="AG115" i="67"/>
  <c r="AG268" i="67"/>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1329" i="67" s="1"/>
  <c r="R266" i="67"/>
  <c r="R723"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268" i="67"/>
  <c r="AL725" i="67"/>
  <c r="AF1030" i="67"/>
  <c r="AF1181" i="67"/>
  <c r="AF424" i="67"/>
  <c r="AF576" i="67"/>
  <c r="AF879" i="67"/>
  <c r="AF271" i="67"/>
  <c r="AF118" i="67"/>
  <c r="AF728" i="67"/>
  <c r="Z1031" i="67"/>
  <c r="Z1182" i="67"/>
  <c r="Z425" i="67"/>
  <c r="Z577" i="67"/>
  <c r="Z880" i="67"/>
  <c r="Z119" i="67"/>
  <c r="Z272" i="67"/>
  <c r="Z729" i="67"/>
  <c r="T1032" i="67"/>
  <c r="T1336" i="67" s="1"/>
  <c r="T1183" i="67"/>
  <c r="T426" i="67"/>
  <c r="T578" i="67"/>
  <c r="T881" i="67"/>
  <c r="T120" i="67"/>
  <c r="T273" i="67"/>
  <c r="T730" i="67"/>
  <c r="AE1173" i="67"/>
  <c r="AE1022" i="67"/>
  <c r="AE416" i="67"/>
  <c r="AE568" i="67"/>
  <c r="AE871" i="67"/>
  <c r="AE110" i="67"/>
  <c r="AE263" i="67"/>
  <c r="AE720" i="67"/>
  <c r="M1177" i="67"/>
  <c r="M1026" i="67"/>
  <c r="M420" i="67"/>
  <c r="M875" i="67"/>
  <c r="M572" i="67"/>
  <c r="M114" i="67"/>
  <c r="M267" i="67"/>
  <c r="M724" i="67"/>
  <c r="AA1031" i="67"/>
  <c r="AA1182" i="67"/>
  <c r="AA425" i="67"/>
  <c r="AA577" i="67"/>
  <c r="AA880" i="67"/>
  <c r="AA119" i="67"/>
  <c r="AA272" i="67"/>
  <c r="AA729" i="67"/>
  <c r="W1033" i="67"/>
  <c r="W1184" i="67"/>
  <c r="W427" i="67"/>
  <c r="W882" i="67"/>
  <c r="W579" i="67"/>
  <c r="W731" i="67"/>
  <c r="W121" i="67"/>
  <c r="W274" i="67"/>
  <c r="K1026" i="67"/>
  <c r="K1177" i="67"/>
  <c r="K267" i="67"/>
  <c r="K572" i="67"/>
  <c r="K724" i="67"/>
  <c r="K420" i="67"/>
  <c r="K875" i="67"/>
  <c r="K114" i="67"/>
  <c r="S1001" i="67"/>
  <c r="S1152" i="67"/>
  <c r="S395" i="67"/>
  <c r="S850" i="67"/>
  <c r="S89" i="67"/>
  <c r="S242" i="67"/>
  <c r="S547" i="67"/>
  <c r="S699" i="67"/>
  <c r="AM48" i="68"/>
  <c r="AM1025" i="67"/>
  <c r="AM1176" i="67"/>
  <c r="AM419" i="67"/>
  <c r="AM874" i="67"/>
  <c r="AM571" i="67"/>
  <c r="AM113" i="67"/>
  <c r="AM266" i="67"/>
  <c r="AM723" i="67"/>
  <c r="O1182" i="67"/>
  <c r="O1031" i="67"/>
  <c r="O425" i="67"/>
  <c r="O880" i="67"/>
  <c r="O577" i="67"/>
  <c r="O119" i="67"/>
  <c r="O272" i="67"/>
  <c r="O729" i="67"/>
  <c r="T1163" i="67"/>
  <c r="T1012" i="67"/>
  <c r="T406" i="67"/>
  <c r="T861" i="67"/>
  <c r="T100" i="67"/>
  <c r="T253" i="67"/>
  <c r="T558" i="67"/>
  <c r="T710" i="67"/>
  <c r="K1174" i="67"/>
  <c r="K1023" i="67"/>
  <c r="K872" i="67"/>
  <c r="K1327" i="67" s="1"/>
  <c r="K264" i="67"/>
  <c r="K417" i="67"/>
  <c r="K569" i="67"/>
  <c r="K111" i="67"/>
  <c r="K721" i="67"/>
  <c r="AS1181" i="67"/>
  <c r="AS1030" i="67"/>
  <c r="AS424" i="67"/>
  <c r="AS576" i="67"/>
  <c r="AS879" i="67"/>
  <c r="AS118" i="67"/>
  <c r="AS271" i="67"/>
  <c r="AS728" i="67"/>
  <c r="W1152" i="67"/>
  <c r="W1001" i="67"/>
  <c r="W395" i="67"/>
  <c r="W547" i="67"/>
  <c r="W699" i="67"/>
  <c r="W850" i="67"/>
  <c r="AQ48" i="68"/>
  <c r="W89" i="67"/>
  <c r="W242" i="67"/>
  <c r="S1031" i="67"/>
  <c r="S1335" i="67" s="1"/>
  <c r="S1182" i="67"/>
  <c r="S425" i="67"/>
  <c r="S577" i="67"/>
  <c r="S880" i="67"/>
  <c r="S119" i="67"/>
  <c r="S272" i="67"/>
  <c r="S729" i="67"/>
  <c r="U1033" i="67"/>
  <c r="U1184" i="67"/>
  <c r="U427" i="67"/>
  <c r="U882" i="67"/>
  <c r="U579" i="67"/>
  <c r="U731" i="67"/>
  <c r="U121" i="67"/>
  <c r="U274" i="67"/>
  <c r="K1003" i="67"/>
  <c r="K1154" i="67"/>
  <c r="K397" i="67"/>
  <c r="K852" i="67"/>
  <c r="K549" i="67"/>
  <c r="K701" i="67"/>
  <c r="K91" i="67"/>
  <c r="K244" i="67"/>
  <c r="P1022" i="67"/>
  <c r="P1173" i="67"/>
  <c r="P416" i="67"/>
  <c r="P871" i="67"/>
  <c r="P568" i="67"/>
  <c r="P110" i="67"/>
  <c r="P263" i="67"/>
  <c r="P720" i="67"/>
  <c r="AV1022" i="67"/>
  <c r="AV1173" i="67"/>
  <c r="AV416" i="67"/>
  <c r="AV871" i="67"/>
  <c r="AV568" i="67"/>
  <c r="AV110" i="67"/>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1329" i="67" s="1"/>
  <c r="AJ723"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271" i="67"/>
  <c r="R728" i="67"/>
  <c r="L1182" i="67"/>
  <c r="L1031" i="67"/>
  <c r="L425" i="67"/>
  <c r="L577" i="67"/>
  <c r="L880" i="67"/>
  <c r="L119" i="67"/>
  <c r="L272" i="67"/>
  <c r="L729" i="67"/>
  <c r="AR1182" i="67"/>
  <c r="AR1031" i="67"/>
  <c r="AR425" i="67"/>
  <c r="AR880" i="67"/>
  <c r="AR577" i="67"/>
  <c r="AR119" i="67"/>
  <c r="AR272" i="67"/>
  <c r="AR1335" i="67" s="1"/>
  <c r="AR729"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264" i="67"/>
  <c r="W1003" i="67"/>
  <c r="W1154" i="67"/>
  <c r="W397" i="67"/>
  <c r="W852" i="67"/>
  <c r="W549" i="67"/>
  <c r="W701" i="67"/>
  <c r="W91" i="67"/>
  <c r="W244" i="67"/>
  <c r="Q1004" i="67"/>
  <c r="Q1155" i="67"/>
  <c r="Q398" i="67"/>
  <c r="Q853" i="67"/>
  <c r="Q550" i="67"/>
  <c r="Q702" i="67"/>
  <c r="Q92" i="67"/>
  <c r="Q245" i="67"/>
  <c r="AW1004" i="67"/>
  <c r="AW1155" i="67"/>
  <c r="AW398" i="67"/>
  <c r="AW853" i="67"/>
  <c r="AW550" i="67"/>
  <c r="AW702" i="67"/>
  <c r="AW92" i="67"/>
  <c r="AW245" i="67"/>
  <c r="AQ1005" i="67"/>
  <c r="AQ1156" i="67"/>
  <c r="AQ399" i="67"/>
  <c r="AQ854" i="67"/>
  <c r="AQ93" i="67"/>
  <c r="AQ246" i="67"/>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729" i="67"/>
  <c r="S1032" i="67"/>
  <c r="S1183" i="67"/>
  <c r="S426" i="67"/>
  <c r="S578" i="67"/>
  <c r="S881" i="67"/>
  <c r="S273" i="67"/>
  <c r="S120" i="67"/>
  <c r="S730" i="67"/>
  <c r="AH1022" i="67"/>
  <c r="AH1173" i="67"/>
  <c r="AH416" i="67"/>
  <c r="AH568" i="67"/>
  <c r="AH871" i="67"/>
  <c r="AH263" i="67"/>
  <c r="AH110" i="67"/>
  <c r="AH720" i="67"/>
  <c r="AB1023" i="67"/>
  <c r="AB1174" i="67"/>
  <c r="AB417" i="67"/>
  <c r="AB569" i="67"/>
  <c r="AB872" i="67"/>
  <c r="AB111" i="67"/>
  <c r="AB264" i="67"/>
  <c r="AB721" i="67"/>
  <c r="AB1024" i="67"/>
  <c r="AB1175" i="67"/>
  <c r="AB418" i="67"/>
  <c r="AB570" i="67"/>
  <c r="AB873" i="67"/>
  <c r="AB112" i="67"/>
  <c r="AB265" i="67"/>
  <c r="AB1328" i="67" s="1"/>
  <c r="AB722" i="67"/>
  <c r="V1025" i="67"/>
  <c r="V1176" i="67"/>
  <c r="V419" i="67"/>
  <c r="V571" i="67"/>
  <c r="V874" i="67"/>
  <c r="V113" i="67"/>
  <c r="V266" i="67"/>
  <c r="V723" i="67"/>
  <c r="P1026" i="67"/>
  <c r="P1177" i="67"/>
  <c r="P420" i="67"/>
  <c r="P875" i="67"/>
  <c r="P572" i="67"/>
  <c r="P114" i="67"/>
  <c r="P267" i="67"/>
  <c r="P724" i="67"/>
  <c r="AV1026" i="67"/>
  <c r="AV1177" i="67"/>
  <c r="AV420" i="67"/>
  <c r="AV875" i="67"/>
  <c r="AV572" i="67"/>
  <c r="AV114" i="67"/>
  <c r="AV267" i="67"/>
  <c r="AV724" i="67"/>
  <c r="AP1027" i="67"/>
  <c r="AP1178" i="67"/>
  <c r="AP421" i="67"/>
  <c r="AP876" i="67"/>
  <c r="AP573" i="67"/>
  <c r="AP115" i="67"/>
  <c r="AP268" i="67"/>
  <c r="AP725" i="67"/>
  <c r="AJ1181" i="67"/>
  <c r="AJ1030" i="67"/>
  <c r="AJ424" i="67"/>
  <c r="AJ576" i="67"/>
  <c r="AJ879" i="67"/>
  <c r="AJ118" i="67"/>
  <c r="AJ271" i="67"/>
  <c r="AJ728" i="67"/>
  <c r="AJ1334" i="67" s="1"/>
  <c r="AD1182" i="67"/>
  <c r="AD1031" i="67"/>
  <c r="AD425" i="67"/>
  <c r="AD880" i="67"/>
  <c r="AD577" i="67"/>
  <c r="AD119" i="67"/>
  <c r="AD272" i="67"/>
  <c r="AD729" i="67"/>
  <c r="X1183" i="67"/>
  <c r="X1032" i="67"/>
  <c r="X426" i="67"/>
  <c r="X881" i="67"/>
  <c r="X578" i="67"/>
  <c r="X120" i="67"/>
  <c r="X273" i="67"/>
  <c r="X730" i="67"/>
  <c r="AU1173" i="67"/>
  <c r="AU1022" i="67"/>
  <c r="AU416" i="67"/>
  <c r="AU568" i="67"/>
  <c r="AU871" i="67"/>
  <c r="AU110" i="67"/>
  <c r="AU263" i="67"/>
  <c r="AU720" i="67"/>
  <c r="AC1177" i="67"/>
  <c r="AC1026" i="67"/>
  <c r="AC420" i="67"/>
  <c r="AC1330" i="67" s="1"/>
  <c r="AC572" i="67"/>
  <c r="AC875" i="67"/>
  <c r="AC114" i="67"/>
  <c r="AC267" i="67"/>
  <c r="AC724" i="67"/>
  <c r="AQ1031" i="67"/>
  <c r="AQ1182" i="67"/>
  <c r="AQ425" i="67"/>
  <c r="AQ880" i="67"/>
  <c r="AQ577" i="67"/>
  <c r="AQ119" i="67"/>
  <c r="AQ272" i="67"/>
  <c r="AQ729" i="67"/>
  <c r="AA1184" i="67"/>
  <c r="AA1033" i="67"/>
  <c r="AA427" i="67"/>
  <c r="AA882" i="67"/>
  <c r="AA731" i="67"/>
  <c r="AA579" i="67"/>
  <c r="AA121" i="67"/>
  <c r="AA274" i="67"/>
  <c r="AR1033" i="67"/>
  <c r="AR1184" i="67"/>
  <c r="AR427" i="67"/>
  <c r="AR882" i="67"/>
  <c r="AR579" i="67"/>
  <c r="AR731" i="67"/>
  <c r="AR121" i="67"/>
  <c r="AR274" i="67"/>
  <c r="AI1001" i="67"/>
  <c r="AI1152" i="67"/>
  <c r="AI395" i="67"/>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242" i="67"/>
  <c r="BG48" i="68"/>
  <c r="U1177" i="67"/>
  <c r="U1026" i="67"/>
  <c r="U420" i="67"/>
  <c r="U875" i="67"/>
  <c r="U572" i="67"/>
  <c r="U114" i="67"/>
  <c r="U267" i="67"/>
  <c r="U724" i="67"/>
  <c r="AI1031" i="67"/>
  <c r="AI1182" i="67"/>
  <c r="AI425" i="67"/>
  <c r="AI880" i="67"/>
  <c r="AI577" i="67"/>
  <c r="AI119" i="67"/>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264" i="67"/>
  <c r="AT721" i="67"/>
  <c r="AT1024" i="67"/>
  <c r="AT1175" i="67"/>
  <c r="AT418" i="67"/>
  <c r="AT570" i="67"/>
  <c r="AT873" i="67"/>
  <c r="AT112" i="67"/>
  <c r="AT1328" i="67" s="1"/>
  <c r="AT265" i="67"/>
  <c r="AT722" i="67"/>
  <c r="AN1025" i="67"/>
  <c r="AN1176" i="67"/>
  <c r="AN419" i="67"/>
  <c r="AN874" i="67"/>
  <c r="AN571" i="67"/>
  <c r="AN113" i="67"/>
  <c r="AN266" i="67"/>
  <c r="AN723" i="67"/>
  <c r="AH1026" i="67"/>
  <c r="AH1177" i="67"/>
  <c r="AH420" i="67"/>
  <c r="AH572" i="67"/>
  <c r="AH875" i="67"/>
  <c r="AH724" i="67"/>
  <c r="AH114" i="67"/>
  <c r="AH267" i="67"/>
  <c r="AB1027" i="67"/>
  <c r="AB1178" i="67"/>
  <c r="AB421" i="67"/>
  <c r="AB876" i="67"/>
  <c r="AB573" i="67"/>
  <c r="AB115" i="67"/>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550" i="67"/>
  <c r="U702" i="67"/>
  <c r="O1156" i="67"/>
  <c r="O1005" i="67"/>
  <c r="O399" i="67"/>
  <c r="O854" i="67"/>
  <c r="O551" i="67"/>
  <c r="O703" i="67"/>
  <c r="O93" i="67"/>
  <c r="O246" i="67"/>
  <c r="AU1156" i="67"/>
  <c r="AU1005" i="67"/>
  <c r="AU399" i="67"/>
  <c r="AU854" i="67"/>
  <c r="AU551" i="67"/>
  <c r="AU703" i="67"/>
  <c r="AU93" i="67"/>
  <c r="AU1309" i="67" s="1"/>
  <c r="AU246" i="67"/>
  <c r="AO1027" i="67"/>
  <c r="AO1178" i="67"/>
  <c r="AO421" i="67"/>
  <c r="AO876" i="67"/>
  <c r="AO573" i="67"/>
  <c r="AO115" i="67"/>
  <c r="AO268" i="67"/>
  <c r="AO725" i="67"/>
  <c r="AI1030" i="67"/>
  <c r="AI1181" i="67"/>
  <c r="AI424" i="67"/>
  <c r="AI879" i="67"/>
  <c r="AI576" i="67"/>
  <c r="AI118" i="67"/>
  <c r="AI271" i="67"/>
  <c r="AI728" i="67"/>
  <c r="AC1031" i="67"/>
  <c r="AC1182" i="67"/>
  <c r="AC425" i="67"/>
  <c r="AC577" i="67"/>
  <c r="AC880" i="67"/>
  <c r="AC119" i="67"/>
  <c r="AC272" i="67"/>
  <c r="AC729" i="67"/>
  <c r="W1032" i="67"/>
  <c r="W1183" i="67"/>
  <c r="W426" i="67"/>
  <c r="W881" i="67"/>
  <c r="W578" i="67"/>
  <c r="W120" i="67"/>
  <c r="W273" i="67"/>
  <c r="W730" i="67"/>
  <c r="AL1022" i="67"/>
  <c r="AL1173" i="67"/>
  <c r="AL416" i="67"/>
  <c r="AL871" i="67"/>
  <c r="AL568" i="67"/>
  <c r="AL110" i="67"/>
  <c r="AL1326" i="67" s="1"/>
  <c r="AL263" i="67"/>
  <c r="AL720" i="67"/>
  <c r="AF1023" i="67"/>
  <c r="AF1174" i="67"/>
  <c r="AF417" i="67"/>
  <c r="AF872" i="67"/>
  <c r="AF569" i="67"/>
  <c r="AF111" i="67"/>
  <c r="AF264" i="67"/>
  <c r="AF721" i="67"/>
  <c r="AF1175" i="67"/>
  <c r="AF1024" i="67"/>
  <c r="AF418" i="67"/>
  <c r="AF873" i="67"/>
  <c r="AF570" i="67"/>
  <c r="AF112" i="67"/>
  <c r="AF1328" i="67" s="1"/>
  <c r="AF265" i="67"/>
  <c r="AF722" i="67"/>
  <c r="Z1176" i="67"/>
  <c r="Z1025" i="67"/>
  <c r="Z419" i="67"/>
  <c r="Z874" i="67"/>
  <c r="Z571" i="67"/>
  <c r="Z113" i="67"/>
  <c r="Z266" i="67"/>
  <c r="Z723" i="67"/>
  <c r="T1177" i="67"/>
  <c r="T1026" i="67"/>
  <c r="T420" i="67"/>
  <c r="T875" i="67"/>
  <c r="T572" i="67"/>
  <c r="T114" i="67"/>
  <c r="T1330" i="67" s="1"/>
  <c r="T267" i="67"/>
  <c r="T724"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271" i="67"/>
  <c r="AN728" i="67"/>
  <c r="AH1031" i="67"/>
  <c r="AH1182" i="67"/>
  <c r="AH425" i="67"/>
  <c r="AH880" i="67"/>
  <c r="AH577" i="67"/>
  <c r="AH119" i="67"/>
  <c r="AH272" i="67"/>
  <c r="AH729" i="67"/>
  <c r="AB1032" i="67"/>
  <c r="AB1183" i="67"/>
  <c r="AB426" i="67"/>
  <c r="AB881" i="67"/>
  <c r="AB578" i="67"/>
  <c r="AB120" i="67"/>
  <c r="AB273" i="67"/>
  <c r="AB730" i="67"/>
  <c r="Y1174" i="67"/>
  <c r="Y1023" i="67"/>
  <c r="Y417" i="67"/>
  <c r="Y872" i="67"/>
  <c r="Y569" i="67"/>
  <c r="Y111" i="67"/>
  <c r="Y264" i="67"/>
  <c r="Y721" i="67"/>
  <c r="AS1177" i="67"/>
  <c r="AS1026" i="67"/>
  <c r="AS420" i="67"/>
  <c r="AS875" i="67"/>
  <c r="AS572" i="67"/>
  <c r="AS114" i="67"/>
  <c r="AS267" i="67"/>
  <c r="AS724" i="67"/>
  <c r="U1032" i="67"/>
  <c r="U1336" i="67" s="1"/>
  <c r="U1183" i="67"/>
  <c r="U426" i="67"/>
  <c r="U881" i="67"/>
  <c r="U578" i="67"/>
  <c r="U120" i="67"/>
  <c r="U273" i="67"/>
  <c r="U730" i="67"/>
  <c r="AE1033" i="67"/>
  <c r="AE1184" i="67"/>
  <c r="AE427" i="67"/>
  <c r="AE882" i="67"/>
  <c r="AE731" i="67"/>
  <c r="AE579" i="67"/>
  <c r="AE121" i="67"/>
  <c r="AE274" i="67"/>
  <c r="K1155" i="67"/>
  <c r="K1004" i="67"/>
  <c r="K398" i="67"/>
  <c r="K853" i="67"/>
  <c r="K550" i="67"/>
  <c r="K702" i="67"/>
  <c r="K92" i="67"/>
  <c r="K245" i="67"/>
  <c r="M1002" i="67"/>
  <c r="M1153" i="67"/>
  <c r="M396" i="67"/>
  <c r="M548" i="67"/>
  <c r="M700" i="67"/>
  <c r="M851" i="67"/>
  <c r="M90" i="67"/>
  <c r="M243" i="67"/>
  <c r="AG1026" i="67"/>
  <c r="AG1177" i="67"/>
  <c r="AG420" i="67"/>
  <c r="AG875" i="67"/>
  <c r="AG572" i="67"/>
  <c r="AG267" i="67"/>
  <c r="AG724" i="67"/>
  <c r="AG114" i="67"/>
  <c r="AU1182" i="67"/>
  <c r="AU1031" i="67"/>
  <c r="AU425" i="67"/>
  <c r="AU880" i="67"/>
  <c r="AU577" i="67"/>
  <c r="AU119" i="67"/>
  <c r="AU272" i="67"/>
  <c r="AU1335" i="67" s="1"/>
  <c r="AU729" i="67"/>
  <c r="AB1033" i="67"/>
  <c r="AB1184" i="67"/>
  <c r="AB427" i="67"/>
  <c r="AB882" i="67"/>
  <c r="AB579" i="67"/>
  <c r="AB731" i="67"/>
  <c r="AB121" i="67"/>
  <c r="AB274" i="67"/>
  <c r="AK1002" i="67"/>
  <c r="AK1153" i="67"/>
  <c r="AK396" i="67"/>
  <c r="AK700" i="67"/>
  <c r="AK851" i="67"/>
  <c r="AK548" i="67"/>
  <c r="AK243" i="67"/>
  <c r="AK90" i="67"/>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273" i="67"/>
  <c r="M730" i="67"/>
  <c r="AC1033" i="67"/>
  <c r="AC1184" i="67"/>
  <c r="AC427" i="67"/>
  <c r="AC882" i="67"/>
  <c r="AC121" i="67"/>
  <c r="AC274" i="67"/>
  <c r="AC579" i="67"/>
  <c r="AC731" i="67"/>
  <c r="U1024" i="67"/>
  <c r="U1175" i="67"/>
  <c r="U418" i="67"/>
  <c r="U1328" i="67" s="1"/>
  <c r="U570" i="67"/>
  <c r="U873" i="67"/>
  <c r="U112" i="67"/>
  <c r="U265" i="67"/>
  <c r="U722" i="67"/>
  <c r="AU1032" i="67"/>
  <c r="AU1183" i="67"/>
  <c r="AU426" i="67"/>
  <c r="AU578" i="67"/>
  <c r="AU881" i="67"/>
  <c r="AU120" i="67"/>
  <c r="AU273" i="67"/>
  <c r="AU730" i="67"/>
  <c r="AQ1176" i="67"/>
  <c r="AQ1025" i="67"/>
  <c r="AQ419" i="67"/>
  <c r="AQ571" i="67"/>
  <c r="AQ874" i="67"/>
  <c r="AQ113" i="67"/>
  <c r="AQ266" i="67"/>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1331" i="67" s="1"/>
  <c r="AV725" i="67"/>
  <c r="AD1183" i="67"/>
  <c r="AD1032" i="67"/>
  <c r="AD426" i="67"/>
  <c r="AD578" i="67"/>
  <c r="AD881" i="67"/>
  <c r="AD120" i="67"/>
  <c r="AD273" i="67"/>
  <c r="AD730" i="67"/>
  <c r="M1154" i="67"/>
  <c r="M1003" i="67"/>
  <c r="M397" i="67"/>
  <c r="M852" i="67"/>
  <c r="M549" i="67"/>
  <c r="M701" i="67"/>
  <c r="M91" i="67"/>
  <c r="M244" i="67"/>
  <c r="AN1152" i="67"/>
  <c r="AN1001" i="67"/>
  <c r="AN395" i="67"/>
  <c r="AN850" i="67"/>
  <c r="AN547" i="67"/>
  <c r="AN699" i="67"/>
  <c r="AN89" i="67"/>
  <c r="AN242" i="67"/>
  <c r="BH48" i="68"/>
  <c r="AH1153" i="67"/>
  <c r="AH1002" i="67"/>
  <c r="AH396" i="67"/>
  <c r="AH851" i="67"/>
  <c r="AH90" i="67"/>
  <c r="AH243" i="67"/>
  <c r="AH1306" i="67" s="1"/>
  <c r="AH548" i="67"/>
  <c r="AH700" i="67"/>
  <c r="AH1154" i="67"/>
  <c r="AH1003" i="67"/>
  <c r="AH397" i="67"/>
  <c r="AH852" i="67"/>
  <c r="AH701" i="67"/>
  <c r="AH549" i="67"/>
  <c r="AH244" i="67"/>
  <c r="AH91" i="67"/>
  <c r="AB1155" i="67"/>
  <c r="AB1004" i="67"/>
  <c r="AB398" i="67"/>
  <c r="AB702" i="67"/>
  <c r="AB853" i="67"/>
  <c r="AB550" i="67"/>
  <c r="AB92" i="67"/>
  <c r="AB1308" i="67" s="1"/>
  <c r="AB245" i="67"/>
  <c r="V1156" i="67"/>
  <c r="V1005" i="67"/>
  <c r="V399" i="67"/>
  <c r="V854" i="67"/>
  <c r="V551" i="67"/>
  <c r="V703" i="67"/>
  <c r="V93" i="67"/>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1328" i="67" s="1"/>
  <c r="AU722" i="67"/>
  <c r="AO1025" i="67"/>
  <c r="AO1176" i="67"/>
  <c r="AO419" i="67"/>
  <c r="AO571" i="67"/>
  <c r="AO874" i="67"/>
  <c r="AO723" i="67"/>
  <c r="AO113" i="67"/>
  <c r="AO266" i="67"/>
  <c r="AI1026" i="67"/>
  <c r="AI1177" i="67"/>
  <c r="AI420" i="67"/>
  <c r="AI875" i="67"/>
  <c r="AI572" i="67"/>
  <c r="AI114" i="67"/>
  <c r="AI267" i="67"/>
  <c r="AI724" i="67"/>
  <c r="AC1027" i="67"/>
  <c r="AC1178" i="67"/>
  <c r="AC421" i="67"/>
  <c r="AC573" i="67"/>
  <c r="AC876" i="67"/>
  <c r="AC115" i="67"/>
  <c r="AC268" i="67"/>
  <c r="AC725" i="67"/>
  <c r="W1030" i="67"/>
  <c r="W1181" i="67"/>
  <c r="W424" i="67"/>
  <c r="W879" i="67"/>
  <c r="W576" i="67"/>
  <c r="W118" i="67"/>
  <c r="W1334" i="67" s="1"/>
  <c r="W271" i="67"/>
  <c r="W728"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242" i="67"/>
  <c r="AT48" i="68"/>
  <c r="T1002" i="67"/>
  <c r="T1153" i="67"/>
  <c r="T396" i="67"/>
  <c r="T851" i="67"/>
  <c r="T548" i="67"/>
  <c r="T700" i="67"/>
  <c r="T90" i="67"/>
  <c r="T243" i="67"/>
  <c r="T1154" i="67"/>
  <c r="T1003" i="67"/>
  <c r="T397" i="67"/>
  <c r="T852" i="67"/>
  <c r="T549" i="67"/>
  <c r="T91" i="67"/>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1309" i="67" s="1"/>
  <c r="AN246"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251" i="67"/>
  <c r="P1011" i="67"/>
  <c r="P1162" i="67"/>
  <c r="P405" i="67"/>
  <c r="P860" i="67"/>
  <c r="P557" i="67"/>
  <c r="P709" i="67"/>
  <c r="P99" i="67"/>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253" i="67"/>
  <c r="K1032" i="67"/>
  <c r="K1183" i="67"/>
  <c r="K426" i="67"/>
  <c r="K881" i="67"/>
  <c r="K120" i="67"/>
  <c r="K273" i="67"/>
  <c r="K578" i="67"/>
  <c r="K730" i="67"/>
  <c r="K1184" i="67"/>
  <c r="K1033" i="67"/>
  <c r="K274" i="67"/>
  <c r="K731" i="67"/>
  <c r="K427" i="67"/>
  <c r="K579" i="67"/>
  <c r="K882" i="67"/>
  <c r="K121" i="67"/>
  <c r="K1337" i="67" s="1"/>
  <c r="W1155" i="67"/>
  <c r="W1004" i="67"/>
  <c r="W398" i="67"/>
  <c r="W853" i="67"/>
  <c r="W550" i="67"/>
  <c r="W702" i="67"/>
  <c r="W92" i="67"/>
  <c r="W245" i="67"/>
  <c r="AK1160" i="67"/>
  <c r="AK1009" i="67"/>
  <c r="AK403" i="67"/>
  <c r="AK858" i="67"/>
  <c r="AK555" i="67"/>
  <c r="AK97" i="67"/>
  <c r="AK707" i="67"/>
  <c r="AK250" i="67"/>
  <c r="P1184" i="67"/>
  <c r="P1033" i="67"/>
  <c r="P427" i="67"/>
  <c r="P882" i="67"/>
  <c r="P579" i="67"/>
  <c r="P121" i="67"/>
  <c r="P731" i="67"/>
  <c r="P274" i="67"/>
  <c r="K1161" i="67"/>
  <c r="K1010" i="67"/>
  <c r="K404" i="67"/>
  <c r="K1314" i="67" s="1"/>
  <c r="K859" i="67"/>
  <c r="K556" i="67"/>
  <c r="K708" i="67"/>
  <c r="K98" i="67"/>
  <c r="K251" i="67"/>
  <c r="M1160" i="67"/>
  <c r="M1009" i="67"/>
  <c r="M403" i="67"/>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s="1"/>
  <c r="AL1003" i="67"/>
  <c r="AL1154" i="67"/>
  <c r="AL397" i="67"/>
  <c r="AL549" i="67"/>
  <c r="AL701" i="67"/>
  <c r="AL852" i="67"/>
  <c r="AL91" i="67"/>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552" i="67"/>
  <c r="T704" i="67"/>
  <c r="N1160" i="67"/>
  <c r="N1009" i="67"/>
  <c r="N403" i="67"/>
  <c r="N858" i="67"/>
  <c r="N555" i="67"/>
  <c r="N707" i="67"/>
  <c r="N97" i="67"/>
  <c r="N250" i="67"/>
  <c r="AT1160" i="67"/>
  <c r="AT1009" i="67"/>
  <c r="AT403" i="67"/>
  <c r="AT858" i="67"/>
  <c r="AT555" i="67"/>
  <c r="AT707" i="67"/>
  <c r="AT97" i="67"/>
  <c r="AT1313" i="67" s="1"/>
  <c r="AT250" i="67"/>
  <c r="AN1161" i="67"/>
  <c r="AN1010" i="67"/>
  <c r="AN404" i="67"/>
  <c r="AN859" i="67"/>
  <c r="AN556" i="67"/>
  <c r="AN708" i="67"/>
  <c r="AN98" i="67"/>
  <c r="AN251" i="67"/>
  <c r="AH1162" i="67"/>
  <c r="AH1011" i="67"/>
  <c r="AH405" i="67"/>
  <c r="AH860" i="67"/>
  <c r="AH557" i="67"/>
  <c r="AH709" i="67"/>
  <c r="AH252" i="67"/>
  <c r="AH99" i="67"/>
  <c r="Y1152" i="67"/>
  <c r="Y1001" i="67"/>
  <c r="Y395" i="67"/>
  <c r="Y850" i="67"/>
  <c r="Y89" i="67"/>
  <c r="Y242" i="67"/>
  <c r="Y547" i="67"/>
  <c r="Y699" i="67"/>
  <c r="AS48" i="68"/>
  <c r="S1153" i="67"/>
  <c r="S1002" i="67"/>
  <c r="S396" i="67"/>
  <c r="S851" i="67"/>
  <c r="S548" i="67"/>
  <c r="S90" i="67"/>
  <c r="S700" i="67"/>
  <c r="S243" i="67"/>
  <c r="S1003" i="67"/>
  <c r="S1154" i="67"/>
  <c r="S397" i="67"/>
  <c r="S852" i="67"/>
  <c r="S701" i="67"/>
  <c r="S549" i="67"/>
  <c r="S91" i="67"/>
  <c r="S1307" i="67" s="1"/>
  <c r="S244"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G1157" i="67"/>
  <c r="AG1006" i="67"/>
  <c r="AG400" i="67"/>
  <c r="AG855" i="67"/>
  <c r="AG552" i="67"/>
  <c r="AG704" i="67"/>
  <c r="AG94" i="67"/>
  <c r="AG247" i="67"/>
  <c r="AA1009" i="67"/>
  <c r="AA1160" i="67"/>
  <c r="AA403" i="67"/>
  <c r="AA858" i="67"/>
  <c r="AA707" i="67"/>
  <c r="AA555" i="67"/>
  <c r="AA97" i="67"/>
  <c r="AA250" i="67"/>
  <c r="U1010" i="67"/>
  <c r="U1161" i="67"/>
  <c r="U404" i="67"/>
  <c r="U859" i="67"/>
  <c r="U556" i="67"/>
  <c r="U708" i="67"/>
  <c r="U98" i="67"/>
  <c r="U251" i="67"/>
  <c r="O1011" i="67"/>
  <c r="O1162" i="67"/>
  <c r="O405" i="67"/>
  <c r="O860" i="67"/>
  <c r="O709" i="67"/>
  <c r="O557" i="67"/>
  <c r="O99" i="67"/>
  <c r="O252" i="67"/>
  <c r="AD1152" i="67"/>
  <c r="AD1001" i="67"/>
  <c r="AD395" i="67"/>
  <c r="AD850" i="67"/>
  <c r="AD547" i="67"/>
  <c r="AD89" i="67"/>
  <c r="AD699" i="67"/>
  <c r="AD242" i="67"/>
  <c r="AX48" i="68"/>
  <c r="X1153" i="67"/>
  <c r="X1002" i="67"/>
  <c r="X396" i="67"/>
  <c r="X700" i="67"/>
  <c r="X851" i="67"/>
  <c r="X548" i="67"/>
  <c r="X243" i="67"/>
  <c r="X90" i="67"/>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246" i="67"/>
  <c r="AR1156" i="67"/>
  <c r="AR1005" i="67"/>
  <c r="AR399" i="67"/>
  <c r="AR854" i="67"/>
  <c r="AR551" i="67"/>
  <c r="AR703" i="67"/>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1314" i="67" s="1"/>
  <c r="Z251" i="67"/>
  <c r="T1011" i="67"/>
  <c r="T1162" i="67"/>
  <c r="T405" i="67"/>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274" i="67"/>
  <c r="K1153" i="67"/>
  <c r="K1002" i="67"/>
  <c r="K396" i="67"/>
  <c r="K851" i="67"/>
  <c r="K548" i="67"/>
  <c r="K700" i="67"/>
  <c r="K90" i="67"/>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253" i="67"/>
  <c r="K1024" i="67"/>
  <c r="K1175" i="67"/>
  <c r="K873" i="67"/>
  <c r="K112" i="67"/>
  <c r="K722" i="67"/>
  <c r="K265" i="67"/>
  <c r="K418" i="67"/>
  <c r="K570" i="67"/>
  <c r="P1152" i="67"/>
  <c r="P1001" i="67"/>
  <c r="P395" i="67"/>
  <c r="P850" i="67"/>
  <c r="P699" i="67"/>
  <c r="P547" i="67"/>
  <c r="P242" i="67"/>
  <c r="AJ48" i="68"/>
  <c r="P89" i="67"/>
  <c r="AV1152" i="67"/>
  <c r="AV1001" i="67"/>
  <c r="AV395" i="67"/>
  <c r="AV850" i="67"/>
  <c r="AV699" i="67"/>
  <c r="AV547" i="67"/>
  <c r="AV242" i="67"/>
  <c r="BP48" i="68"/>
  <c r="AV89" i="67"/>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D1156" i="67"/>
  <c r="AD1005" i="67"/>
  <c r="AD399" i="67"/>
  <c r="AD854" i="67"/>
  <c r="AD93" i="67"/>
  <c r="AD246" i="67"/>
  <c r="AD551" i="67"/>
  <c r="AD703" i="67"/>
  <c r="X1157" i="67"/>
  <c r="X1006" i="67"/>
  <c r="X400" i="67"/>
  <c r="X552" i="67"/>
  <c r="X704" i="67"/>
  <c r="X855" i="67"/>
  <c r="X94" i="67"/>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99" i="67"/>
  <c r="AL252" i="67"/>
  <c r="AC1152" i="67"/>
  <c r="AC1001" i="67"/>
  <c r="AC395" i="67"/>
  <c r="AC850" i="67"/>
  <c r="AC699" i="67"/>
  <c r="AC547" i="67"/>
  <c r="AC89" i="67"/>
  <c r="AW48" i="68"/>
  <c r="AC242" i="67"/>
  <c r="W1153" i="67"/>
  <c r="W1002" i="67"/>
  <c r="W396" i="67"/>
  <c r="W851" i="67"/>
  <c r="W700" i="67"/>
  <c r="W548" i="67"/>
  <c r="W90" i="67"/>
  <c r="W243" i="67"/>
  <c r="W1024" i="67"/>
  <c r="W1175" i="67"/>
  <c r="W418" i="67"/>
  <c r="W570" i="67"/>
  <c r="W873" i="67"/>
  <c r="W112" i="67"/>
  <c r="W265" i="67"/>
  <c r="W722" i="67"/>
  <c r="Q1025" i="67"/>
  <c r="Q1176" i="67"/>
  <c r="Q419" i="67"/>
  <c r="Q571" i="67"/>
  <c r="Q874" i="67"/>
  <c r="Q266" i="67"/>
  <c r="Q113" i="67"/>
  <c r="Q1329" i="67" s="1"/>
  <c r="Q723" i="67"/>
  <c r="AW1025" i="67"/>
  <c r="AW1176" i="67"/>
  <c r="AW419" i="67"/>
  <c r="AW571" i="67"/>
  <c r="AW874" i="67"/>
  <c r="AW266" i="67"/>
  <c r="AW113" i="67"/>
  <c r="AW723" i="67"/>
  <c r="AQ1026" i="67"/>
  <c r="AQ1177" i="67"/>
  <c r="AQ420" i="67"/>
  <c r="AQ572" i="67"/>
  <c r="AQ875" i="67"/>
  <c r="AQ114" i="67"/>
  <c r="AQ267" i="67"/>
  <c r="AQ724" i="67"/>
  <c r="AK1006" i="67"/>
  <c r="AK1157" i="67"/>
  <c r="AK400" i="67"/>
  <c r="AK855" i="67"/>
  <c r="AK552" i="67"/>
  <c r="AK704" i="67"/>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548" i="67"/>
  <c r="AB700" i="67"/>
  <c r="AB1154" i="67"/>
  <c r="AB1003" i="67"/>
  <c r="AB397" i="67"/>
  <c r="AB852" i="67"/>
  <c r="AB549" i="67"/>
  <c r="AB91" i="67"/>
  <c r="AB701" i="67"/>
  <c r="AB244" i="67"/>
  <c r="V1155" i="67"/>
  <c r="V1004" i="67"/>
  <c r="V398" i="67"/>
  <c r="V853" i="67"/>
  <c r="V702" i="67"/>
  <c r="V550" i="67"/>
  <c r="V92" i="67"/>
  <c r="V245" i="67"/>
  <c r="P1156" i="67"/>
  <c r="P1005" i="67"/>
  <c r="P399" i="67"/>
  <c r="P854" i="67"/>
  <c r="P703" i="67"/>
  <c r="P551" i="67"/>
  <c r="P93" i="67"/>
  <c r="P246" i="67"/>
  <c r="AV1156" i="67"/>
  <c r="AV1005" i="67"/>
  <c r="AV399" i="67"/>
  <c r="AV1309" i="67" s="1"/>
  <c r="AV854" i="67"/>
  <c r="AV703" i="67"/>
  <c r="AV551" i="67"/>
  <c r="AV93" i="67"/>
  <c r="AV246" i="67"/>
  <c r="AP1157" i="67"/>
  <c r="AP1006" i="67"/>
  <c r="AP400" i="67"/>
  <c r="AP855" i="67"/>
  <c r="AP94" i="67"/>
  <c r="AP247" i="67"/>
  <c r="AP552" i="67"/>
  <c r="AP704" i="67"/>
  <c r="AJ1009" i="67"/>
  <c r="AJ1160" i="67"/>
  <c r="AJ403" i="67"/>
  <c r="AJ858" i="67"/>
  <c r="AJ97" i="67"/>
  <c r="AJ250" i="67"/>
  <c r="AJ1313" i="67" s="1"/>
  <c r="AJ555" i="67"/>
  <c r="AJ707" i="67"/>
  <c r="AD1010" i="67"/>
  <c r="AD1161" i="67"/>
  <c r="AD404" i="67"/>
  <c r="AD859" i="67"/>
  <c r="AD556" i="67"/>
  <c r="AD98" i="67"/>
  <c r="AD708" i="67"/>
  <c r="AD251" i="67"/>
  <c r="X1011" i="67"/>
  <c r="X1162" i="67"/>
  <c r="X405" i="67"/>
  <c r="X1315" i="67" s="1"/>
  <c r="X860" i="67"/>
  <c r="X709" i="67"/>
  <c r="X557" i="67"/>
  <c r="X99" i="67"/>
  <c r="X252"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263" i="67"/>
  <c r="AI720" i="67"/>
  <c r="Q1156" i="67"/>
  <c r="Q1005" i="67"/>
  <c r="Q399" i="67"/>
  <c r="Q854" i="67"/>
  <c r="Q551" i="67"/>
  <c r="Q703" i="67"/>
  <c r="Q93" i="67"/>
  <c r="Q246" i="67"/>
  <c r="AE1161" i="67"/>
  <c r="AE1010" i="67"/>
  <c r="AE404" i="67"/>
  <c r="AE859" i="67"/>
  <c r="AE708" i="67"/>
  <c r="AE556" i="67"/>
  <c r="AE98" i="67"/>
  <c r="AE251" i="67"/>
  <c r="X1012" i="67"/>
  <c r="X1163" i="67"/>
  <c r="X406" i="67"/>
  <c r="X710" i="67"/>
  <c r="X861" i="67"/>
  <c r="X558" i="67"/>
  <c r="X100" i="67"/>
  <c r="X1316" i="67" s="1"/>
  <c r="X253"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263" i="67"/>
  <c r="AM720" i="67"/>
  <c r="U1156" i="67"/>
  <c r="U1005" i="67"/>
  <c r="U399" i="67"/>
  <c r="U703" i="67"/>
  <c r="U854" i="67"/>
  <c r="U551" i="67"/>
  <c r="U93" i="67"/>
  <c r="U1309" i="67" s="1"/>
  <c r="U246" i="67"/>
  <c r="AI1161" i="67"/>
  <c r="AI1010" i="67"/>
  <c r="AI404" i="67"/>
  <c r="AI859" i="67"/>
  <c r="AI708" i="67"/>
  <c r="AI556" i="67"/>
  <c r="AI251" i="67"/>
  <c r="AI98" i="67"/>
  <c r="Y1012" i="67"/>
  <c r="Y1163" i="67"/>
  <c r="Y406" i="67"/>
  <c r="Y861" i="67"/>
  <c r="Y558" i="67"/>
  <c r="Y710" i="67"/>
  <c r="Y100" i="67"/>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1328" i="67" s="1"/>
  <c r="O722" i="67"/>
  <c r="T1152" i="67"/>
  <c r="T1001" i="67"/>
  <c r="T395" i="67"/>
  <c r="T850" i="67"/>
  <c r="T547" i="67"/>
  <c r="T699" i="67"/>
  <c r="T89" i="67"/>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s="1"/>
  <c r="AV1161" i="67"/>
  <c r="AV1010" i="67"/>
  <c r="AV404" i="67"/>
  <c r="AV859" i="67"/>
  <c r="AV98" i="67"/>
  <c r="AV251" i="67"/>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1328" i="67" s="1"/>
  <c r="AA265" i="67"/>
  <c r="AA722" i="67"/>
  <c r="U1025" i="67"/>
  <c r="U1176" i="67"/>
  <c r="U419" i="67"/>
  <c r="U571" i="67"/>
  <c r="U874" i="67"/>
  <c r="U113" i="67"/>
  <c r="U266" i="67"/>
  <c r="U723" i="67"/>
  <c r="O1026" i="67"/>
  <c r="O1177" i="67"/>
  <c r="O420" i="67"/>
  <c r="O572" i="67"/>
  <c r="O875" i="67"/>
  <c r="O114" i="67"/>
  <c r="O267" i="67"/>
  <c r="O724" i="67"/>
  <c r="AU1026" i="67"/>
  <c r="AU1177" i="67"/>
  <c r="AU420" i="67"/>
  <c r="AU875" i="67"/>
  <c r="AU572" i="67"/>
  <c r="AU114" i="67"/>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556" i="67"/>
  <c r="AC708" i="67"/>
  <c r="W1011" i="67"/>
  <c r="W1162" i="67"/>
  <c r="W405" i="67"/>
  <c r="W557" i="67"/>
  <c r="W709" i="67"/>
  <c r="W860" i="67"/>
  <c r="W252" i="67"/>
  <c r="W99" i="67"/>
  <c r="AL1152" i="67"/>
  <c r="AL1001" i="67"/>
  <c r="AL395" i="67"/>
  <c r="AL850" i="67"/>
  <c r="AL547" i="67"/>
  <c r="AL89" i="67"/>
  <c r="AL699" i="67"/>
  <c r="AL242" i="67"/>
  <c r="BF48" i="68"/>
  <c r="AF1153" i="67"/>
  <c r="AF1002" i="67"/>
  <c r="AF396" i="67"/>
  <c r="AF1306" i="67" s="1"/>
  <c r="AF851" i="67"/>
  <c r="AF548" i="67"/>
  <c r="AF700" i="67"/>
  <c r="AF90" i="67"/>
  <c r="AF243" i="67"/>
  <c r="AF1154" i="67"/>
  <c r="AF1003" i="67"/>
  <c r="AF397" i="67"/>
  <c r="AF852" i="67"/>
  <c r="AF701" i="67"/>
  <c r="AF549" i="67"/>
  <c r="AF91" i="67"/>
  <c r="AF244" i="67"/>
  <c r="Z1155" i="67"/>
  <c r="Z1004" i="67"/>
  <c r="Z398" i="67"/>
  <c r="Z853" i="67"/>
  <c r="Z702" i="67"/>
  <c r="Z550" i="67"/>
  <c r="Z245" i="67"/>
  <c r="Z92" i="67"/>
  <c r="T1156" i="67"/>
  <c r="T1005" i="67"/>
  <c r="T399" i="67"/>
  <c r="T854" i="67"/>
  <c r="T703" i="67"/>
  <c r="T551" i="67"/>
  <c r="T246" i="67"/>
  <c r="T93" i="67"/>
  <c r="N1157" i="67"/>
  <c r="N1006" i="67"/>
  <c r="N400" i="67"/>
  <c r="N704" i="67"/>
  <c r="N855" i="67"/>
  <c r="N552" i="67"/>
  <c r="N94" i="67"/>
  <c r="N247" i="67"/>
  <c r="AT1157" i="67"/>
  <c r="AT1006" i="67"/>
  <c r="AT400" i="67"/>
  <c r="AT704" i="67"/>
  <c r="AT855" i="67"/>
  <c r="AT552" i="67"/>
  <c r="AT94" i="67"/>
  <c r="AT247" i="67"/>
  <c r="AN1009" i="67"/>
  <c r="AN1160" i="67"/>
  <c r="AN403" i="67"/>
  <c r="AN858" i="67"/>
  <c r="AN707" i="67"/>
  <c r="AN555" i="67"/>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1306" i="67" s="1"/>
  <c r="Y243" i="67"/>
  <c r="AS1156" i="67"/>
  <c r="AS1005" i="67"/>
  <c r="AS399" i="67"/>
  <c r="AS551" i="67"/>
  <c r="AS703" i="67"/>
  <c r="AS854" i="67"/>
  <c r="AS246" i="67"/>
  <c r="AS93" i="67"/>
  <c r="U1162" i="67"/>
  <c r="U1011" i="67"/>
  <c r="U405" i="67"/>
  <c r="U860" i="67"/>
  <c r="U557" i="67"/>
  <c r="U709" i="67"/>
  <c r="U99" i="67"/>
  <c r="U252" i="67"/>
  <c r="AE1163" i="67"/>
  <c r="AE1012" i="67"/>
  <c r="AE406" i="67"/>
  <c r="AE861" i="67"/>
  <c r="AE558" i="67"/>
  <c r="AE710" i="67"/>
  <c r="AE253" i="67"/>
  <c r="AE100" i="67"/>
  <c r="K1176" i="67"/>
  <c r="K1025" i="67"/>
  <c r="K266" i="67"/>
  <c r="K571" i="67"/>
  <c r="K874" i="67"/>
  <c r="K723" i="67"/>
  <c r="K419" i="67"/>
  <c r="K113" i="67"/>
  <c r="M1174" i="67"/>
  <c r="M1023" i="67"/>
  <c r="M417" i="67"/>
  <c r="M872" i="67"/>
  <c r="M569" i="67"/>
  <c r="M111" i="67"/>
  <c r="M264" i="67"/>
  <c r="M721" i="67"/>
  <c r="AG1156" i="67"/>
  <c r="AG1005" i="67"/>
  <c r="AG399" i="67"/>
  <c r="AG854" i="67"/>
  <c r="AG93" i="67"/>
  <c r="AG246" i="67"/>
  <c r="AG551" i="67"/>
  <c r="AG703" i="67"/>
  <c r="AU1161" i="67"/>
  <c r="AU1010" i="67"/>
  <c r="AU404" i="67"/>
  <c r="AU859" i="67"/>
  <c r="AU708" i="67"/>
  <c r="AU556" i="67"/>
  <c r="AU98" i="67"/>
  <c r="AU251" i="67"/>
  <c r="AB1163" i="67"/>
  <c r="AB1012" i="67"/>
  <c r="AB406" i="67"/>
  <c r="AB861" i="67"/>
  <c r="AB558" i="67"/>
  <c r="AB710" i="67"/>
  <c r="AB100" i="67"/>
  <c r="AB253" i="67"/>
  <c r="AK1174" i="67"/>
  <c r="AK1327" i="67" s="1"/>
  <c r="AK1023" i="67"/>
  <c r="AK417" i="67"/>
  <c r="AK872" i="67"/>
  <c r="AK569" i="67"/>
  <c r="AK111" i="67"/>
  <c r="AK264" i="67"/>
  <c r="AK721" i="67"/>
  <c r="AM1011" i="67"/>
  <c r="AM1162" i="67"/>
  <c r="AM405" i="67"/>
  <c r="AM860" i="67"/>
  <c r="AM557" i="67"/>
  <c r="AM709" i="67"/>
  <c r="AM252" i="67"/>
  <c r="AM99" i="67"/>
  <c r="Q1174" i="67"/>
  <c r="Q1023" i="67"/>
  <c r="Q417" i="67"/>
  <c r="Q569" i="67"/>
  <c r="Q872" i="67"/>
  <c r="Q111" i="67"/>
  <c r="Q264" i="67"/>
  <c r="Q721" i="67"/>
  <c r="AK1156" i="67"/>
  <c r="AK1005" i="67"/>
  <c r="AK399" i="67"/>
  <c r="AK854" i="67"/>
  <c r="AK703" i="67"/>
  <c r="AK551" i="67"/>
  <c r="AK93" i="67"/>
  <c r="AK246" i="67"/>
  <c r="M1162" i="67"/>
  <c r="M1011" i="67"/>
  <c r="M405" i="67"/>
  <c r="M709" i="67"/>
  <c r="M860" i="67"/>
  <c r="M557" i="67"/>
  <c r="M252" i="67"/>
  <c r="M99" i="67"/>
  <c r="AC1163" i="67"/>
  <c r="AC1012" i="67"/>
  <c r="AC406" i="67"/>
  <c r="AC861" i="67"/>
  <c r="AC100" i="67"/>
  <c r="AC253" i="67"/>
  <c r="AC558" i="67"/>
  <c r="AC710" i="67"/>
  <c r="U1154" i="67"/>
  <c r="U1003" i="67"/>
  <c r="U397" i="67"/>
  <c r="U852" i="67"/>
  <c r="U91" i="67"/>
  <c r="U244" i="67"/>
  <c r="U549" i="67"/>
  <c r="U701" i="67"/>
  <c r="U1307" i="67" s="1"/>
  <c r="AU1011" i="67"/>
  <c r="AU1162" i="67"/>
  <c r="AU405" i="67"/>
  <c r="AU860" i="67"/>
  <c r="AU709" i="67"/>
  <c r="AU557" i="67"/>
  <c r="AU99" i="67"/>
  <c r="AU252" i="67"/>
  <c r="AQ1155" i="67"/>
  <c r="AQ1004" i="67"/>
  <c r="AQ398" i="67"/>
  <c r="AQ853" i="67"/>
  <c r="AQ702" i="67"/>
  <c r="AQ550" i="67"/>
  <c r="AQ245" i="67"/>
  <c r="AQ92" i="67"/>
  <c r="AD1012" i="67"/>
  <c r="AD1163" i="67"/>
  <c r="AD406" i="67"/>
  <c r="AD558" i="67"/>
  <c r="AD710" i="67"/>
  <c r="AD861" i="67"/>
  <c r="AD100" i="67"/>
  <c r="AD1316" i="67" s="1"/>
  <c r="AD253" i="67"/>
  <c r="R4" i="50"/>
  <c r="R4" i="69"/>
  <c r="R5" i="47"/>
  <c r="D48" i="50"/>
  <c r="E48" i="50"/>
  <c r="F48" i="50"/>
  <c r="G48" i="50"/>
  <c r="H48" i="50"/>
  <c r="I48" i="50"/>
  <c r="J48" i="50"/>
  <c r="K48" i="50"/>
  <c r="L48" i="50"/>
  <c r="C48" i="50"/>
  <c r="AJ42" i="36"/>
  <c r="R4" i="57" l="1"/>
  <c r="AJ9" i="57" s="1"/>
  <c r="R68" i="50"/>
  <c r="AS16" i="36"/>
  <c r="Y1092" i="67"/>
  <c r="Y1196" i="67"/>
  <c r="Y1212" i="67"/>
  <c r="Y1078" i="67"/>
  <c r="Y1404" i="67"/>
  <c r="Y1542" i="67"/>
  <c r="Y1558" i="67"/>
  <c r="Y1390" i="67"/>
  <c r="Y1422" i="67"/>
  <c r="Y1110" i="67"/>
  <c r="W1365" i="67"/>
  <c r="X927" i="67"/>
  <c r="X625" i="67"/>
  <c r="X776" i="67"/>
  <c r="X15" i="67"/>
  <c r="X473" i="67"/>
  <c r="X321" i="67"/>
  <c r="X168" i="67"/>
  <c r="X1231" i="67"/>
  <c r="AR9" i="68"/>
  <c r="Q11" i="62" s="1"/>
  <c r="R1263" i="67"/>
  <c r="X1061" i="67"/>
  <c r="X455" i="67"/>
  <c r="X302" i="67"/>
  <c r="X910" i="67"/>
  <c r="X607" i="67"/>
  <c r="X149" i="67"/>
  <c r="X759" i="67"/>
  <c r="W1245" i="67"/>
  <c r="X1045" i="67"/>
  <c r="X743" i="67"/>
  <c r="X439" i="67"/>
  <c r="X894" i="67"/>
  <c r="X286" i="67"/>
  <c r="X591" i="67"/>
  <c r="X133" i="67"/>
  <c r="X941" i="67"/>
  <c r="X29" i="67"/>
  <c r="X487" i="67"/>
  <c r="X335" i="67"/>
  <c r="X182" i="67"/>
  <c r="X639" i="67"/>
  <c r="X790" i="67"/>
  <c r="AR16" i="68"/>
  <c r="Q17" i="62" s="1"/>
  <c r="W1349" i="67"/>
  <c r="W1231" i="67"/>
  <c r="AK1313" i="67"/>
  <c r="M1336" i="67"/>
  <c r="AQ1336" i="67"/>
  <c r="AE1329" i="67"/>
  <c r="AJ1316" i="67"/>
  <c r="AT1326" i="67"/>
  <c r="AI1327" i="67"/>
  <c r="V1308" i="67"/>
  <c r="AR1309" i="67"/>
  <c r="K1308" i="67"/>
  <c r="X1336" i="67"/>
  <c r="AB1329" i="67"/>
  <c r="T1313" i="67"/>
  <c r="AP1326" i="67"/>
  <c r="L1263" i="67"/>
  <c r="AC1316" i="67"/>
  <c r="Q1327" i="67"/>
  <c r="K1329" i="67"/>
  <c r="U1315" i="67"/>
  <c r="Z1308" i="67"/>
  <c r="AN1308" i="67"/>
  <c r="AI1314" i="67"/>
  <c r="W1306" i="67"/>
  <c r="K1328" i="67"/>
  <c r="O1315" i="67"/>
  <c r="K1336" i="67"/>
  <c r="AN1329" i="67"/>
  <c r="K1330" i="67"/>
  <c r="M1330" i="67"/>
  <c r="AF1329" i="67"/>
  <c r="AR1326" i="67"/>
  <c r="V1335" i="67"/>
  <c r="AN1330" i="67"/>
  <c r="M1316" i="67"/>
  <c r="AS1314" i="67"/>
  <c r="Y1331" i="67"/>
  <c r="AO1309" i="67"/>
  <c r="AU1310" i="67"/>
  <c r="Y1309" i="67"/>
  <c r="AQ1316" i="67"/>
  <c r="L1306" i="67"/>
  <c r="W1314" i="67"/>
  <c r="V1310" i="67"/>
  <c r="AI1307" i="67"/>
  <c r="AG1335" i="67"/>
  <c r="AL1337" i="67"/>
  <c r="O1337" i="67"/>
  <c r="S1334" i="67"/>
  <c r="AF1335" i="67"/>
  <c r="AD1328" i="67"/>
  <c r="Z1331" i="67"/>
  <c r="AJ1336" i="67"/>
  <c r="AV1334" i="67"/>
  <c r="W1330" i="67"/>
  <c r="V1337" i="67"/>
  <c r="X1330" i="67"/>
  <c r="Z1315" i="67"/>
  <c r="M1327" i="67"/>
  <c r="AT1310" i="67"/>
  <c r="U1329" i="67"/>
  <c r="AP1310" i="67"/>
  <c r="X1310" i="67"/>
  <c r="AD1309" i="67"/>
  <c r="AA1314" i="67"/>
  <c r="M1313" i="67"/>
  <c r="V1314" i="67"/>
  <c r="AI1330" i="67"/>
  <c r="AQ1329" i="67"/>
  <c r="AS1330" i="67"/>
  <c r="AH1335" i="67"/>
  <c r="AI1305" i="67"/>
  <c r="AA1337" i="67"/>
  <c r="AH1326" i="67"/>
  <c r="W1327" i="67"/>
  <c r="Z1335" i="67"/>
  <c r="AG1331" i="67"/>
  <c r="AD1310" i="67"/>
  <c r="AQ1328" i="67"/>
  <c r="AD1306" i="67"/>
  <c r="AM1306" i="67"/>
  <c r="AP1314" i="67"/>
  <c r="AN1307" i="67"/>
  <c r="AD1313" i="67"/>
  <c r="N1316" i="67"/>
  <c r="AL1314" i="67"/>
  <c r="AR1308" i="67"/>
  <c r="AS1328" i="67"/>
  <c r="X1334" i="67"/>
  <c r="AS1336" i="67"/>
  <c r="AR1327" i="67"/>
  <c r="M1326" i="67"/>
  <c r="N1330" i="67"/>
  <c r="Y1328" i="67"/>
  <c r="P1329" i="67"/>
  <c r="AR1334" i="67"/>
  <c r="AG1314" i="67"/>
  <c r="AF1331" i="67"/>
  <c r="X1308" i="67"/>
  <c r="R1336" i="67"/>
  <c r="AE1327" i="67"/>
  <c r="U1263" i="67"/>
  <c r="N1263" i="67"/>
  <c r="AG1310" i="67"/>
  <c r="O1335" i="67"/>
  <c r="AV1306" i="67"/>
  <c r="AK1309" i="67"/>
  <c r="AB1306" i="67"/>
  <c r="K1306" i="67"/>
  <c r="AA1313" i="67"/>
  <c r="P1337" i="67"/>
  <c r="T1307" i="67"/>
  <c r="AC1337" i="67"/>
  <c r="W1336" i="67"/>
  <c r="AG1326" i="67"/>
  <c r="AI1335" i="67"/>
  <c r="AU1326" i="67"/>
  <c r="T1316" i="67"/>
  <c r="Y1326" i="67"/>
  <c r="P1331" i="67"/>
  <c r="AO1307" i="67"/>
  <c r="T1308" i="67"/>
  <c r="AE1310" i="67"/>
  <c r="AG1316" i="67"/>
  <c r="P1327" i="67"/>
  <c r="AE1309" i="67"/>
  <c r="Q1328" i="67"/>
  <c r="AN1336" i="67"/>
  <c r="O1334" i="67"/>
  <c r="AN1327" i="67"/>
  <c r="L1337" i="67"/>
  <c r="AC1336" i="67"/>
  <c r="X1263" i="67"/>
  <c r="AC1313" i="67"/>
  <c r="AK1334" i="67"/>
  <c r="T1309" i="67"/>
  <c r="AE1314" i="67"/>
  <c r="AQ1330" i="67"/>
  <c r="AJ1308" i="67"/>
  <c r="AV1305" i="67"/>
  <c r="AN1305" i="67"/>
  <c r="M1306" i="67"/>
  <c r="U1308" i="67"/>
  <c r="AH1330" i="67"/>
  <c r="P1330" i="67"/>
  <c r="Y1335" i="67"/>
  <c r="P1326" i="67"/>
  <c r="AA1335" i="67"/>
  <c r="AL1327" i="67"/>
  <c r="K1305" i="67"/>
  <c r="P1336" i="67"/>
  <c r="Z1326" i="67"/>
  <c r="AV1337" i="67"/>
  <c r="O1316" i="67"/>
  <c r="AP1308" i="67"/>
  <c r="AP1316" i="67"/>
  <c r="AH1316" i="67"/>
  <c r="AR1306" i="67"/>
  <c r="AN1310" i="67"/>
  <c r="AT1309" i="67"/>
  <c r="AC1308" i="67"/>
  <c r="AF1337" i="67"/>
  <c r="AK1305" i="67"/>
  <c r="AL1330" i="67"/>
  <c r="Y1334" i="67"/>
  <c r="AU1337" i="67"/>
  <c r="AG1328" i="67"/>
  <c r="AN1337" i="67"/>
  <c r="AV1336" i="67"/>
  <c r="AB1335" i="67"/>
  <c r="W1335" i="67"/>
  <c r="AI1328" i="67"/>
  <c r="AV1329" i="67"/>
  <c r="R1327" i="67"/>
  <c r="O1330" i="67"/>
  <c r="Y1316" i="67"/>
  <c r="W1328" i="67"/>
  <c r="T1315" i="67"/>
  <c r="X1306" i="67"/>
  <c r="S1306" i="67"/>
  <c r="Y1305" i="67"/>
  <c r="P1315" i="67"/>
  <c r="AC1331" i="67"/>
  <c r="AK1306" i="67"/>
  <c r="AB1336" i="67"/>
  <c r="AR1337" i="67"/>
  <c r="W1307" i="67"/>
  <c r="W1305" i="67"/>
  <c r="S1305" i="67"/>
  <c r="AL1331" i="67"/>
  <c r="AS1307" i="67"/>
  <c r="X1313" i="67"/>
  <c r="AD1307" i="67"/>
  <c r="R1316" i="67"/>
  <c r="AG1315" i="67"/>
  <c r="AA1336" i="67"/>
  <c r="K1331" i="67"/>
  <c r="Z1336" i="67"/>
  <c r="X1329" i="67"/>
  <c r="T1334" i="67"/>
  <c r="AS1326" i="67"/>
  <c r="AE1331" i="67"/>
  <c r="AM1331" i="67"/>
  <c r="AG1306" i="67"/>
  <c r="T1337" i="67"/>
  <c r="AC1335" i="67"/>
  <c r="L1335" i="67"/>
  <c r="AT1316" i="67"/>
  <c r="AU1315" i="67"/>
  <c r="AM1315" i="67"/>
  <c r="AG1309" i="67"/>
  <c r="AN1313" i="67"/>
  <c r="AD1314" i="67"/>
  <c r="AL1315" i="67"/>
  <c r="L1309" i="67"/>
  <c r="AM1309" i="67"/>
  <c r="AL1307" i="67"/>
  <c r="W1308" i="67"/>
  <c r="V1309" i="67"/>
  <c r="Z1329" i="67"/>
  <c r="AT1327" i="67"/>
  <c r="O1307" i="67"/>
  <c r="AD1335" i="67"/>
  <c r="AQ1309" i="67"/>
  <c r="AA1329" i="67"/>
  <c r="S1337" i="67"/>
  <c r="AO1308" i="67"/>
  <c r="P1306" i="67"/>
  <c r="L1310" i="67"/>
  <c r="AQ1315" i="67"/>
  <c r="AM1328" i="67"/>
  <c r="AF1305" i="67"/>
  <c r="AJ1315" i="67"/>
  <c r="AH1308" i="67"/>
  <c r="X1314" i="67"/>
  <c r="AG1327" i="67"/>
  <c r="Y1329" i="67"/>
  <c r="T1314" i="67"/>
  <c r="AL1309" i="67"/>
  <c r="R1335" i="67"/>
  <c r="AQ1307" i="67"/>
  <c r="AT1330" i="67"/>
  <c r="P1328" i="67"/>
  <c r="AI1336" i="67"/>
  <c r="N1326" i="67"/>
  <c r="AL1335" i="67"/>
  <c r="T1263" i="67"/>
  <c r="S1263" i="67"/>
  <c r="AL1305" i="67"/>
  <c r="AV1314" i="67"/>
  <c r="AM1326" i="67"/>
  <c r="AQ1314" i="67"/>
  <c r="AB1307" i="67"/>
  <c r="U1316" i="67"/>
  <c r="T1310" i="67"/>
  <c r="S1316" i="67"/>
  <c r="Z1305" i="67"/>
  <c r="AE1337" i="67"/>
  <c r="AI1334" i="67"/>
  <c r="AM1305" i="67"/>
  <c r="R1334" i="67"/>
  <c r="AM1329" i="67"/>
  <c r="AE1326" i="67"/>
  <c r="S1327" i="67"/>
  <c r="L1326" i="67"/>
  <c r="K1335" i="67"/>
  <c r="W1329" i="67"/>
  <c r="AT1329" i="67"/>
  <c r="M1328" i="67"/>
  <c r="S1310" i="67"/>
  <c r="AF1314" i="67"/>
  <c r="M1305" i="67"/>
  <c r="AE1308" i="67"/>
  <c r="AP1309" i="67"/>
  <c r="V1307" i="67"/>
  <c r="AC1327" i="67"/>
  <c r="AM1334" i="67"/>
  <c r="R1307" i="67"/>
  <c r="R1306" i="67"/>
  <c r="N1307" i="67"/>
  <c r="AV1327" i="67"/>
  <c r="AL1334" i="67"/>
  <c r="AL1329" i="67"/>
  <c r="AC1306" i="67"/>
  <c r="Y1308" i="67"/>
  <c r="AE1307" i="67"/>
  <c r="V1263" i="67"/>
  <c r="O1263" i="67"/>
  <c r="V1329" i="67"/>
  <c r="K1307" i="67"/>
  <c r="AC1314" i="67"/>
  <c r="T1305" i="67"/>
  <c r="AI1326" i="67"/>
  <c r="AK1310" i="67"/>
  <c r="AH1315" i="67"/>
  <c r="AO1329" i="67"/>
  <c r="AD1336" i="67"/>
  <c r="O1309" i="67"/>
  <c r="AV1330" i="67"/>
  <c r="S1336" i="67"/>
  <c r="AV1326" i="67"/>
  <c r="AF1334" i="67"/>
  <c r="T1331" i="67"/>
  <c r="AL1328" i="67"/>
  <c r="AB1334" i="67"/>
  <c r="Q1335" i="67"/>
  <c r="AU1316" i="67"/>
  <c r="AJ1309" i="67"/>
  <c r="M1314" i="67"/>
  <c r="AO1316" i="67"/>
  <c r="AM1316" i="67"/>
  <c r="AV1313" i="67"/>
  <c r="AQ1313" i="67"/>
  <c r="O1308" i="67"/>
  <c r="AJ1330" i="67"/>
  <c r="Y1330" i="67"/>
  <c r="AQ1331" i="67"/>
  <c r="AQ1337" i="67"/>
  <c r="AU1334" i="67"/>
  <c r="T1329" i="67"/>
  <c r="AS1306" i="67"/>
  <c r="P1334" i="67"/>
  <c r="AC1329" i="67"/>
  <c r="AP1330" i="67"/>
  <c r="O1329" i="67"/>
  <c r="R1331" i="67"/>
  <c r="U1330" i="67"/>
  <c r="Q1263" i="67"/>
  <c r="AS1309" i="67"/>
  <c r="N1310" i="67"/>
  <c r="AU1330" i="67"/>
  <c r="AC1305" i="67"/>
  <c r="AH1307" i="67"/>
  <c r="Y1327" i="67"/>
  <c r="AN1334" i="67"/>
  <c r="AF1327" i="67"/>
  <c r="AB1331" i="67"/>
  <c r="Q1308" i="67"/>
  <c r="AS1334" i="67"/>
  <c r="AC1334" i="67"/>
  <c r="T1327" i="67"/>
  <c r="AQ1306" i="67"/>
  <c r="AC1307" i="67"/>
  <c r="N1309" i="67"/>
  <c r="AU1308" i="67"/>
  <c r="L1307" i="67"/>
  <c r="AK1307" i="67"/>
  <c r="AI1316" i="67"/>
  <c r="AO1306" i="67"/>
  <c r="S1330" i="67"/>
  <c r="Z1334" i="67"/>
  <c r="K1334" i="67"/>
  <c r="AS1337" i="67"/>
  <c r="AG1334" i="67"/>
  <c r="AS1335" i="67"/>
  <c r="AM1327" i="67"/>
  <c r="V1336" i="67"/>
  <c r="L1329" i="67"/>
  <c r="P1263" i="67"/>
  <c r="AK9" i="57"/>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Q4" i="57" l="1"/>
  <c r="Q68" i="50"/>
  <c r="Y927" i="67"/>
  <c r="Y321" i="67"/>
  <c r="Y625" i="67"/>
  <c r="Y776" i="67"/>
  <c r="Y168" i="67"/>
  <c r="Y473" i="67"/>
  <c r="Y15" i="67"/>
  <c r="Y1231" i="67" s="1"/>
  <c r="AS9" i="68"/>
  <c r="R11" i="62" s="1"/>
  <c r="Y1061" i="67"/>
  <c r="Y455" i="67"/>
  <c r="Y302" i="67"/>
  <c r="Y149" i="67"/>
  <c r="Y759" i="67"/>
  <c r="Y910" i="67"/>
  <c r="Y607" i="67"/>
  <c r="Y657" i="67"/>
  <c r="Y200" i="67"/>
  <c r="Y808" i="67"/>
  <c r="Y505" i="67"/>
  <c r="AS24" i="68"/>
  <c r="Y47" i="67"/>
  <c r="Y959" i="67"/>
  <c r="Y353" i="67"/>
  <c r="Y1263" i="67" s="1"/>
  <c r="Y1045" i="67"/>
  <c r="Y133" i="67"/>
  <c r="Y286" i="67"/>
  <c r="Y591" i="67"/>
  <c r="Y743" i="67"/>
  <c r="Y894" i="67"/>
  <c r="Y439" i="67"/>
  <c r="Y1349" i="67"/>
  <c r="Y941" i="67"/>
  <c r="Y487" i="67"/>
  <c r="Y639" i="67"/>
  <c r="Y335" i="67"/>
  <c r="Y1245" i="67" s="1"/>
  <c r="Y182" i="67"/>
  <c r="Y29" i="67"/>
  <c r="Y790" i="67"/>
  <c r="AS16" i="68"/>
  <c r="R17" i="62" s="1"/>
  <c r="X1365" i="67"/>
  <c r="X1245" i="67"/>
  <c r="X1349" i="67"/>
  <c r="AT16" i="36"/>
  <c r="Z1212" i="67"/>
  <c r="Z1196" i="67"/>
  <c r="Z1078" i="67"/>
  <c r="Z1092" i="67"/>
  <c r="Z1390" i="67"/>
  <c r="Z1404" i="67"/>
  <c r="Z1542" i="67"/>
  <c r="Z1558" i="67"/>
  <c r="Z1110" i="67"/>
  <c r="Z1422" i="67"/>
  <c r="Y29" i="69"/>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P4" i="57" l="1"/>
  <c r="P68" i="50"/>
  <c r="AU16" i="36"/>
  <c r="AA1078" i="67"/>
  <c r="AA1196" i="67"/>
  <c r="AA1212" i="67"/>
  <c r="AA1092" i="67"/>
  <c r="AA1390" i="67"/>
  <c r="AA1404" i="67"/>
  <c r="AA1542" i="67"/>
  <c r="AA1558" i="67"/>
  <c r="AA1110" i="67"/>
  <c r="AA1422" i="67"/>
  <c r="Z959" i="67"/>
  <c r="Z657" i="67"/>
  <c r="Z808" i="67"/>
  <c r="Z47" i="67"/>
  <c r="Z353" i="67"/>
  <c r="Z200" i="67"/>
  <c r="Z505" i="67"/>
  <c r="AT24" i="68"/>
  <c r="Z1061" i="67"/>
  <c r="Z759" i="67"/>
  <c r="Z607" i="67"/>
  <c r="Z910" i="67"/>
  <c r="Z302" i="67"/>
  <c r="Z149" i="67"/>
  <c r="Z455" i="67"/>
  <c r="Z1045" i="67"/>
  <c r="Z133" i="67"/>
  <c r="Z743" i="67"/>
  <c r="Z894" i="67"/>
  <c r="Z286" i="67"/>
  <c r="Z1349" i="67" s="1"/>
  <c r="Z591" i="67"/>
  <c r="Z439" i="67"/>
  <c r="Z941" i="67"/>
  <c r="Z487" i="67"/>
  <c r="Z335" i="67"/>
  <c r="Z639" i="67"/>
  <c r="Z790" i="67"/>
  <c r="Z29" i="67"/>
  <c r="Z1245" i="67" s="1"/>
  <c r="Z182" i="67"/>
  <c r="AT16" i="68"/>
  <c r="S17" i="62" s="1"/>
  <c r="Z927" i="67"/>
  <c r="Z321" i="67"/>
  <c r="Z625" i="67"/>
  <c r="Z168" i="67"/>
  <c r="Z473" i="67"/>
  <c r="Z15" i="67"/>
  <c r="Z776" i="67"/>
  <c r="AT9" i="68"/>
  <c r="S11" i="62" s="1"/>
  <c r="Y1365" i="67"/>
  <c r="AA30" i="69"/>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O4" i="57" l="1"/>
  <c r="O68" i="50"/>
  <c r="Z1365" i="67"/>
  <c r="Z1263" i="67"/>
  <c r="Z1231" i="67"/>
  <c r="AA1061" i="67"/>
  <c r="AA149" i="67"/>
  <c r="AA607" i="67"/>
  <c r="AA302" i="67"/>
  <c r="AA759" i="67"/>
  <c r="AA910" i="67"/>
  <c r="AA455" i="67"/>
  <c r="AA1365" i="67"/>
  <c r="AA1045" i="67"/>
  <c r="AA743" i="67"/>
  <c r="AA894" i="67"/>
  <c r="AA286" i="67"/>
  <c r="AA591" i="67"/>
  <c r="AA439" i="67"/>
  <c r="AA133" i="67"/>
  <c r="AA941" i="67"/>
  <c r="AA335" i="67"/>
  <c r="AA639" i="67"/>
  <c r="AA790" i="67"/>
  <c r="AA29" i="67"/>
  <c r="AA487" i="67"/>
  <c r="AA182" i="67"/>
  <c r="AU16" i="68"/>
  <c r="T17" i="62" s="1"/>
  <c r="AA927" i="67"/>
  <c r="AA321" i="67"/>
  <c r="AA625" i="67"/>
  <c r="AA776" i="67"/>
  <c r="AA473" i="67"/>
  <c r="AA168" i="67"/>
  <c r="AA15" i="67"/>
  <c r="AA1231" i="67"/>
  <c r="AU9" i="68"/>
  <c r="T11" i="62" s="1"/>
  <c r="AA200" i="67"/>
  <c r="AA1263" i="67" s="1"/>
  <c r="AU24" i="68"/>
  <c r="AA959" i="67"/>
  <c r="AA353" i="67"/>
  <c r="AA505" i="67"/>
  <c r="AA657" i="67"/>
  <c r="AA47" i="67"/>
  <c r="AA808" i="67"/>
  <c r="AV16" i="36"/>
  <c r="AB1092" i="67"/>
  <c r="AB1196" i="67"/>
  <c r="AB1212" i="67"/>
  <c r="AB1078" i="67"/>
  <c r="AB1390" i="67"/>
  <c r="AB1404" i="67"/>
  <c r="AB1542" i="67"/>
  <c r="AB1558" i="67"/>
  <c r="AB1422" i="67"/>
  <c r="AB1110" i="67"/>
  <c r="AD18" i="70"/>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N4" i="57" l="1"/>
  <c r="N68" i="50"/>
  <c r="AA1245" i="67"/>
  <c r="AA1349" i="67"/>
  <c r="AW16" i="36"/>
  <c r="AC1092" i="67"/>
  <c r="AC1212" i="67"/>
  <c r="AC1196" i="67"/>
  <c r="AC1078" i="67"/>
  <c r="AC1390" i="67"/>
  <c r="AC1404" i="67"/>
  <c r="AC1542" i="67"/>
  <c r="AC1558" i="67"/>
  <c r="AC1422" i="67"/>
  <c r="AC1110" i="67"/>
  <c r="AB959" i="67"/>
  <c r="AB505" i="67"/>
  <c r="AB353" i="67"/>
  <c r="AB657" i="67"/>
  <c r="AB808" i="67"/>
  <c r="AB47" i="67"/>
  <c r="AB200" i="67"/>
  <c r="AV24" i="68"/>
  <c r="AB1061" i="67"/>
  <c r="AB455" i="67"/>
  <c r="AB302" i="67"/>
  <c r="AB607" i="67"/>
  <c r="AB759" i="67"/>
  <c r="AB910" i="67"/>
  <c r="AB149" i="67"/>
  <c r="AB1045" i="67"/>
  <c r="AB743" i="67"/>
  <c r="AB894" i="67"/>
  <c r="AB286" i="67"/>
  <c r="AB439" i="67"/>
  <c r="AB591" i="67"/>
  <c r="AB133" i="67"/>
  <c r="AB1349" i="67"/>
  <c r="AB941" i="67"/>
  <c r="AB335" i="67"/>
  <c r="AB487" i="67"/>
  <c r="AB639" i="67"/>
  <c r="AB29" i="67"/>
  <c r="AB790" i="67"/>
  <c r="AB182" i="67"/>
  <c r="AV16" i="68"/>
  <c r="U17" i="62" s="1"/>
  <c r="AB927" i="67"/>
  <c r="AB473" i="67"/>
  <c r="AB625" i="67"/>
  <c r="AB15" i="67"/>
  <c r="AB168" i="67"/>
  <c r="AB321" i="67"/>
  <c r="AB776" i="67"/>
  <c r="AV9" i="68"/>
  <c r="U11" i="62" s="1"/>
  <c r="AD79" i="70"/>
  <c r="AU62" i="70"/>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M4" i="57" l="1"/>
  <c r="AK5" i="57" s="1"/>
  <c r="M68" i="50"/>
  <c r="AB1263" i="67"/>
  <c r="AC959" i="67"/>
  <c r="AC657" i="67"/>
  <c r="AC47" i="67"/>
  <c r="AC808" i="67"/>
  <c r="AC505" i="67"/>
  <c r="AC353" i="67"/>
  <c r="AC200" i="67"/>
  <c r="AW24" i="68"/>
  <c r="AC1061" i="67"/>
  <c r="AC302" i="67"/>
  <c r="AC149" i="67"/>
  <c r="AC1365" i="67" s="1"/>
  <c r="AC455" i="67"/>
  <c r="AC759" i="67"/>
  <c r="AC910" i="67"/>
  <c r="AC607" i="67"/>
  <c r="AC1045" i="67"/>
  <c r="AC591" i="67"/>
  <c r="AC743" i="67"/>
  <c r="AC286" i="67"/>
  <c r="AC894" i="67"/>
  <c r="AC439" i="67"/>
  <c r="AC133" i="67"/>
  <c r="AC941" i="67"/>
  <c r="AC182" i="67"/>
  <c r="AC639" i="67"/>
  <c r="AC487" i="67"/>
  <c r="AC335" i="67"/>
  <c r="AC29" i="67"/>
  <c r="AC790" i="67"/>
  <c r="AW16" i="68"/>
  <c r="V17" i="62" s="1"/>
  <c r="AB1231" i="67"/>
  <c r="AC927" i="67"/>
  <c r="AC625" i="67"/>
  <c r="AC776" i="67"/>
  <c r="AC15" i="67"/>
  <c r="AC1231" i="67" s="1"/>
  <c r="AC168" i="67"/>
  <c r="AC473" i="67"/>
  <c r="AC321" i="67"/>
  <c r="AW9" i="68"/>
  <c r="V11" i="62" s="1"/>
  <c r="AB1245" i="67"/>
  <c r="AB1365" i="67"/>
  <c r="AX16" i="36"/>
  <c r="AD1078" i="67"/>
  <c r="AD1092" i="67"/>
  <c r="AD1196" i="67"/>
  <c r="AD1212" i="67"/>
  <c r="AD1390" i="67"/>
  <c r="AD1404" i="67"/>
  <c r="AD1558" i="67"/>
  <c r="AD1542" i="67"/>
  <c r="AD1110" i="67"/>
  <c r="AD1422" i="67"/>
  <c r="AJ7" i="57"/>
  <c r="L4" i="50"/>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K10" i="57" l="1"/>
  <c r="AP34" i="50" s="1"/>
  <c r="AK7" i="57"/>
  <c r="AJ8" i="57"/>
  <c r="AK11" i="57"/>
  <c r="AK8" i="57"/>
  <c r="AJ10" i="57"/>
  <c r="AJ6" i="57"/>
  <c r="AM14" i="50" s="1"/>
  <c r="AJ5" i="57"/>
  <c r="AX5" i="50" s="1"/>
  <c r="AJ11" i="57"/>
  <c r="AK6" i="57"/>
  <c r="L4" i="57"/>
  <c r="L68" i="50"/>
  <c r="AC1263" i="67"/>
  <c r="AC1245" i="67"/>
  <c r="AC1349" i="67"/>
  <c r="AD927" i="67"/>
  <c r="AD776" i="67"/>
  <c r="AD473" i="67"/>
  <c r="AD15" i="67"/>
  <c r="AD168" i="67"/>
  <c r="AD625" i="67"/>
  <c r="AD321" i="67"/>
  <c r="AX9" i="68"/>
  <c r="W11" i="62" s="1"/>
  <c r="AY16" i="36"/>
  <c r="AE1212" i="67"/>
  <c r="AE1078" i="67"/>
  <c r="AE1092" i="67"/>
  <c r="AE1196" i="67"/>
  <c r="AE1390" i="67"/>
  <c r="AE1404" i="67"/>
  <c r="AE1542" i="67"/>
  <c r="AE1558" i="67"/>
  <c r="AE1110" i="67"/>
  <c r="AE1422" i="67"/>
  <c r="AX24" i="68"/>
  <c r="AD959" i="67"/>
  <c r="AD353" i="67"/>
  <c r="AD657" i="67"/>
  <c r="AD505" i="67"/>
  <c r="AD808" i="67"/>
  <c r="AD47" i="67"/>
  <c r="AD200" i="67"/>
  <c r="AD1045" i="67"/>
  <c r="AD743" i="67"/>
  <c r="AD133" i="67"/>
  <c r="AD894" i="67"/>
  <c r="AD286" i="67"/>
  <c r="AD591" i="67"/>
  <c r="AD439" i="67"/>
  <c r="AD1061" i="67"/>
  <c r="AD607" i="67"/>
  <c r="AD149" i="67"/>
  <c r="AD455" i="67"/>
  <c r="AD759" i="67"/>
  <c r="AD910" i="67"/>
  <c r="AD302" i="67"/>
  <c r="AD941" i="67"/>
  <c r="AD182" i="67"/>
  <c r="AD639" i="67"/>
  <c r="AD790" i="67"/>
  <c r="AD335" i="67"/>
  <c r="AD29" i="67"/>
  <c r="AD487" i="67"/>
  <c r="AX16" i="68"/>
  <c r="W17" i="62" s="1"/>
  <c r="AL39" i="50"/>
  <c r="O207" i="65" s="1"/>
  <c r="AL39" i="69" s="1"/>
  <c r="BH22" i="50"/>
  <c r="BE22" i="50"/>
  <c r="BJ13" i="36" s="1"/>
  <c r="AQ22" i="50"/>
  <c r="AQ23" i="50" s="1"/>
  <c r="AQ24" i="50" s="1"/>
  <c r="AX22" i="50"/>
  <c r="AX23" i="50" s="1"/>
  <c r="AX24" i="50" s="1"/>
  <c r="AO22" i="50"/>
  <c r="AO23" i="50" s="1"/>
  <c r="AO24" i="50" s="1"/>
  <c r="BB22" i="50"/>
  <c r="BB23" i="50" s="1"/>
  <c r="BB24" i="50" s="1"/>
  <c r="AW22" i="69"/>
  <c r="AW23" i="69" s="1"/>
  <c r="AW24" i="69" s="1"/>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W14" i="50"/>
  <c r="AV14" i="50"/>
  <c r="AR22" i="69"/>
  <c r="AR23" i="69" s="1"/>
  <c r="AR24" i="69" s="1"/>
  <c r="AD22" i="50"/>
  <c r="AD23" i="50" s="1"/>
  <c r="AD24" i="50" s="1"/>
  <c r="AG22" i="69"/>
  <c r="AG23" i="69" s="1"/>
  <c r="AG24" i="69" s="1"/>
  <c r="BI34" i="50"/>
  <c r="AI22" i="69"/>
  <c r="AI23" i="69" s="1"/>
  <c r="AI24" i="69" s="1"/>
  <c r="BA34" i="50"/>
  <c r="AC34" i="50"/>
  <c r="AM34" i="50"/>
  <c r="AL22" i="69"/>
  <c r="AQ13" i="70" s="1"/>
  <c r="AN34" i="50"/>
  <c r="BK34" i="50"/>
  <c r="BB34" i="50"/>
  <c r="AD34" i="50"/>
  <c r="AY34" i="50"/>
  <c r="AD22" i="69"/>
  <c r="AD23" i="69" s="1"/>
  <c r="AD24" i="69" s="1"/>
  <c r="AF34" i="50"/>
  <c r="AE34" i="50"/>
  <c r="AE35" i="50" s="1"/>
  <c r="AA34" i="50"/>
  <c r="AL34" i="50"/>
  <c r="AS34" i="50"/>
  <c r="AO34" i="50"/>
  <c r="BC34" i="50"/>
  <c r="AX34" i="50"/>
  <c r="AB34" i="50"/>
  <c r="BD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AN19" i="50"/>
  <c r="AN20" i="50" s="1"/>
  <c r="AN21" i="50" s="1"/>
  <c r="AQ5" i="50"/>
  <c r="BE19" i="50"/>
  <c r="BE20" i="50" s="1"/>
  <c r="BE21" i="50" s="1"/>
  <c r="AJ5" i="50"/>
  <c r="BH19" i="50"/>
  <c r="BH20" i="50" s="1"/>
  <c r="BH21" i="50" s="1"/>
  <c r="AE19" i="50"/>
  <c r="AE20" i="50" s="1"/>
  <c r="AE21" i="50" s="1"/>
  <c r="AC5" i="50"/>
  <c r="BI5" i="50"/>
  <c r="BD5" i="50"/>
  <c r="BE5" i="50"/>
  <c r="AA19" i="50"/>
  <c r="D206" i="65" s="1"/>
  <c r="Z19" i="50"/>
  <c r="Z20" i="50" s="1"/>
  <c r="Z21" i="50" s="1"/>
  <c r="AW19" i="50"/>
  <c r="Z206" i="65" s="1"/>
  <c r="AW19" i="69" s="1"/>
  <c r="Y19" i="50"/>
  <c r="Y20" i="50" s="1"/>
  <c r="Y21" i="50" s="1"/>
  <c r="AD19" i="50"/>
  <c r="G206" i="65" s="1"/>
  <c r="AN5" i="50"/>
  <c r="BF5" i="50"/>
  <c r="AM5" i="50"/>
  <c r="AS5" i="50"/>
  <c r="AI19" i="50"/>
  <c r="L206" i="65" s="1"/>
  <c r="AI19" i="69" s="1"/>
  <c r="AG19" i="50"/>
  <c r="AG20" i="50" s="1"/>
  <c r="AG21" i="50" s="1"/>
  <c r="AS19" i="50"/>
  <c r="AS20" i="50" s="1"/>
  <c r="AS21" i="50" s="1"/>
  <c r="AX19" i="50"/>
  <c r="AX20" i="50" s="1"/>
  <c r="AX21" i="50" s="1"/>
  <c r="AG19" i="69"/>
  <c r="AY5" i="50"/>
  <c r="AI5" i="50"/>
  <c r="AV5" i="50"/>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AO5" i="50"/>
  <c r="AZ5" i="50"/>
  <c r="AK5" i="50"/>
  <c r="BG5" i="50"/>
  <c r="AG5" i="50"/>
  <c r="AB5" i="50"/>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BA5" i="50"/>
  <c r="AT5" i="50"/>
  <c r="AH5" i="50"/>
  <c r="BJ5" i="50"/>
  <c r="AW5" i="50"/>
  <c r="AP5" i="50"/>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Z5" i="50"/>
  <c r="BC5" i="50"/>
  <c r="Y5" i="50"/>
  <c r="BB5" i="50"/>
  <c r="BK5" i="50"/>
  <c r="BH5" i="50"/>
  <c r="AL5" i="50"/>
  <c r="AR5" i="50"/>
  <c r="AQ14" i="69"/>
  <c r="AJ14" i="69"/>
  <c r="BD12" i="69"/>
  <c r="BD15" i="69" s="1"/>
  <c r="BD50" i="69" s="1"/>
  <c r="BJ14" i="69"/>
  <c r="Z14" i="69"/>
  <c r="AT12" i="69"/>
  <c r="AT13"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69"/>
  <c r="AQ42" i="36"/>
  <c r="AP83" i="36"/>
  <c r="BH23" i="50"/>
  <c r="BH24" i="50" s="1"/>
  <c r="BM14" i="36"/>
  <c r="BM13"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G34" i="50" l="1"/>
  <c r="BG34" i="50"/>
  <c r="AU34" i="50"/>
  <c r="AH34" i="50"/>
  <c r="AR34" i="50"/>
  <c r="Z34" i="50"/>
  <c r="Y34" i="50"/>
  <c r="AZ34" i="50"/>
  <c r="AQ14" i="50"/>
  <c r="AK34" i="50"/>
  <c r="AQ34" i="50"/>
  <c r="AI34" i="50"/>
  <c r="AT34" i="50"/>
  <c r="Y34" i="69"/>
  <c r="BE34" i="50"/>
  <c r="AV34" i="50"/>
  <c r="BJ34" i="50"/>
  <c r="BH34" i="50"/>
  <c r="BF34" i="50"/>
  <c r="AW34" i="50"/>
  <c r="AJ34" i="50"/>
  <c r="AZ14" i="69"/>
  <c r="AE23" i="69"/>
  <c r="AE24" i="69" s="1"/>
  <c r="B205" i="65"/>
  <c r="Y5" i="69" s="1"/>
  <c r="BA8" i="50"/>
  <c r="BC8" i="50"/>
  <c r="AA8" i="50"/>
  <c r="AA9" i="50" s="1"/>
  <c r="AF10" i="36" s="1"/>
  <c r="BJ8" i="50"/>
  <c r="T205" i="65"/>
  <c r="AQ5" i="69" s="1"/>
  <c r="BE8" i="50"/>
  <c r="C205" i="65"/>
  <c r="Z5" i="69" s="1"/>
  <c r="AB8" i="50"/>
  <c r="BD8" i="50"/>
  <c r="I205" i="65"/>
  <c r="AF5" i="69" s="1"/>
  <c r="AG8" i="50"/>
  <c r="AL205" i="65"/>
  <c r="BI5" i="69" s="1"/>
  <c r="AE8" i="50"/>
  <c r="AE9" i="50" s="1"/>
  <c r="AJ10" i="36" s="1"/>
  <c r="AK205" i="65"/>
  <c r="BH5" i="69" s="1"/>
  <c r="AI8" i="50"/>
  <c r="AI9" i="50" s="1"/>
  <c r="AN10" i="36" s="1"/>
  <c r="BG8" i="50"/>
  <c r="AS8" i="50"/>
  <c r="AC8" i="50"/>
  <c r="AC51" i="50" s="1"/>
  <c r="N205" i="65"/>
  <c r="AK5" i="69" s="1"/>
  <c r="AM8" i="50"/>
  <c r="AM9" i="50" s="1"/>
  <c r="AR10" i="36" s="1"/>
  <c r="BK8" i="50"/>
  <c r="AH8" i="50"/>
  <c r="AB205" i="65"/>
  <c r="AY5" i="69" s="1"/>
  <c r="AT8" i="50"/>
  <c r="AC205" i="65"/>
  <c r="AZ5" i="69" s="1"/>
  <c r="BF8" i="50"/>
  <c r="BB8" i="50"/>
  <c r="X205" i="65"/>
  <c r="AU5" i="69" s="1"/>
  <c r="K4" i="57"/>
  <c r="K68" i="50"/>
  <c r="AR8" i="50"/>
  <c r="S205" i="65"/>
  <c r="AP5" i="69" s="1"/>
  <c r="AO8" i="50"/>
  <c r="AN8" i="50"/>
  <c r="AJ8" i="50"/>
  <c r="AL8" i="50"/>
  <c r="Z205" i="65"/>
  <c r="AW5" i="69" s="1"/>
  <c r="G205" i="65"/>
  <c r="AD5" i="69" s="1"/>
  <c r="AV8" i="50"/>
  <c r="AD1349" i="67"/>
  <c r="AD1263" i="67"/>
  <c r="AC23" i="69"/>
  <c r="AC24" i="69" s="1"/>
  <c r="AE959" i="67"/>
  <c r="AE353" i="67"/>
  <c r="AE657" i="67"/>
  <c r="AE808" i="67"/>
  <c r="AE47" i="67"/>
  <c r="AE200" i="67"/>
  <c r="AE505" i="67"/>
  <c r="AY24" i="68"/>
  <c r="AE1263" i="67"/>
  <c r="AE1061" i="67"/>
  <c r="AE607" i="67"/>
  <c r="AE1365" i="67" s="1"/>
  <c r="AE759" i="67"/>
  <c r="AE302" i="67"/>
  <c r="AE910" i="67"/>
  <c r="AE455" i="67"/>
  <c r="AE149" i="67"/>
  <c r="AE1045" i="67"/>
  <c r="AE286" i="67"/>
  <c r="AE591" i="67"/>
  <c r="AE743" i="67"/>
  <c r="AE894" i="67"/>
  <c r="AE439" i="67"/>
  <c r="AE133" i="67"/>
  <c r="AD1231" i="67"/>
  <c r="AD1365" i="67"/>
  <c r="AE941" i="67"/>
  <c r="AE335" i="67"/>
  <c r="AE639" i="67"/>
  <c r="AE790" i="67"/>
  <c r="AE182" i="67"/>
  <c r="AE29" i="67"/>
  <c r="AE487" i="67"/>
  <c r="AE1245" i="67"/>
  <c r="AY16" i="68"/>
  <c r="X17" i="62" s="1"/>
  <c r="AZ16" i="36"/>
  <c r="AF1212" i="67"/>
  <c r="AF1078" i="67"/>
  <c r="AF1092" i="67"/>
  <c r="AF1196" i="67"/>
  <c r="AF1558" i="67"/>
  <c r="AF1390" i="67"/>
  <c r="AF1404" i="67"/>
  <c r="AF1542" i="67"/>
  <c r="AF1422" i="67"/>
  <c r="AF1110" i="67"/>
  <c r="AE927" i="67"/>
  <c r="AE625" i="67"/>
  <c r="AE321" i="67"/>
  <c r="AE776" i="67"/>
  <c r="AE168" i="67"/>
  <c r="AE473" i="67"/>
  <c r="AE15" i="67"/>
  <c r="AE1231" i="67" s="1"/>
  <c r="AY9" i="68"/>
  <c r="X11" i="62" s="1"/>
  <c r="AD1245" i="67"/>
  <c r="BJ14" i="36"/>
  <c r="BE23" i="50"/>
  <c r="BE24" i="50" s="1"/>
  <c r="AA20" i="50"/>
  <c r="AA21" i="50" s="1"/>
  <c r="Y23" i="50"/>
  <c r="Y24" i="50" s="1"/>
  <c r="AL23" i="50"/>
  <c r="AL24" i="50" s="1"/>
  <c r="BB14" i="36"/>
  <c r="AI1540" i="67" s="1"/>
  <c r="AV14" i="36"/>
  <c r="AC1402" i="67" s="1"/>
  <c r="AF23" i="69"/>
  <c r="AF24" i="69" s="1"/>
  <c r="AQ14" i="36"/>
  <c r="X1402" i="67" s="1"/>
  <c r="AW23" i="50"/>
  <c r="AW24" i="50" s="1"/>
  <c r="AV13" i="36"/>
  <c r="AC1387" i="67" s="1"/>
  <c r="BL13" i="70"/>
  <c r="BL74" i="70" s="1"/>
  <c r="BL14" i="70"/>
  <c r="BL75" i="70" s="1"/>
  <c r="AH13" i="36"/>
  <c r="O1107" i="67" s="1"/>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388" i="67"/>
  <c r="AI1402" i="67"/>
  <c r="AI1420" i="67"/>
  <c r="W1076" i="67"/>
  <c r="W1090" i="67"/>
  <c r="W1108" i="67"/>
  <c r="W1210" i="67"/>
  <c r="W1194" i="67"/>
  <c r="W1388" i="67"/>
  <c r="W1402" i="67"/>
  <c r="W1420" i="67"/>
  <c r="W1540" i="67"/>
  <c r="W1556"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Y35" i="69" l="1"/>
  <c r="Y37" i="69"/>
  <c r="J4" i="57"/>
  <c r="J68" i="50"/>
  <c r="BA16" i="36"/>
  <c r="AG1212" i="67"/>
  <c r="AG1078" i="67"/>
  <c r="AG1092" i="67"/>
  <c r="AG1196" i="67"/>
  <c r="AG1558" i="67"/>
  <c r="AG1390" i="67"/>
  <c r="AG1404" i="67"/>
  <c r="AG1542" i="67"/>
  <c r="AG1110" i="67"/>
  <c r="AG1422" i="67"/>
  <c r="AE1349" i="67"/>
  <c r="AF200" i="67"/>
  <c r="AF959" i="67"/>
  <c r="AZ24" i="68"/>
  <c r="AF505" i="67"/>
  <c r="AF657" i="67"/>
  <c r="AF353" i="67"/>
  <c r="AF808" i="67"/>
  <c r="AF47" i="67"/>
  <c r="AF1263" i="67" s="1"/>
  <c r="AF1045" i="67"/>
  <c r="AF743" i="67"/>
  <c r="AF894" i="67"/>
  <c r="AF286" i="67"/>
  <c r="AF591" i="67"/>
  <c r="AF439" i="67"/>
  <c r="AF133" i="67"/>
  <c r="AF941" i="67"/>
  <c r="AF639" i="67"/>
  <c r="AF790" i="67"/>
  <c r="AF182" i="67"/>
  <c r="AF487" i="67"/>
  <c r="AF29" i="67"/>
  <c r="AF335" i="67"/>
  <c r="AZ16" i="68"/>
  <c r="Y17" i="62" s="1"/>
  <c r="AF927" i="67"/>
  <c r="AF15" i="67"/>
  <c r="AF776" i="67"/>
  <c r="AF168" i="67"/>
  <c r="AF321" i="67"/>
  <c r="AF625" i="67"/>
  <c r="AF473" i="67"/>
  <c r="AZ9" i="68"/>
  <c r="Y11" i="62" s="1"/>
  <c r="AF1061" i="67"/>
  <c r="AF302" i="67"/>
  <c r="AF607" i="67"/>
  <c r="AF455" i="67"/>
  <c r="AF759" i="67"/>
  <c r="AF910" i="67"/>
  <c r="AF149" i="67"/>
  <c r="AX75" i="70"/>
  <c r="AJ130" i="65"/>
  <c r="BL58" i="70"/>
  <c r="AW1556" i="67"/>
  <c r="AI74" i="70"/>
  <c r="AC1388" i="67"/>
  <c r="AC166" i="67" s="1"/>
  <c r="AH75" i="70"/>
  <c r="AI1210" i="67"/>
  <c r="AI1108" i="67"/>
  <c r="AI1556" i="67"/>
  <c r="AI605" i="67" s="1"/>
  <c r="AI1194" i="67"/>
  <c r="X1108" i="67"/>
  <c r="AC1194" i="67"/>
  <c r="T141" i="65"/>
  <c r="AC471" i="67" s="1"/>
  <c r="AJ131" i="65"/>
  <c r="BL59" i="70"/>
  <c r="O1089" i="67"/>
  <c r="O1075" i="67"/>
  <c r="O1555" i="67"/>
  <c r="O604" i="67" s="1"/>
  <c r="O1539" i="67"/>
  <c r="O740" i="67" s="1"/>
  <c r="F140" i="65"/>
  <c r="O470" i="67" s="1"/>
  <c r="O1419" i="67"/>
  <c r="O956" i="67" s="1"/>
  <c r="O1401" i="67"/>
  <c r="O787" i="67" s="1"/>
  <c r="O1387" i="67"/>
  <c r="O622" i="67" s="1"/>
  <c r="O1209" i="67"/>
  <c r="O1193" i="67"/>
  <c r="AE141" i="65"/>
  <c r="AN471" i="67" s="1"/>
  <c r="X1420" i="67"/>
  <c r="X957" i="67" s="1"/>
  <c r="X1388" i="67"/>
  <c r="X925" i="67" s="1"/>
  <c r="X1194" i="67"/>
  <c r="X1210" i="67"/>
  <c r="AL130" i="65"/>
  <c r="AL140" i="65" s="1"/>
  <c r="AU470" i="67" s="1"/>
  <c r="BN58" i="70"/>
  <c r="AL165" i="65" s="1"/>
  <c r="AL177" i="65" s="1"/>
  <c r="X1556" i="67"/>
  <c r="X300" i="67" s="1"/>
  <c r="X1090" i="67"/>
  <c r="X1540" i="67"/>
  <c r="X589" i="67" s="1"/>
  <c r="X1076" i="67"/>
  <c r="AC1210" i="67"/>
  <c r="V131" i="65"/>
  <c r="AC1108" i="67"/>
  <c r="AC1556" i="67"/>
  <c r="AC147" i="67" s="1"/>
  <c r="AC1090" i="67"/>
  <c r="BF21" i="70"/>
  <c r="AC1540" i="67"/>
  <c r="AC131" i="67" s="1"/>
  <c r="AC1076" i="67"/>
  <c r="AJ1419" i="67"/>
  <c r="AJ502" i="67" s="1"/>
  <c r="BF19" i="70"/>
  <c r="BF80" i="70" s="1"/>
  <c r="AC1420" i="67"/>
  <c r="AC503" i="67" s="1"/>
  <c r="Z1401" i="67"/>
  <c r="Z938" i="67" s="1"/>
  <c r="L1556" i="67"/>
  <c r="L1059" i="67" s="1"/>
  <c r="Z1387" i="67"/>
  <c r="Z622" i="67" s="1"/>
  <c r="AC1555" i="67"/>
  <c r="AC756" i="67" s="1"/>
  <c r="AC1075" i="67"/>
  <c r="L1420" i="67"/>
  <c r="AF22" i="68" s="1"/>
  <c r="AC1539" i="67"/>
  <c r="AC740" i="67" s="1"/>
  <c r="L1388" i="67"/>
  <c r="L925" i="67" s="1"/>
  <c r="AW1540" i="67"/>
  <c r="AW589" i="67" s="1"/>
  <c r="AC1419" i="67"/>
  <c r="AC956" i="67" s="1"/>
  <c r="AW1420" i="67"/>
  <c r="AW198" i="67" s="1"/>
  <c r="AC1401" i="67"/>
  <c r="AC26" i="67" s="1"/>
  <c r="AN141" i="65"/>
  <c r="AW471" i="67" s="1"/>
  <c r="L1540" i="67"/>
  <c r="L1043" i="67" s="1"/>
  <c r="L1108" i="67"/>
  <c r="AW1402" i="67"/>
  <c r="AW333" i="67" s="1"/>
  <c r="F131" i="65"/>
  <c r="F141" i="65" s="1"/>
  <c r="O471" i="67" s="1"/>
  <c r="Z1540" i="67"/>
  <c r="Z284" i="67" s="1"/>
  <c r="Z1555" i="67"/>
  <c r="Z907" i="67" s="1"/>
  <c r="Z1539" i="67"/>
  <c r="Z283" i="67" s="1"/>
  <c r="AX74" i="70"/>
  <c r="V130" i="65"/>
  <c r="V140" i="65" s="1"/>
  <c r="AE470" i="67" s="1"/>
  <c r="I130" i="65"/>
  <c r="I140" i="65" s="1"/>
  <c r="R470" i="67" s="1"/>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K938" i="67"/>
  <c r="K636" i="67"/>
  <c r="K332" i="67"/>
  <c r="K787" i="67"/>
  <c r="K484" i="67"/>
  <c r="K26" i="67"/>
  <c r="K179" i="67"/>
  <c r="AE14" i="68"/>
  <c r="M1060" i="67"/>
  <c r="M454" i="67"/>
  <c r="M758" i="67"/>
  <c r="M909" i="67"/>
  <c r="M148" i="67"/>
  <c r="M606" i="67"/>
  <c r="M301" i="67"/>
  <c r="M926" i="67"/>
  <c r="M320" i="67"/>
  <c r="M624" i="67"/>
  <c r="M775" i="67"/>
  <c r="M472" i="67"/>
  <c r="M14" i="67"/>
  <c r="M167" i="67"/>
  <c r="AG8" i="68"/>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W938" i="67"/>
  <c r="W787" i="67"/>
  <c r="W332" i="67"/>
  <c r="W636" i="67"/>
  <c r="W26" i="67"/>
  <c r="W484" i="67"/>
  <c r="W179" i="67"/>
  <c r="AQ14" i="68"/>
  <c r="AU957" i="67"/>
  <c r="AU351" i="67"/>
  <c r="AU655" i="67"/>
  <c r="AU503" i="67"/>
  <c r="AU45" i="67"/>
  <c r="AU806" i="67"/>
  <c r="AU198" i="67"/>
  <c r="L938" i="67"/>
  <c r="L787" i="67"/>
  <c r="L332" i="67"/>
  <c r="L636" i="67"/>
  <c r="L484" i="67"/>
  <c r="L26" i="67"/>
  <c r="L179" i="67"/>
  <c r="AF14" i="68"/>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U1060" i="67"/>
  <c r="AU909" i="67"/>
  <c r="AU454" i="67"/>
  <c r="AU758" i="67"/>
  <c r="AU148" i="67"/>
  <c r="AU606" i="67"/>
  <c r="AU301" i="67"/>
  <c r="AU926" i="67"/>
  <c r="AU320" i="67"/>
  <c r="AU624" i="67"/>
  <c r="AU775" i="67"/>
  <c r="AU472" i="67"/>
  <c r="AU14" i="67"/>
  <c r="AU167" i="67"/>
  <c r="BO8" i="68"/>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Q958" i="67"/>
  <c r="AQ352" i="67"/>
  <c r="AQ807" i="67"/>
  <c r="AQ656" i="67"/>
  <c r="AQ199" i="67"/>
  <c r="AQ504" i="67"/>
  <c r="AQ46" i="67"/>
  <c r="BK23" i="68"/>
  <c r="L165" i="65"/>
  <c r="L177" i="65" s="1"/>
  <c r="Y499" i="67"/>
  <c r="Y41" i="67"/>
  <c r="Y651" i="67"/>
  <c r="Y194" i="67"/>
  <c r="Y347" i="67"/>
  <c r="Y802" i="67"/>
  <c r="AL1060" i="67"/>
  <c r="AL454" i="67"/>
  <c r="AL758" i="67"/>
  <c r="AL909" i="67"/>
  <c r="AL606" i="67"/>
  <c r="AL301" i="67"/>
  <c r="AL148" i="67"/>
  <c r="AL926" i="67"/>
  <c r="AL320" i="67"/>
  <c r="AL624" i="67"/>
  <c r="AL14" i="67"/>
  <c r="AL775" i="67"/>
  <c r="AL472" i="67"/>
  <c r="AL167" i="67"/>
  <c r="BF8" i="68"/>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V958" i="67"/>
  <c r="V352" i="67"/>
  <c r="V656" i="67"/>
  <c r="V199" i="67"/>
  <c r="V504" i="67"/>
  <c r="V807" i="67"/>
  <c r="V46" i="67"/>
  <c r="AP23" i="68"/>
  <c r="O1060" i="67"/>
  <c r="O909" i="67"/>
  <c r="O454" i="67"/>
  <c r="O758" i="67"/>
  <c r="O148" i="67"/>
  <c r="O606" i="67"/>
  <c r="O301" i="67"/>
  <c r="O926" i="67"/>
  <c r="O320" i="67"/>
  <c r="O624" i="67"/>
  <c r="O775" i="67"/>
  <c r="O14" i="67"/>
  <c r="O167" i="67"/>
  <c r="O472" i="67"/>
  <c r="AI8" i="68"/>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L924" i="67"/>
  <c r="AL318" i="67"/>
  <c r="AL773" i="67"/>
  <c r="AL622" i="67"/>
  <c r="AL165" i="67"/>
  <c r="AL12" i="67"/>
  <c r="T1043" i="67"/>
  <c r="T741" i="67"/>
  <c r="T437" i="67"/>
  <c r="T892" i="67"/>
  <c r="T589" i="67"/>
  <c r="T131" i="67"/>
  <c r="T284" i="67"/>
  <c r="T925" i="67"/>
  <c r="T774" i="67"/>
  <c r="T319" i="67"/>
  <c r="T623" i="67"/>
  <c r="T13" i="67"/>
  <c r="T166"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S956" i="67"/>
  <c r="S350" i="67"/>
  <c r="S805" i="67"/>
  <c r="S502" i="67"/>
  <c r="S654" i="67"/>
  <c r="S44" i="67"/>
  <c r="S197" i="67"/>
  <c r="U938" i="67"/>
  <c r="U332" i="67"/>
  <c r="U484" i="67"/>
  <c r="U636" i="67"/>
  <c r="U787" i="67"/>
  <c r="U26" i="67"/>
  <c r="U179" i="67"/>
  <c r="AO14" i="68"/>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W939" i="67"/>
  <c r="W333" i="67"/>
  <c r="W637" i="67"/>
  <c r="W788" i="67"/>
  <c r="W485" i="67"/>
  <c r="W27" i="67"/>
  <c r="W180" i="67"/>
  <c r="N939" i="67"/>
  <c r="N333" i="67"/>
  <c r="N637" i="67"/>
  <c r="N788" i="67"/>
  <c r="N27" i="67"/>
  <c r="N180" i="67"/>
  <c r="N485" i="67"/>
  <c r="AI925" i="67"/>
  <c r="AI319" i="67"/>
  <c r="AI623" i="67"/>
  <c r="AI13" i="67"/>
  <c r="AI774" i="67"/>
  <c r="AI166" i="67"/>
  <c r="Y940" i="67"/>
  <c r="Y334" i="67"/>
  <c r="Y638" i="67"/>
  <c r="Y789" i="67"/>
  <c r="Y486" i="67"/>
  <c r="Y28" i="67"/>
  <c r="Y181" i="67"/>
  <c r="AS15" i="68"/>
  <c r="AO1044" i="67"/>
  <c r="AO893" i="67"/>
  <c r="AO438" i="67"/>
  <c r="AO742" i="67"/>
  <c r="AO590" i="67"/>
  <c r="AO132" i="67"/>
  <c r="AO285" i="67"/>
  <c r="AH940" i="67"/>
  <c r="AH334" i="67"/>
  <c r="AH789" i="67"/>
  <c r="AH638" i="67"/>
  <c r="AH486" i="67"/>
  <c r="AH28" i="67"/>
  <c r="AH181" i="67"/>
  <c r="BB15" i="68"/>
  <c r="N1044" i="67"/>
  <c r="N742" i="67"/>
  <c r="N438" i="67"/>
  <c r="N893" i="67"/>
  <c r="N590" i="67"/>
  <c r="N132" i="67"/>
  <c r="N285" i="67"/>
  <c r="AM940" i="67"/>
  <c r="AM334" i="67"/>
  <c r="AM789" i="67"/>
  <c r="AM638" i="67"/>
  <c r="AM486" i="67"/>
  <c r="AM28" i="67"/>
  <c r="AM181" i="67"/>
  <c r="BG15" i="68"/>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300" i="67"/>
  <c r="M1058" i="67"/>
  <c r="M452" i="67"/>
  <c r="M907" i="67"/>
  <c r="M756" i="67"/>
  <c r="M604" i="67"/>
  <c r="M299" i="67"/>
  <c r="M146" i="67"/>
  <c r="AU924" i="67"/>
  <c r="AU318" i="67"/>
  <c r="AU622" i="67"/>
  <c r="AU773" i="67"/>
  <c r="AU12" i="67"/>
  <c r="AU165" i="67"/>
  <c r="AD924" i="67"/>
  <c r="AD773" i="67"/>
  <c r="AD318" i="67"/>
  <c r="AD622" i="67"/>
  <c r="AD12" i="67"/>
  <c r="AD165" i="67"/>
  <c r="K956" i="67"/>
  <c r="K350" i="67"/>
  <c r="K805" i="67"/>
  <c r="K654" i="67"/>
  <c r="K502" i="67"/>
  <c r="K44" i="67"/>
  <c r="K197" i="67"/>
  <c r="AE22" i="68"/>
  <c r="AS940" i="67"/>
  <c r="AS789" i="67"/>
  <c r="AS334" i="67"/>
  <c r="AS638" i="67"/>
  <c r="AS486" i="67"/>
  <c r="AS28" i="67"/>
  <c r="AS181" i="67"/>
  <c r="BM15" i="68"/>
  <c r="R940" i="67"/>
  <c r="R334" i="67"/>
  <c r="R181" i="67"/>
  <c r="R638" i="67"/>
  <c r="R486" i="67"/>
  <c r="R789" i="67"/>
  <c r="R28" i="67"/>
  <c r="AL15" i="68"/>
  <c r="AA940" i="67"/>
  <c r="AA334" i="67"/>
  <c r="AA638" i="67"/>
  <c r="AA789" i="67"/>
  <c r="AA486" i="67"/>
  <c r="AA28" i="67"/>
  <c r="AA181" i="67"/>
  <c r="AU15" i="68"/>
  <c r="L1044" i="67"/>
  <c r="L742" i="67"/>
  <c r="L438" i="67"/>
  <c r="L893" i="67"/>
  <c r="L285" i="67"/>
  <c r="L590" i="67"/>
  <c r="L132" i="67"/>
  <c r="W956" i="67"/>
  <c r="W350" i="67"/>
  <c r="W502" i="67"/>
  <c r="W654" i="67"/>
  <c r="W805" i="67"/>
  <c r="W44" i="67"/>
  <c r="W197" i="67"/>
  <c r="AQ22" i="68"/>
  <c r="AU939" i="67"/>
  <c r="AU333" i="67"/>
  <c r="AU637" i="67"/>
  <c r="AU788" i="67"/>
  <c r="AU485" i="67"/>
  <c r="AU27" i="67"/>
  <c r="AU180" i="67"/>
  <c r="AJ940" i="67"/>
  <c r="AJ334" i="67"/>
  <c r="AJ486" i="67"/>
  <c r="AJ638" i="67"/>
  <c r="AJ28" i="67"/>
  <c r="AJ789" i="67"/>
  <c r="AJ181" i="67"/>
  <c r="BD15" i="68"/>
  <c r="AD73" i="70"/>
  <c r="AD57" i="70"/>
  <c r="B129" i="65"/>
  <c r="AQ939" i="67"/>
  <c r="AQ333" i="67"/>
  <c r="AQ788" i="67"/>
  <c r="AQ637" i="67"/>
  <c r="AQ27" i="67"/>
  <c r="AQ485" i="67"/>
  <c r="AQ180" i="67"/>
  <c r="AI956" i="67"/>
  <c r="AI350" i="67"/>
  <c r="AI805" i="67"/>
  <c r="AI502" i="67"/>
  <c r="AI654" i="67"/>
  <c r="AI44" i="67"/>
  <c r="AI197" i="67"/>
  <c r="BC22" i="68"/>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V1044" i="67"/>
  <c r="V438" i="67"/>
  <c r="V742" i="67"/>
  <c r="V893" i="67"/>
  <c r="V590" i="67"/>
  <c r="V132" i="67"/>
  <c r="V285" i="67"/>
  <c r="O940" i="67"/>
  <c r="O334" i="67"/>
  <c r="O789" i="67"/>
  <c r="O486" i="67"/>
  <c r="O638" i="67"/>
  <c r="O28" i="67"/>
  <c r="O181" i="67"/>
  <c r="AI15" i="68"/>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U926" i="67"/>
  <c r="U320" i="67"/>
  <c r="U472" i="67"/>
  <c r="U624" i="67"/>
  <c r="U775" i="67"/>
  <c r="U14" i="67"/>
  <c r="U167" i="67"/>
  <c r="AO8" i="68"/>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W957" i="67"/>
  <c r="W351" i="67"/>
  <c r="W655" i="67"/>
  <c r="W45" i="67"/>
  <c r="W806" i="67"/>
  <c r="W503" i="67"/>
  <c r="W198"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M956" i="67"/>
  <c r="M350" i="67"/>
  <c r="M805" i="67"/>
  <c r="M654" i="67"/>
  <c r="M197" i="67"/>
  <c r="M502" i="67"/>
  <c r="M44" i="67"/>
  <c r="O957" i="67"/>
  <c r="O351" i="67"/>
  <c r="O503" i="67"/>
  <c r="O655" i="67"/>
  <c r="O45" i="67"/>
  <c r="O806" i="67"/>
  <c r="O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AS1044" i="67"/>
  <c r="AS742" i="67"/>
  <c r="AS438" i="67"/>
  <c r="AS893" i="67"/>
  <c r="AS132" i="67"/>
  <c r="AS285" i="67"/>
  <c r="AS590" i="67"/>
  <c r="AP940" i="67"/>
  <c r="AP334" i="67"/>
  <c r="AP789" i="67"/>
  <c r="AP638" i="67"/>
  <c r="AP486" i="67"/>
  <c r="AP28" i="67"/>
  <c r="AP181" i="67"/>
  <c r="BJ15" i="68"/>
  <c r="R1044" i="67"/>
  <c r="R893" i="67"/>
  <c r="R438" i="67"/>
  <c r="R742" i="67"/>
  <c r="R285" i="67"/>
  <c r="R590" i="67"/>
  <c r="R132" i="67"/>
  <c r="K926" i="67"/>
  <c r="K775" i="67"/>
  <c r="K320" i="67"/>
  <c r="K624" i="67"/>
  <c r="K472" i="67"/>
  <c r="K14" i="67"/>
  <c r="K167" i="67"/>
  <c r="AE8" i="68"/>
  <c r="AA1044" i="67"/>
  <c r="AA893" i="67"/>
  <c r="AA438" i="67"/>
  <c r="AA742" i="67"/>
  <c r="AA285" i="67"/>
  <c r="AA132" i="67"/>
  <c r="AA590" i="67"/>
  <c r="L940" i="67"/>
  <c r="L334" i="67"/>
  <c r="L638" i="67"/>
  <c r="L28" i="67"/>
  <c r="L789" i="67"/>
  <c r="L486" i="67"/>
  <c r="L181" i="67"/>
  <c r="AF15" i="68"/>
  <c r="AB1044" i="67"/>
  <c r="AB742" i="67"/>
  <c r="AB438" i="67"/>
  <c r="AB893" i="67"/>
  <c r="AB285" i="67"/>
  <c r="AB590" i="67"/>
  <c r="AB132" i="67"/>
  <c r="AR940" i="67"/>
  <c r="AR334" i="67"/>
  <c r="AR638" i="67"/>
  <c r="AR28" i="67"/>
  <c r="AR789" i="67"/>
  <c r="AR486" i="67"/>
  <c r="AR181" i="67"/>
  <c r="BL15" i="68"/>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U1044" i="67"/>
  <c r="AU438" i="67"/>
  <c r="AU742" i="67"/>
  <c r="AU893" i="67"/>
  <c r="AU285" i="67"/>
  <c r="AU590" i="67"/>
  <c r="AU132" i="67"/>
  <c r="S940" i="67"/>
  <c r="S334" i="67"/>
  <c r="S486" i="67"/>
  <c r="S638" i="67"/>
  <c r="S789" i="67"/>
  <c r="S28" i="67"/>
  <c r="S181" i="67"/>
  <c r="AM15" i="68"/>
  <c r="AJ1044" i="67"/>
  <c r="AJ438" i="67"/>
  <c r="AJ742" i="67"/>
  <c r="AJ893" i="67"/>
  <c r="AJ285" i="67"/>
  <c r="AJ590" i="67"/>
  <c r="AJ132" i="67"/>
  <c r="AQ940" i="67"/>
  <c r="AQ334" i="67"/>
  <c r="AQ638" i="67"/>
  <c r="AQ789" i="67"/>
  <c r="AQ486" i="67"/>
  <c r="AQ28" i="67"/>
  <c r="AQ181" i="67"/>
  <c r="BK15" i="68"/>
  <c r="Y329" i="67"/>
  <c r="Y176" i="67"/>
  <c r="Y633" i="67"/>
  <c r="Y481" i="67"/>
  <c r="Y23" i="67"/>
  <c r="AL1044" i="67"/>
  <c r="AL438" i="67"/>
  <c r="AL742" i="67"/>
  <c r="AL893" i="67"/>
  <c r="AL590" i="67"/>
  <c r="AL132" i="67"/>
  <c r="AL285" i="67"/>
  <c r="AN940" i="67"/>
  <c r="AN334" i="67"/>
  <c r="AN789" i="67"/>
  <c r="AN181" i="67"/>
  <c r="AN638" i="67"/>
  <c r="AN486" i="67"/>
  <c r="AN28" i="67"/>
  <c r="BH15" i="68"/>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AG1044" i="67"/>
  <c r="AG893" i="67"/>
  <c r="AG438" i="67"/>
  <c r="AG742" i="67"/>
  <c r="AG590" i="67"/>
  <c r="AG285" i="67"/>
  <c r="AG132" i="67"/>
  <c r="AW940" i="67"/>
  <c r="AW638" i="67"/>
  <c r="AW334" i="67"/>
  <c r="AW789" i="67"/>
  <c r="AW486" i="67"/>
  <c r="AW28" i="67"/>
  <c r="AW181" i="67"/>
  <c r="BQ15" i="68"/>
  <c r="AT1044" i="67"/>
  <c r="AT742" i="67"/>
  <c r="AT438" i="67"/>
  <c r="AT893" i="67"/>
  <c r="AT590" i="67"/>
  <c r="AT132" i="67"/>
  <c r="AT285" i="67"/>
  <c r="V940" i="67"/>
  <c r="V334" i="67"/>
  <c r="V789" i="67"/>
  <c r="V638" i="67"/>
  <c r="V486" i="67"/>
  <c r="V28" i="67"/>
  <c r="V181" i="67"/>
  <c r="AP15" i="68"/>
  <c r="O1044" i="67"/>
  <c r="O438" i="67"/>
  <c r="O742" i="67"/>
  <c r="O893" i="67"/>
  <c r="O285" i="67"/>
  <c r="O590" i="67"/>
  <c r="O132" i="67"/>
  <c r="AE940" i="67"/>
  <c r="AE334" i="67"/>
  <c r="AE789" i="67"/>
  <c r="AE486" i="67"/>
  <c r="AE638" i="67"/>
  <c r="AE28" i="67"/>
  <c r="AE181" i="67"/>
  <c r="AY15" i="68"/>
  <c r="P1044" i="67"/>
  <c r="P893" i="67"/>
  <c r="P438" i="67"/>
  <c r="P742" i="67"/>
  <c r="P132" i="67"/>
  <c r="P285" i="67"/>
  <c r="P590" i="67"/>
  <c r="AF940" i="67"/>
  <c r="AF334" i="67"/>
  <c r="AF789" i="67"/>
  <c r="AF181" i="67"/>
  <c r="AF486" i="67"/>
  <c r="AF638" i="67"/>
  <c r="AF28" i="67"/>
  <c r="AZ15" i="68"/>
  <c r="AV1044" i="67"/>
  <c r="AV893" i="67"/>
  <c r="AV438" i="67"/>
  <c r="AV742" i="67"/>
  <c r="AV132" i="67"/>
  <c r="AV285" i="67"/>
  <c r="AV590" i="67"/>
  <c r="T1059" i="67"/>
  <c r="T757" i="67"/>
  <c r="T453" i="67"/>
  <c r="T908" i="67"/>
  <c r="T605" i="67"/>
  <c r="T300" i="67"/>
  <c r="T147" i="67"/>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AD1044" i="67"/>
  <c r="AD742" i="67"/>
  <c r="AD438" i="67"/>
  <c r="AD893" i="67"/>
  <c r="AD590" i="67"/>
  <c r="AD132" i="67"/>
  <c r="AD285" i="67"/>
  <c r="T940" i="67"/>
  <c r="T334" i="67"/>
  <c r="T486" i="67"/>
  <c r="T638" i="67"/>
  <c r="T28" i="67"/>
  <c r="T789" i="67"/>
  <c r="T181" i="67"/>
  <c r="AN15" i="68"/>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H924" i="67"/>
  <c r="AH318" i="67"/>
  <c r="AH773" i="67"/>
  <c r="AH622" i="67"/>
  <c r="AH12" i="67"/>
  <c r="AH165" i="67"/>
  <c r="O925" i="67"/>
  <c r="O319" i="67"/>
  <c r="O774" i="67"/>
  <c r="O166" i="67"/>
  <c r="O623" i="67"/>
  <c r="O13" i="67"/>
  <c r="M940" i="67"/>
  <c r="M789" i="67"/>
  <c r="M334" i="67"/>
  <c r="M638" i="67"/>
  <c r="M486" i="67"/>
  <c r="M28" i="67"/>
  <c r="M181" i="67"/>
  <c r="AG15" i="68"/>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S1044" i="67"/>
  <c r="S893" i="67"/>
  <c r="S438" i="67"/>
  <c r="S742" i="67"/>
  <c r="S132" i="67"/>
  <c r="S285" i="67"/>
  <c r="S590" i="67"/>
  <c r="Y449" i="67"/>
  <c r="Y904" i="67"/>
  <c r="Y296" i="67"/>
  <c r="Y601" i="67"/>
  <c r="Y143" i="67"/>
  <c r="Y753" i="67"/>
  <c r="AL940" i="67"/>
  <c r="AL334" i="67"/>
  <c r="AL638" i="67"/>
  <c r="AL789" i="67"/>
  <c r="AL181" i="67"/>
  <c r="AL486" i="67"/>
  <c r="AL28" i="67"/>
  <c r="BF15" i="68"/>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AV940" i="67"/>
  <c r="AV334" i="67"/>
  <c r="AV789" i="67"/>
  <c r="AV181" i="67"/>
  <c r="AV486" i="67"/>
  <c r="AV638" i="67"/>
  <c r="AV28" i="67"/>
  <c r="BP15" i="68"/>
  <c r="Z1044" i="67"/>
  <c r="Z893" i="67"/>
  <c r="Z438" i="67"/>
  <c r="Z742" i="67"/>
  <c r="Z285" i="67"/>
  <c r="Z132" i="67"/>
  <c r="Z590" i="67"/>
  <c r="AD940" i="67"/>
  <c r="AD334" i="67"/>
  <c r="AD789" i="67"/>
  <c r="AD638" i="67"/>
  <c r="AD486" i="67"/>
  <c r="AD28" i="67"/>
  <c r="AD181" i="67"/>
  <c r="AX15" i="68"/>
  <c r="BE64" i="70"/>
  <c r="BE80" i="70"/>
  <c r="W926" i="67"/>
  <c r="W624" i="67"/>
  <c r="W320" i="67"/>
  <c r="W775" i="67"/>
  <c r="W472" i="67"/>
  <c r="W14" i="67"/>
  <c r="W167" i="67"/>
  <c r="AQ8" i="68"/>
  <c r="X1042" i="67"/>
  <c r="X436" i="67"/>
  <c r="X891" i="67"/>
  <c r="X588" i="67"/>
  <c r="X130" i="67"/>
  <c r="X740" i="67"/>
  <c r="X283" i="67"/>
  <c r="AI940" i="67"/>
  <c r="AI334" i="67"/>
  <c r="AI486" i="67"/>
  <c r="AI638" i="67"/>
  <c r="AI789" i="67"/>
  <c r="AI28" i="67"/>
  <c r="AI181" i="67"/>
  <c r="BC15" i="68"/>
  <c r="V938" i="67"/>
  <c r="V332" i="67"/>
  <c r="V787" i="67"/>
  <c r="V179" i="67"/>
  <c r="V636" i="67"/>
  <c r="V484" i="67"/>
  <c r="V26" i="67"/>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R958" i="67"/>
  <c r="R352" i="67"/>
  <c r="R656" i="67"/>
  <c r="R807" i="67"/>
  <c r="R46" i="67"/>
  <c r="R199" i="67"/>
  <c r="R504" i="67"/>
  <c r="AL23" i="68"/>
  <c r="K940" i="67"/>
  <c r="K334" i="67"/>
  <c r="K638" i="67"/>
  <c r="K789" i="67"/>
  <c r="K486" i="67"/>
  <c r="K28" i="67"/>
  <c r="K181" i="67"/>
  <c r="AE15" i="68"/>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AV958" i="67"/>
  <c r="AV352" i="67"/>
  <c r="AV656" i="67"/>
  <c r="AV807" i="67"/>
  <c r="AV504" i="67"/>
  <c r="AV46" i="67"/>
  <c r="AV199" i="67"/>
  <c r="BP23" i="68"/>
  <c r="T957" i="67"/>
  <c r="T351" i="67"/>
  <c r="T806" i="67"/>
  <c r="T655" i="67"/>
  <c r="T503" i="67"/>
  <c r="T45" i="67"/>
  <c r="T198" i="67"/>
  <c r="AN938" i="67"/>
  <c r="AN332" i="67"/>
  <c r="AN636" i="67"/>
  <c r="AN787" i="67"/>
  <c r="AN179" i="67"/>
  <c r="AN484" i="67"/>
  <c r="AN26" i="67"/>
  <c r="K957" i="67"/>
  <c r="K351" i="67"/>
  <c r="K806" i="67"/>
  <c r="K198" i="67"/>
  <c r="K503" i="67"/>
  <c r="K655" i="67"/>
  <c r="K45" i="67"/>
  <c r="K1059" i="67"/>
  <c r="K908" i="67"/>
  <c r="K453" i="67"/>
  <c r="K757" i="67"/>
  <c r="K300" i="67"/>
  <c r="K147" i="67"/>
  <c r="K605" i="67"/>
  <c r="U940" i="67"/>
  <c r="U789" i="67"/>
  <c r="U334" i="67"/>
  <c r="U638" i="67"/>
  <c r="U486" i="67"/>
  <c r="U181" i="67"/>
  <c r="U28" i="67"/>
  <c r="AO15" i="68"/>
  <c r="Z1060" i="67"/>
  <c r="Z909" i="67"/>
  <c r="Z454" i="67"/>
  <c r="Z758" i="67"/>
  <c r="Z606" i="67"/>
  <c r="Z301" i="67"/>
  <c r="Z148" i="67"/>
  <c r="Z926" i="67"/>
  <c r="Z320" i="67"/>
  <c r="Z775" i="67"/>
  <c r="Z167" i="67"/>
  <c r="Z472" i="67"/>
  <c r="Z624" i="67"/>
  <c r="Z14" i="67"/>
  <c r="AT8" i="68"/>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W940" i="67"/>
  <c r="W334" i="67"/>
  <c r="W789" i="67"/>
  <c r="W638" i="67"/>
  <c r="W486" i="67"/>
  <c r="W28" i="67"/>
  <c r="W181" i="67"/>
  <c r="AQ15" i="68"/>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AB925" i="67"/>
  <c r="AB774" i="67"/>
  <c r="AB319" i="67"/>
  <c r="AB623" i="67"/>
  <c r="AB13" i="67"/>
  <c r="AB166" i="67"/>
  <c r="AP1059" i="67"/>
  <c r="AP908" i="67"/>
  <c r="AP453" i="67"/>
  <c r="AP757" i="67"/>
  <c r="AP605" i="67"/>
  <c r="AP147" i="67"/>
  <c r="AP300" i="67"/>
  <c r="AP925" i="67"/>
  <c r="AP319" i="67"/>
  <c r="AP623" i="67"/>
  <c r="AP774" i="67"/>
  <c r="AP13" i="67"/>
  <c r="AP166"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044" i="67"/>
  <c r="AH893" i="67"/>
  <c r="AH438" i="67"/>
  <c r="AH742" i="67"/>
  <c r="AH285" i="67"/>
  <c r="AH590" i="67"/>
  <c r="AH132" i="67"/>
  <c r="N940" i="67"/>
  <c r="N334" i="67"/>
  <c r="N638" i="67"/>
  <c r="N789" i="67"/>
  <c r="N486" i="67"/>
  <c r="N28" i="67"/>
  <c r="N181" i="67"/>
  <c r="AH15" i="68"/>
  <c r="AM1044" i="67"/>
  <c r="AM742" i="67"/>
  <c r="AM438" i="67"/>
  <c r="AM893" i="67"/>
  <c r="AM285" i="67"/>
  <c r="AM590" i="67"/>
  <c r="AM132" i="67"/>
  <c r="X940" i="67"/>
  <c r="X334" i="67"/>
  <c r="X789" i="67"/>
  <c r="X181" i="67"/>
  <c r="X638" i="67"/>
  <c r="X486" i="67"/>
  <c r="X28" i="67"/>
  <c r="AR15" i="68"/>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C623" i="67" l="1"/>
  <c r="AC319" i="67"/>
  <c r="AC774" i="67"/>
  <c r="Y54" i="69"/>
  <c r="Y56" i="69" s="1"/>
  <c r="Y58" i="69" s="1"/>
  <c r="Y59" i="69" s="1"/>
  <c r="Y60" i="69" s="1"/>
  <c r="Y61" i="69" s="1"/>
  <c r="AD19" i="70"/>
  <c r="AD21" i="70"/>
  <c r="I4" i="57"/>
  <c r="I68" i="50"/>
  <c r="AF1245" i="67"/>
  <c r="AW741" i="67"/>
  <c r="AF1349" i="67"/>
  <c r="O130" i="67"/>
  <c r="AC13" i="67"/>
  <c r="AG505" i="67"/>
  <c r="AG47" i="67"/>
  <c r="AG200" i="67"/>
  <c r="AG808" i="67"/>
  <c r="AG353" i="67"/>
  <c r="BA24" i="68"/>
  <c r="AG959" i="67"/>
  <c r="AG657" i="67"/>
  <c r="L806" i="67"/>
  <c r="AG1045" i="67"/>
  <c r="AG743" i="67"/>
  <c r="AG894" i="67"/>
  <c r="AG591" i="67"/>
  <c r="AG439" i="67"/>
  <c r="AG133" i="67"/>
  <c r="AG286" i="67"/>
  <c r="Z452" i="67"/>
  <c r="AC925" i="67"/>
  <c r="AK925" i="67"/>
  <c r="AG941" i="67"/>
  <c r="AG29" i="67"/>
  <c r="AG487" i="67"/>
  <c r="AG335" i="67"/>
  <c r="AG182" i="67"/>
  <c r="AG639" i="67"/>
  <c r="AG790" i="67"/>
  <c r="BA16" i="68"/>
  <c r="Z17" i="62" s="1"/>
  <c r="AV333" i="67"/>
  <c r="O907" i="67"/>
  <c r="AG927" i="67"/>
  <c r="AG15" i="67"/>
  <c r="AG625" i="67"/>
  <c r="AG168" i="67"/>
  <c r="AG473" i="67"/>
  <c r="AG776" i="67"/>
  <c r="AG321" i="67"/>
  <c r="BA9" i="68"/>
  <c r="Z11" i="62" s="1"/>
  <c r="AG1061" i="67"/>
  <c r="AG149" i="67"/>
  <c r="AG302" i="67"/>
  <c r="AG759" i="67"/>
  <c r="AG455" i="67"/>
  <c r="AG910" i="67"/>
  <c r="AG607" i="67"/>
  <c r="AF1365" i="67"/>
  <c r="AF1231" i="67"/>
  <c r="BB16" i="36"/>
  <c r="AH1196" i="67"/>
  <c r="AH1212" i="67"/>
  <c r="AH1078" i="67"/>
  <c r="AH1092" i="67"/>
  <c r="AH1542" i="67"/>
  <c r="AH1558" i="67"/>
  <c r="AH1404" i="67"/>
  <c r="AH1390" i="67"/>
  <c r="AH1422" i="67"/>
  <c r="AH1110" i="67"/>
  <c r="AK10" i="62"/>
  <c r="Q16" i="62"/>
  <c r="X10" i="62"/>
  <c r="E10" i="62"/>
  <c r="E16" i="62"/>
  <c r="N10" i="62"/>
  <c r="AJ15" i="62"/>
  <c r="AO22" i="62"/>
  <c r="D10" i="62"/>
  <c r="K16" i="62"/>
  <c r="W10" i="62"/>
  <c r="Z10" i="62"/>
  <c r="AB15" i="62"/>
  <c r="F10" i="62"/>
  <c r="Z16" i="62"/>
  <c r="M10" i="62"/>
  <c r="AB16" i="62"/>
  <c r="AE16" i="62"/>
  <c r="L16" i="62"/>
  <c r="AJ22" i="62"/>
  <c r="P22" i="62"/>
  <c r="AN10" i="62"/>
  <c r="AL10" i="62"/>
  <c r="Y15" i="62"/>
  <c r="N16" i="62"/>
  <c r="AH10" i="62"/>
  <c r="W16" i="62"/>
  <c r="AP16" i="62"/>
  <c r="AG16" i="62"/>
  <c r="AA16" i="62"/>
  <c r="AM10" i="62"/>
  <c r="AC10" i="62"/>
  <c r="K10" i="62"/>
  <c r="AG10" i="62"/>
  <c r="J22" i="62"/>
  <c r="S10" i="62"/>
  <c r="Q10" i="62"/>
  <c r="I16" i="62"/>
  <c r="AI16" i="62"/>
  <c r="H16" i="62"/>
  <c r="H10" i="62"/>
  <c r="D15" i="62"/>
  <c r="E22" i="62"/>
  <c r="AN16" i="62"/>
  <c r="S16" i="62"/>
  <c r="P16" i="62"/>
  <c r="D16" i="62"/>
  <c r="P10" i="62"/>
  <c r="F16" i="62"/>
  <c r="R10" i="62"/>
  <c r="AD16" i="62"/>
  <c r="AB22" i="62"/>
  <c r="T16" i="62"/>
  <c r="D22" i="62"/>
  <c r="I10" i="62"/>
  <c r="AD10" i="62"/>
  <c r="T10" i="62"/>
  <c r="Z22" i="62"/>
  <c r="AJ16" i="62"/>
  <c r="P15" i="62"/>
  <c r="O16" i="62"/>
  <c r="G16" i="62"/>
  <c r="AA10" i="62"/>
  <c r="Y16" i="62"/>
  <c r="J16" i="62"/>
  <c r="R16" i="62"/>
  <c r="AB10" i="62"/>
  <c r="AO10" i="62"/>
  <c r="U10" i="62"/>
  <c r="L22" i="62"/>
  <c r="AF16" i="62"/>
  <c r="AH16" i="62"/>
  <c r="U16" i="62"/>
  <c r="AF10" i="62"/>
  <c r="Q15" i="62"/>
  <c r="AK16" i="62"/>
  <c r="V16" i="62"/>
  <c r="G10" i="62"/>
  <c r="AM16" i="62"/>
  <c r="AM15" i="62"/>
  <c r="Y10" i="62"/>
  <c r="Z15" i="62"/>
  <c r="AP10" i="62"/>
  <c r="J10" i="62"/>
  <c r="L10" i="62"/>
  <c r="V10" i="62"/>
  <c r="AO16" i="62"/>
  <c r="M16" i="62"/>
  <c r="E15" i="62"/>
  <c r="AC16" i="62"/>
  <c r="N15" i="62"/>
  <c r="O10" i="62"/>
  <c r="AJ10" i="62"/>
  <c r="AI10" i="62"/>
  <c r="G15" i="62"/>
  <c r="AM22" i="62"/>
  <c r="X16" i="62"/>
  <c r="AL16" i="62"/>
  <c r="AE10" i="62"/>
  <c r="AI22" i="68"/>
  <c r="O197" i="67"/>
  <c r="O44" i="67"/>
  <c r="AJ44" i="67"/>
  <c r="O502" i="67"/>
  <c r="AJ654" i="67"/>
  <c r="O805" i="67"/>
  <c r="AJ197" i="67"/>
  <c r="O654" i="67"/>
  <c r="AJ805" i="67"/>
  <c r="O350" i="67"/>
  <c r="AJ350" i="67"/>
  <c r="AI908" i="67"/>
  <c r="AJ956" i="67"/>
  <c r="AI300" i="67"/>
  <c r="AI147" i="67"/>
  <c r="AI757" i="67"/>
  <c r="AI453" i="67"/>
  <c r="AI1059" i="67"/>
  <c r="X757" i="67"/>
  <c r="L147" i="67"/>
  <c r="Z892" i="67"/>
  <c r="AB655" i="67"/>
  <c r="X605" i="67"/>
  <c r="L300" i="67"/>
  <c r="X453" i="67"/>
  <c r="L605" i="67"/>
  <c r="X908" i="67"/>
  <c r="L908" i="67"/>
  <c r="X1059" i="67"/>
  <c r="L757" i="67"/>
  <c r="L453" i="67"/>
  <c r="X147" i="67"/>
  <c r="AC284" i="67"/>
  <c r="O588" i="67"/>
  <c r="O891" i="67"/>
  <c r="O436" i="67"/>
  <c r="O1042" i="67"/>
  <c r="Z130" i="67"/>
  <c r="O283" i="67"/>
  <c r="N283" i="67"/>
  <c r="N436" i="67"/>
  <c r="N1042" i="67"/>
  <c r="AV788" i="67"/>
  <c r="AK805" i="67"/>
  <c r="AE1042" i="67"/>
  <c r="O938" i="67"/>
  <c r="AW45" i="67"/>
  <c r="BF64" i="70"/>
  <c r="AD167" i="65" s="1"/>
  <c r="AD179" i="65" s="1"/>
  <c r="AC806" i="67"/>
  <c r="O179" i="67"/>
  <c r="O26" i="67"/>
  <c r="AI14" i="68"/>
  <c r="O484" i="67"/>
  <c r="O636" i="67"/>
  <c r="O332" i="67"/>
  <c r="O924" i="67"/>
  <c r="AW22" i="68"/>
  <c r="AC655" i="67"/>
  <c r="X741" i="67"/>
  <c r="X437" i="67"/>
  <c r="O756" i="67"/>
  <c r="O452" i="67"/>
  <c r="O1058" i="67"/>
  <c r="O146" i="67"/>
  <c r="O299" i="67"/>
  <c r="AC198" i="67"/>
  <c r="X284" i="67"/>
  <c r="AC787" i="67"/>
  <c r="O318" i="67"/>
  <c r="Z179" i="67"/>
  <c r="AC351" i="67"/>
  <c r="X892" i="67"/>
  <c r="Z484" i="67"/>
  <c r="AC957" i="67"/>
  <c r="X1043" i="67"/>
  <c r="Z787" i="67"/>
  <c r="Z26" i="67"/>
  <c r="Z636" i="67"/>
  <c r="Z332" i="67"/>
  <c r="O165" i="67"/>
  <c r="O12" i="67"/>
  <c r="AC45" i="67"/>
  <c r="X131" i="67"/>
  <c r="O773" i="67"/>
  <c r="X198" i="67"/>
  <c r="X45" i="67"/>
  <c r="X503" i="67"/>
  <c r="X806" i="67"/>
  <c r="X655" i="67"/>
  <c r="AC452" i="67"/>
  <c r="X351" i="67"/>
  <c r="AR22" i="68"/>
  <c r="X166" i="67"/>
  <c r="AC605" i="67"/>
  <c r="X13" i="67"/>
  <c r="AC757" i="67"/>
  <c r="X774" i="67"/>
  <c r="AC908" i="67"/>
  <c r="X623" i="67"/>
  <c r="AC453" i="67"/>
  <c r="X319" i="67"/>
  <c r="AC1059" i="67"/>
  <c r="AW806" i="67"/>
  <c r="Z756" i="67"/>
  <c r="AW655" i="67"/>
  <c r="Z1058" i="67"/>
  <c r="AW351" i="67"/>
  <c r="Z165" i="67"/>
  <c r="BQ22" i="68"/>
  <c r="AW957" i="67"/>
  <c r="Z146" i="67"/>
  <c r="Z12" i="67"/>
  <c r="Z299" i="67"/>
  <c r="Z318" i="67"/>
  <c r="AW503" i="67"/>
  <c r="Z604" i="67"/>
  <c r="Z773" i="67"/>
  <c r="AC589" i="67"/>
  <c r="AE956" i="67"/>
  <c r="AC907" i="67"/>
  <c r="AC484" i="67"/>
  <c r="Z740" i="67"/>
  <c r="AC892" i="67"/>
  <c r="AE197" i="67"/>
  <c r="AC1058" i="67"/>
  <c r="AC636" i="67"/>
  <c r="Z588" i="67"/>
  <c r="AC437" i="67"/>
  <c r="AE44" i="67"/>
  <c r="AC332" i="67"/>
  <c r="Z891" i="67"/>
  <c r="AC741" i="67"/>
  <c r="AE502" i="67"/>
  <c r="AC146" i="67"/>
  <c r="AC938" i="67"/>
  <c r="Z436" i="67"/>
  <c r="AC1043" i="67"/>
  <c r="AE805" i="67"/>
  <c r="AC299" i="67"/>
  <c r="AW14" i="68"/>
  <c r="Z1042" i="67"/>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N740" i="67"/>
  <c r="L198" i="67"/>
  <c r="AK13" i="67"/>
  <c r="AK197" i="67"/>
  <c r="L741" i="67"/>
  <c r="AV27" i="67"/>
  <c r="N130" i="67"/>
  <c r="L45" i="67"/>
  <c r="AK623" i="67"/>
  <c r="AK44" i="67"/>
  <c r="BP14" i="68"/>
  <c r="L437" i="67"/>
  <c r="AV485" i="67"/>
  <c r="N588" i="67"/>
  <c r="L503" i="67"/>
  <c r="AK319" i="67"/>
  <c r="AK502" i="67"/>
  <c r="AW131" i="67"/>
  <c r="AW284" i="67"/>
  <c r="L655" i="67"/>
  <c r="AK774" i="67"/>
  <c r="AW939" i="67"/>
  <c r="AW27" i="67"/>
  <c r="L13" i="67"/>
  <c r="AW485" i="67"/>
  <c r="L623" i="67"/>
  <c r="AW637" i="67"/>
  <c r="L319" i="67"/>
  <c r="AW180" i="67"/>
  <c r="L774" i="67"/>
  <c r="BQ14" i="68"/>
  <c r="AW788" i="67"/>
  <c r="AW437" i="67"/>
  <c r="AE283" i="67"/>
  <c r="AH1042" i="67"/>
  <c r="AC502" i="67"/>
  <c r="Z319" i="67"/>
  <c r="AB351" i="67"/>
  <c r="Z437" i="67"/>
  <c r="AC44" i="67"/>
  <c r="AB806" i="67"/>
  <c r="AW892" i="67"/>
  <c r="AE740" i="67"/>
  <c r="AC197" i="67"/>
  <c r="AV22" i="68"/>
  <c r="Z1043" i="67"/>
  <c r="AW1043" i="67"/>
  <c r="AE130" i="67"/>
  <c r="AH283" i="67"/>
  <c r="AC654" i="67"/>
  <c r="Z741" i="67"/>
  <c r="AE588" i="67"/>
  <c r="AH740" i="67"/>
  <c r="AC805" i="67"/>
  <c r="Z131" i="67"/>
  <c r="AE891" i="67"/>
  <c r="AH130" i="67"/>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Z198" i="67"/>
  <c r="Z45" i="67"/>
  <c r="Z300" i="67"/>
  <c r="Z503" i="67"/>
  <c r="Z147" i="67"/>
  <c r="Z806" i="67"/>
  <c r="Z605" i="67"/>
  <c r="Z655" i="67"/>
  <c r="AN604" i="67"/>
  <c r="Z757" i="67"/>
  <c r="Z351" i="67"/>
  <c r="AN299" i="67"/>
  <c r="Z453" i="67"/>
  <c r="AU484" i="67"/>
  <c r="AE637" i="67"/>
  <c r="AE788" i="67"/>
  <c r="AG284" i="67"/>
  <c r="AG806" i="67"/>
  <c r="AB333" i="67"/>
  <c r="N907" i="67"/>
  <c r="BO14" i="68"/>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Z166" i="67"/>
  <c r="AG198" i="67"/>
  <c r="N299" i="67"/>
  <c r="AA130" i="67"/>
  <c r="AA891" i="67"/>
  <c r="AE27" i="67"/>
  <c r="AE485" i="67"/>
  <c r="Z13" i="67"/>
  <c r="AG45" i="67"/>
  <c r="N604" i="67"/>
  <c r="AH13" i="67"/>
  <c r="N756" i="67"/>
  <c r="AB485" i="67"/>
  <c r="AG655" i="67"/>
  <c r="BH22" i="68"/>
  <c r="AT14" i="68"/>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AY22" i="68"/>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H756" i="67"/>
  <c r="AA485" i="67"/>
  <c r="AK300" i="67"/>
  <c r="AG757" i="67"/>
  <c r="AH957" i="67"/>
  <c r="R805" i="67"/>
  <c r="AA788" i="67"/>
  <c r="AK605" i="67"/>
  <c r="AG1059" i="67"/>
  <c r="R350" i="67"/>
  <c r="V655" i="67"/>
  <c r="AA637" i="67"/>
  <c r="AK147" i="67"/>
  <c r="BB22" i="68"/>
  <c r="R956" i="67"/>
  <c r="AA333" i="67"/>
  <c r="AK757" i="67"/>
  <c r="AK453" i="67"/>
  <c r="AK908" i="67"/>
  <c r="AS197" i="67"/>
  <c r="AH198" i="67"/>
  <c r="AS44" i="67"/>
  <c r="AG605" i="67"/>
  <c r="AH45" i="67"/>
  <c r="AS502" i="67"/>
  <c r="AG147" i="67"/>
  <c r="AH806" i="67"/>
  <c r="AL588" i="67"/>
  <c r="AS654" i="67"/>
  <c r="R197" i="67"/>
  <c r="AL22" i="68"/>
  <c r="AM333" i="67"/>
  <c r="U623" i="67"/>
  <c r="AP22" i="68"/>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484" i="67"/>
  <c r="AU22" i="68"/>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T924" i="67"/>
  <c r="P623" i="67"/>
  <c r="AO147" i="67"/>
  <c r="AS806" i="67"/>
  <c r="V925" i="67"/>
  <c r="U1043" i="67"/>
  <c r="S436" i="67"/>
  <c r="U198" i="67"/>
  <c r="AA806" i="67"/>
  <c r="Y319" i="67"/>
  <c r="AH788" i="67"/>
  <c r="AP130" i="67"/>
  <c r="AO757" i="67"/>
  <c r="AS351" i="67"/>
  <c r="BM22" i="68"/>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J787" i="67"/>
  <c r="AK165" i="67"/>
  <c r="AR319" i="67"/>
  <c r="AJ332" i="67"/>
  <c r="AK12" i="67"/>
  <c r="AR774" i="67"/>
  <c r="AS147" i="67"/>
  <c r="AK198" i="67"/>
  <c r="AK622" i="67"/>
  <c r="AS300" i="67"/>
  <c r="AJ147" i="67"/>
  <c r="AO1043" i="67"/>
  <c r="AL26" i="67"/>
  <c r="P198" i="67"/>
  <c r="AR806" i="67"/>
  <c r="AJ165" i="67"/>
  <c r="AJ1058" i="67"/>
  <c r="AJ300" i="67"/>
  <c r="AL484" i="67"/>
  <c r="BL22" i="68"/>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M198" i="67"/>
  <c r="AM503" i="67"/>
  <c r="AM45" i="67"/>
  <c r="AM806" i="67"/>
  <c r="N44" i="67"/>
  <c r="N502" i="67"/>
  <c r="AA299" i="67"/>
  <c r="N805" i="67"/>
  <c r="AF740" i="67"/>
  <c r="N654" i="67"/>
  <c r="N197" i="67"/>
  <c r="N350" i="67"/>
  <c r="AU14" i="68"/>
  <c r="AA604" i="67"/>
  <c r="R146" i="67"/>
  <c r="AA146" i="67"/>
  <c r="R299" i="67"/>
  <c r="BB14" i="68"/>
  <c r="AA756" i="67"/>
  <c r="R604" i="67"/>
  <c r="AH179" i="67"/>
  <c r="AU283" i="67"/>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D130" i="67"/>
  <c r="AB605" i="67"/>
  <c r="AJ22" i="68"/>
  <c r="S806" i="67"/>
  <c r="T654" i="67"/>
  <c r="Q757" i="67"/>
  <c r="AJ437" i="67"/>
  <c r="AD654" i="67"/>
  <c r="AG319" i="67"/>
  <c r="AK437" i="67"/>
  <c r="AL604" i="67"/>
  <c r="BE14" i="68"/>
  <c r="AS179" i="67"/>
  <c r="AD588" i="67"/>
  <c r="AB908" i="67"/>
  <c r="AV14" i="68"/>
  <c r="P197" i="67"/>
  <c r="S351" i="67"/>
  <c r="T502" i="67"/>
  <c r="Q1059" i="67"/>
  <c r="AJ741" i="67"/>
  <c r="AD197" i="67"/>
  <c r="AK1043" i="67"/>
  <c r="AL756" i="67"/>
  <c r="AK179" i="67"/>
  <c r="AS26" i="67"/>
  <c r="AD891" i="67"/>
  <c r="AB757" i="67"/>
  <c r="AX22" i="68"/>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AD787" i="67"/>
  <c r="Q741" i="67"/>
  <c r="AL300" i="67"/>
  <c r="Z601" i="67"/>
  <c r="T179" i="67"/>
  <c r="Q437" i="67"/>
  <c r="AL908" i="67"/>
  <c r="T26" i="67"/>
  <c r="AL453" i="67"/>
  <c r="T787" i="67"/>
  <c r="T636" i="67"/>
  <c r="AX14" i="68"/>
  <c r="T484" i="67"/>
  <c r="AR147" i="67"/>
  <c r="T332" i="67"/>
  <c r="AD26" i="67"/>
  <c r="N13" i="67"/>
  <c r="AL198" i="67"/>
  <c r="AL45" i="67"/>
  <c r="AL503" i="67"/>
  <c r="AL655" i="67"/>
  <c r="AL806" i="67"/>
  <c r="AL351" i="67"/>
  <c r="BF22" i="68"/>
  <c r="AP740" i="67"/>
  <c r="N655" i="67"/>
  <c r="P319" i="67"/>
  <c r="AH22" i="68"/>
  <c r="AL485" i="67"/>
  <c r="Y283" i="67"/>
  <c r="AP588" i="67"/>
  <c r="N806" i="67"/>
  <c r="P925" i="67"/>
  <c r="Q198" i="67"/>
  <c r="AL333" i="67"/>
  <c r="Y130" i="67"/>
  <c r="AP891" i="67"/>
  <c r="N351" i="67"/>
  <c r="Q45" i="67"/>
  <c r="AL637" i="67"/>
  <c r="AP436" i="67"/>
  <c r="N957" i="67"/>
  <c r="BF14" i="68"/>
  <c r="Q503" i="67"/>
  <c r="AL939" i="67"/>
  <c r="Y740" i="67"/>
  <c r="Y588" i="67"/>
  <c r="AP1042" i="67"/>
  <c r="M198" i="67"/>
  <c r="Q806" i="67"/>
  <c r="S166" i="67"/>
  <c r="Y891" i="67"/>
  <c r="M45" i="67"/>
  <c r="Q655" i="67"/>
  <c r="AG22" i="68"/>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P283" i="67"/>
  <c r="AF165" i="67"/>
  <c r="AJ180" i="67"/>
  <c r="AP332" i="67"/>
  <c r="AF773" i="67"/>
  <c r="AJ27" i="67"/>
  <c r="AP938" i="67"/>
  <c r="AF318" i="67"/>
  <c r="AD589" i="67"/>
  <c r="AJ485" i="67"/>
  <c r="BD14" i="68"/>
  <c r="AF924" i="67"/>
  <c r="AD131" i="67"/>
  <c r="AJ788" i="67"/>
  <c r="AD284" i="67"/>
  <c r="AJ637" i="67"/>
  <c r="AD741" i="67"/>
  <c r="AF12" i="67"/>
  <c r="AJ14" i="68"/>
  <c r="O481" i="67"/>
  <c r="P179" i="67"/>
  <c r="P26" i="67"/>
  <c r="P332" i="67"/>
  <c r="P787" i="67"/>
  <c r="AS22" i="68"/>
  <c r="Y197" i="67"/>
  <c r="Y44" i="67"/>
  <c r="Y654" i="67"/>
  <c r="Y350" i="67"/>
  <c r="AJ351" i="67"/>
  <c r="BD22" i="68"/>
  <c r="AJ957" i="67"/>
  <c r="AG14" i="68"/>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S453" i="67"/>
  <c r="S908" i="67"/>
  <c r="AL589" i="67"/>
  <c r="AF452" i="67"/>
  <c r="M1059" i="67"/>
  <c r="Y604" i="67"/>
  <c r="S1059" i="67"/>
  <c r="AL284" i="67"/>
  <c r="AF907" i="67"/>
  <c r="Y146" i="67"/>
  <c r="Y299" i="67"/>
  <c r="R892" i="67"/>
  <c r="AO637" i="67"/>
  <c r="BN80" i="70"/>
  <c r="AL741" i="67"/>
  <c r="Y907" i="67"/>
  <c r="R741" i="67"/>
  <c r="AO939" i="67"/>
  <c r="AL437" i="67"/>
  <c r="Q27" i="67"/>
  <c r="AM14" i="68"/>
  <c r="Y756" i="67"/>
  <c r="N589" i="67"/>
  <c r="AL892" i="67"/>
  <c r="Q485" i="67"/>
  <c r="Y452" i="67"/>
  <c r="AK14" i="68"/>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R45" i="67"/>
  <c r="K1536" i="67"/>
  <c r="K433" i="67" s="1"/>
  <c r="AF197" i="67"/>
  <c r="R806" i="67"/>
  <c r="AF502" i="67"/>
  <c r="R655" i="67"/>
  <c r="BB64" i="70"/>
  <c r="Z167" i="65" s="1"/>
  <c r="Z179" i="65" s="1"/>
  <c r="AF805" i="67"/>
  <c r="R503" i="67"/>
  <c r="AF44" i="67"/>
  <c r="R351" i="67"/>
  <c r="K953" i="67"/>
  <c r="P436" i="67"/>
  <c r="R453" i="67"/>
  <c r="P1042" i="67"/>
  <c r="R908" i="67"/>
  <c r="R1059" i="67"/>
  <c r="BJ22" i="68"/>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P179" i="67"/>
  <c r="AP484" i="67"/>
  <c r="AP787" i="67"/>
  <c r="R788" i="67"/>
  <c r="AP299" i="67"/>
  <c r="K921" i="67"/>
  <c r="AP452" i="67"/>
  <c r="AP756" i="67"/>
  <c r="AP1058" i="67"/>
  <c r="AL14" i="68"/>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M1262" i="67"/>
  <c r="U1228" i="67"/>
  <c r="AR1364" i="67"/>
  <c r="AP1364" i="67"/>
  <c r="X1230"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W1229" i="67"/>
  <c r="AG1346" i="67"/>
  <c r="X1242" i="67"/>
  <c r="AR1228" i="67"/>
  <c r="AP1347" i="67"/>
  <c r="AG1228" i="67"/>
  <c r="AF1348" i="67"/>
  <c r="AF1243" i="67"/>
  <c r="AI1260" i="67"/>
  <c r="K1243" i="67"/>
  <c r="T1229" i="67"/>
  <c r="AV1364" i="67"/>
  <c r="AE1262" i="67"/>
  <c r="L1242" i="67"/>
  <c r="AU1261" i="67"/>
  <c r="W1242" i="67"/>
  <c r="K1229" i="67"/>
  <c r="AE7" i="68"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M201" i="67"/>
  <c r="O354" i="67"/>
  <c r="O809" i="67"/>
  <c r="O658" i="67"/>
  <c r="O48" i="67"/>
  <c r="O506" i="67"/>
  <c r="AI25" i="68"/>
  <c r="O201" i="67"/>
  <c r="N354" i="67"/>
  <c r="N48" i="67"/>
  <c r="N658" i="67"/>
  <c r="N201" i="67"/>
  <c r="N506" i="67"/>
  <c r="AH25" i="68"/>
  <c r="N809" i="67"/>
  <c r="X1364" i="67"/>
  <c r="N1230" i="67"/>
  <c r="U1230" i="67"/>
  <c r="AH1363" i="67"/>
  <c r="AE1348" i="67"/>
  <c r="V1348" i="67"/>
  <c r="N1348" i="67"/>
  <c r="AH1244" i="67"/>
  <c r="N1243" i="67"/>
  <c r="AQ1242" i="67"/>
  <c r="AO1242" i="67"/>
  <c r="AG1362" i="67"/>
  <c r="X1260" i="67"/>
  <c r="U1242" i="67"/>
  <c r="AJ167" i="65"/>
  <c r="AJ179" i="65" s="1"/>
  <c r="U1262" i="67"/>
  <c r="T1347" i="67"/>
  <c r="AV1230" i="67"/>
  <c r="AF1262" i="67"/>
  <c r="P1230" i="67"/>
  <c r="O1364" i="67"/>
  <c r="AT1230" i="67"/>
  <c r="AW1348" i="67"/>
  <c r="Q1262" i="67"/>
  <c r="AF1363" i="67"/>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AV1262" i="67"/>
  <c r="V1364" i="67"/>
  <c r="AQ1364" i="67"/>
  <c r="AU1262" i="67"/>
  <c r="AC1230" i="67"/>
  <c r="W1347" i="67"/>
  <c r="V1260" i="67"/>
  <c r="Q1362" i="67"/>
  <c r="X167" i="65"/>
  <c r="X179" i="65" s="1"/>
  <c r="W1244" i="67"/>
  <c r="AD1262" i="67"/>
  <c r="Z1230" i="67"/>
  <c r="O1262" i="67"/>
  <c r="AW1230" i="67"/>
  <c r="AW1262" i="67"/>
  <c r="AG1262" i="67"/>
  <c r="Q1230" i="67"/>
  <c r="AL1262" i="67"/>
  <c r="AQ1230" i="67"/>
  <c r="AU1347" i="67"/>
  <c r="W1346" i="67"/>
  <c r="L1230" i="67"/>
  <c r="AA1262" i="67"/>
  <c r="K1262" i="67"/>
  <c r="K1244" i="67"/>
  <c r="AS1243" i="67"/>
  <c r="AW1346" i="67"/>
  <c r="AJ25" i="68"/>
  <c r="P354" i="67"/>
  <c r="P658" i="67"/>
  <c r="P809" i="67"/>
  <c r="P506" i="67"/>
  <c r="P48" i="67"/>
  <c r="P201" i="67"/>
  <c r="Z355" i="67"/>
  <c r="Z507" i="67"/>
  <c r="Z202" i="67"/>
  <c r="Z49" i="67"/>
  <c r="Z659" i="67"/>
  <c r="Z810" i="67"/>
  <c r="AN25" i="68"/>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L169" i="67"/>
  <c r="L777" i="67"/>
  <c r="L626" i="67"/>
  <c r="L16" i="67"/>
  <c r="L474" i="67"/>
  <c r="C167" i="65"/>
  <c r="C179" i="65" s="1"/>
  <c r="W1230"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Z322" i="67"/>
  <c r="Z474" i="67"/>
  <c r="Z169" i="67"/>
  <c r="Z777" i="67"/>
  <c r="Z626" i="67"/>
  <c r="Z16" i="67"/>
  <c r="AA303" i="67"/>
  <c r="AA760" i="67"/>
  <c r="AA911" i="67"/>
  <c r="AA456" i="67"/>
  <c r="AA608" i="67"/>
  <c r="AA150" i="67"/>
  <c r="AA322" i="67"/>
  <c r="AA777" i="67"/>
  <c r="AA169" i="67"/>
  <c r="AU10" i="68"/>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Q16" i="67"/>
  <c r="L323" i="67"/>
  <c r="L475" i="67"/>
  <c r="L17" i="67"/>
  <c r="L778" i="67"/>
  <c r="L627" i="67"/>
  <c r="L170" i="67"/>
  <c r="AW1242" i="67"/>
  <c r="AA354" i="67"/>
  <c r="AA809" i="67"/>
  <c r="AU25" i="68"/>
  <c r="AA506" i="67"/>
  <c r="AA48" i="67"/>
  <c r="AA658" i="67"/>
  <c r="AA201" i="67"/>
  <c r="X1244" i="67"/>
  <c r="AK1243" i="67"/>
  <c r="K1363" i="67"/>
  <c r="AT1262" i="67"/>
  <c r="B164" i="65"/>
  <c r="B176" i="65" s="1"/>
  <c r="AK1262" i="67"/>
  <c r="AJ1346" i="67"/>
  <c r="H4" i="50"/>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Y201" i="67"/>
  <c r="Y506" i="67"/>
  <c r="L337" i="67"/>
  <c r="L31" i="67"/>
  <c r="L641" i="67"/>
  <c r="L489" i="67"/>
  <c r="L184" i="67"/>
  <c r="M456" i="67"/>
  <c r="M911" i="67"/>
  <c r="M608" i="67"/>
  <c r="M150" i="67"/>
  <c r="M760" i="67"/>
  <c r="M303" i="67"/>
  <c r="M322" i="67"/>
  <c r="M777" i="67"/>
  <c r="M16" i="67"/>
  <c r="M626" i="67"/>
  <c r="M169" i="67"/>
  <c r="M474" i="67"/>
  <c r="AG10" i="68"/>
  <c r="O150" i="67"/>
  <c r="O760" i="67"/>
  <c r="O456" i="67"/>
  <c r="O303" i="67"/>
  <c r="O911" i="67"/>
  <c r="O608" i="67"/>
  <c r="AI10" i="68"/>
  <c r="O322" i="67"/>
  <c r="O16" i="67"/>
  <c r="O169" i="67"/>
  <c r="O626" i="67"/>
  <c r="O777" i="67"/>
  <c r="O474" i="67"/>
  <c r="N760" i="67"/>
  <c r="N911" i="67"/>
  <c r="N608" i="67"/>
  <c r="N150" i="67"/>
  <c r="N456" i="67"/>
  <c r="N303" i="67"/>
  <c r="N322" i="67"/>
  <c r="AH10" i="68"/>
  <c r="N474" i="67"/>
  <c r="N169" i="67"/>
  <c r="N777" i="67"/>
  <c r="N626" i="67"/>
  <c r="N16" i="67"/>
  <c r="AO1364" i="67"/>
  <c r="Y1262" i="67"/>
  <c r="W1261" i="67"/>
  <c r="Q167" i="65"/>
  <c r="Q179" i="65" s="1"/>
  <c r="Q1346" i="67"/>
  <c r="AJ1244" i="67"/>
  <c r="AU1243" i="67"/>
  <c r="W1260" i="67"/>
  <c r="AA1244" i="67"/>
  <c r="K1260" i="67"/>
  <c r="W1243" i="67"/>
  <c r="AP1261" i="67"/>
  <c r="V1362" i="67"/>
  <c r="AI1230" i="67"/>
  <c r="Q1242" i="67"/>
  <c r="Y167" i="65"/>
  <c r="Y179" i="65" s="1"/>
  <c r="AD1230" i="67"/>
  <c r="P1364" i="67"/>
  <c r="V1262" i="67"/>
  <c r="AQ1261" i="67"/>
  <c r="AT1243" i="67"/>
  <c r="AR1242" i="67"/>
  <c r="AE1363" i="67"/>
  <c r="AJ1230" i="67"/>
  <c r="AM1362"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AC1229" i="67" l="1"/>
  <c r="AD64" i="70"/>
  <c r="B167" i="65" s="1"/>
  <c r="B179" i="65" s="1"/>
  <c r="AD80" i="70"/>
  <c r="H4" i="57"/>
  <c r="H68" i="50"/>
  <c r="AG1263" i="67"/>
  <c r="AG1349" i="67"/>
  <c r="AG1245" i="67"/>
  <c r="AG1365" i="67"/>
  <c r="AH941" i="67"/>
  <c r="AH639" i="67"/>
  <c r="AH29" i="67"/>
  <c r="AH182" i="67"/>
  <c r="AH790" i="67"/>
  <c r="AH487" i="67"/>
  <c r="AH335" i="67"/>
  <c r="AH1245" i="67" s="1"/>
  <c r="BB16" i="68"/>
  <c r="AA17" i="62" s="1"/>
  <c r="AG1231" i="67"/>
  <c r="AH927" i="67"/>
  <c r="AH473" i="67"/>
  <c r="AH15" i="67"/>
  <c r="AH625" i="67"/>
  <c r="AH168" i="67"/>
  <c r="AH776" i="67"/>
  <c r="AH321" i="67"/>
  <c r="AH1231" i="67" s="1"/>
  <c r="BB9" i="68"/>
  <c r="AA11" i="62" s="1"/>
  <c r="O1260" i="67"/>
  <c r="AH1061" i="67"/>
  <c r="AH607" i="67"/>
  <c r="AH149" i="67"/>
  <c r="AH759" i="67"/>
  <c r="AH455" i="67"/>
  <c r="AH910" i="67"/>
  <c r="AH302" i="67"/>
  <c r="AI1363" i="67"/>
  <c r="AH1045" i="67"/>
  <c r="AH743" i="67"/>
  <c r="AH894" i="67"/>
  <c r="AH133" i="67"/>
  <c r="AH286" i="67"/>
  <c r="AH591" i="67"/>
  <c r="AH439" i="67"/>
  <c r="BC16" i="36"/>
  <c r="AI1196" i="67"/>
  <c r="AI1212" i="67"/>
  <c r="AI1078" i="67"/>
  <c r="AI1092" i="67"/>
  <c r="AI1542" i="67"/>
  <c r="AI1558" i="67"/>
  <c r="AI1390" i="67"/>
  <c r="AI1404" i="67"/>
  <c r="AI1422" i="67"/>
  <c r="AI1110" i="67"/>
  <c r="BB24" i="68"/>
  <c r="AH959" i="67"/>
  <c r="AH657" i="67"/>
  <c r="AH808" i="67"/>
  <c r="AH200" i="67"/>
  <c r="AH47" i="67"/>
  <c r="AH353" i="67"/>
  <c r="AH505" i="67"/>
  <c r="H12" i="62"/>
  <c r="AH15" i="62"/>
  <c r="AK22" i="62"/>
  <c r="O15" i="62"/>
  <c r="U22" i="62"/>
  <c r="R23" i="62"/>
  <c r="M23" i="62"/>
  <c r="L15" i="62"/>
  <c r="AC22" i="62"/>
  <c r="I15" i="62"/>
  <c r="F22" i="62"/>
  <c r="AE15" i="62"/>
  <c r="T15" i="62"/>
  <c r="AP15" i="62"/>
  <c r="I23" i="62"/>
  <c r="N12" i="62"/>
  <c r="AI22" i="62"/>
  <c r="R15" i="62"/>
  <c r="M22" i="62"/>
  <c r="AF22" i="62"/>
  <c r="S15" i="62"/>
  <c r="AP22" i="62"/>
  <c r="T12" i="62"/>
  <c r="E12" i="62"/>
  <c r="AL15" i="62"/>
  <c r="S12" i="62"/>
  <c r="N22" i="62"/>
  <c r="AG22" i="62"/>
  <c r="AN15" i="62"/>
  <c r="H22" i="62"/>
  <c r="H23" i="62"/>
  <c r="AL22" i="62"/>
  <c r="E23" i="62"/>
  <c r="G23" i="62"/>
  <c r="AI15" i="62"/>
  <c r="G22" i="62"/>
  <c r="AA22" i="62"/>
  <c r="S22" i="62"/>
  <c r="R12" i="62"/>
  <c r="T22" i="62"/>
  <c r="AK15" i="62"/>
  <c r="F12" i="62"/>
  <c r="J12" i="62"/>
  <c r="F23" i="62"/>
  <c r="K15" i="62"/>
  <c r="W22" i="62"/>
  <c r="AD22" i="62"/>
  <c r="AN22" i="62"/>
  <c r="X15" i="62"/>
  <c r="V22" i="62"/>
  <c r="AJ1260" i="67"/>
  <c r="D9" i="62"/>
  <c r="J15" i="62"/>
  <c r="R22" i="62"/>
  <c r="U15" i="62"/>
  <c r="AF15" i="62"/>
  <c r="V15" i="62"/>
  <c r="Q22" i="62"/>
  <c r="L1363" i="67"/>
  <c r="I12" i="62"/>
  <c r="F15" i="62"/>
  <c r="K22" i="62"/>
  <c r="N23" i="62"/>
  <c r="T23" i="62"/>
  <c r="G12" i="62"/>
  <c r="S23" i="62"/>
  <c r="Y22" i="62"/>
  <c r="AH22" i="62"/>
  <c r="AE22" i="62"/>
  <c r="W15" i="62"/>
  <c r="M15" i="62"/>
  <c r="I22" i="62"/>
  <c r="AA15" i="62"/>
  <c r="O22" i="62"/>
  <c r="AG15" i="62"/>
  <c r="AO15" i="62"/>
  <c r="AD15" i="62"/>
  <c r="H15" i="62"/>
  <c r="J23" i="62"/>
  <c r="M12" i="62"/>
  <c r="AC15" i="62"/>
  <c r="X22" i="62"/>
  <c r="O1346" i="67"/>
  <c r="X1363" i="67"/>
  <c r="O1242" i="67"/>
  <c r="O1228" i="67"/>
  <c r="O1362" i="67"/>
  <c r="AC1261" i="67"/>
  <c r="Z1228" i="67"/>
  <c r="AC1363" i="67"/>
  <c r="Z1242" i="67"/>
  <c r="X1347" i="67"/>
  <c r="X1261" i="67"/>
  <c r="X1229" i="67"/>
  <c r="Z1362" i="67"/>
  <c r="AC1242" i="67"/>
  <c r="AH1346" i="67"/>
  <c r="AW1261" i="67"/>
  <c r="Z1346" i="67"/>
  <c r="AC1362" i="67"/>
  <c r="AV1243" i="67"/>
  <c r="AC1347" i="67"/>
  <c r="AK1229" i="67"/>
  <c r="AE1260" i="67"/>
  <c r="AC1346" i="67"/>
  <c r="AW1243" i="67"/>
  <c r="N1346" i="67"/>
  <c r="L1229" i="67"/>
  <c r="AF7" i="68" s="1"/>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AH1261" i="67"/>
  <c r="AU1260" i="67"/>
  <c r="AA1362" i="67"/>
  <c r="AH1362" i="67"/>
  <c r="AS1347" i="67"/>
  <c r="AO1347" i="67"/>
  <c r="K280" i="67"/>
  <c r="K737" i="67"/>
  <c r="K585" i="67"/>
  <c r="K888" i="67"/>
  <c r="K127" i="67"/>
  <c r="AK7" i="68"/>
  <c r="AK1261" i="67"/>
  <c r="AR1363" i="67"/>
  <c r="Y1229" i="67"/>
  <c r="AS7" i="68" s="1"/>
  <c r="AK1363" i="67"/>
  <c r="AV1229" i="67"/>
  <c r="AO1363" i="67"/>
  <c r="AK1362" i="67"/>
  <c r="U1229" i="67"/>
  <c r="AO7" i="68"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K48" i="67"/>
  <c r="K201" i="67"/>
  <c r="K809" i="67"/>
  <c r="K506" i="67"/>
  <c r="K658" i="67"/>
  <c r="G4" i="50"/>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K777" i="67"/>
  <c r="K16" i="67"/>
  <c r="K169" i="67"/>
  <c r="K474" i="67"/>
  <c r="K626" i="67"/>
  <c r="K608" i="67"/>
  <c r="K150" i="67"/>
  <c r="K303" i="67"/>
  <c r="K911" i="67"/>
  <c r="K760" i="67"/>
  <c r="K456" i="67"/>
  <c r="AU42" i="36"/>
  <c r="AT83" i="36"/>
  <c r="G5" i="47"/>
  <c r="G4" i="57" l="1"/>
  <c r="G68" i="50"/>
  <c r="AH1263" i="67"/>
  <c r="BD16" i="36"/>
  <c r="AJ1196" i="67"/>
  <c r="AJ1212" i="67"/>
  <c r="AJ1078" i="67"/>
  <c r="AJ1092" i="67"/>
  <c r="AJ1404" i="67"/>
  <c r="AJ1542" i="67"/>
  <c r="AJ1558" i="67"/>
  <c r="AJ1390" i="67"/>
  <c r="AJ1110" i="67"/>
  <c r="AJ1422" i="67"/>
  <c r="AH1365" i="67"/>
  <c r="AI47" i="67"/>
  <c r="BC24" i="68"/>
  <c r="AI505" i="67"/>
  <c r="AI959" i="67"/>
  <c r="AI200" i="67"/>
  <c r="AI353" i="67"/>
  <c r="AI657" i="67"/>
  <c r="AI808" i="67"/>
  <c r="AI941" i="67"/>
  <c r="AI639" i="67"/>
  <c r="AI790" i="67"/>
  <c r="AI29" i="67"/>
  <c r="AI182" i="67"/>
  <c r="AI487" i="67"/>
  <c r="AI335" i="67"/>
  <c r="BC16" i="68"/>
  <c r="AB17" i="62" s="1"/>
  <c r="AH1349" i="67"/>
  <c r="AI927" i="67"/>
  <c r="AI321" i="67"/>
  <c r="AI473" i="67"/>
  <c r="AI15" i="67"/>
  <c r="AI168" i="67"/>
  <c r="AI625" i="67"/>
  <c r="AI776" i="67"/>
  <c r="BC9" i="68"/>
  <c r="AB11" i="62" s="1"/>
  <c r="AI1061" i="67"/>
  <c r="AI149" i="67"/>
  <c r="AI759" i="67"/>
  <c r="AI910" i="67"/>
  <c r="AI607" i="67"/>
  <c r="AI455" i="67"/>
  <c r="AI302" i="67"/>
  <c r="AI1045" i="67"/>
  <c r="AI591" i="67"/>
  <c r="AI286" i="67"/>
  <c r="AI439" i="67"/>
  <c r="AI133" i="67"/>
  <c r="AI743" i="67"/>
  <c r="AI894" i="67"/>
  <c r="F9" i="62"/>
  <c r="T9" i="62"/>
  <c r="E9" i="62"/>
  <c r="M9" i="62"/>
  <c r="N9" i="62"/>
  <c r="J9" i="62"/>
  <c r="H9" i="62"/>
  <c r="D23" i="62"/>
  <c r="D12" i="62"/>
  <c r="R9" i="62"/>
  <c r="AT7" i="68"/>
  <c r="AT17" i="68"/>
  <c r="AH7" i="68"/>
  <c r="AF17" i="68"/>
  <c r="AN17" i="68"/>
  <c r="K1343" i="67"/>
  <c r="AG11" i="50"/>
  <c r="J64" i="65" s="1"/>
  <c r="AG17" i="68"/>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K1225" i="67"/>
  <c r="K1257" i="67"/>
  <c r="AU17" i="68"/>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AK17" i="68"/>
  <c r="AH17" i="68"/>
  <c r="K1247" i="67"/>
  <c r="K1367" i="67"/>
  <c r="AS17" i="68"/>
  <c r="AJ17" i="68"/>
  <c r="K1351" i="67"/>
  <c r="K1233" i="67"/>
  <c r="K1265" i="67"/>
  <c r="K1366" i="67"/>
  <c r="AI17" i="68"/>
  <c r="K1264" i="67"/>
  <c r="K1232" i="67"/>
  <c r="K1246" i="67"/>
  <c r="F4" i="50"/>
  <c r="F4" i="69"/>
  <c r="K1350" i="67"/>
  <c r="AV42" i="36"/>
  <c r="AU83" i="36"/>
  <c r="F5" i="47"/>
  <c r="U19" i="55"/>
  <c r="F4" i="57" l="1"/>
  <c r="F68" i="50"/>
  <c r="D64" i="65"/>
  <c r="AI1231" i="67"/>
  <c r="AI1245" i="67"/>
  <c r="AJ959" i="67"/>
  <c r="AJ505" i="67"/>
  <c r="AJ657" i="67"/>
  <c r="AJ808" i="67"/>
  <c r="AJ353" i="67"/>
  <c r="AJ47" i="67"/>
  <c r="AJ200" i="67"/>
  <c r="BD24" i="68"/>
  <c r="AJ927" i="67"/>
  <c r="AJ15" i="67"/>
  <c r="AJ168" i="67"/>
  <c r="AJ321" i="67"/>
  <c r="AJ625" i="67"/>
  <c r="AJ776" i="67"/>
  <c r="AJ473" i="67"/>
  <c r="BD9" i="68"/>
  <c r="AC11" i="62" s="1"/>
  <c r="AJ1061" i="67"/>
  <c r="AJ607" i="67"/>
  <c r="AJ759" i="67"/>
  <c r="AJ910" i="67"/>
  <c r="AJ149" i="67"/>
  <c r="AJ1365" i="67" s="1"/>
  <c r="AJ455" i="67"/>
  <c r="AJ302" i="67"/>
  <c r="AJ941" i="67"/>
  <c r="AJ182" i="67"/>
  <c r="AJ487" i="67"/>
  <c r="AJ335" i="67"/>
  <c r="AJ639" i="67"/>
  <c r="AJ29" i="67"/>
  <c r="AJ790" i="67"/>
  <c r="BD16" i="68"/>
  <c r="AC17" i="62" s="1"/>
  <c r="AJ1045" i="67"/>
  <c r="AJ743" i="67"/>
  <c r="AJ894" i="67"/>
  <c r="AJ286" i="67"/>
  <c r="AJ591" i="67"/>
  <c r="AJ439" i="67"/>
  <c r="AJ133" i="67"/>
  <c r="AI1365" i="67"/>
  <c r="AI1349" i="67"/>
  <c r="AI1263" i="67"/>
  <c r="BE16" i="36"/>
  <c r="AK1196" i="67"/>
  <c r="AK1092" i="67"/>
  <c r="AK1212" i="67"/>
  <c r="AK1078" i="67"/>
  <c r="AK1404" i="67"/>
  <c r="AK1542" i="67"/>
  <c r="AK1558" i="67"/>
  <c r="AK1390" i="67"/>
  <c r="AK1110" i="67"/>
  <c r="AK1422" i="67"/>
  <c r="S18" i="62"/>
  <c r="E18" i="62"/>
  <c r="S9" i="62"/>
  <c r="H18" i="62"/>
  <c r="T18" i="62"/>
  <c r="G9" i="62"/>
  <c r="I9" i="62"/>
  <c r="I18" i="62"/>
  <c r="R18" i="62"/>
  <c r="F18" i="62"/>
  <c r="G18" i="62"/>
  <c r="J18" i="62"/>
  <c r="N18" i="62"/>
  <c r="M18" i="62"/>
  <c r="Y100" i="65"/>
  <c r="Y83" i="65" s="1"/>
  <c r="AV11" i="69" s="1"/>
  <c r="AJ9" i="36"/>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Z1383" i="67"/>
  <c r="Z1397" i="67"/>
  <c r="Z1415" i="67"/>
  <c r="Z1535" i="67"/>
  <c r="Z1551" i="67"/>
  <c r="O1396" i="67"/>
  <c r="O1382" i="67"/>
  <c r="O160" i="67" s="1"/>
  <c r="O1414" i="67"/>
  <c r="O1534" i="67"/>
  <c r="O1550" i="67"/>
  <c r="T1382" i="67"/>
  <c r="T160" i="67" s="1"/>
  <c r="T1396" i="67"/>
  <c r="T1414" i="67"/>
  <c r="T1534" i="67"/>
  <c r="T1550" i="67"/>
  <c r="E4" i="50"/>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E4" i="57" l="1"/>
  <c r="E68" i="50"/>
  <c r="AJ1263" i="67"/>
  <c r="AJ1349" i="67"/>
  <c r="AJ1245" i="67"/>
  <c r="AJ1231" i="67"/>
  <c r="BF16" i="36"/>
  <c r="AL1078" i="67"/>
  <c r="AL1196" i="67"/>
  <c r="AL1212" i="67"/>
  <c r="AL1092" i="67"/>
  <c r="AL1390" i="67"/>
  <c r="AL1404" i="67"/>
  <c r="AL1542" i="67"/>
  <c r="AL1558" i="67"/>
  <c r="AL1110" i="67"/>
  <c r="AL1422" i="67"/>
  <c r="AK959" i="67"/>
  <c r="AK657" i="67"/>
  <c r="AK47" i="67"/>
  <c r="AK505" i="67"/>
  <c r="AK200" i="67"/>
  <c r="AK353" i="67"/>
  <c r="AK808" i="67"/>
  <c r="BE24" i="68"/>
  <c r="AK927" i="67"/>
  <c r="AK473" i="67"/>
  <c r="AK15" i="67"/>
  <c r="AK168" i="67"/>
  <c r="AK321" i="67"/>
  <c r="AK776" i="67"/>
  <c r="AK625" i="67"/>
  <c r="BE9" i="68"/>
  <c r="AD11" i="62" s="1"/>
  <c r="AK1061" i="67"/>
  <c r="AK759" i="67"/>
  <c r="AK910" i="67"/>
  <c r="AK302" i="67"/>
  <c r="AK607" i="67"/>
  <c r="AK455" i="67"/>
  <c r="AK149" i="67"/>
  <c r="AK1045" i="67"/>
  <c r="AK894" i="67"/>
  <c r="AK439" i="67"/>
  <c r="AK743" i="67"/>
  <c r="AK286" i="67"/>
  <c r="AK591" i="67"/>
  <c r="AK133" i="67"/>
  <c r="AK941" i="67"/>
  <c r="AK487" i="67"/>
  <c r="AK29" i="67"/>
  <c r="AK335" i="67"/>
  <c r="AK182" i="67"/>
  <c r="AK790" i="67"/>
  <c r="AK639" i="67"/>
  <c r="BE16" i="68"/>
  <c r="AD17" i="62" s="1"/>
  <c r="D18" i="62"/>
  <c r="Q1383" i="67"/>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D4" i="57" l="1"/>
  <c r="D68" i="50"/>
  <c r="AK1245" i="67"/>
  <c r="AK1365" i="67"/>
  <c r="AK1231" i="67"/>
  <c r="AL959" i="67"/>
  <c r="AL47" i="67"/>
  <c r="AL200" i="67"/>
  <c r="AL353" i="67"/>
  <c r="AL505" i="67"/>
  <c r="AL657" i="67"/>
  <c r="AL808" i="67"/>
  <c r="BF24" i="68"/>
  <c r="AL1045" i="67"/>
  <c r="AL286" i="67"/>
  <c r="AL133" i="67"/>
  <c r="AL591" i="67"/>
  <c r="AL894" i="67"/>
  <c r="AL439" i="67"/>
  <c r="AL743" i="67"/>
  <c r="AL941" i="67"/>
  <c r="AL639" i="67"/>
  <c r="AL29" i="67"/>
  <c r="AL487" i="67"/>
  <c r="AL182" i="67"/>
  <c r="AL335" i="67"/>
  <c r="AL790" i="67"/>
  <c r="BF16" i="68"/>
  <c r="AE17" i="62" s="1"/>
  <c r="AL927" i="67"/>
  <c r="AL625" i="67"/>
  <c r="AL473" i="67"/>
  <c r="AL15" i="67"/>
  <c r="AL776" i="67"/>
  <c r="AL168" i="67"/>
  <c r="AL321" i="67"/>
  <c r="BF9" i="68"/>
  <c r="AE11" i="62" s="1"/>
  <c r="AL1061" i="67"/>
  <c r="AL607" i="67"/>
  <c r="AL149" i="67"/>
  <c r="AL759" i="67"/>
  <c r="AL910" i="67"/>
  <c r="AL455" i="67"/>
  <c r="AL302" i="67"/>
  <c r="AK1349" i="67"/>
  <c r="AK1263" i="67"/>
  <c r="BG16" i="36"/>
  <c r="AM1212" i="67"/>
  <c r="AM1196" i="67"/>
  <c r="AM1078" i="67"/>
  <c r="AM1092" i="67"/>
  <c r="AM1390" i="67"/>
  <c r="AM1404" i="67"/>
  <c r="AM1542" i="67"/>
  <c r="AM1558" i="67"/>
  <c r="AM1110" i="67"/>
  <c r="AM1422" i="67"/>
  <c r="Q8" i="67"/>
  <c r="O161" i="67"/>
  <c r="P8" i="67"/>
  <c r="N8" i="67"/>
  <c r="K8" i="67"/>
  <c r="Y161" i="67"/>
  <c r="C4" i="50"/>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C4" i="57" l="1"/>
  <c r="C68" i="50"/>
  <c r="AL1263" i="67"/>
  <c r="AL1231" i="67"/>
  <c r="AL1349" i="67"/>
  <c r="AL1365" i="67"/>
  <c r="AM927" i="67"/>
  <c r="AM625" i="67"/>
  <c r="AM776" i="67"/>
  <c r="AM473" i="67"/>
  <c r="AM15" i="67"/>
  <c r="AM168" i="67"/>
  <c r="AM321" i="67"/>
  <c r="BG9" i="68"/>
  <c r="AF11" i="62" s="1"/>
  <c r="AL1245" i="67"/>
  <c r="BH16" i="36"/>
  <c r="AN1092" i="67"/>
  <c r="AN1212" i="67"/>
  <c r="AN1196" i="67"/>
  <c r="AN1078" i="67"/>
  <c r="AN1390" i="67"/>
  <c r="AN1404" i="67"/>
  <c r="AN1542" i="67"/>
  <c r="AN1558" i="67"/>
  <c r="AN1110" i="67"/>
  <c r="AN1422" i="67"/>
  <c r="BG24" i="68"/>
  <c r="AM353" i="67"/>
  <c r="AM959" i="67"/>
  <c r="AM657" i="67"/>
  <c r="AM808" i="67"/>
  <c r="AM200" i="67"/>
  <c r="AM47" i="67"/>
  <c r="AM505" i="67"/>
  <c r="AM1061" i="67"/>
  <c r="AM759" i="67"/>
  <c r="AM910" i="67"/>
  <c r="AM302" i="67"/>
  <c r="AM607" i="67"/>
  <c r="AM455" i="67"/>
  <c r="AM149" i="67"/>
  <c r="AM1045" i="67"/>
  <c r="AM439" i="67"/>
  <c r="AM743" i="67"/>
  <c r="AM133" i="67"/>
  <c r="AM591" i="67"/>
  <c r="AM894" i="67"/>
  <c r="AM286" i="67"/>
  <c r="AM941" i="67"/>
  <c r="AM639" i="67"/>
  <c r="AM29" i="67"/>
  <c r="AM182" i="67"/>
  <c r="AM335" i="67"/>
  <c r="AM487" i="67"/>
  <c r="AM790" i="67"/>
  <c r="BG16" i="68"/>
  <c r="AF17" i="62" s="1"/>
  <c r="AZ42" i="36"/>
  <c r="AY83" i="36"/>
  <c r="A24" i="46"/>
  <c r="C69" i="46"/>
  <c r="AM1365" i="67" l="1"/>
  <c r="AM1263" i="67"/>
  <c r="BI16" i="36"/>
  <c r="AO1212" i="67"/>
  <c r="AO1092" i="67"/>
  <c r="AO1196" i="67"/>
  <c r="AO1078" i="67"/>
  <c r="AO1390" i="67"/>
  <c r="AO1404" i="67"/>
  <c r="AO1542" i="67"/>
  <c r="AO1558" i="67"/>
  <c r="AO1422" i="67"/>
  <c r="AO1110" i="67"/>
  <c r="AN1061" i="67"/>
  <c r="AN759" i="67"/>
  <c r="AN910" i="67"/>
  <c r="AN302" i="67"/>
  <c r="AN149" i="67"/>
  <c r="AN455" i="67"/>
  <c r="AN607" i="67"/>
  <c r="AN1045" i="67"/>
  <c r="AN591" i="67"/>
  <c r="AN439" i="67"/>
  <c r="AN743" i="67"/>
  <c r="AN133" i="67"/>
  <c r="AN894" i="67"/>
  <c r="AN286" i="67"/>
  <c r="AM1231" i="67"/>
  <c r="AM1349" i="67"/>
  <c r="AN941" i="67"/>
  <c r="AN182" i="67"/>
  <c r="AN790" i="67"/>
  <c r="AN29" i="67"/>
  <c r="AN335" i="67"/>
  <c r="AN487" i="67"/>
  <c r="AN639" i="67"/>
  <c r="AN1245" i="67" s="1"/>
  <c r="BH16" i="68"/>
  <c r="AG17" i="62" s="1"/>
  <c r="AM1245" i="67"/>
  <c r="AN47" i="67"/>
  <c r="AN959" i="67"/>
  <c r="AN808" i="67"/>
  <c r="AN353" i="67"/>
  <c r="BH24" i="68"/>
  <c r="AN200" i="67"/>
  <c r="AN657" i="67"/>
  <c r="AN505" i="67"/>
  <c r="AN927" i="67"/>
  <c r="AN15" i="67"/>
  <c r="AN1231" i="67" s="1"/>
  <c r="AN321" i="67"/>
  <c r="AN473" i="67"/>
  <c r="AN625" i="67"/>
  <c r="AN776" i="67"/>
  <c r="AN168" i="67"/>
  <c r="BH9" i="68"/>
  <c r="AG11" i="62" s="1"/>
  <c r="BA42" i="36"/>
  <c r="AZ83" i="36"/>
  <c r="A25" i="46"/>
  <c r="C70" i="46"/>
  <c r="AN1349" i="67" l="1"/>
  <c r="AO1061" i="67"/>
  <c r="AO759" i="67"/>
  <c r="AO910" i="67"/>
  <c r="AO607" i="67"/>
  <c r="AO455" i="67"/>
  <c r="AO302" i="67"/>
  <c r="AO149" i="67"/>
  <c r="AO1045" i="67"/>
  <c r="AO439" i="67"/>
  <c r="AO286" i="67"/>
  <c r="AO591" i="67"/>
  <c r="AO743" i="67"/>
  <c r="AO133" i="67"/>
  <c r="AO894" i="67"/>
  <c r="AO941" i="67"/>
  <c r="AO335" i="67"/>
  <c r="AO790" i="67"/>
  <c r="AO29" i="67"/>
  <c r="AO182" i="67"/>
  <c r="AO487" i="67"/>
  <c r="AO639" i="67"/>
  <c r="AO1245" i="67"/>
  <c r="BI16" i="68"/>
  <c r="AH17" i="62" s="1"/>
  <c r="AO927" i="67"/>
  <c r="AO15" i="67"/>
  <c r="AO168" i="67"/>
  <c r="AO625" i="67"/>
  <c r="AO473" i="67"/>
  <c r="AO776" i="67"/>
  <c r="AO321" i="67"/>
  <c r="BI9" i="68"/>
  <c r="AH11" i="62" s="1"/>
  <c r="AN1365" i="67"/>
  <c r="BI24" i="68"/>
  <c r="AO353" i="67"/>
  <c r="AO1263" i="67" s="1"/>
  <c r="AO657" i="67"/>
  <c r="AO959" i="67"/>
  <c r="AO808" i="67"/>
  <c r="AO47" i="67"/>
  <c r="AO200" i="67"/>
  <c r="AO505" i="67"/>
  <c r="AN1263" i="67"/>
  <c r="BJ16" i="36"/>
  <c r="AP1078" i="67"/>
  <c r="AP1196" i="67"/>
  <c r="AP1092" i="67"/>
  <c r="AP1212" i="67"/>
  <c r="AP1390" i="67"/>
  <c r="AP1558" i="67"/>
  <c r="AP1404" i="67"/>
  <c r="AP1542" i="67"/>
  <c r="AP1110" i="67"/>
  <c r="AP1422" i="67"/>
  <c r="BB42" i="36"/>
  <c r="BA83" i="36"/>
  <c r="A26" i="46"/>
  <c r="C71" i="46"/>
  <c r="AO1365" i="67" l="1"/>
  <c r="AP657" i="67"/>
  <c r="AP353" i="67"/>
  <c r="AP808" i="67"/>
  <c r="AP47" i="67"/>
  <c r="BJ24" i="68"/>
  <c r="AP505" i="67"/>
  <c r="AP959" i="67"/>
  <c r="AP200" i="67"/>
  <c r="AP1263" i="67" s="1"/>
  <c r="AP927" i="67"/>
  <c r="AP625" i="67"/>
  <c r="AP776" i="67"/>
  <c r="AP473" i="67"/>
  <c r="AP15" i="67"/>
  <c r="AP168" i="67"/>
  <c r="AP321" i="67"/>
  <c r="BJ9" i="68"/>
  <c r="AI11" i="62" s="1"/>
  <c r="AP1045" i="67"/>
  <c r="AP591" i="67"/>
  <c r="AP286" i="67"/>
  <c r="AP439" i="67"/>
  <c r="AP743" i="67"/>
  <c r="AP894" i="67"/>
  <c r="AP133" i="67"/>
  <c r="BK16" i="36"/>
  <c r="AQ1078" i="67"/>
  <c r="AQ1092" i="67"/>
  <c r="AQ1196" i="67"/>
  <c r="AQ1212" i="67"/>
  <c r="AQ1390" i="67"/>
  <c r="AQ1404" i="67"/>
  <c r="AQ1542" i="67"/>
  <c r="AQ1558" i="67"/>
  <c r="AQ1110" i="67"/>
  <c r="AQ1422" i="67"/>
  <c r="AP941" i="67"/>
  <c r="AP29" i="67"/>
  <c r="AP790" i="67"/>
  <c r="AP182" i="67"/>
  <c r="AP335" i="67"/>
  <c r="AP639" i="67"/>
  <c r="AP487" i="67"/>
  <c r="BJ16" i="68"/>
  <c r="AI17" i="62" s="1"/>
  <c r="AP1061" i="67"/>
  <c r="AP607" i="67"/>
  <c r="AP759" i="67"/>
  <c r="AP149" i="67"/>
  <c r="AP910" i="67"/>
  <c r="AP455" i="67"/>
  <c r="AP302" i="67"/>
  <c r="AO1231" i="67"/>
  <c r="AO1349" i="67"/>
  <c r="BC42" i="36"/>
  <c r="BB83" i="36"/>
  <c r="A27" i="46"/>
  <c r="C72" i="46"/>
  <c r="AP1245" i="67" l="1"/>
  <c r="AP1349" i="67"/>
  <c r="AQ1061" i="67"/>
  <c r="AQ302" i="67"/>
  <c r="AQ910" i="67"/>
  <c r="AQ455" i="67"/>
  <c r="AQ759" i="67"/>
  <c r="AQ149" i="67"/>
  <c r="AQ607" i="67"/>
  <c r="AQ1365" i="67"/>
  <c r="AP1365" i="67"/>
  <c r="BL16" i="36"/>
  <c r="AR1212" i="67"/>
  <c r="AR1078" i="67"/>
  <c r="AR1092" i="67"/>
  <c r="AR1196" i="67"/>
  <c r="AR1558" i="67"/>
  <c r="AR1542" i="67"/>
  <c r="AR1390" i="67"/>
  <c r="AR1404" i="67"/>
  <c r="AR1110" i="67"/>
  <c r="AR1422" i="67"/>
  <c r="AQ927" i="67"/>
  <c r="AQ625" i="67"/>
  <c r="AQ15" i="67"/>
  <c r="AQ1231" i="67" s="1"/>
  <c r="AQ776" i="67"/>
  <c r="AQ168" i="67"/>
  <c r="AQ473" i="67"/>
  <c r="AQ321" i="67"/>
  <c r="BK9" i="68"/>
  <c r="AJ11" i="62" s="1"/>
  <c r="AQ657" i="67"/>
  <c r="AQ959" i="67"/>
  <c r="AQ808" i="67"/>
  <c r="AQ47" i="67"/>
  <c r="AQ1263" i="67" s="1"/>
  <c r="AQ200" i="67"/>
  <c r="AQ505" i="67"/>
  <c r="AQ353" i="67"/>
  <c r="BK24" i="68"/>
  <c r="AQ1045" i="67"/>
  <c r="AQ743" i="67"/>
  <c r="AQ439" i="67"/>
  <c r="AQ894" i="67"/>
  <c r="AQ133" i="67"/>
  <c r="AQ286" i="67"/>
  <c r="AQ591" i="67"/>
  <c r="AQ1349" i="67"/>
  <c r="AQ941" i="67"/>
  <c r="AQ487" i="67"/>
  <c r="AQ29" i="67"/>
  <c r="AQ182" i="67"/>
  <c r="AQ790" i="67"/>
  <c r="AQ335" i="67"/>
  <c r="AQ639" i="67"/>
  <c r="BK16" i="68"/>
  <c r="AJ17" i="62" s="1"/>
  <c r="AP1231" i="67"/>
  <c r="BD42" i="36"/>
  <c r="BC83" i="36"/>
  <c r="C73" i="46"/>
  <c r="AR941" i="67" l="1"/>
  <c r="AR29" i="67"/>
  <c r="AR487" i="67"/>
  <c r="AR182" i="67"/>
  <c r="AR639" i="67"/>
  <c r="AR790" i="67"/>
  <c r="AR335" i="67"/>
  <c r="BL16" i="68"/>
  <c r="AK17" i="62" s="1"/>
  <c r="AR927" i="67"/>
  <c r="AR321" i="67"/>
  <c r="AR625" i="67"/>
  <c r="AR776" i="67"/>
  <c r="AR168" i="67"/>
  <c r="AR473" i="67"/>
  <c r="AR15" i="67"/>
  <c r="BL9" i="68"/>
  <c r="AK11" i="62" s="1"/>
  <c r="AR1045" i="67"/>
  <c r="AR439" i="67"/>
  <c r="AR133" i="67"/>
  <c r="AR591" i="67"/>
  <c r="AR743" i="67"/>
  <c r="AR894" i="67"/>
  <c r="AR286" i="67"/>
  <c r="AR1061" i="67"/>
  <c r="AR759" i="67"/>
  <c r="AR910" i="67"/>
  <c r="AR607" i="67"/>
  <c r="AR149" i="67"/>
  <c r="AR455" i="67"/>
  <c r="AR302" i="67"/>
  <c r="AR657" i="67"/>
  <c r="AR808" i="67"/>
  <c r="AR505" i="67"/>
  <c r="BL24" i="68"/>
  <c r="AR353" i="67"/>
  <c r="AR200" i="67"/>
  <c r="AR959" i="67"/>
  <c r="AR47" i="67"/>
  <c r="AQ1245" i="67"/>
  <c r="BM16" i="36"/>
  <c r="AS1196" i="67"/>
  <c r="AS1212" i="67"/>
  <c r="AS1078" i="67"/>
  <c r="AS1092" i="67"/>
  <c r="AS1558" i="67"/>
  <c r="AS1390" i="67"/>
  <c r="AS1404" i="67"/>
  <c r="AS1542" i="67"/>
  <c r="AS1110" i="67"/>
  <c r="AS1422" i="67"/>
  <c r="BE42" i="36"/>
  <c r="BD83" i="36"/>
  <c r="C74" i="46"/>
  <c r="AR1263" i="67" l="1"/>
  <c r="AS941" i="67"/>
  <c r="AS335" i="67"/>
  <c r="AS29" i="67"/>
  <c r="AS182" i="67"/>
  <c r="AS790" i="67"/>
  <c r="AS639" i="67"/>
  <c r="AS487" i="67"/>
  <c r="BM16" i="68"/>
  <c r="AL17" i="62" s="1"/>
  <c r="AR1349" i="67"/>
  <c r="BN16" i="36"/>
  <c r="AT1196" i="67"/>
  <c r="AT1212" i="67"/>
  <c r="AT1078" i="67"/>
  <c r="AT1092" i="67"/>
  <c r="AT1542" i="67"/>
  <c r="AT1558" i="67"/>
  <c r="AT1390" i="67"/>
  <c r="AT1404" i="67"/>
  <c r="AT1110" i="67"/>
  <c r="AT1422" i="67"/>
  <c r="AS927" i="67"/>
  <c r="AS15" i="67"/>
  <c r="AS1231" i="67" s="1"/>
  <c r="AS625" i="67"/>
  <c r="AS776" i="67"/>
  <c r="AS473" i="67"/>
  <c r="AS321" i="67"/>
  <c r="AS168" i="67"/>
  <c r="BM9" i="68"/>
  <c r="AL11" i="62" s="1"/>
  <c r="AR1365" i="67"/>
  <c r="AS959" i="67"/>
  <c r="AS200" i="67"/>
  <c r="AS505" i="67"/>
  <c r="AS353" i="67"/>
  <c r="AS657" i="67"/>
  <c r="AS808" i="67"/>
  <c r="AS47" i="67"/>
  <c r="BM24" i="68"/>
  <c r="AR1231" i="67"/>
  <c r="AS1061" i="67"/>
  <c r="AS910" i="67"/>
  <c r="AS607" i="67"/>
  <c r="AS455" i="67"/>
  <c r="AS302" i="67"/>
  <c r="AS149" i="67"/>
  <c r="AS759" i="67"/>
  <c r="AS1365" i="67"/>
  <c r="AR1245" i="67"/>
  <c r="AS1045" i="67"/>
  <c r="AS1349" i="67" s="1"/>
  <c r="AS439" i="67"/>
  <c r="AS286" i="67"/>
  <c r="AS591" i="67"/>
  <c r="AS743" i="67"/>
  <c r="AS894" i="67"/>
  <c r="AS133" i="67"/>
  <c r="BF42" i="36"/>
  <c r="BE83" i="36"/>
  <c r="C75" i="46"/>
  <c r="AS1263" i="67" l="1"/>
  <c r="AT941" i="67"/>
  <c r="AT29" i="67"/>
  <c r="AT182" i="67"/>
  <c r="AT487" i="67"/>
  <c r="AT335" i="67"/>
  <c r="AT639" i="67"/>
  <c r="AT790" i="67"/>
  <c r="BN16" i="68"/>
  <c r="AM17" i="62" s="1"/>
  <c r="AT927" i="67"/>
  <c r="AT625" i="67"/>
  <c r="AT776" i="67"/>
  <c r="AT473" i="67"/>
  <c r="AT15" i="67"/>
  <c r="AT168" i="67"/>
  <c r="AT321" i="67"/>
  <c r="BN9" i="68"/>
  <c r="AM11" i="62" s="1"/>
  <c r="AT1061" i="67"/>
  <c r="AT759" i="67"/>
  <c r="AT910" i="67"/>
  <c r="AT149" i="67"/>
  <c r="AT455" i="67"/>
  <c r="AT302" i="67"/>
  <c r="AT1365" i="67" s="1"/>
  <c r="AT607" i="67"/>
  <c r="BO16" i="36"/>
  <c r="AU1196" i="67"/>
  <c r="AU1212" i="67"/>
  <c r="AU1078" i="67"/>
  <c r="AU1092" i="67"/>
  <c r="AU1542" i="67"/>
  <c r="AU1558" i="67"/>
  <c r="AU1390" i="67"/>
  <c r="AU1404" i="67"/>
  <c r="AU1422" i="67"/>
  <c r="AU1110" i="67"/>
  <c r="AT1045" i="67"/>
  <c r="AT133" i="67"/>
  <c r="AT439" i="67"/>
  <c r="AT743" i="67"/>
  <c r="AT894" i="67"/>
  <c r="AT286" i="67"/>
  <c r="AT591" i="67"/>
  <c r="AS1245" i="67"/>
  <c r="AT505" i="67"/>
  <c r="AT657" i="67"/>
  <c r="AT808" i="67"/>
  <c r="BN24" i="68"/>
  <c r="AT353" i="67"/>
  <c r="AT200" i="67"/>
  <c r="AT959" i="67"/>
  <c r="AT47" i="67"/>
  <c r="BG42" i="36"/>
  <c r="BF83" i="36"/>
  <c r="C76" i="46"/>
  <c r="AT1349" i="67" l="1"/>
  <c r="AT1263" i="67"/>
  <c r="AU927" i="67"/>
  <c r="AU473" i="67"/>
  <c r="AU321" i="67"/>
  <c r="AU625" i="67"/>
  <c r="AU15" i="67"/>
  <c r="AU776" i="67"/>
  <c r="AU168" i="67"/>
  <c r="AU1231" i="67"/>
  <c r="BO9" i="68"/>
  <c r="AN11" i="62" s="1"/>
  <c r="AU808" i="67"/>
  <c r="AU353" i="67"/>
  <c r="AU505" i="67"/>
  <c r="AU657" i="67"/>
  <c r="AU47" i="67"/>
  <c r="BO24" i="68"/>
  <c r="AU200" i="67"/>
  <c r="AU959" i="67"/>
  <c r="AU941" i="67"/>
  <c r="AU29" i="67"/>
  <c r="AU182" i="67"/>
  <c r="AU639" i="67"/>
  <c r="AU487" i="67"/>
  <c r="AU790" i="67"/>
  <c r="AU335" i="67"/>
  <c r="BO16" i="68"/>
  <c r="AN17" i="62" s="1"/>
  <c r="AU1061" i="67"/>
  <c r="AU455" i="67"/>
  <c r="AU302" i="67"/>
  <c r="AU149" i="67"/>
  <c r="AU759" i="67"/>
  <c r="AU607" i="67"/>
  <c r="AU910" i="67"/>
  <c r="AU1045" i="67"/>
  <c r="AU743" i="67"/>
  <c r="AU894" i="67"/>
  <c r="AU439" i="67"/>
  <c r="AU133" i="67"/>
  <c r="AU286" i="67"/>
  <c r="AU591" i="67"/>
  <c r="AT1245" i="67"/>
  <c r="BP16" i="36"/>
  <c r="AV1196" i="67"/>
  <c r="AV1092" i="67"/>
  <c r="AV1212" i="67"/>
  <c r="AV1078" i="67"/>
  <c r="AV1404" i="67"/>
  <c r="AV1542" i="67"/>
  <c r="AV1558" i="67"/>
  <c r="AV1390" i="67"/>
  <c r="AV1110" i="67"/>
  <c r="AV1422" i="67"/>
  <c r="AT1231" i="67"/>
  <c r="BH42" i="36"/>
  <c r="BG83" i="36"/>
  <c r="C77" i="46"/>
  <c r="AU1245" i="67" l="1"/>
  <c r="AV1045" i="67"/>
  <c r="AV439" i="67"/>
  <c r="AV133" i="67"/>
  <c r="AV743" i="67"/>
  <c r="AV894" i="67"/>
  <c r="AV286" i="67"/>
  <c r="AV591" i="67"/>
  <c r="AW1092" i="67"/>
  <c r="AW1196" i="67"/>
  <c r="AW1212" i="67"/>
  <c r="AW1078" i="67"/>
  <c r="AW1404" i="67"/>
  <c r="AW1542" i="67"/>
  <c r="AW1558" i="67"/>
  <c r="AW1390" i="67"/>
  <c r="AW1422" i="67"/>
  <c r="AW1110" i="67"/>
  <c r="AV1061" i="67"/>
  <c r="AV149" i="67"/>
  <c r="AV759" i="67"/>
  <c r="AV910" i="67"/>
  <c r="AV455" i="67"/>
  <c r="AV302" i="67"/>
  <c r="AV607" i="67"/>
  <c r="AU1365" i="67"/>
  <c r="AV959" i="67"/>
  <c r="AV353" i="67"/>
  <c r="AV657" i="67"/>
  <c r="AV808" i="67"/>
  <c r="AV505" i="67"/>
  <c r="AV47" i="67"/>
  <c r="AV200" i="67"/>
  <c r="BP24" i="68"/>
  <c r="AV1263" i="67"/>
  <c r="AU1263" i="67"/>
  <c r="AV941" i="67"/>
  <c r="AV1245" i="67" s="1"/>
  <c r="AV29" i="67"/>
  <c r="AV182" i="67"/>
  <c r="AV639" i="67"/>
  <c r="AV487" i="67"/>
  <c r="AV790" i="67"/>
  <c r="AV335" i="67"/>
  <c r="BP16" i="68"/>
  <c r="AO17" i="62" s="1"/>
  <c r="AV927" i="67"/>
  <c r="AV625" i="67"/>
  <c r="AV321" i="67"/>
  <c r="AV776" i="67"/>
  <c r="AV15" i="67"/>
  <c r="AV473" i="67"/>
  <c r="AV168" i="67"/>
  <c r="BP9" i="68"/>
  <c r="AO11" i="62" s="1"/>
  <c r="AU1349" i="67"/>
  <c r="BI42" i="36"/>
  <c r="BH83" i="36"/>
  <c r="C78" i="46"/>
  <c r="AV1231" i="67" l="1"/>
  <c r="AV1365" i="67"/>
  <c r="AW808" i="67"/>
  <c r="BQ24" i="68"/>
  <c r="AW657" i="67"/>
  <c r="AW959" i="67"/>
  <c r="AW47" i="67"/>
  <c r="AW1263" i="67" s="1"/>
  <c r="AW200" i="67"/>
  <c r="AW505" i="67"/>
  <c r="AW353" i="67"/>
  <c r="AW927" i="67"/>
  <c r="AW625" i="67"/>
  <c r="AW776" i="67"/>
  <c r="AW473" i="67"/>
  <c r="AW321" i="67"/>
  <c r="AW15" i="67"/>
  <c r="AW168" i="67"/>
  <c r="BQ9" i="68"/>
  <c r="AP11" i="62" s="1"/>
  <c r="AV1349" i="67"/>
  <c r="AW1061" i="67"/>
  <c r="AW607" i="67"/>
  <c r="AW455" i="67"/>
  <c r="AW302" i="67"/>
  <c r="AW759" i="67"/>
  <c r="AW149" i="67"/>
  <c r="AW910" i="67"/>
  <c r="AW1045" i="67"/>
  <c r="AW439" i="67"/>
  <c r="AW286" i="67"/>
  <c r="AW591" i="67"/>
  <c r="AW743" i="67"/>
  <c r="AW894" i="67"/>
  <c r="AW133" i="67"/>
  <c r="AW941" i="67"/>
  <c r="AW29" i="67"/>
  <c r="AW1245" i="67" s="1"/>
  <c r="AW182" i="67"/>
  <c r="AW639" i="67"/>
  <c r="AW790" i="67"/>
  <c r="AW487" i="67"/>
  <c r="AW335" i="67"/>
  <c r="BQ16" i="68"/>
  <c r="AP17" i="62" s="1"/>
  <c r="BJ42" i="36"/>
  <c r="BI83" i="36"/>
  <c r="C79" i="46"/>
  <c r="AW1349" i="67" l="1"/>
  <c r="AW1365" i="67"/>
  <c r="AW1231" i="67"/>
  <c r="BK42" i="36"/>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W201" i="67"/>
  <c r="AW809" i="67"/>
  <c r="AW658" i="67"/>
  <c r="AW48" i="67"/>
  <c r="AJ354" i="67"/>
  <c r="BD25" i="68"/>
  <c r="AJ48" i="67"/>
  <c r="AJ201" i="67"/>
  <c r="AJ809" i="67"/>
  <c r="AJ658" i="67"/>
  <c r="AJ506" i="67"/>
  <c r="AU354" i="67"/>
  <c r="AU506" i="67"/>
  <c r="BO25" i="68"/>
  <c r="AU201" i="67"/>
  <c r="AU809" i="67"/>
  <c r="AU658" i="67"/>
  <c r="AU48" i="67"/>
  <c r="AD354" i="67"/>
  <c r="AD658" i="67"/>
  <c r="AD201" i="67"/>
  <c r="AD809" i="67"/>
  <c r="AX25" i="68"/>
  <c r="AD48" i="67"/>
  <c r="AD506" i="67"/>
  <c r="AL355" i="67"/>
  <c r="AL659" i="67"/>
  <c r="AL202" i="67"/>
  <c r="AL810" i="67"/>
  <c r="AL49" i="67"/>
  <c r="AL507" i="67"/>
  <c r="AP354" i="67"/>
  <c r="BJ25" i="68"/>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W777" i="67"/>
  <c r="AM150" i="67"/>
  <c r="AM911" i="67"/>
  <c r="AM608" i="67"/>
  <c r="AM303" i="67"/>
  <c r="AM760" i="67"/>
  <c r="AM456" i="67"/>
  <c r="AM322" i="67"/>
  <c r="BG10" i="68"/>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S506" i="67"/>
  <c r="AS201" i="67"/>
  <c r="AS658" i="67"/>
  <c r="AS809" i="67"/>
  <c r="AH354" i="67"/>
  <c r="BB25" i="68"/>
  <c r="AH48" i="67"/>
  <c r="AH809" i="67"/>
  <c r="AH506" i="67"/>
  <c r="AH658" i="67"/>
  <c r="AH201" i="67"/>
  <c r="AL25" i="68"/>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AF354" i="67"/>
  <c r="AF48" i="67"/>
  <c r="AF201" i="67"/>
  <c r="AF658" i="67"/>
  <c r="AF809" i="67"/>
  <c r="AF506" i="67"/>
  <c r="AC355" i="67"/>
  <c r="AC202" i="67"/>
  <c r="AC810" i="67"/>
  <c r="AC507" i="67"/>
  <c r="AC659" i="67"/>
  <c r="AC49" i="67"/>
  <c r="AL354" i="67"/>
  <c r="AL658" i="67"/>
  <c r="BF25" i="68"/>
  <c r="AL809" i="67"/>
  <c r="AL201" i="67"/>
  <c r="AL506" i="67"/>
  <c r="AL48" i="67"/>
  <c r="AV25" i="68"/>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N354" i="67"/>
  <c r="BH25" i="68"/>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AG809" i="67"/>
  <c r="AC354" i="67"/>
  <c r="AC658" i="67"/>
  <c r="AC809" i="67"/>
  <c r="AC506" i="67"/>
  <c r="AW25" i="68"/>
  <c r="AC48" i="67"/>
  <c r="AC201" i="67"/>
  <c r="AR354" i="67"/>
  <c r="BL25" i="68"/>
  <c r="AR48" i="67"/>
  <c r="AR506" i="67"/>
  <c r="AR809" i="67"/>
  <c r="AR658" i="67"/>
  <c r="AR201" i="67"/>
  <c r="AE354" i="67"/>
  <c r="AE658" i="67"/>
  <c r="AE48" i="67"/>
  <c r="AE506" i="67"/>
  <c r="AY25" i="68"/>
  <c r="AE201" i="67"/>
  <c r="AE809" i="67"/>
  <c r="W354" i="67"/>
  <c r="W658" i="67"/>
  <c r="W48" i="67"/>
  <c r="W506" i="67"/>
  <c r="AQ25" i="68"/>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BP25" i="68"/>
  <c r="AV354" i="67"/>
  <c r="AV506" i="67"/>
  <c r="AV809" i="67"/>
  <c r="AV658" i="67"/>
  <c r="AV48" i="67"/>
  <c r="AV201" i="67"/>
  <c r="AK322" i="67"/>
  <c r="AK169" i="67"/>
  <c r="AK474" i="67"/>
  <c r="AK16" i="67"/>
  <c r="AK777" i="67"/>
  <c r="AK626" i="67"/>
  <c r="BE10" i="68"/>
  <c r="AT354" i="67"/>
  <c r="AT658" i="67"/>
  <c r="AT809" i="67"/>
  <c r="AT506" i="67"/>
  <c r="BN25" i="68"/>
  <c r="AT48" i="67"/>
  <c r="AT201" i="67"/>
  <c r="AQ355" i="67"/>
  <c r="AQ202" i="67"/>
  <c r="AQ507" i="67"/>
  <c r="AQ810" i="67"/>
  <c r="AQ659" i="67"/>
  <c r="AQ49" i="67"/>
  <c r="X354" i="67"/>
  <c r="X48" i="67"/>
  <c r="AR25" i="68"/>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S474" i="67"/>
  <c r="AS777" i="67"/>
  <c r="AS626" i="67"/>
  <c r="AS169" i="67"/>
  <c r="AH303" i="67"/>
  <c r="AH456" i="67"/>
  <c r="AH150" i="67"/>
  <c r="AH608" i="67"/>
  <c r="AH911" i="67"/>
  <c r="AH760" i="67"/>
  <c r="BB10" i="68"/>
  <c r="AH322" i="67"/>
  <c r="AH777" i="67"/>
  <c r="AH169" i="67"/>
  <c r="AH626" i="67"/>
  <c r="AH474" i="67"/>
  <c r="AH16" i="67"/>
  <c r="R456" i="67"/>
  <c r="R760" i="67"/>
  <c r="R150" i="67"/>
  <c r="R608" i="67"/>
  <c r="R911" i="67"/>
  <c r="R303" i="67"/>
  <c r="R322" i="67"/>
  <c r="R16" i="67"/>
  <c r="R169" i="67"/>
  <c r="R626" i="67"/>
  <c r="R777" i="67"/>
  <c r="R474" i="67"/>
  <c r="AL10" i="68"/>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B456" i="67"/>
  <c r="AB608" i="67"/>
  <c r="AB760" i="67"/>
  <c r="AB150" i="67"/>
  <c r="AB303" i="67"/>
  <c r="AB911" i="67"/>
  <c r="AB322" i="67"/>
  <c r="AB626" i="67"/>
  <c r="AB16" i="67"/>
  <c r="AB474" i="67"/>
  <c r="AV10" i="68"/>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Q777" i="67"/>
  <c r="AN303" i="67"/>
  <c r="AN608" i="67"/>
  <c r="AN456" i="67"/>
  <c r="AN150" i="67"/>
  <c r="AN760" i="67"/>
  <c r="AN911" i="67"/>
  <c r="AN322" i="67"/>
  <c r="BH10" i="68"/>
  <c r="AN626" i="67"/>
  <c r="AN474" i="67"/>
  <c r="AN16" i="67"/>
  <c r="AN777" i="67"/>
  <c r="AN169" i="67"/>
  <c r="AU456" i="67"/>
  <c r="AU150" i="67"/>
  <c r="AU911" i="67"/>
  <c r="AU760" i="67"/>
  <c r="AU608" i="67"/>
  <c r="AU303" i="67"/>
  <c r="AU322" i="67"/>
  <c r="AU626" i="67"/>
  <c r="AU777" i="67"/>
  <c r="AU474" i="67"/>
  <c r="BO10" i="68"/>
  <c r="AU16" i="67"/>
  <c r="AU169" i="67"/>
  <c r="AD608" i="67"/>
  <c r="AD303" i="67"/>
  <c r="AD760" i="67"/>
  <c r="AD150" i="67"/>
  <c r="AD456" i="67"/>
  <c r="AD911" i="67"/>
  <c r="AD322" i="67"/>
  <c r="AD169" i="67"/>
  <c r="AD626" i="67"/>
  <c r="AD777" i="67"/>
  <c r="AD16" i="67"/>
  <c r="AX10" i="68"/>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AG777" i="67"/>
  <c r="AG16" i="67"/>
  <c r="AG626" i="67"/>
  <c r="AG169" i="67"/>
  <c r="AC456" i="67"/>
  <c r="AC911" i="67"/>
  <c r="AC303" i="67"/>
  <c r="AC150" i="67"/>
  <c r="AC608" i="67"/>
  <c r="AC760" i="67"/>
  <c r="AC322" i="67"/>
  <c r="AC169" i="67"/>
  <c r="AC626" i="67"/>
  <c r="AC474" i="67"/>
  <c r="AC16" i="67"/>
  <c r="AW10" i="68"/>
  <c r="AC777" i="67"/>
  <c r="AL457" i="67"/>
  <c r="AL761" i="67"/>
  <c r="AL609" i="67"/>
  <c r="AL912" i="67"/>
  <c r="AL151" i="67"/>
  <c r="AL304" i="67"/>
  <c r="AL323" i="67"/>
  <c r="AL170" i="67"/>
  <c r="AL627" i="67"/>
  <c r="AL17" i="67"/>
  <c r="AL475" i="67"/>
  <c r="AL778" i="67"/>
  <c r="AR456" i="67"/>
  <c r="AR760" i="67"/>
  <c r="AR911" i="67"/>
  <c r="AR608" i="67"/>
  <c r="AR150" i="67"/>
  <c r="AR303" i="67"/>
  <c r="AR322" i="67"/>
  <c r="BL10" i="68"/>
  <c r="AR169" i="67"/>
  <c r="AR777" i="67"/>
  <c r="AR626" i="67"/>
  <c r="AR16" i="67"/>
  <c r="AR474" i="67"/>
  <c r="AE150" i="67"/>
  <c r="AE456" i="67"/>
  <c r="AE760" i="67"/>
  <c r="AE911" i="67"/>
  <c r="AE608" i="67"/>
  <c r="AE303" i="67"/>
  <c r="AE322" i="67"/>
  <c r="AY10" i="68"/>
  <c r="AE777" i="67"/>
  <c r="AE626" i="67"/>
  <c r="AE474" i="67"/>
  <c r="AE16" i="67"/>
  <c r="AE169" i="67"/>
  <c r="W911" i="67"/>
  <c r="W456" i="67"/>
  <c r="W150" i="67"/>
  <c r="W303" i="67"/>
  <c r="W608" i="67"/>
  <c r="W760" i="67"/>
  <c r="W322" i="67"/>
  <c r="W626" i="67"/>
  <c r="W169" i="67"/>
  <c r="W474" i="67"/>
  <c r="W777" i="67"/>
  <c r="AQ10" i="68"/>
  <c r="W16" i="67"/>
  <c r="AP303" i="67"/>
  <c r="AP150" i="67"/>
  <c r="AP760" i="67"/>
  <c r="AP456" i="67"/>
  <c r="AP608" i="67"/>
  <c r="AP911" i="67"/>
  <c r="AP322" i="67"/>
  <c r="AP169" i="67"/>
  <c r="AP777" i="67"/>
  <c r="AP626" i="67"/>
  <c r="AP16" i="67"/>
  <c r="AP474" i="67"/>
  <c r="BJ10" i="68"/>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V150" i="67"/>
  <c r="V456" i="67"/>
  <c r="V760" i="67"/>
  <c r="V303" i="67"/>
  <c r="V608" i="67"/>
  <c r="V911" i="67"/>
  <c r="AP10" i="68"/>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S322" i="67"/>
  <c r="S474" i="67"/>
  <c r="S169" i="67"/>
  <c r="S777" i="67"/>
  <c r="S626" i="67"/>
  <c r="S16" i="67"/>
  <c r="AV608" i="67"/>
  <c r="AV456" i="67"/>
  <c r="AV760" i="67"/>
  <c r="AV150" i="67"/>
  <c r="AV303" i="67"/>
  <c r="AV911" i="67"/>
  <c r="AV322" i="67"/>
  <c r="AV626" i="67"/>
  <c r="AV169" i="67"/>
  <c r="AV777" i="67"/>
  <c r="BP10" i="68"/>
  <c r="AV16" i="67"/>
  <c r="AV474" i="67"/>
  <c r="AK608" i="67"/>
  <c r="AK303" i="67"/>
  <c r="AK911" i="67"/>
  <c r="AK456" i="67"/>
  <c r="AK150" i="67"/>
  <c r="AK760" i="67"/>
  <c r="AK336" i="67"/>
  <c r="AK640" i="67"/>
  <c r="AK488" i="67"/>
  <c r="AK183" i="67"/>
  <c r="AK30" i="67"/>
  <c r="AT440" i="67"/>
  <c r="AT895" i="67"/>
  <c r="AT744" i="67"/>
  <c r="AT287" i="67"/>
  <c r="AT134" i="67"/>
  <c r="AT592" i="67"/>
  <c r="BN10" i="68"/>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BM7" i="68"/>
  <c r="BH7" i="68"/>
  <c r="AZ7" i="68"/>
  <c r="BN7" i="68"/>
  <c r="BK7" i="68"/>
  <c r="BB7" i="68"/>
  <c r="BI7" i="68"/>
  <c r="BG7" i="68"/>
  <c r="AM7" i="68"/>
  <c r="BO7" i="68"/>
  <c r="BQ7" i="68"/>
  <c r="AR7" i="68"/>
  <c r="BD7" i="68"/>
  <c r="AL7" i="68"/>
  <c r="BJ7" i="68"/>
  <c r="BF7" i="68"/>
  <c r="AQ7" i="68"/>
  <c r="BA7" i="68"/>
  <c r="AW7" i="68"/>
  <c r="BE7" i="68"/>
  <c r="AY7" i="68"/>
  <c r="AP7" i="68"/>
  <c r="AV7" i="68"/>
  <c r="BP7" i="68"/>
  <c r="BC7" i="68"/>
  <c r="BL7" i="68"/>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A23" i="62" l="1"/>
  <c r="AJ9" i="62"/>
  <c r="Q12" i="62"/>
  <c r="AI12" i="62"/>
  <c r="U12" i="62"/>
  <c r="AD23" i="62"/>
  <c r="Q23" i="62"/>
  <c r="Z23" i="62"/>
  <c r="Z9" i="62"/>
  <c r="AE12" i="62"/>
  <c r="AB23" i="62"/>
  <c r="P9" i="62"/>
  <c r="AE9" i="62"/>
  <c r="AM9" i="62"/>
  <c r="AM12" i="62"/>
  <c r="AG12" i="62"/>
  <c r="K12" i="62"/>
  <c r="AP23" i="62"/>
  <c r="AH9" i="62"/>
  <c r="Y9" i="62"/>
  <c r="L12" i="62"/>
  <c r="P12" i="62"/>
  <c r="AK23" i="62"/>
  <c r="U23" i="62"/>
  <c r="W23" i="62"/>
  <c r="AM23" i="62"/>
  <c r="AK9" i="62"/>
  <c r="K9" i="62"/>
  <c r="AG9" i="62"/>
  <c r="O12" i="62"/>
  <c r="Y23" i="62"/>
  <c r="AB9" i="62"/>
  <c r="AC9" i="62"/>
  <c r="AL9" i="62"/>
  <c r="AH23" i="62"/>
  <c r="AD12" i="62"/>
  <c r="X23" i="62"/>
  <c r="K23" i="62"/>
  <c r="AL23" i="62"/>
  <c r="AF23" i="62"/>
  <c r="AP12" i="62"/>
  <c r="AI23" i="62"/>
  <c r="AH12" i="62"/>
  <c r="AO9" i="62"/>
  <c r="Q9" i="62"/>
  <c r="W9" i="62"/>
  <c r="AB12" i="62"/>
  <c r="V12" i="62"/>
  <c r="Y12" i="62"/>
  <c r="AO23" i="62"/>
  <c r="AG23" i="62"/>
  <c r="AJ12" i="62"/>
  <c r="AI9" i="62"/>
  <c r="U9" i="62"/>
  <c r="AP9" i="62"/>
  <c r="L23" i="62"/>
  <c r="V23" i="62"/>
  <c r="V9" i="62"/>
  <c r="AN23" i="62"/>
  <c r="O9" i="62"/>
  <c r="AN9" i="62"/>
  <c r="X12" i="62"/>
  <c r="W12" i="62"/>
  <c r="AL12" i="62"/>
  <c r="AJ23" i="62"/>
  <c r="AE23" i="62"/>
  <c r="AC12" i="62"/>
  <c r="AF12" i="62"/>
  <c r="AC23" i="62"/>
  <c r="X9" i="62"/>
  <c r="L9" i="62"/>
  <c r="AK12" i="62"/>
  <c r="AA12" i="62"/>
  <c r="AA9" i="62"/>
  <c r="AD9" i="62"/>
  <c r="AF9" i="62"/>
  <c r="AO12" i="62"/>
  <c r="Z12" i="62"/>
  <c r="AN12" i="62"/>
  <c r="O23" i="62"/>
  <c r="P23" i="62"/>
  <c r="AC1265" i="67"/>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F18" i="62" l="1"/>
  <c r="AX17" i="68"/>
  <c r="AW17" i="68"/>
  <c r="BA17" i="68"/>
  <c r="AV1551" i="67"/>
  <c r="AV1535" i="67"/>
  <c r="AV1415" i="67"/>
  <c r="AV1397" i="67"/>
  <c r="BO17" i="68"/>
  <c r="AL17" i="68"/>
  <c r="BD17" i="68"/>
  <c r="AZ17" i="68"/>
  <c r="AQ17" i="68"/>
  <c r="AY17" i="68"/>
  <c r="BH17" i="68"/>
  <c r="AR17" i="68"/>
  <c r="BB17" i="68"/>
  <c r="BJ17" i="68"/>
  <c r="BI17" i="68"/>
  <c r="AV17" i="68"/>
  <c r="BP17" i="68"/>
  <c r="BC17" i="68"/>
  <c r="BK17" i="68"/>
  <c r="AP17" i="68"/>
  <c r="BM17" i="68"/>
  <c r="BL17" i="68"/>
  <c r="BF17" i="68"/>
  <c r="BE17" i="68"/>
  <c r="AM17" i="68"/>
  <c r="BN17" i="68"/>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C18" i="62" l="1"/>
  <c r="AO18" i="62"/>
  <c r="AN18" i="62"/>
  <c r="AJ18" i="62"/>
  <c r="AB18" i="62"/>
  <c r="U18" i="62"/>
  <c r="K18" i="62"/>
  <c r="AH18" i="62"/>
  <c r="AA18" i="62"/>
  <c r="AD18" i="62"/>
  <c r="Q18" i="62"/>
  <c r="Z18" i="62"/>
  <c r="AI18" i="62"/>
  <c r="AE18" i="62"/>
  <c r="AG18" i="62"/>
  <c r="V18" i="62"/>
  <c r="L18" i="62"/>
  <c r="AP18" i="62"/>
  <c r="AK18" i="62"/>
  <c r="X18" i="62"/>
  <c r="W18" i="62"/>
  <c r="AM18" i="62"/>
  <c r="AL18" i="62"/>
  <c r="P18" i="62"/>
  <c r="O18" i="62"/>
  <c r="Y18" i="62"/>
  <c r="AU8" i="67"/>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R27" i="68" l="1"/>
  <c r="T27" i="68"/>
  <c r="T61" i="68" s="1"/>
  <c r="Q34" i="68"/>
  <c r="AB27" i="68"/>
  <c r="V27" i="68"/>
  <c r="V61" i="68" s="1"/>
  <c r="Y27" i="68"/>
  <c r="Y61" i="68" s="1"/>
  <c r="M34" i="68"/>
  <c r="AB34" i="68"/>
  <c r="AB62" i="68" s="1"/>
  <c r="Q27" i="68"/>
  <c r="Q61" i="68" s="1"/>
  <c r="AA27" i="68"/>
  <c r="AA61" i="68" s="1"/>
  <c r="K27" i="68"/>
  <c r="K61" i="68" s="1"/>
  <c r="W27" i="68"/>
  <c r="W61" i="68" s="1"/>
  <c r="N27" i="68"/>
  <c r="N61" i="68" s="1"/>
  <c r="O27" i="68"/>
  <c r="M27" i="68"/>
  <c r="L34" i="68"/>
  <c r="L62" i="68" s="1"/>
  <c r="X27" i="68"/>
  <c r="X61" i="68" s="1"/>
  <c r="Z27" i="68"/>
  <c r="Z61" i="68" s="1"/>
  <c r="J27" i="68"/>
  <c r="J61" i="68" s="1"/>
  <c r="L27" i="68"/>
  <c r="L61" i="68" s="1"/>
  <c r="P27" i="68"/>
  <c r="P61" i="68" s="1"/>
  <c r="U27" i="68"/>
  <c r="S27" i="68"/>
  <c r="S61" i="68" s="1"/>
  <c r="AA34" i="68"/>
  <c r="I27" i="68"/>
  <c r="I61" i="68" s="1"/>
  <c r="M61" i="68"/>
  <c r="AB61" i="68"/>
  <c r="S38" i="45"/>
  <c r="V38" i="68" s="1"/>
  <c r="V34" i="68" s="1"/>
  <c r="G37" i="45"/>
  <c r="J37" i="68" s="1"/>
  <c r="U40" i="45"/>
  <c r="X40" i="68" s="1"/>
  <c r="M37" i="45"/>
  <c r="P37" i="68" s="1"/>
  <c r="F37" i="45"/>
  <c r="I37" i="68" s="1"/>
  <c r="G40" i="45"/>
  <c r="J40" i="68" s="1"/>
  <c r="U61" i="68"/>
  <c r="O61" i="68"/>
  <c r="W40" i="45"/>
  <c r="Z40" i="68" s="1"/>
  <c r="L38" i="45"/>
  <c r="O38" i="68" s="1"/>
  <c r="T37" i="45"/>
  <c r="W37" i="68" s="1"/>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X34" i="45"/>
  <c r="X62" i="45" s="1"/>
  <c r="L27" i="45"/>
  <c r="L61" i="45" s="1"/>
  <c r="W27" i="45"/>
  <c r="W61" i="45" s="1"/>
  <c r="O27" i="45"/>
  <c r="O61"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L34" i="45" l="1"/>
  <c r="L62" i="45" s="1"/>
  <c r="T34" i="45"/>
  <c r="T62" i="45" s="1"/>
  <c r="I34" i="68"/>
  <c r="I62" i="68" s="1"/>
  <c r="W34" i="68"/>
  <c r="O34" i="68"/>
  <c r="X34" i="68"/>
  <c r="X62" i="68" s="1"/>
  <c r="U34" i="68"/>
  <c r="U62" i="68" s="1"/>
  <c r="V34" i="45"/>
  <c r="V62" i="45" s="1"/>
  <c r="Y36" i="68"/>
  <c r="Y34" i="68" s="1"/>
  <c r="Y62" i="68" s="1"/>
  <c r="P34" i="45"/>
  <c r="P62" i="45" s="1"/>
  <c r="S35" i="68"/>
  <c r="S34" i="68" s="1"/>
  <c r="S62" i="68" s="1"/>
  <c r="Z34" i="68"/>
  <c r="Z62" i="68" s="1"/>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Q1131" i="67" l="1"/>
  <c r="Q1477" i="67"/>
  <c r="Q1147" i="67"/>
  <c r="Q1493" i="67"/>
  <c r="AH16" i="45"/>
  <c r="AH9" i="45"/>
  <c r="AH24" i="45"/>
  <c r="AJ102" i="34"/>
  <c r="AJ118" i="34"/>
  <c r="AK77" i="36"/>
  <c r="AK167" i="34"/>
  <c r="AK183" i="34"/>
  <c r="AK61" i="36"/>
  <c r="R1147" i="67" l="1"/>
  <c r="R1493" i="67"/>
  <c r="Q996" i="67"/>
  <c r="Q390" i="67"/>
  <c r="Q542" i="67"/>
  <c r="Q694" i="67"/>
  <c r="Q84" i="67"/>
  <c r="Q845" i="67"/>
  <c r="Q237" i="67"/>
  <c r="Q980" i="67"/>
  <c r="Q374" i="67"/>
  <c r="Q526" i="67"/>
  <c r="Q68" i="67"/>
  <c r="Q829" i="67"/>
  <c r="Q221" i="67"/>
  <c r="Q678" i="67"/>
  <c r="R1131" i="67"/>
  <c r="R1477" i="67"/>
  <c r="AK102" i="34"/>
  <c r="AI24" i="45"/>
  <c r="AI16" i="45"/>
  <c r="AK118" i="34"/>
  <c r="AI9" i="45"/>
  <c r="AL77" i="36"/>
  <c r="AL167" i="34"/>
  <c r="AL183" i="34"/>
  <c r="AL61" i="36"/>
  <c r="Q1300" i="67" l="1"/>
  <c r="S1147" i="67"/>
  <c r="S1493" i="67"/>
  <c r="Q1284" i="67"/>
  <c r="S1131" i="67"/>
  <c r="S1477" i="67"/>
  <c r="R980" i="67"/>
  <c r="R374" i="67"/>
  <c r="R68" i="67"/>
  <c r="R526" i="67"/>
  <c r="R829" i="67"/>
  <c r="R221" i="67"/>
  <c r="R678" i="67"/>
  <c r="R996" i="67"/>
  <c r="R390" i="67"/>
  <c r="R845" i="67"/>
  <c r="R542" i="67"/>
  <c r="R694" i="67"/>
  <c r="R84" i="67"/>
  <c r="R237" i="67"/>
  <c r="AL102" i="34"/>
  <c r="AJ9" i="45"/>
  <c r="AJ24" i="45"/>
  <c r="AJ16" i="45"/>
  <c r="AL118" i="34"/>
  <c r="AM77" i="36"/>
  <c r="AM167" i="34"/>
  <c r="AM183" i="34"/>
  <c r="AM61" i="36"/>
  <c r="R1284" i="67" l="1"/>
  <c r="R1300" i="67"/>
  <c r="S980" i="67"/>
  <c r="S526" i="67"/>
  <c r="S829" i="67"/>
  <c r="S374" i="67"/>
  <c r="S68" i="67"/>
  <c r="S221" i="67"/>
  <c r="S678" i="67"/>
  <c r="S1284" i="67" s="1"/>
  <c r="T1131" i="67"/>
  <c r="T1477" i="67"/>
  <c r="S996" i="67"/>
  <c r="S390" i="67"/>
  <c r="S542" i="67"/>
  <c r="S84" i="67"/>
  <c r="S694" i="67"/>
  <c r="S237" i="67"/>
  <c r="S845" i="67"/>
  <c r="T1147" i="67"/>
  <c r="T1493" i="67"/>
  <c r="AM102" i="34"/>
  <c r="AK24" i="45"/>
  <c r="AK9" i="45"/>
  <c r="AM118" i="34"/>
  <c r="AK16" i="45"/>
  <c r="AN77" i="36"/>
  <c r="AN167" i="34"/>
  <c r="AN183" i="34"/>
  <c r="AN61" i="36"/>
  <c r="S1300" i="67" l="1"/>
  <c r="U1131" i="67"/>
  <c r="U1477" i="67"/>
  <c r="T980" i="67"/>
  <c r="T68" i="67"/>
  <c r="T374" i="67"/>
  <c r="T221" i="67"/>
  <c r="T526" i="67"/>
  <c r="T829" i="67"/>
  <c r="T678" i="67"/>
  <c r="T996" i="67"/>
  <c r="T390" i="67"/>
  <c r="T542" i="67"/>
  <c r="T694" i="67"/>
  <c r="T845" i="67"/>
  <c r="T84" i="67"/>
  <c r="T237" i="67"/>
  <c r="U1147" i="67"/>
  <c r="U1493" i="67"/>
  <c r="AL9" i="45"/>
  <c r="AN102" i="34"/>
  <c r="AN118" i="34"/>
  <c r="AL24" i="45"/>
  <c r="AL16" i="45"/>
  <c r="AO77" i="36"/>
  <c r="AO167" i="34"/>
  <c r="AO183" i="34"/>
  <c r="AO61" i="36"/>
  <c r="V1147" i="67" l="1"/>
  <c r="V1493" i="67"/>
  <c r="U996" i="67"/>
  <c r="U390" i="67"/>
  <c r="U542" i="67"/>
  <c r="U694" i="67"/>
  <c r="U845" i="67"/>
  <c r="U84" i="67"/>
  <c r="U237" i="67"/>
  <c r="V1131" i="67"/>
  <c r="V1477" i="67"/>
  <c r="T1300" i="67"/>
  <c r="T1284" i="67"/>
  <c r="U980" i="67"/>
  <c r="U374" i="67"/>
  <c r="U526" i="67"/>
  <c r="U68" i="67"/>
  <c r="U829" i="67"/>
  <c r="U221" i="67"/>
  <c r="U678" i="67"/>
  <c r="AM16" i="45"/>
  <c r="AO118" i="34"/>
  <c r="AM9" i="45"/>
  <c r="AO102" i="34"/>
  <c r="AM24" i="45"/>
  <c r="AP77" i="36"/>
  <c r="AP167" i="34"/>
  <c r="AP183" i="34"/>
  <c r="AP61" i="36"/>
  <c r="U1284" i="67" l="1"/>
  <c r="U1300" i="67"/>
  <c r="V980" i="67"/>
  <c r="V374" i="67"/>
  <c r="V526" i="67"/>
  <c r="V829" i="67"/>
  <c r="V68" i="67"/>
  <c r="V221" i="67"/>
  <c r="V678" i="67"/>
  <c r="W1131" i="67"/>
  <c r="W1477" i="67"/>
  <c r="W1147" i="67"/>
  <c r="W1493" i="67"/>
  <c r="V996" i="67"/>
  <c r="V390" i="67"/>
  <c r="V845" i="67"/>
  <c r="V542" i="67"/>
  <c r="V694" i="67"/>
  <c r="V84" i="67"/>
  <c r="V237" i="67"/>
  <c r="V1300" i="67"/>
  <c r="AP102" i="34"/>
  <c r="AP118" i="34"/>
  <c r="AN9" i="45"/>
  <c r="AN24" i="45"/>
  <c r="AN16" i="45"/>
  <c r="AQ77" i="36"/>
  <c r="AQ167" i="34"/>
  <c r="AQ183" i="34"/>
  <c r="AQ61" i="36"/>
  <c r="V1284" i="67" l="1"/>
  <c r="X1131" i="67"/>
  <c r="X1477" i="67"/>
  <c r="W980" i="67"/>
  <c r="W68" i="67"/>
  <c r="W221" i="67"/>
  <c r="W374" i="67"/>
  <c r="W829" i="67"/>
  <c r="W526" i="67"/>
  <c r="W678" i="67"/>
  <c r="W1284" i="67" s="1"/>
  <c r="X1147" i="67"/>
  <c r="X1493" i="67"/>
  <c r="W996" i="67"/>
  <c r="W390" i="67"/>
  <c r="W542" i="67"/>
  <c r="W694" i="67"/>
  <c r="W845" i="67"/>
  <c r="W84" i="67"/>
  <c r="W237" i="67"/>
  <c r="AO9" i="45"/>
  <c r="AQ118" i="34"/>
  <c r="AO24" i="45"/>
  <c r="AQ102" i="34"/>
  <c r="AO16" i="45"/>
  <c r="AR77" i="36"/>
  <c r="AR167" i="34"/>
  <c r="AR183" i="34"/>
  <c r="AR61" i="36"/>
  <c r="W1300" i="67" l="1"/>
  <c r="Y1131" i="67"/>
  <c r="Y1477" i="67"/>
  <c r="Y1147" i="67"/>
  <c r="Y1493" i="67"/>
  <c r="X996" i="67"/>
  <c r="X390" i="67"/>
  <c r="X84" i="67"/>
  <c r="X694" i="67"/>
  <c r="X237" i="67"/>
  <c r="X845" i="67"/>
  <c r="X542" i="67"/>
  <c r="X1300" i="67" s="1"/>
  <c r="X980" i="67"/>
  <c r="X374" i="67"/>
  <c r="X526" i="67"/>
  <c r="X829" i="67"/>
  <c r="X68" i="67"/>
  <c r="X221" i="67"/>
  <c r="X678" i="67"/>
  <c r="AP16" i="45"/>
  <c r="AR118" i="34"/>
  <c r="AP24" i="45"/>
  <c r="AR102" i="34"/>
  <c r="AP9" i="45"/>
  <c r="AS77" i="36"/>
  <c r="AS167" i="34"/>
  <c r="AS183" i="34"/>
  <c r="AS61" i="36"/>
  <c r="X1284" i="67" l="1"/>
  <c r="Y996" i="67"/>
  <c r="Y390" i="67"/>
  <c r="Y694" i="67"/>
  <c r="Y845" i="67"/>
  <c r="Y84" i="67"/>
  <c r="Y237" i="67"/>
  <c r="Y542" i="67"/>
  <c r="Y980" i="67"/>
  <c r="Y526" i="67"/>
  <c r="Y68" i="67"/>
  <c r="Y374" i="67"/>
  <c r="Y829" i="67"/>
  <c r="Y221" i="67"/>
  <c r="Y678" i="67"/>
  <c r="Z1131" i="67"/>
  <c r="Z1477" i="67"/>
  <c r="Z1147" i="67"/>
  <c r="Z1493" i="67"/>
  <c r="AQ16" i="45"/>
  <c r="AS102" i="34"/>
  <c r="AS118" i="34"/>
  <c r="AQ9" i="45"/>
  <c r="AQ24" i="45"/>
  <c r="AT77" i="36"/>
  <c r="AT167" i="34"/>
  <c r="AT183" i="34"/>
  <c r="AT61" i="36"/>
  <c r="Y1300" i="67" l="1"/>
  <c r="Z996" i="67"/>
  <c r="Z390" i="67"/>
  <c r="Z84" i="67"/>
  <c r="Z542" i="67"/>
  <c r="Z237" i="67"/>
  <c r="Z845" i="67"/>
  <c r="Z694" i="67"/>
  <c r="Z1300" i="67"/>
  <c r="Y1284" i="67"/>
  <c r="Z980" i="67"/>
  <c r="Z526" i="67"/>
  <c r="Z374" i="67"/>
  <c r="Z829" i="67"/>
  <c r="Z68" i="67"/>
  <c r="Z221" i="67"/>
  <c r="Z678" i="67"/>
  <c r="AA1131" i="67"/>
  <c r="AA1477" i="67"/>
  <c r="AA1147" i="67"/>
  <c r="AA1493" i="67"/>
  <c r="AR16" i="45"/>
  <c r="AT102" i="34"/>
  <c r="AT118" i="34"/>
  <c r="AR9" i="45"/>
  <c r="AR24" i="45"/>
  <c r="AU77" i="36"/>
  <c r="AU167" i="34"/>
  <c r="AU183" i="34"/>
  <c r="AU61" i="36"/>
  <c r="AA996" i="67" l="1"/>
  <c r="AA390" i="67"/>
  <c r="AA542" i="67"/>
  <c r="AA694" i="67"/>
  <c r="AA84" i="67"/>
  <c r="AA237" i="67"/>
  <c r="AA845" i="67"/>
  <c r="AB1131" i="67"/>
  <c r="AB1477" i="67"/>
  <c r="AA980" i="67"/>
  <c r="AA374" i="67"/>
  <c r="AA68" i="67"/>
  <c r="AA221" i="67"/>
  <c r="AA526" i="67"/>
  <c r="AA829" i="67"/>
  <c r="AA678" i="67"/>
  <c r="Z1284" i="67"/>
  <c r="AB1147" i="67"/>
  <c r="AB1493" i="67"/>
  <c r="AU102" i="34"/>
  <c r="AU118" i="34"/>
  <c r="AS16" i="45"/>
  <c r="AS9" i="45"/>
  <c r="AS24" i="45"/>
  <c r="AV77" i="36"/>
  <c r="AV167" i="34"/>
  <c r="AV183" i="34"/>
  <c r="AV61" i="36"/>
  <c r="AB980" i="67" l="1"/>
  <c r="AB526" i="67"/>
  <c r="AB829" i="67"/>
  <c r="AB374" i="67"/>
  <c r="AB68" i="67"/>
  <c r="AB221" i="67"/>
  <c r="AB678" i="67"/>
  <c r="AB996" i="67"/>
  <c r="AB390" i="67"/>
  <c r="AB84" i="67"/>
  <c r="AB1300" i="67" s="1"/>
  <c r="AB237" i="67"/>
  <c r="AB542" i="67"/>
  <c r="AB845" i="67"/>
  <c r="AB694" i="67"/>
  <c r="AC1131" i="67"/>
  <c r="AC1477" i="67"/>
  <c r="AA1300" i="67"/>
  <c r="AA1284" i="67"/>
  <c r="AC1147" i="67"/>
  <c r="AC1493" i="67"/>
  <c r="AV102" i="34"/>
  <c r="AV118" i="34"/>
  <c r="AT16" i="45"/>
  <c r="AT24" i="45"/>
  <c r="AT9" i="45"/>
  <c r="AW77" i="36"/>
  <c r="AW167" i="34"/>
  <c r="AW183" i="34"/>
  <c r="AW61" i="36"/>
  <c r="AB1284" i="67" l="1"/>
  <c r="AC980" i="67"/>
  <c r="AC526" i="67"/>
  <c r="AC68" i="67"/>
  <c r="AC829" i="67"/>
  <c r="AC221" i="67"/>
  <c r="AC374" i="67"/>
  <c r="AC678" i="67"/>
  <c r="AC1284" i="67" s="1"/>
  <c r="AC996" i="67"/>
  <c r="AC390" i="67"/>
  <c r="AC845" i="67"/>
  <c r="AC84" i="67"/>
  <c r="AC237" i="67"/>
  <c r="AC542" i="67"/>
  <c r="AC694" i="67"/>
  <c r="AD1147" i="67"/>
  <c r="AD1493" i="67"/>
  <c r="AD1131" i="67"/>
  <c r="AD1477" i="67"/>
  <c r="AU9" i="45"/>
  <c r="AW118" i="34"/>
  <c r="AW102" i="34"/>
  <c r="AU24" i="45"/>
  <c r="AU16" i="45"/>
  <c r="AX77" i="36"/>
  <c r="AX167" i="34"/>
  <c r="AX183" i="34"/>
  <c r="AX61" i="36"/>
  <c r="AC1300" i="67" l="1"/>
  <c r="AD980" i="67"/>
  <c r="AD374" i="67"/>
  <c r="AD526" i="67"/>
  <c r="AD68" i="67"/>
  <c r="AD221" i="67"/>
  <c r="AD829" i="67"/>
  <c r="AD678" i="67"/>
  <c r="AD996" i="67"/>
  <c r="AD390" i="67"/>
  <c r="AD84" i="67"/>
  <c r="AD845" i="67"/>
  <c r="AD542" i="67"/>
  <c r="AD694" i="67"/>
  <c r="AD237" i="67"/>
  <c r="AE1131" i="67"/>
  <c r="AE1477" i="67"/>
  <c r="AE1147" i="67"/>
  <c r="AE1493" i="67"/>
  <c r="AV9" i="45"/>
  <c r="AX102" i="34"/>
  <c r="AX118" i="34"/>
  <c r="AV24" i="45"/>
  <c r="AV16" i="45"/>
  <c r="AY77" i="36"/>
  <c r="AY167" i="34"/>
  <c r="AY183" i="34"/>
  <c r="AY61" i="36"/>
  <c r="AD1300" i="67" l="1"/>
  <c r="AD1284" i="67"/>
  <c r="AE996" i="67"/>
  <c r="AE390" i="67"/>
  <c r="AE542" i="67"/>
  <c r="AE694" i="67"/>
  <c r="AE84" i="67"/>
  <c r="AE845" i="67"/>
  <c r="AE237" i="67"/>
  <c r="AE980" i="67"/>
  <c r="AE374" i="67"/>
  <c r="AE526" i="67"/>
  <c r="AE68" i="67"/>
  <c r="AE829" i="67"/>
  <c r="AE221" i="67"/>
  <c r="AE678" i="67"/>
  <c r="AF1131" i="67"/>
  <c r="AF1477" i="67"/>
  <c r="AF1147" i="67"/>
  <c r="AF1493" i="67"/>
  <c r="AY102" i="34"/>
  <c r="AW9" i="45"/>
  <c r="AW24" i="45"/>
  <c r="AW16" i="45"/>
  <c r="AY118" i="34"/>
  <c r="AZ77" i="36"/>
  <c r="AZ167" i="34"/>
  <c r="AZ183" i="34"/>
  <c r="AZ61" i="36"/>
  <c r="AG1147" i="67" l="1"/>
  <c r="AG1493" i="67"/>
  <c r="AF996" i="67"/>
  <c r="AF390" i="67"/>
  <c r="AF84" i="67"/>
  <c r="AF542" i="67"/>
  <c r="AF694" i="67"/>
  <c r="AF845" i="67"/>
  <c r="AF237" i="67"/>
  <c r="AE1300" i="67"/>
  <c r="AG1131" i="67"/>
  <c r="AG1477" i="67"/>
  <c r="AF980" i="67"/>
  <c r="AF526" i="67"/>
  <c r="AF829" i="67"/>
  <c r="AF68" i="67"/>
  <c r="AF374" i="67"/>
  <c r="AF221" i="67"/>
  <c r="AF678" i="67"/>
  <c r="AF1284" i="67" s="1"/>
  <c r="AE1284" i="67"/>
  <c r="AZ102" i="34"/>
  <c r="AZ118" i="34"/>
  <c r="AX16" i="45"/>
  <c r="AX24" i="45"/>
  <c r="AX9" i="45"/>
  <c r="BA77" i="36"/>
  <c r="BA167" i="34"/>
  <c r="BA183" i="34"/>
  <c r="BA61" i="36"/>
  <c r="AG980" i="67" l="1"/>
  <c r="AG526" i="67"/>
  <c r="AG68" i="67"/>
  <c r="AG374" i="67"/>
  <c r="AG829" i="67"/>
  <c r="AG221" i="67"/>
  <c r="AG678" i="67"/>
  <c r="AF1300" i="67"/>
  <c r="AG996" i="67"/>
  <c r="AG390" i="67"/>
  <c r="AG845" i="67"/>
  <c r="AG84" i="67"/>
  <c r="AG1300" i="67" s="1"/>
  <c r="AG237" i="67"/>
  <c r="AG542" i="67"/>
  <c r="AG694" i="67"/>
  <c r="AH1131" i="67"/>
  <c r="AH1477" i="67"/>
  <c r="AH1147" i="67"/>
  <c r="AH1493" i="67"/>
  <c r="AY9" i="45"/>
  <c r="BA102" i="34"/>
  <c r="BA118" i="34"/>
  <c r="AY24" i="45"/>
  <c r="AY16" i="45"/>
  <c r="BB77" i="36"/>
  <c r="BB167" i="34"/>
  <c r="BB183" i="34"/>
  <c r="BB61" i="36"/>
  <c r="AG1284" i="67" l="1"/>
  <c r="AH980" i="67"/>
  <c r="AH68" i="67"/>
  <c r="AH221" i="67"/>
  <c r="AH374" i="67"/>
  <c r="AH526" i="67"/>
  <c r="AH829" i="67"/>
  <c r="AH678" i="67"/>
  <c r="AH996" i="67"/>
  <c r="AH390" i="67"/>
  <c r="AH542" i="67"/>
  <c r="AH694" i="67"/>
  <c r="AH84" i="67"/>
  <c r="AH845" i="67"/>
  <c r="AH237" i="67"/>
  <c r="AI1131" i="67"/>
  <c r="AI1477" i="67"/>
  <c r="AI1147" i="67"/>
  <c r="AI1493" i="67"/>
  <c r="AZ9" i="45"/>
  <c r="BB102" i="34"/>
  <c r="BB118" i="34"/>
  <c r="AZ24" i="45"/>
  <c r="AZ16" i="45"/>
  <c r="BC77" i="36"/>
  <c r="BC167" i="34"/>
  <c r="BC183" i="34"/>
  <c r="BC61" i="36"/>
  <c r="AH1284" i="67" l="1"/>
  <c r="AI996" i="67"/>
  <c r="AI390" i="67"/>
  <c r="AI694" i="67"/>
  <c r="AI845" i="67"/>
  <c r="AI542" i="67"/>
  <c r="AI84" i="67"/>
  <c r="AI1300" i="67" s="1"/>
  <c r="AI237" i="67"/>
  <c r="AI980" i="67"/>
  <c r="AI526" i="67"/>
  <c r="AI829" i="67"/>
  <c r="AI374" i="67"/>
  <c r="AI68" i="67"/>
  <c r="AI221" i="67"/>
  <c r="AI678" i="67"/>
  <c r="AJ1131" i="67"/>
  <c r="AJ1477" i="67"/>
  <c r="AJ1147" i="67"/>
  <c r="AJ1493" i="67"/>
  <c r="AH1300" i="67"/>
  <c r="BA16" i="45"/>
  <c r="BC118" i="34"/>
  <c r="BA9" i="45"/>
  <c r="BA24" i="45"/>
  <c r="BC102" i="34"/>
  <c r="BD77" i="36"/>
  <c r="BD167" i="34"/>
  <c r="BD183" i="34"/>
  <c r="BD61" i="36"/>
  <c r="AJ996" i="67" l="1"/>
  <c r="AJ390" i="67"/>
  <c r="AJ542" i="67"/>
  <c r="AJ694" i="67"/>
  <c r="AJ845" i="67"/>
  <c r="AJ84" i="67"/>
  <c r="AJ237" i="67"/>
  <c r="AJ1300" i="67"/>
  <c r="AK1131" i="67"/>
  <c r="AK1477" i="67"/>
  <c r="AJ980" i="67"/>
  <c r="AJ526" i="67"/>
  <c r="AJ829" i="67"/>
  <c r="AJ68" i="67"/>
  <c r="AJ221" i="67"/>
  <c r="AJ374" i="67"/>
  <c r="AJ678" i="67"/>
  <c r="AI1284" i="67"/>
  <c r="AK1147" i="67"/>
  <c r="AK1493" i="67"/>
  <c r="BB16" i="45"/>
  <c r="BD102" i="34"/>
  <c r="BD118" i="34"/>
  <c r="BB9" i="45"/>
  <c r="BB24" i="45"/>
  <c r="BE77" i="36"/>
  <c r="BE167" i="34"/>
  <c r="BE183" i="34"/>
  <c r="BE61" i="36"/>
  <c r="AK980" i="67" l="1"/>
  <c r="AK374" i="67"/>
  <c r="AK526" i="67"/>
  <c r="AK68" i="67"/>
  <c r="AK829" i="67"/>
  <c r="AK221" i="67"/>
  <c r="AK678" i="67"/>
  <c r="AJ1284" i="67"/>
  <c r="AK996" i="67"/>
  <c r="AK390" i="67"/>
  <c r="AK84" i="67"/>
  <c r="AK1300" i="67" s="1"/>
  <c r="AK845" i="67"/>
  <c r="AK237" i="67"/>
  <c r="AK542" i="67"/>
  <c r="AK694" i="67"/>
  <c r="AL1147" i="67"/>
  <c r="AL1493" i="67"/>
  <c r="AL1131" i="67"/>
  <c r="AL1477" i="67"/>
  <c r="BC9" i="45"/>
  <c r="BE102" i="34"/>
  <c r="BE118" i="34"/>
  <c r="BC24" i="45"/>
  <c r="BC16" i="45"/>
  <c r="BF77" i="36"/>
  <c r="BF167" i="34"/>
  <c r="BF183" i="34"/>
  <c r="BF61" i="36"/>
  <c r="AL996" i="67" l="1"/>
  <c r="AL390" i="67"/>
  <c r="AL542" i="67"/>
  <c r="AL694" i="67"/>
  <c r="AL84" i="67"/>
  <c r="AL237" i="67"/>
  <c r="AL1300" i="67" s="1"/>
  <c r="AL845" i="67"/>
  <c r="AL980" i="67"/>
  <c r="AL68" i="67"/>
  <c r="AL221" i="67"/>
  <c r="AL374" i="67"/>
  <c r="AL526" i="67"/>
  <c r="AL829" i="67"/>
  <c r="AL678" i="67"/>
  <c r="AK1284" i="67"/>
  <c r="AM1131" i="67"/>
  <c r="AM1477" i="67"/>
  <c r="AM1147" i="67"/>
  <c r="AM1493" i="67"/>
  <c r="BD9" i="45"/>
  <c r="BF102" i="34"/>
  <c r="BF118" i="34"/>
  <c r="BD16" i="45"/>
  <c r="BD24" i="45"/>
  <c r="BG77" i="36"/>
  <c r="BG167" i="34"/>
  <c r="BG183" i="34"/>
  <c r="BG61" i="36"/>
  <c r="AM996" i="67" l="1"/>
  <c r="AM390" i="67"/>
  <c r="AM84" i="67"/>
  <c r="AM845" i="67"/>
  <c r="AM237" i="67"/>
  <c r="AM542" i="67"/>
  <c r="AM694" i="67"/>
  <c r="AM980" i="67"/>
  <c r="AM526" i="67"/>
  <c r="AM68" i="67"/>
  <c r="AM829" i="67"/>
  <c r="AM221" i="67"/>
  <c r="AM374" i="67"/>
  <c r="AM678" i="67"/>
  <c r="AN1147" i="67"/>
  <c r="AN1493" i="67"/>
  <c r="AN1131" i="67"/>
  <c r="AN1477" i="67"/>
  <c r="AL1284" i="67"/>
  <c r="BE9" i="45"/>
  <c r="BG102" i="34"/>
  <c r="BG118" i="34"/>
  <c r="BE24" i="45"/>
  <c r="BE16" i="45"/>
  <c r="BH77" i="36"/>
  <c r="BH183" i="34"/>
  <c r="BH167" i="34"/>
  <c r="BH61" i="36"/>
  <c r="AM1300" i="67" l="1"/>
  <c r="AN980" i="67"/>
  <c r="AN68" i="67"/>
  <c r="AN221" i="67"/>
  <c r="AN374" i="67"/>
  <c r="AN526" i="67"/>
  <c r="AN829" i="67"/>
  <c r="AN678" i="67"/>
  <c r="AN1284" i="67" s="1"/>
  <c r="AO1131" i="67"/>
  <c r="AO1477" i="67"/>
  <c r="AO1147" i="67"/>
  <c r="AO1493" i="67"/>
  <c r="AN996" i="67"/>
  <c r="AN390" i="67"/>
  <c r="AN542" i="67"/>
  <c r="AN694" i="67"/>
  <c r="AN845" i="67"/>
  <c r="AN84" i="67"/>
  <c r="AN237" i="67"/>
  <c r="AM1284" i="67"/>
  <c r="BH118" i="34"/>
  <c r="BF24" i="45"/>
  <c r="BF9" i="45"/>
  <c r="BH102" i="34"/>
  <c r="BF16" i="45"/>
  <c r="BI77" i="36"/>
  <c r="BI167" i="34"/>
  <c r="BI183" i="34"/>
  <c r="BI61" i="36"/>
  <c r="AN1300" i="67" l="1"/>
  <c r="AO996" i="67"/>
  <c r="AO390" i="67"/>
  <c r="AO845" i="67"/>
  <c r="AO542" i="67"/>
  <c r="AO694" i="67"/>
  <c r="AO84" i="67"/>
  <c r="AO237" i="67"/>
  <c r="AO980" i="67"/>
  <c r="AO526" i="67"/>
  <c r="AO68" i="67"/>
  <c r="AO374" i="67"/>
  <c r="AO829" i="67"/>
  <c r="AO221" i="67"/>
  <c r="AO678" i="67"/>
  <c r="AP1131" i="67"/>
  <c r="AP1477" i="67"/>
  <c r="AP1147" i="67"/>
  <c r="AP1493" i="67"/>
  <c r="BG16" i="45"/>
  <c r="BI102" i="34"/>
  <c r="BI118" i="34"/>
  <c r="BG9" i="45"/>
  <c r="BG24" i="45"/>
  <c r="BJ77" i="36"/>
  <c r="BJ167" i="34"/>
  <c r="BJ183" i="34"/>
  <c r="BJ61" i="36"/>
  <c r="AQ1147" i="67" l="1"/>
  <c r="AQ1493" i="67"/>
  <c r="AP996" i="67"/>
  <c r="AP390" i="67"/>
  <c r="AP542" i="67"/>
  <c r="AP694" i="67"/>
  <c r="AP84" i="67"/>
  <c r="AP237" i="67"/>
  <c r="AP845" i="67"/>
  <c r="AO1300" i="67"/>
  <c r="AQ1131" i="67"/>
  <c r="AQ1477" i="67"/>
  <c r="AP980" i="67"/>
  <c r="AP526" i="67"/>
  <c r="AP829" i="67"/>
  <c r="AP374" i="67"/>
  <c r="AP68" i="67"/>
  <c r="AP221" i="67"/>
  <c r="AP678" i="67"/>
  <c r="AP1284" i="67" s="1"/>
  <c r="AO1284" i="67"/>
  <c r="BH9" i="45"/>
  <c r="BH16" i="45"/>
  <c r="BJ102" i="34"/>
  <c r="BJ118" i="34"/>
  <c r="BH24" i="45"/>
  <c r="BK77" i="36"/>
  <c r="BK167" i="34"/>
  <c r="BK183" i="34"/>
  <c r="BK61" i="36"/>
  <c r="AQ980" i="67" l="1"/>
  <c r="AQ526" i="67"/>
  <c r="AQ829" i="67"/>
  <c r="AQ68" i="67"/>
  <c r="AQ374" i="67"/>
  <c r="AQ221" i="67"/>
  <c r="AQ678" i="67"/>
  <c r="AR1131" i="67"/>
  <c r="AR1477" i="67"/>
  <c r="AP1300" i="67"/>
  <c r="AR1147" i="67"/>
  <c r="AR1493" i="67"/>
  <c r="AQ996" i="67"/>
  <c r="AQ390" i="67"/>
  <c r="AQ845" i="67"/>
  <c r="AQ84" i="67"/>
  <c r="AQ237" i="67"/>
  <c r="AQ542" i="67"/>
  <c r="AQ694" i="67"/>
  <c r="BI16" i="45"/>
  <c r="BK102" i="34"/>
  <c r="BK118" i="34"/>
  <c r="BI9" i="45"/>
  <c r="BI24" i="45"/>
  <c r="BL77" i="36"/>
  <c r="BL167" i="34"/>
  <c r="BL183" i="34"/>
  <c r="BL61" i="36"/>
  <c r="AQ1300" i="67" l="1"/>
  <c r="AR996" i="67"/>
  <c r="AR390" i="67"/>
  <c r="AR542" i="67"/>
  <c r="AR694" i="67"/>
  <c r="AR84" i="67"/>
  <c r="AR845" i="67"/>
  <c r="AR237" i="67"/>
  <c r="AS1131" i="67"/>
  <c r="AS1477" i="67"/>
  <c r="AR980" i="67"/>
  <c r="AR68" i="67"/>
  <c r="AR221" i="67"/>
  <c r="AR526" i="67"/>
  <c r="AR374" i="67"/>
  <c r="AR829" i="67"/>
  <c r="AR678" i="67"/>
  <c r="AQ1284" i="67"/>
  <c r="AS1147" i="67"/>
  <c r="AS1493" i="67"/>
  <c r="BL102" i="34"/>
  <c r="BJ9" i="45"/>
  <c r="BL118" i="34"/>
  <c r="BJ24" i="45"/>
  <c r="BJ16" i="45"/>
  <c r="BM77" i="36"/>
  <c r="BM167" i="34"/>
  <c r="BM183" i="34"/>
  <c r="BM61" i="36"/>
  <c r="AS980" i="67" l="1"/>
  <c r="AS526" i="67"/>
  <c r="AS68" i="67"/>
  <c r="AS829" i="67"/>
  <c r="AS221" i="67"/>
  <c r="AS374" i="67"/>
  <c r="AS678" i="67"/>
  <c r="AR1300" i="67"/>
  <c r="AS996" i="67"/>
  <c r="AS390" i="67"/>
  <c r="AS542" i="67"/>
  <c r="AS694" i="67"/>
  <c r="AS845" i="67"/>
  <c r="AS84" i="67"/>
  <c r="AS237" i="67"/>
  <c r="AR1284" i="67"/>
  <c r="AT1131" i="67"/>
  <c r="AT1477" i="67"/>
  <c r="AT1147" i="67"/>
  <c r="AT1493" i="67"/>
  <c r="BK16" i="45"/>
  <c r="BM102" i="34"/>
  <c r="BM118" i="34"/>
  <c r="BK9" i="45"/>
  <c r="BK24" i="45"/>
  <c r="BN77" i="36"/>
  <c r="BN167" i="34"/>
  <c r="BN183" i="34"/>
  <c r="BN61" i="36"/>
  <c r="AS1284" i="67" l="1"/>
  <c r="AT980" i="67"/>
  <c r="AT526" i="67"/>
  <c r="AT829" i="67"/>
  <c r="AT374" i="67"/>
  <c r="AT68" i="67"/>
  <c r="AT221" i="67"/>
  <c r="AT678" i="67"/>
  <c r="AT996" i="67"/>
  <c r="AT390" i="67"/>
  <c r="AT542" i="67"/>
  <c r="AT694" i="67"/>
  <c r="AT84" i="67"/>
  <c r="AT237" i="67"/>
  <c r="AT845" i="67"/>
  <c r="AU1131" i="67"/>
  <c r="AU1477" i="67"/>
  <c r="AU1147" i="67"/>
  <c r="AU1493" i="67"/>
  <c r="AS1300" i="67"/>
  <c r="BL9" i="45"/>
  <c r="BN102" i="34"/>
  <c r="BN118" i="34"/>
  <c r="BL24" i="45"/>
  <c r="BL16" i="45"/>
  <c r="BP77" i="36"/>
  <c r="BP167" i="34"/>
  <c r="BP183" i="34"/>
  <c r="BO77" i="36"/>
  <c r="BO167" i="34"/>
  <c r="BO183" i="34"/>
  <c r="BP61" i="36"/>
  <c r="BO61" i="36"/>
  <c r="AT1300" i="67" l="1"/>
  <c r="AW1131" i="67"/>
  <c r="AW1477" i="67"/>
  <c r="AT1284" i="67"/>
  <c r="AU996" i="67"/>
  <c r="AU390" i="67"/>
  <c r="AU84" i="67"/>
  <c r="AU845" i="67"/>
  <c r="AU237" i="67"/>
  <c r="AU542" i="67"/>
  <c r="AU694" i="67"/>
  <c r="AU1300" i="67"/>
  <c r="AV1147" i="67"/>
  <c r="AV1493" i="67"/>
  <c r="AV1131" i="67"/>
  <c r="AV1477" i="67"/>
  <c r="AW1147" i="67"/>
  <c r="AW1493" i="67"/>
  <c r="AU980" i="67"/>
  <c r="AU68" i="67"/>
  <c r="AU221" i="67"/>
  <c r="AU526" i="67"/>
  <c r="AU374" i="67"/>
  <c r="AU829" i="67"/>
  <c r="AU678" i="67"/>
  <c r="BN16" i="45"/>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U1284" i="67" l="1"/>
  <c r="AW996" i="67"/>
  <c r="AW390" i="67"/>
  <c r="AW845" i="67"/>
  <c r="AW542" i="67"/>
  <c r="AW694" i="67"/>
  <c r="AW84" i="67"/>
  <c r="AW237" i="67"/>
  <c r="AV980" i="67"/>
  <c r="AV526" i="67"/>
  <c r="AV68" i="67"/>
  <c r="AV829" i="67"/>
  <c r="AV374" i="67"/>
  <c r="AV221" i="67"/>
  <c r="AV678" i="67"/>
  <c r="AW980" i="67"/>
  <c r="AW526" i="67"/>
  <c r="AW68" i="67"/>
  <c r="AW829" i="67"/>
  <c r="AW221" i="67"/>
  <c r="AW374" i="67"/>
  <c r="AW678" i="67"/>
  <c r="AW1284" i="67" s="1"/>
  <c r="AV996" i="67"/>
  <c r="AV390" i="67"/>
  <c r="AV1300" i="67" s="1"/>
  <c r="AV84" i="67"/>
  <c r="AV237" i="67"/>
  <c r="AV845" i="67"/>
  <c r="AV542" i="67"/>
  <c r="AV694" i="67"/>
  <c r="A65" i="57"/>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AW1300" i="67" l="1"/>
  <c r="AV1284" i="67"/>
  <c r="D88" i="46"/>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G50" i="45"/>
  <c r="J50" i="68" s="1"/>
  <c r="J96" i="34"/>
  <c r="J137" i="34"/>
  <c r="J141" i="34"/>
  <c r="J112" i="34"/>
  <c r="J142" i="34"/>
  <c r="J138" i="34"/>
  <c r="K71" i="36"/>
  <c r="K55" i="36"/>
  <c r="K177" i="34"/>
  <c r="K161" i="34"/>
  <c r="E30" i="33"/>
  <c r="E47" i="33"/>
  <c r="H52" i="45" l="1"/>
  <c r="H67" i="45" s="1"/>
  <c r="I72" i="68"/>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J49" i="45"/>
  <c r="J66" i="45" s="1"/>
  <c r="K50" i="45"/>
  <c r="N50" i="68" s="1"/>
  <c r="O71" i="36"/>
  <c r="O55" i="36"/>
  <c r="O161" i="34"/>
  <c r="O177" i="34"/>
  <c r="N112" i="34"/>
  <c r="N138" i="34"/>
  <c r="N142" i="34"/>
  <c r="N96" i="34"/>
  <c r="N137" i="34"/>
  <c r="N141" i="34"/>
  <c r="E34" i="33"/>
  <c r="E51" i="33"/>
  <c r="L52" i="45" l="1"/>
  <c r="L67" i="45" s="1"/>
  <c r="J72" i="45"/>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N50" i="45"/>
  <c r="Q50" i="68" s="1"/>
  <c r="Q96" i="34"/>
  <c r="Q141" i="34"/>
  <c r="Q137" i="34"/>
  <c r="R71" i="36"/>
  <c r="R55" i="36"/>
  <c r="R177" i="34"/>
  <c r="R161" i="34"/>
  <c r="Q112" i="34"/>
  <c r="Q142" i="34"/>
  <c r="Q138" i="34"/>
  <c r="O52" i="45" l="1"/>
  <c r="O67" i="45" s="1"/>
  <c r="M72" i="45"/>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O50" i="45"/>
  <c r="R50" i="68" s="1"/>
  <c r="R112" i="34"/>
  <c r="R142" i="34"/>
  <c r="R138" i="34"/>
  <c r="S71" i="36"/>
  <c r="S55" i="36"/>
  <c r="S177" i="34"/>
  <c r="S161" i="34"/>
  <c r="R96" i="34"/>
  <c r="R137" i="34"/>
  <c r="R141" i="34"/>
  <c r="P52" i="45" l="1"/>
  <c r="P67" i="45" s="1"/>
  <c r="N72" i="45"/>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S50" i="45"/>
  <c r="V50" i="68" s="1"/>
  <c r="W71" i="36"/>
  <c r="W55" i="36"/>
  <c r="W177" i="34"/>
  <c r="W161" i="34"/>
  <c r="V112" i="34"/>
  <c r="V142" i="34"/>
  <c r="V138" i="34"/>
  <c r="V96" i="34"/>
  <c r="V137" i="34"/>
  <c r="V141" i="34"/>
  <c r="T52" i="45" l="1"/>
  <c r="T67" i="45" s="1"/>
  <c r="U72" i="68"/>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Z71" i="36"/>
  <c r="Z55" i="36"/>
  <c r="Z161" i="34"/>
  <c r="Z177" i="34"/>
  <c r="Y96" i="34"/>
  <c r="Y141" i="34"/>
  <c r="Y137" i="34"/>
  <c r="Y112" i="34"/>
  <c r="Y142" i="34"/>
  <c r="Y138" i="34"/>
  <c r="E59" i="33"/>
  <c r="W52" i="45" l="1"/>
  <c r="W67" i="45" s="1"/>
  <c r="U72" i="45"/>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AA96" i="34"/>
  <c r="AA137" i="34"/>
  <c r="AA141" i="34"/>
  <c r="AB71" i="36"/>
  <c r="AB55" i="36"/>
  <c r="AB161" i="34"/>
  <c r="AB177" i="34"/>
  <c r="AA112" i="34"/>
  <c r="AA142" i="34"/>
  <c r="AA138" i="34"/>
  <c r="Y52" i="45" l="1"/>
  <c r="Y67" i="45" s="1"/>
  <c r="Z72" i="68"/>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G71" i="45" l="1"/>
  <c r="G73" i="45" s="1"/>
  <c r="G80" i="45" s="1"/>
  <c r="AK839" i="67"/>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H71" i="45" l="1"/>
  <c r="H73" i="45" s="1"/>
  <c r="H80" i="45" s="1"/>
  <c r="AL520" i="67"/>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J71" i="45" s="1"/>
  <c r="J73" i="45" s="1"/>
  <c r="J80" i="45" s="1"/>
  <c r="M20" i="68"/>
  <c r="M19" i="68" s="1"/>
  <c r="M60" i="68"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L71" i="45" l="1"/>
  <c r="L73" i="45" s="1"/>
  <c r="L80" i="45" s="1"/>
  <c r="AP520" i="67"/>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N71" i="45" l="1"/>
  <c r="N73" i="45" s="1"/>
  <c r="N80" i="45" s="1"/>
  <c r="AR215" i="67"/>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Q71" i="45" s="1"/>
  <c r="Q73" i="45" s="1"/>
  <c r="Q80" i="45" s="1"/>
  <c r="T5" i="68"/>
  <c r="T4" i="68" s="1"/>
  <c r="T58" i="68"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S71" i="45" s="1"/>
  <c r="S73" i="45" s="1"/>
  <c r="S80" i="45" s="1"/>
  <c r="V5" i="68"/>
  <c r="V4" i="68" s="1"/>
  <c r="V58" i="68" s="1"/>
  <c r="S11" i="45"/>
  <c r="S59" i="45" s="1"/>
  <c r="V12" i="68"/>
  <c r="V11" i="68" s="1"/>
  <c r="V59" i="68" s="1"/>
  <c r="S19" i="45"/>
  <c r="S60" i="45" s="1"/>
  <c r="V20" i="68"/>
  <c r="V19" i="68" s="1"/>
  <c r="V60" i="68"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X12" i="68"/>
  <c r="X11" i="68" s="1"/>
  <c r="X59" i="68" s="1"/>
  <c r="V20" i="45"/>
  <c r="V5" i="45"/>
  <c r="V12" i="45"/>
  <c r="U71" i="45" l="1"/>
  <c r="U73" i="45" s="1"/>
  <c r="U80" i="45" s="1"/>
  <c r="X71" i="68"/>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D20" i="68"/>
  <c r="AD19" i="68" s="1"/>
  <c r="AD60" i="68" s="1"/>
  <c r="AA71" i="45" l="1"/>
  <c r="AD71" i="68"/>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AS15" i="50"/>
  <c r="AS50" i="50" s="1"/>
  <c r="BE15" i="50"/>
  <c r="BE50" i="50" s="1"/>
  <c r="BB15" i="50"/>
  <c r="BB50" i="50" s="1"/>
  <c r="AN15" i="50"/>
  <c r="AN50" i="50" s="1"/>
  <c r="BI15" i="50"/>
  <c r="BI50" i="50" s="1"/>
  <c r="AL15" i="50"/>
  <c r="AL50" i="50" s="1"/>
  <c r="BD15" i="50"/>
  <c r="BD50" i="50" s="1"/>
  <c r="AZ15" i="50"/>
  <c r="AZ50" i="50" s="1"/>
  <c r="AH15" i="50"/>
  <c r="AH50" i="50" s="1"/>
  <c r="AG15" i="50"/>
  <c r="AK15" i="50"/>
  <c r="AK50" i="50" s="1"/>
  <c r="AV45" i="50"/>
  <c r="AV44" i="50" s="1"/>
  <c r="AK27" i="50"/>
  <c r="AK18" i="50" s="1"/>
  <c r="AK52" i="50" s="1"/>
  <c r="BE45" i="50"/>
  <c r="BE44" i="50" s="1"/>
  <c r="AX45" i="50"/>
  <c r="AX44" i="50" s="1"/>
  <c r="BI45" i="50"/>
  <c r="BI44" i="50" s="1"/>
  <c r="AI45" i="50"/>
  <c r="AI44" i="50" s="1"/>
  <c r="BF15" i="50"/>
  <c r="BF50" i="50" s="1"/>
  <c r="BA15" i="50"/>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BK50" i="50" l="1"/>
  <c r="AG50" i="50"/>
  <c r="BA50" i="50"/>
  <c r="K1065" i="67"/>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AD82" i="36"/>
  <c r="AD85" i="36" s="1"/>
  <c r="BE58" i="50"/>
  <c r="BE59" i="50" s="1"/>
  <c r="BE60" i="50" s="1"/>
  <c r="BK58" i="50"/>
  <c r="BK59" i="50" s="1"/>
  <c r="BK60" i="50" s="1"/>
  <c r="BK61" i="50" s="1"/>
  <c r="BK68" i="50" s="1"/>
  <c r="AO7" i="71"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BC68" i="50" s="1"/>
  <c r="AG7" i="71" s="1"/>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D37" i="62" l="1"/>
  <c r="K1518" i="67"/>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Q340" i="67"/>
  <c r="AQ795" i="67"/>
  <c r="AQ644" i="67"/>
  <c r="AQ492" i="67"/>
  <c r="AQ34" i="67"/>
  <c r="AQ187" i="67"/>
  <c r="AM811" i="67"/>
  <c r="AM356" i="67"/>
  <c r="AM660" i="67"/>
  <c r="AM508" i="67"/>
  <c r="AM50" i="67"/>
  <c r="AM203" i="67"/>
  <c r="BG26" i="68"/>
  <c r="AR458" i="67"/>
  <c r="AR762" i="67"/>
  <c r="AR913" i="67"/>
  <c r="AR152" i="67"/>
  <c r="AR305" i="67"/>
  <c r="AR610" i="67"/>
  <c r="Q356" i="67"/>
  <c r="Q811" i="67"/>
  <c r="Q660" i="67"/>
  <c r="Q508" i="67"/>
  <c r="Q50" i="67"/>
  <c r="Q203" i="67"/>
  <c r="AK26" i="68"/>
  <c r="S586" i="67"/>
  <c r="S281" i="67"/>
  <c r="S128" i="67"/>
  <c r="S434" i="67"/>
  <c r="S738" i="67"/>
  <c r="S889" i="67"/>
  <c r="Y348" i="67"/>
  <c r="Y42" i="67"/>
  <c r="Y652" i="67"/>
  <c r="Y195" i="67"/>
  <c r="Y803" i="67"/>
  <c r="AS21" i="68"/>
  <c r="Y500" i="67"/>
  <c r="AQ450" i="67"/>
  <c r="AQ297" i="67"/>
  <c r="AQ602" i="67"/>
  <c r="AQ144" i="67"/>
  <c r="AQ754" i="67"/>
  <c r="AQ905" i="67"/>
  <c r="BE13" i="68"/>
  <c r="AK330" i="67"/>
  <c r="AK634" i="67"/>
  <c r="AK24" i="67"/>
  <c r="AK785" i="67"/>
  <c r="AK482" i="67"/>
  <c r="AK177" i="67"/>
  <c r="AS340" i="67"/>
  <c r="AS795" i="67"/>
  <c r="AS492" i="67"/>
  <c r="AS644" i="67"/>
  <c r="AS34" i="67"/>
  <c r="AS187" i="67"/>
  <c r="AJ163" i="67"/>
  <c r="AJ316" i="67"/>
  <c r="AJ771" i="67"/>
  <c r="AJ10" i="67"/>
  <c r="AJ620" i="67"/>
  <c r="AV348" i="67"/>
  <c r="BP21" i="68"/>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AW746" i="67"/>
  <c r="AW442" i="67"/>
  <c r="AW897" i="67"/>
  <c r="AW136" i="67"/>
  <c r="AW289" i="67"/>
  <c r="AW594" i="67"/>
  <c r="L340" i="67"/>
  <c r="L644" i="67"/>
  <c r="L795" i="67"/>
  <c r="L492" i="67"/>
  <c r="L34" i="67"/>
  <c r="L187" i="67"/>
  <c r="M356" i="67"/>
  <c r="M508" i="67"/>
  <c r="M660" i="67"/>
  <c r="M811" i="67"/>
  <c r="M50" i="67"/>
  <c r="M203" i="67"/>
  <c r="AG26" i="68"/>
  <c r="O358" i="67"/>
  <c r="O813" i="67"/>
  <c r="O510" i="67"/>
  <c r="O662" i="67"/>
  <c r="O52" i="67"/>
  <c r="O205" i="67"/>
  <c r="AW451" i="67"/>
  <c r="AW906" i="67"/>
  <c r="AW603" i="67"/>
  <c r="AW755" i="67"/>
  <c r="AW145" i="67"/>
  <c r="AW298" i="67"/>
  <c r="AW164" i="67"/>
  <c r="AW317" i="67"/>
  <c r="AW621" i="67"/>
  <c r="AW11" i="67"/>
  <c r="AW772" i="67"/>
  <c r="AL13" i="68"/>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N330" i="67"/>
  <c r="N634" i="67"/>
  <c r="N24" i="67"/>
  <c r="N785" i="67"/>
  <c r="N482" i="67"/>
  <c r="N177" i="67"/>
  <c r="AT348" i="67"/>
  <c r="BN21" i="68"/>
  <c r="AT803" i="67"/>
  <c r="AT195" i="67"/>
  <c r="AT500" i="67"/>
  <c r="AT652" i="67"/>
  <c r="AT42" i="67"/>
  <c r="AA450" i="67"/>
  <c r="AA144" i="67"/>
  <c r="AA297" i="67"/>
  <c r="AA602" i="67"/>
  <c r="AA905" i="67"/>
  <c r="AA754" i="67"/>
  <c r="AC348" i="67"/>
  <c r="AC652" i="67"/>
  <c r="AC803" i="67"/>
  <c r="AC42" i="67"/>
  <c r="AC500" i="67"/>
  <c r="AW21" i="68"/>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W811" i="67"/>
  <c r="W356" i="67"/>
  <c r="W660" i="67"/>
  <c r="W508" i="67"/>
  <c r="W50" i="67"/>
  <c r="W203" i="67"/>
  <c r="AQ26" i="68"/>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R897" i="67"/>
  <c r="R442" i="67"/>
  <c r="R746" i="67"/>
  <c r="R289" i="67"/>
  <c r="R136" i="67"/>
  <c r="R594" i="67"/>
  <c r="AN754" i="67"/>
  <c r="AN144" i="67"/>
  <c r="AN297" i="67"/>
  <c r="AN602" i="67"/>
  <c r="AN450" i="67"/>
  <c r="AN905" i="67"/>
  <c r="Q348" i="67"/>
  <c r="Q500" i="67"/>
  <c r="Q195" i="67"/>
  <c r="Q652" i="67"/>
  <c r="AK21" i="68"/>
  <c r="Q803" i="67"/>
  <c r="Q42" i="67"/>
  <c r="AF434" i="67"/>
  <c r="AF128" i="67"/>
  <c r="AF586" i="67"/>
  <c r="AF281" i="67"/>
  <c r="AF738" i="67"/>
  <c r="AF889" i="67"/>
  <c r="V163" i="67"/>
  <c r="V316" i="67"/>
  <c r="V10" i="67"/>
  <c r="V771" i="67"/>
  <c r="V620" i="67"/>
  <c r="O330" i="67"/>
  <c r="O177" i="67"/>
  <c r="O24" i="67"/>
  <c r="O785" i="67"/>
  <c r="O634" i="67"/>
  <c r="O482" i="67"/>
  <c r="AI13" i="68"/>
  <c r="AH738" i="67"/>
  <c r="AH434" i="67"/>
  <c r="AH128" i="67"/>
  <c r="AH281" i="67"/>
  <c r="AH586" i="67"/>
  <c r="AH889" i="67"/>
  <c r="M348" i="67"/>
  <c r="M500" i="67"/>
  <c r="AG21" i="68"/>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AD434" i="67"/>
  <c r="AD128" i="67"/>
  <c r="AD738" i="67"/>
  <c r="AD281" i="67"/>
  <c r="AD586" i="67"/>
  <c r="AD889" i="67"/>
  <c r="X330" i="67"/>
  <c r="X24" i="67"/>
  <c r="X482" i="67"/>
  <c r="X634" i="67"/>
  <c r="X177" i="67"/>
  <c r="X785" i="67"/>
  <c r="AR13" i="68"/>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U356" i="67"/>
  <c r="U660" i="67"/>
  <c r="U811" i="67"/>
  <c r="U508" i="67"/>
  <c r="U50" i="67"/>
  <c r="U203" i="67"/>
  <c r="AO26" i="68"/>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X356" i="67"/>
  <c r="X660" i="67"/>
  <c r="X811" i="67"/>
  <c r="X508" i="67"/>
  <c r="X203" i="67"/>
  <c r="X50" i="67"/>
  <c r="AR26" i="68"/>
  <c r="AJ762" i="67"/>
  <c r="AJ458" i="67"/>
  <c r="AJ913" i="67"/>
  <c r="AJ305" i="67"/>
  <c r="AJ610" i="67"/>
  <c r="AJ152" i="67"/>
  <c r="Y338" i="67"/>
  <c r="Y642" i="67"/>
  <c r="Y185" i="67"/>
  <c r="Y490" i="67"/>
  <c r="Y32" i="67"/>
  <c r="T348" i="67"/>
  <c r="T803" i="67"/>
  <c r="T42" i="67"/>
  <c r="T652" i="67"/>
  <c r="T195" i="67"/>
  <c r="T500" i="67"/>
  <c r="AN21" i="68"/>
  <c r="P754" i="67"/>
  <c r="P450" i="67"/>
  <c r="P144" i="67"/>
  <c r="P602" i="67"/>
  <c r="P297" i="67"/>
  <c r="P905" i="67"/>
  <c r="Y330" i="67"/>
  <c r="AS13" i="68"/>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AF803" i="67"/>
  <c r="AF42" i="67"/>
  <c r="AF500" i="67"/>
  <c r="AF652" i="67"/>
  <c r="AF195" i="67"/>
  <c r="O738" i="67"/>
  <c r="O128" i="67"/>
  <c r="O434" i="67"/>
  <c r="O586" i="67"/>
  <c r="O281" i="67"/>
  <c r="O889" i="67"/>
  <c r="AH348" i="67"/>
  <c r="AH42" i="67"/>
  <c r="AH652" i="67"/>
  <c r="AH195" i="67"/>
  <c r="AH803" i="67"/>
  <c r="BB21" i="68"/>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Z458" i="67"/>
  <c r="Z762" i="67"/>
  <c r="Z913" i="67"/>
  <c r="Z610" i="67"/>
  <c r="Z305" i="67"/>
  <c r="Z152" i="67"/>
  <c r="AL164" i="67"/>
  <c r="AL317" i="67"/>
  <c r="AL621" i="67"/>
  <c r="AL772" i="67"/>
  <c r="AL11" i="67"/>
  <c r="AW348" i="67"/>
  <c r="AW500" i="67"/>
  <c r="AW195" i="67"/>
  <c r="AW652" i="67"/>
  <c r="BQ21" i="68"/>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AE348" i="67"/>
  <c r="AE652" i="67"/>
  <c r="AE42" i="67"/>
  <c r="AE803" i="67"/>
  <c r="AE195" i="67"/>
  <c r="AE500" i="67"/>
  <c r="AO754" i="67"/>
  <c r="AO905" i="67"/>
  <c r="AO450" i="67"/>
  <c r="AO602" i="67"/>
  <c r="AO297" i="67"/>
  <c r="AO144" i="67"/>
  <c r="AV356" i="67"/>
  <c r="AV660" i="67"/>
  <c r="AV811" i="67"/>
  <c r="AV508" i="67"/>
  <c r="AV50" i="67"/>
  <c r="AV203" i="67"/>
  <c r="BP26" i="68"/>
  <c r="AK349" i="67"/>
  <c r="AK501" i="67"/>
  <c r="AK196" i="67"/>
  <c r="AK653" i="67"/>
  <c r="AK804" i="67"/>
  <c r="AK43" i="67"/>
  <c r="AH451" i="67"/>
  <c r="AH298" i="67"/>
  <c r="AH145" i="67"/>
  <c r="AH906" i="67"/>
  <c r="AH603" i="67"/>
  <c r="AH755" i="67"/>
  <c r="AH164" i="67"/>
  <c r="AH317" i="67"/>
  <c r="AH11" i="67"/>
  <c r="AH772" i="67"/>
  <c r="AH621" i="67"/>
  <c r="AL330" i="67"/>
  <c r="BF13" i="68"/>
  <c r="AL785" i="67"/>
  <c r="AL177" i="67"/>
  <c r="AL482" i="67"/>
  <c r="AL634" i="67"/>
  <c r="AL24" i="67"/>
  <c r="N586" i="67"/>
  <c r="N128" i="67"/>
  <c r="N281" i="67"/>
  <c r="N434" i="67"/>
  <c r="N738" i="67"/>
  <c r="N889" i="67"/>
  <c r="BN13" i="68"/>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T785" i="67"/>
  <c r="T24" i="67"/>
  <c r="S348" i="67"/>
  <c r="AM21" i="68"/>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U482" i="67"/>
  <c r="U177" i="67"/>
  <c r="U634" i="67"/>
  <c r="U24" i="67"/>
  <c r="U785" i="67"/>
  <c r="AQ348" i="67"/>
  <c r="AQ500" i="67"/>
  <c r="AQ652" i="67"/>
  <c r="AQ195" i="67"/>
  <c r="AQ803" i="67"/>
  <c r="BK21" i="68"/>
  <c r="AQ42" i="67"/>
  <c r="AK434" i="67"/>
  <c r="AK889" i="67"/>
  <c r="AK586" i="67"/>
  <c r="AK128" i="67"/>
  <c r="AK738" i="67"/>
  <c r="AK281" i="67"/>
  <c r="AS450" i="67"/>
  <c r="AS754" i="67"/>
  <c r="AS144" i="67"/>
  <c r="AS602" i="67"/>
  <c r="AS297" i="67"/>
  <c r="AS905" i="67"/>
  <c r="AS348" i="67"/>
  <c r="AS500" i="67"/>
  <c r="BM21" i="68"/>
  <c r="AS652" i="67"/>
  <c r="AS195" i="67"/>
  <c r="AS803" i="67"/>
  <c r="AS42" i="67"/>
  <c r="K164" i="67"/>
  <c r="K317" i="67"/>
  <c r="K772" i="67"/>
  <c r="K11" i="67"/>
  <c r="K621" i="67"/>
  <c r="AN348" i="67"/>
  <c r="AN803" i="67"/>
  <c r="AN652" i="67"/>
  <c r="AN195" i="67"/>
  <c r="AN500" i="67"/>
  <c r="BH21" i="68"/>
  <c r="AN42" i="67"/>
  <c r="AK13" i="68"/>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AF24" i="67"/>
  <c r="AF177" i="67"/>
  <c r="V348" i="67"/>
  <c r="AP21" i="68"/>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H177" i="67"/>
  <c r="AH482" i="67"/>
  <c r="AH24" i="67"/>
  <c r="AH634" i="67"/>
  <c r="AH785" i="67"/>
  <c r="AU348" i="67"/>
  <c r="AU803" i="67"/>
  <c r="BO21" i="68"/>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B746" i="67"/>
  <c r="AB897" i="67"/>
  <c r="AB442" i="67"/>
  <c r="AB289" i="67"/>
  <c r="AB594" i="67"/>
  <c r="AB136" i="67"/>
  <c r="AE913" i="67"/>
  <c r="AE458" i="67"/>
  <c r="AE762" i="67"/>
  <c r="AE305" i="67"/>
  <c r="AE152" i="67"/>
  <c r="AE610" i="67"/>
  <c r="Z358" i="67"/>
  <c r="Z813" i="67"/>
  <c r="Z662" i="67"/>
  <c r="Z205" i="67"/>
  <c r="Z510" i="67"/>
  <c r="Z52" i="67"/>
  <c r="AJ348" i="67"/>
  <c r="BD21" i="68"/>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A358" i="67"/>
  <c r="AA662" i="67"/>
  <c r="AA813" i="67"/>
  <c r="AA510" i="67"/>
  <c r="AA52" i="67"/>
  <c r="AA205" i="67"/>
  <c r="P356" i="67"/>
  <c r="P811" i="67"/>
  <c r="P660" i="67"/>
  <c r="P50" i="67"/>
  <c r="P203" i="67"/>
  <c r="P508" i="67"/>
  <c r="AJ26" i="68"/>
  <c r="R340" i="67"/>
  <c r="R795" i="67"/>
  <c r="R187" i="67"/>
  <c r="R644" i="67"/>
  <c r="R492" i="67"/>
  <c r="R34" i="67"/>
  <c r="AU340" i="67"/>
  <c r="AU644" i="67"/>
  <c r="AU795" i="67"/>
  <c r="AU34" i="67"/>
  <c r="AU187" i="67"/>
  <c r="AU492" i="67"/>
  <c r="AP356" i="67"/>
  <c r="AP811" i="67"/>
  <c r="AP660" i="67"/>
  <c r="AP203" i="67"/>
  <c r="AP508" i="67"/>
  <c r="AP50" i="67"/>
  <c r="BJ26" i="68"/>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AE177" i="67"/>
  <c r="AE634" i="67"/>
  <c r="BL21" i="68"/>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Z330" i="67"/>
  <c r="Z634" i="67"/>
  <c r="Z785" i="67"/>
  <c r="Z24" i="67"/>
  <c r="Z177" i="67"/>
  <c r="Z482" i="67"/>
  <c r="BC21" i="68"/>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T434" i="67"/>
  <c r="T738" i="67"/>
  <c r="T586" i="67"/>
  <c r="T128" i="67"/>
  <c r="T281" i="67"/>
  <c r="T889" i="67"/>
  <c r="S163" i="67"/>
  <c r="S316" i="67"/>
  <c r="S620" i="67"/>
  <c r="S771" i="67"/>
  <c r="S10" i="67"/>
  <c r="AJ13" i="68"/>
  <c r="P330" i="67"/>
  <c r="P177" i="67"/>
  <c r="P634" i="67"/>
  <c r="P785" i="67"/>
  <c r="P482" i="67"/>
  <c r="P24" i="67"/>
  <c r="U434" i="67"/>
  <c r="U889" i="67"/>
  <c r="U586" i="67"/>
  <c r="U738" i="67"/>
  <c r="U128" i="67"/>
  <c r="U281" i="67"/>
  <c r="AQ163" i="67"/>
  <c r="AQ316" i="67"/>
  <c r="AQ620" i="67"/>
  <c r="AQ771" i="67"/>
  <c r="AQ10" i="67"/>
  <c r="AS330" i="67"/>
  <c r="BM13" i="68"/>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V738" i="67"/>
  <c r="V586" i="67"/>
  <c r="V434" i="67"/>
  <c r="V128" i="67"/>
  <c r="V281" i="67"/>
  <c r="V889" i="67"/>
  <c r="BG21" i="68"/>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AV21" i="68"/>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U500" i="67"/>
  <c r="AK297" i="67"/>
  <c r="AK144" i="67"/>
  <c r="AK754" i="67"/>
  <c r="AK450" i="67"/>
  <c r="AK602" i="67"/>
  <c r="AK905" i="67"/>
  <c r="AS163" i="67"/>
  <c r="AS316" i="67"/>
  <c r="AS620" i="67"/>
  <c r="AS771" i="67"/>
  <c r="AS10" i="67"/>
  <c r="AN586" i="67"/>
  <c r="AN128" i="67"/>
  <c r="AN738" i="67"/>
  <c r="AN281" i="67"/>
  <c r="AN434" i="67"/>
  <c r="AN889" i="67"/>
  <c r="AP330" i="67"/>
  <c r="BJ13" i="68"/>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AB177" i="67"/>
  <c r="X297" i="67"/>
  <c r="X450" i="67"/>
  <c r="X144" i="67"/>
  <c r="X754" i="67"/>
  <c r="X602" i="67"/>
  <c r="X905" i="67"/>
  <c r="AV330" i="67"/>
  <c r="AV482" i="67"/>
  <c r="BP13" i="68"/>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S785" i="67"/>
  <c r="S24" i="67"/>
  <c r="P348" i="67"/>
  <c r="AJ21" i="68"/>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K348" i="67"/>
  <c r="AK195" i="67"/>
  <c r="BE21" i="68"/>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V330" i="67"/>
  <c r="V482" i="67"/>
  <c r="V634" i="67"/>
  <c r="V24" i="67"/>
  <c r="V177" i="67"/>
  <c r="V785" i="67"/>
  <c r="O348" i="67"/>
  <c r="AI21" i="68"/>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U177" i="67"/>
  <c r="AU24" i="67"/>
  <c r="AU785" i="67"/>
  <c r="AU634" i="67"/>
  <c r="M330" i="67"/>
  <c r="AG13" i="68"/>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AE442" i="67"/>
  <c r="AE746" i="67"/>
  <c r="AE897" i="67"/>
  <c r="AE289" i="67"/>
  <c r="AE594" i="67"/>
  <c r="AE136" i="67"/>
  <c r="Z340" i="67"/>
  <c r="Z795" i="67"/>
  <c r="Z187" i="67"/>
  <c r="Z492" i="67"/>
  <c r="Z644" i="67"/>
  <c r="Z34" i="67"/>
  <c r="AJ330" i="67"/>
  <c r="AJ785" i="67"/>
  <c r="AJ482" i="67"/>
  <c r="AJ634" i="67"/>
  <c r="AJ24" i="67"/>
  <c r="AJ177" i="67"/>
  <c r="BD13" i="68"/>
  <c r="W348" i="67"/>
  <c r="AQ21" i="68"/>
  <c r="W195" i="67"/>
  <c r="W652" i="67"/>
  <c r="W500" i="67"/>
  <c r="W803" i="67"/>
  <c r="W42" i="67"/>
  <c r="AB434" i="67"/>
  <c r="AB586" i="67"/>
  <c r="AB281" i="67"/>
  <c r="AB738" i="67"/>
  <c r="AB128" i="67"/>
  <c r="AB889" i="67"/>
  <c r="AD330" i="67"/>
  <c r="AX13" i="68"/>
  <c r="AD785" i="67"/>
  <c r="AD177" i="67"/>
  <c r="AD634" i="67"/>
  <c r="AD482" i="67"/>
  <c r="AD24" i="67"/>
  <c r="AR21" i="68"/>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O348" i="67"/>
  <c r="AO803" i="67"/>
  <c r="BI21" i="68"/>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N348" i="67"/>
  <c r="N652" i="67"/>
  <c r="N42" i="67"/>
  <c r="N803" i="67"/>
  <c r="AH21" i="68"/>
  <c r="N195" i="67"/>
  <c r="N500" i="67"/>
  <c r="AT281" i="67"/>
  <c r="AT128" i="67"/>
  <c r="AT738" i="67"/>
  <c r="AT434" i="67"/>
  <c r="AT586" i="67"/>
  <c r="AT889" i="67"/>
  <c r="AA434" i="67"/>
  <c r="AA128" i="67"/>
  <c r="AA281" i="67"/>
  <c r="AA586" i="67"/>
  <c r="AA738" i="67"/>
  <c r="AA889" i="67"/>
  <c r="AA163" i="67"/>
  <c r="AA316" i="67"/>
  <c r="AA620" i="67"/>
  <c r="AA771" i="67"/>
  <c r="AA10" i="67"/>
  <c r="AC330" i="67"/>
  <c r="AW13" i="68"/>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K634" i="67"/>
  <c r="K24" i="67"/>
  <c r="K482" i="67"/>
  <c r="K785" i="67"/>
  <c r="K177" i="67"/>
  <c r="K348" i="67"/>
  <c r="AE21" i="68"/>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O68" i="50" s="1"/>
  <c r="S7" i="71" s="1"/>
  <c r="AU41" i="70"/>
  <c r="AK61" i="50"/>
  <c r="AK68" i="50" s="1"/>
  <c r="O7" i="71" s="1"/>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Z68" i="50" s="1"/>
  <c r="D7" i="71" s="1"/>
  <c r="AF41" i="70"/>
  <c r="AP61" i="50"/>
  <c r="AP68" i="50" s="1"/>
  <c r="T7" i="71" s="1"/>
  <c r="AV41" i="70"/>
  <c r="BI46" i="70"/>
  <c r="AG157" i="65"/>
  <c r="AG169" i="65" s="1"/>
  <c r="BI48" i="70"/>
  <c r="AR82" i="70"/>
  <c r="AR85" i="70" s="1"/>
  <c r="AR47" i="70"/>
  <c r="AT82" i="70"/>
  <c r="AT85" i="70" s="1"/>
  <c r="AT47" i="70"/>
  <c r="BD47" i="70"/>
  <c r="BD82" i="70"/>
  <c r="BD85" i="70" s="1"/>
  <c r="BB61" i="50"/>
  <c r="BB68" i="50" s="1"/>
  <c r="AF7" i="71" s="1"/>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D68" i="50" s="1"/>
  <c r="AH7" i="71" s="1"/>
  <c r="BJ41" i="70"/>
  <c r="BG61" i="50"/>
  <c r="BG68" i="50" s="1"/>
  <c r="AK7" i="71" s="1"/>
  <c r="BM41" i="70"/>
  <c r="BE61" i="50"/>
  <c r="BE68" i="50" s="1"/>
  <c r="AI7" i="71" s="1"/>
  <c r="BK41" i="70"/>
  <c r="BK41" i="36"/>
  <c r="BK82" i="36" s="1"/>
  <c r="AV41" i="36"/>
  <c r="AV82" i="36" s="1"/>
  <c r="BH41" i="36"/>
  <c r="BH82" i="36" s="1"/>
  <c r="AF41" i="36"/>
  <c r="AF82" i="36" s="1"/>
  <c r="BH61" i="50"/>
  <c r="BH68" i="50" s="1"/>
  <c r="AL7" i="71" s="1"/>
  <c r="BM41" i="36"/>
  <c r="BM82" i="36" s="1"/>
  <c r="BJ41" i="36"/>
  <c r="BJ82" i="36" s="1"/>
  <c r="AQ41" i="36"/>
  <c r="AQ82" i="36" s="1"/>
  <c r="BJ61" i="50"/>
  <c r="BJ68" i="50" s="1"/>
  <c r="AN7" i="71" s="1"/>
  <c r="AU41" i="36"/>
  <c r="AU82" i="36" s="1"/>
  <c r="BA41" i="36"/>
  <c r="BA82" i="36" s="1"/>
  <c r="AU61" i="50"/>
  <c r="AU68" i="50" s="1"/>
  <c r="Y7" i="71" s="1"/>
  <c r="AH41" i="36"/>
  <c r="AH82" i="36" s="1"/>
  <c r="AB61" i="50"/>
  <c r="AB68" i="50" s="1"/>
  <c r="F7" i="71" s="1"/>
  <c r="BF41" i="36"/>
  <c r="BF82" i="36" s="1"/>
  <c r="AZ61" i="50"/>
  <c r="AZ68" i="50" s="1"/>
  <c r="AD7" i="71" s="1"/>
  <c r="Y61" i="50"/>
  <c r="Y68" i="50" s="1"/>
  <c r="C7" i="71" s="1"/>
  <c r="AE41" i="36"/>
  <c r="AE82" i="36" s="1"/>
  <c r="AS41" i="36"/>
  <c r="AS82" i="36" s="1"/>
  <c r="AM61" i="50"/>
  <c r="AM68" i="50" s="1"/>
  <c r="Q7" i="71" s="1"/>
  <c r="AR61" i="50"/>
  <c r="AR68" i="50" s="1"/>
  <c r="V7" i="71" s="1"/>
  <c r="AX41" i="36"/>
  <c r="AX82" i="36" s="1"/>
  <c r="BL41" i="36"/>
  <c r="BL82" i="36" s="1"/>
  <c r="BF61" i="50"/>
  <c r="BF68" i="50" s="1"/>
  <c r="AJ7" i="71" s="1"/>
  <c r="BE41" i="36"/>
  <c r="BE82" i="36" s="1"/>
  <c r="AY61" i="50"/>
  <c r="AY68" i="50" s="1"/>
  <c r="AC7" i="71" s="1"/>
  <c r="AG41" i="36"/>
  <c r="AG82" i="36" s="1"/>
  <c r="AG85" i="36" s="1"/>
  <c r="AA61" i="50"/>
  <c r="AA68" i="50" s="1"/>
  <c r="E7" i="71" s="1"/>
  <c r="AJ61" i="50"/>
  <c r="AJ68" i="50" s="1"/>
  <c r="N7" i="71" s="1"/>
  <c r="AP41" i="36"/>
  <c r="AP82" i="36" s="1"/>
  <c r="AC61" i="50"/>
  <c r="AC68" i="50" s="1"/>
  <c r="G7" i="71" s="1"/>
  <c r="AI41" i="36"/>
  <c r="AI82" i="36" s="1"/>
  <c r="AW61" i="50"/>
  <c r="AW68" i="50" s="1"/>
  <c r="AA7" i="71" s="1"/>
  <c r="BC41" i="36"/>
  <c r="BC82" i="36" s="1"/>
  <c r="AF61" i="50"/>
  <c r="AF68" i="50" s="1"/>
  <c r="J7" i="71" s="1"/>
  <c r="AL41" i="36"/>
  <c r="AL82" i="36" s="1"/>
  <c r="AJ41" i="36"/>
  <c r="AJ82" i="36" s="1"/>
  <c r="AD61" i="50"/>
  <c r="AD68" i="50" s="1"/>
  <c r="H7" i="71" s="1"/>
  <c r="AZ41" i="36"/>
  <c r="AZ82" i="36" s="1"/>
  <c r="AT61" i="50"/>
  <c r="AT68" i="50" s="1"/>
  <c r="X7" i="71" s="1"/>
  <c r="AV61" i="50"/>
  <c r="AV68" i="50" s="1"/>
  <c r="Z7" i="71" s="1"/>
  <c r="BB41" i="36"/>
  <c r="BB82" i="36" s="1"/>
  <c r="AT41" i="36"/>
  <c r="AT82" i="36" s="1"/>
  <c r="AN61" i="50"/>
  <c r="AN68" i="50" s="1"/>
  <c r="R7" i="71" s="1"/>
  <c r="AK41" i="36"/>
  <c r="AK82" i="36" s="1"/>
  <c r="AE61" i="50"/>
  <c r="AE68" i="50" s="1"/>
  <c r="I7" i="71" s="1"/>
  <c r="BI61" i="50"/>
  <c r="BI68" i="50" s="1"/>
  <c r="AM7" i="71" s="1"/>
  <c r="BO41" i="36"/>
  <c r="BO82" i="36" s="1"/>
  <c r="AG61" i="50"/>
  <c r="AG68" i="50" s="1"/>
  <c r="K7" i="71" s="1"/>
  <c r="AM41" i="36"/>
  <c r="AM82" i="36" s="1"/>
  <c r="BD41" i="36"/>
  <c r="BD82" i="36" s="1"/>
  <c r="AX61" i="50"/>
  <c r="AX68" i="50" s="1"/>
  <c r="AB7" i="71" s="1"/>
  <c r="BA61" i="50"/>
  <c r="BA68" i="50" s="1"/>
  <c r="AE7" i="71" s="1"/>
  <c r="BG41" i="36"/>
  <c r="BG82" i="36" s="1"/>
  <c r="AR41" i="36"/>
  <c r="AR82" i="36" s="1"/>
  <c r="AL61" i="50"/>
  <c r="AL68" i="50" s="1"/>
  <c r="P7" i="71" s="1"/>
  <c r="AW41" i="36"/>
  <c r="AW82" i="36" s="1"/>
  <c r="AQ61" i="50"/>
  <c r="AQ68" i="50" s="1"/>
  <c r="U7" i="71" s="1"/>
  <c r="AS61" i="50"/>
  <c r="AS68" i="50" s="1"/>
  <c r="W7" i="71" s="1"/>
  <c r="AY41" i="36"/>
  <c r="AY82" i="36" s="1"/>
  <c r="AN41" i="36"/>
  <c r="AN82" i="36" s="1"/>
  <c r="AH61" i="50"/>
  <c r="AH68" i="50" s="1"/>
  <c r="L7" i="71" s="1"/>
  <c r="AO41" i="36"/>
  <c r="AO82" i="36" s="1"/>
  <c r="AI61" i="50"/>
  <c r="AI68" i="50" s="1"/>
  <c r="M7" i="71" s="1"/>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N21" i="62" l="1"/>
  <c r="X21" i="62"/>
  <c r="AJ24" i="62"/>
  <c r="M24" i="62"/>
  <c r="AK14" i="62"/>
  <c r="E14" i="62"/>
  <c r="AC14" i="62"/>
  <c r="I21" i="62"/>
  <c r="AA14" i="62"/>
  <c r="O21" i="62"/>
  <c r="K24" i="62"/>
  <c r="D24" i="62"/>
  <c r="G21" i="62"/>
  <c r="AG14" i="62"/>
  <c r="AE24" i="62"/>
  <c r="AP14" i="62"/>
  <c r="AB24" i="62"/>
  <c r="I24" i="62"/>
  <c r="AK24" i="62"/>
  <c r="G24" i="62"/>
  <c r="Q14" i="62"/>
  <c r="AL24" i="62"/>
  <c r="V21" i="62"/>
  <c r="AO21" i="62"/>
  <c r="AN14" i="62"/>
  <c r="AG24" i="62"/>
  <c r="J14" i="62"/>
  <c r="M14" i="62"/>
  <c r="P14" i="62"/>
  <c r="J21" i="62"/>
  <c r="G14" i="62"/>
  <c r="AE21" i="62"/>
  <c r="F24" i="62"/>
  <c r="R21" i="62"/>
  <c r="J24" i="62"/>
  <c r="Q21" i="62"/>
  <c r="H21" i="62"/>
  <c r="S21" i="62"/>
  <c r="AI14" i="62"/>
  <c r="Z24" i="62"/>
  <c r="AB21" i="62"/>
  <c r="AK21" i="62"/>
  <c r="R14" i="62"/>
  <c r="N24" i="62"/>
  <c r="AF24" i="62"/>
  <c r="M21" i="62"/>
  <c r="D21" i="62"/>
  <c r="V14" i="62"/>
  <c r="AD21" i="62"/>
  <c r="L14" i="62"/>
  <c r="AF14" i="62"/>
  <c r="AF21" i="62"/>
  <c r="Z21" i="62"/>
  <c r="AN21" i="62"/>
  <c r="Y14" i="62"/>
  <c r="AG21" i="62"/>
  <c r="AO24" i="62"/>
  <c r="T21" i="62"/>
  <c r="AD24" i="62"/>
  <c r="Y24" i="62"/>
  <c r="I14" i="62"/>
  <c r="R24" i="62"/>
  <c r="AN24" i="62"/>
  <c r="AP21" i="62"/>
  <c r="Z14" i="62"/>
  <c r="AA21" i="62"/>
  <c r="Q24" i="62"/>
  <c r="T24" i="62"/>
  <c r="AB14" i="62"/>
  <c r="AM24" i="62"/>
  <c r="AP24" i="62"/>
  <c r="X14" i="62"/>
  <c r="AI24" i="62"/>
  <c r="H14" i="62"/>
  <c r="P24" i="62"/>
  <c r="AM21" i="62"/>
  <c r="AD14" i="62"/>
  <c r="O14" i="62"/>
  <c r="AI21" i="62"/>
  <c r="U24" i="62"/>
  <c r="AJ14" i="62"/>
  <c r="L24" i="62"/>
  <c r="AL21" i="62"/>
  <c r="O24" i="62"/>
  <c r="AH14" i="62"/>
  <c r="D14" i="62"/>
  <c r="AJ21" i="62"/>
  <c r="S24" i="62"/>
  <c r="AA24" i="62"/>
  <c r="F14" i="62"/>
  <c r="AC24" i="62"/>
  <c r="U14" i="62"/>
  <c r="U21" i="62"/>
  <c r="K14" i="62"/>
  <c r="AH21" i="62"/>
  <c r="E24" i="62"/>
  <c r="W14" i="62"/>
  <c r="X24" i="62"/>
  <c r="T14" i="62"/>
  <c r="AC21" i="62"/>
  <c r="AM14" i="62"/>
  <c r="AE14" i="62"/>
  <c r="AH24" i="62"/>
  <c r="F21" i="62"/>
  <c r="W24" i="62"/>
  <c r="K21" i="62"/>
  <c r="P21" i="62"/>
  <c r="H24" i="62"/>
  <c r="AO14" i="62"/>
  <c r="AL14" i="62"/>
  <c r="S14" i="62"/>
  <c r="E21" i="62"/>
  <c r="W21" i="62"/>
  <c r="N14" i="62"/>
  <c r="L21" i="62"/>
  <c r="Y21" i="62"/>
  <c r="V24" i="62"/>
  <c r="K968" i="67"/>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E37" i="62" l="1"/>
  <c r="AE6" i="68"/>
  <c r="K1272" i="67"/>
  <c r="K1325" i="67"/>
  <c r="AE18" i="68"/>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F37" i="62" l="1"/>
  <c r="D19" i="62"/>
  <c r="D8" i="62"/>
  <c r="U1302" i="67"/>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G37" i="62" l="1"/>
  <c r="M817" i="67"/>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H37" i="62" l="1"/>
  <c r="M1325" i="67"/>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I37" i="62" l="1"/>
  <c r="AE1301" i="67"/>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J37" i="62" l="1"/>
  <c r="AE1302" i="67"/>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K37" i="62" l="1"/>
  <c r="AG1301" i="67"/>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L37" i="62" l="1"/>
  <c r="AT1325" i="67"/>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M37" i="62" l="1"/>
  <c r="AH1302" i="67"/>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N37" i="62" l="1"/>
  <c r="AJ1285" i="67"/>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O37" i="62" l="1"/>
  <c r="AK1285" i="67"/>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P37" i="62" l="1"/>
  <c r="AK1302" i="67"/>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Q37" i="62" l="1"/>
  <c r="AM1301" i="67"/>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R37" i="62" l="1"/>
  <c r="AN1285" i="67"/>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S37" i="62" l="1"/>
  <c r="AN1302" i="67"/>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T37" i="62" l="1"/>
  <c r="AO1302" i="67"/>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U37" i="62" l="1"/>
  <c r="BK6" i="45"/>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V37" i="62" l="1"/>
  <c r="AQ1302" i="67"/>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W37" i="62" l="1"/>
  <c r="AR1302" i="67"/>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X37" i="62" l="1"/>
  <c r="AT1285" i="67"/>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BN17" i="45"/>
  <c r="BN10" i="45"/>
  <c r="BN25" i="45"/>
  <c r="BO169" i="34"/>
  <c r="BO63" i="36"/>
  <c r="BO185" i="34"/>
  <c r="BO31" i="34"/>
  <c r="BM17" i="45" s="1"/>
  <c r="BO79" i="36"/>
  <c r="BO49" i="34"/>
  <c r="BM25" i="45" s="1"/>
  <c r="BO17" i="34"/>
  <c r="BM10" i="45" s="1"/>
  <c r="Y37" i="62" l="1"/>
  <c r="AU1301" i="67"/>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T18" i="55"/>
  <c r="Z37" i="62" l="1"/>
  <c r="AV1285" i="67"/>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BA18" i="55"/>
  <c r="AC18" i="55"/>
  <c r="Y18" i="55"/>
  <c r="AJ18" i="55"/>
  <c r="AA18" i="55"/>
  <c r="U18" i="55"/>
  <c r="AE18" i="55"/>
  <c r="AP18" i="55"/>
  <c r="AB18" i="55"/>
  <c r="AA37" i="62" l="1"/>
  <c r="AV1302" i="67"/>
  <c r="AV1286" i="67"/>
  <c r="BC45" i="70"/>
  <c r="BB45" i="36"/>
  <c r="AI1461" i="67" s="1"/>
  <c r="BC41" i="68"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AK86" i="36" l="1"/>
  <c r="AB37" i="62"/>
  <c r="Z1485" i="67"/>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C37" i="62" l="1"/>
  <c r="AP52" i="45"/>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AD37" i="62" l="1"/>
  <c r="BF45" i="70"/>
  <c r="BE45" i="36"/>
  <c r="AL1461" i="67" s="1"/>
  <c r="BF41" i="68"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AE37" i="62" l="1"/>
  <c r="K1168" i="67"/>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Z8" i="71" s="1"/>
  <c r="BA88" i="34"/>
  <c r="BA139" i="34"/>
  <c r="AH46" i="36"/>
  <c r="O1462" i="67" s="1"/>
  <c r="AI42" i="68" s="1"/>
  <c r="AG46" i="36"/>
  <c r="N1462" i="67" s="1"/>
  <c r="AH42" i="68" s="1"/>
  <c r="AI46" i="36"/>
  <c r="P1462" i="67" s="1"/>
  <c r="AJ42" i="68" s="1"/>
  <c r="AD46" i="36"/>
  <c r="K1462" i="67" s="1"/>
  <c r="AE42" i="68" s="1"/>
  <c r="AE46" i="36"/>
  <c r="L1462" i="67" s="1"/>
  <c r="AF42" i="68" s="1"/>
  <c r="AF46" i="36"/>
  <c r="M1462" i="67" s="1"/>
  <c r="AG42" i="68" s="1"/>
  <c r="AI48" i="36"/>
  <c r="H8" i="71" s="1"/>
  <c r="AI88" i="34"/>
  <c r="AI139" i="34"/>
  <c r="AI135" i="34"/>
  <c r="AD48" i="36"/>
  <c r="AD135" i="34"/>
  <c r="AD88" i="34"/>
  <c r="AD139" i="34"/>
  <c r="AE48" i="36"/>
  <c r="D8" i="71" s="1"/>
  <c r="AE139" i="34"/>
  <c r="AE135" i="34"/>
  <c r="AE88" i="34"/>
  <c r="AF48" i="36"/>
  <c r="E8" i="71" s="1"/>
  <c r="AF88" i="34"/>
  <c r="AF135" i="34"/>
  <c r="AF139" i="34"/>
  <c r="AG48" i="36"/>
  <c r="F8" i="71" s="1"/>
  <c r="AG135" i="34"/>
  <c r="AG139" i="34"/>
  <c r="AG88" i="34"/>
  <c r="AF86" i="34"/>
  <c r="AE86" i="34"/>
  <c r="AD86" i="34"/>
  <c r="AI86" i="34"/>
  <c r="AH86" i="34"/>
  <c r="AG86" i="34"/>
  <c r="AH48" i="36"/>
  <c r="G8" i="71" s="1"/>
  <c r="AH135" i="34"/>
  <c r="AH88" i="34"/>
  <c r="AH139" i="34"/>
  <c r="AQ88" i="34"/>
  <c r="AQ139" i="34"/>
  <c r="AQ48" i="36"/>
  <c r="P8" i="71" s="1"/>
  <c r="AQ135" i="34"/>
  <c r="AU139" i="34"/>
  <c r="AU135" i="34"/>
  <c r="AU88" i="34"/>
  <c r="AU48" i="36"/>
  <c r="T8" i="71" s="1"/>
  <c r="BL88" i="34"/>
  <c r="BL48" i="36"/>
  <c r="AK8" i="71" s="1"/>
  <c r="BL139" i="34"/>
  <c r="BL135" i="34"/>
  <c r="BG139" i="34"/>
  <c r="BG88" i="34"/>
  <c r="BG48" i="36"/>
  <c r="AF8" i="71" s="1"/>
  <c r="BG135" i="34"/>
  <c r="BF135" i="34"/>
  <c r="BF88" i="34"/>
  <c r="BF139" i="34"/>
  <c r="BF48" i="36"/>
  <c r="AE8" i="71" s="1"/>
  <c r="AT48" i="36"/>
  <c r="S8" i="71" s="1"/>
  <c r="AT139" i="34"/>
  <c r="AT88" i="34"/>
  <c r="AT135" i="34"/>
  <c r="AO88" i="34"/>
  <c r="AO48" i="36"/>
  <c r="N8" i="71" s="1"/>
  <c r="AO139" i="34"/>
  <c r="AO135" i="34"/>
  <c r="BB88" i="34"/>
  <c r="BB48" i="36"/>
  <c r="AA8" i="71" s="1"/>
  <c r="BB139" i="34"/>
  <c r="BB135" i="34"/>
  <c r="BK48" i="36"/>
  <c r="AJ8" i="71" s="1"/>
  <c r="BK139" i="34"/>
  <c r="BK88" i="34"/>
  <c r="BK135" i="34"/>
  <c r="BH48" i="36"/>
  <c r="AG8" i="71" s="1"/>
  <c r="BH88" i="34"/>
  <c r="BH135" i="34"/>
  <c r="BH139" i="34"/>
  <c r="BJ48" i="36"/>
  <c r="AI8" i="71" s="1"/>
  <c r="BJ139" i="34"/>
  <c r="BJ135" i="34"/>
  <c r="BJ88" i="34"/>
  <c r="AY139" i="34"/>
  <c r="AY135" i="34"/>
  <c r="AY88" i="34"/>
  <c r="AY48" i="36"/>
  <c r="X8" i="71" s="1"/>
  <c r="BM139" i="34"/>
  <c r="BM48" i="36"/>
  <c r="AL8" i="71" s="1"/>
  <c r="BM88" i="34"/>
  <c r="BM135" i="34"/>
  <c r="BP48" i="36"/>
  <c r="AO8" i="71" s="1"/>
  <c r="BP135" i="34"/>
  <c r="BP139" i="34"/>
  <c r="BP88" i="34"/>
  <c r="AL48" i="36"/>
  <c r="K8" i="71" s="1"/>
  <c r="AL88" i="34"/>
  <c r="AL139" i="34"/>
  <c r="AL135" i="34"/>
  <c r="AS88" i="34"/>
  <c r="AS139" i="34"/>
  <c r="AS48" i="36"/>
  <c r="R8" i="71" s="1"/>
  <c r="AS135" i="34"/>
  <c r="AX139" i="34"/>
  <c r="AX48" i="36"/>
  <c r="W8" i="71" s="1"/>
  <c r="AX135" i="34"/>
  <c r="AX88" i="34"/>
  <c r="BN48" i="36"/>
  <c r="AM8" i="71" s="1"/>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Q8" i="71" s="1"/>
  <c r="AR135" i="34"/>
  <c r="AR88" i="34"/>
  <c r="AZ139" i="34"/>
  <c r="AZ48" i="36"/>
  <c r="Y8" i="71" s="1"/>
  <c r="AZ135" i="34"/>
  <c r="AZ88" i="34"/>
  <c r="AJ139" i="34"/>
  <c r="AJ135" i="34"/>
  <c r="AJ48" i="36"/>
  <c r="I8" i="71" s="1"/>
  <c r="AJ88" i="34"/>
  <c r="AP48" i="36"/>
  <c r="O8" i="71" s="1"/>
  <c r="AP139" i="34"/>
  <c r="AP135" i="34"/>
  <c r="AP88" i="34"/>
  <c r="AW135" i="34"/>
  <c r="AW48" i="36"/>
  <c r="V8" i="71" s="1"/>
  <c r="AW88" i="34"/>
  <c r="AW139" i="34"/>
  <c r="AK88" i="34"/>
  <c r="AK135" i="34"/>
  <c r="AK48" i="36"/>
  <c r="J8" i="71" s="1"/>
  <c r="AK139" i="34"/>
  <c r="BI48" i="36"/>
  <c r="AH8" i="71" s="1"/>
  <c r="BI139" i="34"/>
  <c r="BI88" i="34"/>
  <c r="BI135" i="34"/>
  <c r="AP46" i="36"/>
  <c r="W1462" i="67" s="1"/>
  <c r="AQ42" i="68" s="1"/>
  <c r="AK46" i="36"/>
  <c r="R1462" i="67" s="1"/>
  <c r="AL42" i="68" s="1"/>
  <c r="AU46" i="36"/>
  <c r="AB1462" i="67" s="1"/>
  <c r="AV42" i="68" s="1"/>
  <c r="AT46" i="36"/>
  <c r="AA1462" i="67" s="1"/>
  <c r="AU42" i="68" s="1"/>
  <c r="AR46" i="36"/>
  <c r="Y1462" i="67" s="1"/>
  <c r="AS42" i="68" s="1"/>
  <c r="AM46" i="36"/>
  <c r="T1462" i="67" s="1"/>
  <c r="AN42" i="68" s="1"/>
  <c r="AJ46" i="36"/>
  <c r="Q1462" i="67" s="1"/>
  <c r="AK42" i="68" s="1"/>
  <c r="AS46" i="36"/>
  <c r="Z1462" i="67" s="1"/>
  <c r="AT42" i="68" s="1"/>
  <c r="AW46" i="36"/>
  <c r="AD1462" i="67" s="1"/>
  <c r="AX42" i="68" s="1"/>
  <c r="AY46" i="36"/>
  <c r="AF1462" i="67" s="1"/>
  <c r="AZ42" i="68" s="1"/>
  <c r="AZ46" i="36"/>
  <c r="AG1462" i="67" s="1"/>
  <c r="BA42" i="68" s="1"/>
  <c r="AO46" i="36"/>
  <c r="V1462" i="67" s="1"/>
  <c r="AP42" i="68" s="1"/>
  <c r="AQ46" i="36"/>
  <c r="X1462" i="67" s="1"/>
  <c r="AR42" i="68" s="1"/>
  <c r="AN46" i="36"/>
  <c r="U1462" i="67" s="1"/>
  <c r="AO42" i="68" s="1"/>
  <c r="BB46" i="36"/>
  <c r="AI1462" i="67" s="1"/>
  <c r="BC42" i="68" s="1"/>
  <c r="BJ46" i="36"/>
  <c r="AQ1462" i="67" s="1"/>
  <c r="BK42" i="68" s="1"/>
  <c r="BC46" i="36"/>
  <c r="AJ1462" i="67" s="1"/>
  <c r="BD42" i="68" s="1"/>
  <c r="BH46" i="36"/>
  <c r="AO1462" i="67" s="1"/>
  <c r="BI42" i="68" s="1"/>
  <c r="BM46" i="36"/>
  <c r="AT1462" i="67" s="1"/>
  <c r="BN42" i="68" s="1"/>
  <c r="AL46" i="36"/>
  <c r="S1462" i="67" s="1"/>
  <c r="AM42" i="68" s="1"/>
  <c r="BE46" i="36"/>
  <c r="AL1462" i="67" s="1"/>
  <c r="BF42" i="68" s="1"/>
  <c r="AX46" i="36"/>
  <c r="AE1462" i="67" s="1"/>
  <c r="AY42" i="68" s="1"/>
  <c r="BA46" i="36"/>
  <c r="AH1462" i="67" s="1"/>
  <c r="BB42" i="68" s="1"/>
  <c r="BK46" i="36"/>
  <c r="AR1462" i="67" s="1"/>
  <c r="BL42" i="68" s="1"/>
  <c r="AV46" i="36"/>
  <c r="AC1462" i="67" s="1"/>
  <c r="AW42" i="68" s="1"/>
  <c r="BN46" i="36"/>
  <c r="AU1462" i="67" s="1"/>
  <c r="BO42" i="68" s="1"/>
  <c r="BI46" i="36"/>
  <c r="AP1462" i="67" s="1"/>
  <c r="BJ42" i="68" s="1"/>
  <c r="BF46" i="36"/>
  <c r="AM1462" i="67" s="1"/>
  <c r="BG42" i="68" s="1"/>
  <c r="BP46" i="36"/>
  <c r="AW1462" i="67" s="1"/>
  <c r="BQ42" i="68" s="1"/>
  <c r="BD46" i="36"/>
  <c r="AK1462" i="67" s="1"/>
  <c r="BE42" i="68" s="1"/>
  <c r="BG46" i="36"/>
  <c r="AN1462" i="67" s="1"/>
  <c r="BH42" i="68" s="1"/>
  <c r="BL46" i="36"/>
  <c r="AS1462" i="67" s="1"/>
  <c r="BM42" i="68" s="1"/>
  <c r="BO46" i="36"/>
  <c r="AV1462" i="67" s="1"/>
  <c r="BP42" i="68" s="1"/>
  <c r="BO88" i="34"/>
  <c r="BO135" i="34"/>
  <c r="BO139" i="34"/>
  <c r="BO48" i="36"/>
  <c r="AN8" i="71" s="1"/>
  <c r="BD135" i="34"/>
  <c r="BD88" i="34"/>
  <c r="BD139" i="34"/>
  <c r="BD48" i="36"/>
  <c r="AC8" i="71" s="1"/>
  <c r="BE48" i="36"/>
  <c r="AD8" i="71" s="1"/>
  <c r="BE88" i="34"/>
  <c r="BE139" i="34"/>
  <c r="BE135" i="34"/>
  <c r="BC48" i="36"/>
  <c r="AB8" i="71" s="1"/>
  <c r="BC135" i="34"/>
  <c r="BC139" i="34"/>
  <c r="BC88" i="34"/>
  <c r="AV88" i="34"/>
  <c r="AV48" i="36"/>
  <c r="U8" i="71" s="1"/>
  <c r="AV139" i="34"/>
  <c r="AV135" i="34"/>
  <c r="AM135" i="34"/>
  <c r="AM139" i="34"/>
  <c r="AM48" i="36"/>
  <c r="L8" i="71" s="1"/>
  <c r="AM88" i="34"/>
  <c r="AN88" i="34"/>
  <c r="AN48" i="36"/>
  <c r="M8" i="71" s="1"/>
  <c r="AN139" i="34"/>
  <c r="AN135" i="34"/>
  <c r="V38" i="62" l="1"/>
  <c r="Q38" i="62"/>
  <c r="P38" i="62"/>
  <c r="I38" i="62"/>
  <c r="AA38" i="62"/>
  <c r="Z38" i="62"/>
  <c r="H38" i="62"/>
  <c r="G38" i="62"/>
  <c r="X38" i="62"/>
  <c r="Y38" i="62"/>
  <c r="AO38" i="62"/>
  <c r="AE38" i="62"/>
  <c r="W38" i="62"/>
  <c r="L38" i="62"/>
  <c r="S38" i="62"/>
  <c r="AG38" i="62"/>
  <c r="AM38" i="62"/>
  <c r="J38" i="62"/>
  <c r="AD38" i="62"/>
  <c r="AH38" i="62"/>
  <c r="M38" i="62"/>
  <c r="AK38" i="62"/>
  <c r="AP38" i="62"/>
  <c r="AC38" i="62"/>
  <c r="R38" i="62"/>
  <c r="AF38" i="62"/>
  <c r="T38" i="62"/>
  <c r="F38" i="62"/>
  <c r="O38" i="62"/>
  <c r="AJ38" i="62"/>
  <c r="AI38" i="62"/>
  <c r="AB38" i="62"/>
  <c r="U38" i="62"/>
  <c r="E38" i="62"/>
  <c r="AL38" i="62"/>
  <c r="AN38" i="62"/>
  <c r="N38" i="62"/>
  <c r="K38" i="62"/>
  <c r="D38" i="62"/>
  <c r="K1018" i="67"/>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AF37" i="62" l="1"/>
  <c r="AG37" i="62"/>
  <c r="BG63" i="68"/>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AH37" i="62" l="1"/>
  <c r="K1322" i="67"/>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I37" i="62" l="1"/>
  <c r="AC66" i="45"/>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J37" i="62" l="1"/>
  <c r="AW1469" i="67"/>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AK37" i="62" l="1"/>
  <c r="BK52" i="45"/>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AL37" i="62" l="1"/>
  <c r="BA71" i="45"/>
  <c r="BN71" i="45"/>
  <c r="AV71" i="45"/>
  <c r="BJ67" i="45"/>
  <c r="BE71" i="45"/>
  <c r="AV43" i="45"/>
  <c r="AV65" i="45" s="1"/>
  <c r="BN45" i="70"/>
  <c r="BH63" i="45"/>
  <c r="BL63" i="68"/>
  <c r="BI41" i="45"/>
  <c r="BM45" i="36"/>
  <c r="AT1461" i="67" s="1"/>
  <c r="BN41" i="68" s="1"/>
  <c r="BL86" i="34"/>
  <c r="AU43" i="45"/>
  <c r="BH67" i="45"/>
  <c r="BC67" i="45"/>
  <c r="BF67" i="45"/>
  <c r="AW46" i="45"/>
  <c r="AW51" i="45"/>
  <c r="AU66" i="45"/>
  <c r="AZ90" i="34"/>
  <c r="AZ143" i="34"/>
  <c r="AV49" i="45"/>
  <c r="AM37" i="62" l="1"/>
  <c r="BO45" i="70"/>
  <c r="BI63" i="45"/>
  <c r="BM63" i="68"/>
  <c r="BJ41" i="45"/>
  <c r="BN45" i="36"/>
  <c r="AU1461" i="67" s="1"/>
  <c r="BO41" i="68" s="1"/>
  <c r="BM86" i="34"/>
  <c r="AW43" i="45"/>
  <c r="AU65" i="45"/>
  <c r="AW49" i="45"/>
  <c r="AX51" i="45"/>
  <c r="AX46" i="45"/>
  <c r="AV66" i="45"/>
  <c r="BA143" i="34"/>
  <c r="BA90" i="34"/>
  <c r="AN37" i="62" l="1"/>
  <c r="BP45" i="70"/>
  <c r="BJ63" i="45"/>
  <c r="BN63" i="68"/>
  <c r="BK41" i="45"/>
  <c r="BO45" i="36"/>
  <c r="AV1461" i="67" s="1"/>
  <c r="BP41" i="68" s="1"/>
  <c r="BN86" i="34"/>
  <c r="AW66" i="45"/>
  <c r="AX43" i="45"/>
  <c r="AW65" i="45"/>
  <c r="AX49" i="45"/>
  <c r="AY51" i="45"/>
  <c r="AY46" i="45"/>
  <c r="BB143" i="34"/>
  <c r="BB90" i="34"/>
  <c r="AO37" i="62" l="1"/>
  <c r="BP45" i="36"/>
  <c r="AW1461" i="67" s="1"/>
  <c r="BQ41" i="68" s="1"/>
  <c r="BO86" i="34"/>
  <c r="BK63" i="45"/>
  <c r="BO63" i="68"/>
  <c r="BL41" i="45"/>
  <c r="AY43" i="45"/>
  <c r="AX65" i="45"/>
  <c r="AY49" i="45"/>
  <c r="AX66" i="45"/>
  <c r="AZ46" i="45"/>
  <c r="AZ51" i="45"/>
  <c r="BC143" i="34"/>
  <c r="BC90" i="34"/>
  <c r="AP37" i="62" l="1"/>
  <c r="BP85" i="36"/>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27" i="45"/>
  <c r="AU61" i="45" s="1"/>
  <c r="AX61" i="68"/>
  <c r="AV29" i="45"/>
  <c r="AY61" i="68" s="1"/>
  <c r="AV36" i="45"/>
  <c r="AY77" i="34"/>
  <c r="AY61" i="34"/>
  <c r="AU72" i="45" l="1"/>
  <c r="AU73" i="45" s="1"/>
  <c r="U4" i="63" s="1"/>
  <c r="AV27" i="45"/>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AP20" i="62" l="1"/>
  <c r="R1222" i="67"/>
  <c r="AK52" i="68"/>
  <c r="AU1221" i="67"/>
  <c r="AZ52" i="68"/>
  <c r="AV52" i="68"/>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P41" i="62" l="1"/>
  <c r="U41" i="62"/>
  <c r="AZ67" i="68"/>
  <c r="AK67" i="68"/>
  <c r="AV67" i="68"/>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AE1251" i="67"/>
  <c r="AY18" i="68" s="1"/>
  <c r="T1369" i="67"/>
  <c r="AB1251" i="67"/>
  <c r="AB1369" i="67"/>
  <c r="U1267" i="67"/>
  <c r="AV1369" i="67"/>
  <c r="AW1251" i="67"/>
  <c r="BQ18" i="68"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M1251" i="67"/>
  <c r="BG18" i="68" s="1"/>
  <c r="AI1251" i="67"/>
  <c r="BC18" i="68"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AP1141" i="67"/>
  <c r="P1251" i="67"/>
  <c r="AJ18" i="68" s="1"/>
  <c r="AF1251" i="67"/>
  <c r="AZ18" i="68"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AP1251" i="67"/>
  <c r="BJ18" i="68" s="1"/>
  <c r="AJ1141" i="67"/>
  <c r="AK1251" i="67"/>
  <c r="BE18" i="68"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U1227" i="67"/>
  <c r="BO6" i="68" s="1"/>
  <c r="AU1345" i="67"/>
  <c r="AW1360" i="67"/>
  <c r="AA1259" i="67"/>
  <c r="AD1257" i="67"/>
  <c r="AK1343" i="67"/>
  <c r="Q1249" i="67"/>
  <c r="AK18" i="68"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M1361" i="67"/>
  <c r="M1227" i="67"/>
  <c r="P1344" i="67"/>
  <c r="AV1241" i="67"/>
  <c r="Z1259" i="67"/>
  <c r="AE1241" i="67"/>
  <c r="AV1258" i="67"/>
  <c r="AA1240" i="67"/>
  <c r="AA1226" i="67"/>
  <c r="Q1294" i="67"/>
  <c r="S1241" i="67"/>
  <c r="AF1227" i="67"/>
  <c r="AZ6" i="68"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AT1249" i="67"/>
  <c r="O1240" i="67"/>
  <c r="O1226" i="67"/>
  <c r="P1361" i="67"/>
  <c r="U1241" i="67"/>
  <c r="U1227" i="67"/>
  <c r="AO6" i="68"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AI1084" i="67"/>
  <c r="AI1102" i="67"/>
  <c r="AI1188" i="67"/>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L19" i="62" l="1"/>
  <c r="N8" i="62"/>
  <c r="Y19" i="62"/>
  <c r="I19" i="62"/>
  <c r="Y8" i="62"/>
  <c r="E8" i="62"/>
  <c r="J19" i="62"/>
  <c r="AF8" i="62"/>
  <c r="P19" i="62"/>
  <c r="AP19" i="62"/>
  <c r="AD19" i="62"/>
  <c r="AB19" i="62"/>
  <c r="E19" i="62"/>
  <c r="AF19" i="62"/>
  <c r="V19" i="62"/>
  <c r="AI19" i="62"/>
  <c r="AG19" i="62"/>
  <c r="W19" i="62"/>
  <c r="AE8" i="62"/>
  <c r="AN8" i="62"/>
  <c r="AN19" i="62"/>
  <c r="AK8" i="62"/>
  <c r="X19" i="62"/>
  <c r="AO18" i="68"/>
  <c r="BB69" i="70"/>
  <c r="BB4" i="70"/>
  <c r="Z18" i="65"/>
  <c r="Z125" i="65"/>
  <c r="Z135" i="65" s="1"/>
  <c r="AI465" i="67" s="1"/>
  <c r="Z74" i="65"/>
  <c r="Z79" i="65" s="1"/>
  <c r="AI313" i="67" s="1"/>
  <c r="AJ197" i="65"/>
  <c r="AJ198" i="65" s="1"/>
  <c r="BL70" i="70" s="1"/>
  <c r="AJ126" i="65"/>
  <c r="AJ136" i="65" s="1"/>
  <c r="AS466" i="67" s="1"/>
  <c r="AS1224" i="67" s="1"/>
  <c r="BL54" i="70"/>
  <c r="AS973" i="67" s="1"/>
  <c r="AB126" i="65"/>
  <c r="AB136" i="65" s="1"/>
  <c r="AK466" i="67" s="1"/>
  <c r="AB197" i="65"/>
  <c r="AB198" i="65" s="1"/>
  <c r="Z1269" i="67"/>
  <c r="AS1038" i="67"/>
  <c r="AS1342" i="67" s="1"/>
  <c r="AS934" i="67"/>
  <c r="AS1238" i="67" s="1"/>
  <c r="AI951" i="67"/>
  <c r="AI1255" i="67" s="1"/>
  <c r="AI933" i="67"/>
  <c r="AI1237" i="67" s="1"/>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W1071" i="67"/>
  <c r="AW1103" i="67"/>
  <c r="AW1085" i="67"/>
  <c r="O1269" i="67"/>
  <c r="AL1251" i="67"/>
  <c r="AH1267" i="67"/>
  <c r="AA1251" i="67"/>
  <c r="AH1251" i="67"/>
  <c r="AR1251" i="67"/>
  <c r="BP18" i="68"/>
  <c r="AD1103" i="67"/>
  <c r="AD1189" i="67"/>
  <c r="AD1054" i="67"/>
  <c r="AD1085" i="67"/>
  <c r="AD934" i="67"/>
  <c r="AD920" i="67"/>
  <c r="AD952" i="67"/>
  <c r="AL1269" i="67"/>
  <c r="AQ1269" i="67"/>
  <c r="AP18" i="68"/>
  <c r="BJ53" i="70"/>
  <c r="AQ1015" i="67" s="1"/>
  <c r="AN18" i="68"/>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BC6" i="68"/>
  <c r="BF9" i="70"/>
  <c r="AM920" i="67" s="1"/>
  <c r="Z1267" i="67"/>
  <c r="N1267" i="67"/>
  <c r="AL6" i="68"/>
  <c r="AW1225" i="67"/>
  <c r="AO1224" i="67"/>
  <c r="M1267" i="67"/>
  <c r="AV18" i="68"/>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AV784" i="67"/>
  <c r="AV921" i="67"/>
  <c r="N784" i="67"/>
  <c r="N921" i="67"/>
  <c r="AL784" i="67"/>
  <c r="AL921" i="67"/>
  <c r="W784" i="67"/>
  <c r="W921" i="67"/>
  <c r="AJ6" i="68"/>
  <c r="M1251" i="67"/>
  <c r="N1251" i="67"/>
  <c r="AQ1369" i="67"/>
  <c r="M1369" i="67"/>
  <c r="AG1267" i="67"/>
  <c r="X1251" i="67"/>
  <c r="Z1369" i="67"/>
  <c r="AJ1269" i="67"/>
  <c r="AG1251" i="67"/>
  <c r="Y1267" i="67"/>
  <c r="BN6" i="68"/>
  <c r="AQ6" i="68"/>
  <c r="AK1294" i="67"/>
  <c r="AT6" i="68"/>
  <c r="AI6" i="68"/>
  <c r="BM6" i="68"/>
  <c r="AY6" i="68"/>
  <c r="Z1295" i="67"/>
  <c r="M1295" i="67"/>
  <c r="W1280" i="67"/>
  <c r="BE6" i="68"/>
  <c r="BJ6" i="68"/>
  <c r="BH6" i="68"/>
  <c r="AS1296" i="67"/>
  <c r="AZ9" i="70"/>
  <c r="X197" i="65" s="1"/>
  <c r="X198" i="65" s="1"/>
  <c r="AN6" i="68"/>
  <c r="AS70" i="70"/>
  <c r="Z1140" i="67" s="1"/>
  <c r="BI6" i="68"/>
  <c r="AW1288" i="67"/>
  <c r="N1279" i="67"/>
  <c r="BP6" i="68"/>
  <c r="AU70" i="70"/>
  <c r="AB1020" i="67" s="1"/>
  <c r="AU6" i="68"/>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AG6" i="68"/>
  <c r="Z1296" i="67"/>
  <c r="M1280" i="67"/>
  <c r="S1296" i="67"/>
  <c r="AT1239" i="67"/>
  <c r="AM1239" i="67"/>
  <c r="W1295" i="67"/>
  <c r="AO1296" i="67"/>
  <c r="AB1280" i="67"/>
  <c r="AE1296" i="67"/>
  <c r="AV1280" i="67"/>
  <c r="M1296" i="67"/>
  <c r="AP1296" i="67"/>
  <c r="AI1296" i="67"/>
  <c r="R1296" i="67"/>
  <c r="W1296" i="67"/>
  <c r="AE1280" i="67"/>
  <c r="AQ1294" i="67"/>
  <c r="AV6" i="68"/>
  <c r="BA6" i="68"/>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H8" i="62" l="1"/>
  <c r="X8" i="62"/>
  <c r="AB8" i="62"/>
  <c r="H8" i="62"/>
  <c r="L8" i="62"/>
  <c r="AL8" i="62"/>
  <c r="F8" i="62"/>
  <c r="M8" i="62"/>
  <c r="S8" i="62"/>
  <c r="G8" i="62"/>
  <c r="U19" i="62"/>
  <c r="AM19" i="62"/>
  <c r="P8" i="62"/>
  <c r="I8" i="62"/>
  <c r="AL19" i="62"/>
  <c r="AG8" i="62"/>
  <c r="AM8" i="62"/>
  <c r="M19" i="62"/>
  <c r="AO19" i="62"/>
  <c r="AI8" i="62"/>
  <c r="Z8" i="62"/>
  <c r="T8" i="62"/>
  <c r="AD8" i="62"/>
  <c r="K8" i="62"/>
  <c r="O19" i="62"/>
  <c r="N19" i="62"/>
  <c r="U8" i="62"/>
  <c r="AP8" i="62"/>
  <c r="AO8" i="62"/>
  <c r="AD197" i="65"/>
  <c r="AD198" i="65" s="1"/>
  <c r="AD1342" i="67"/>
  <c r="AI1020" i="67"/>
  <c r="Y951" i="67"/>
  <c r="AW1019" i="67"/>
  <c r="AW1256" i="67"/>
  <c r="AW1358" i="67"/>
  <c r="BF18" i="68"/>
  <c r="AQ1139" i="67"/>
  <c r="AQ1292" i="67" s="1"/>
  <c r="AQ1171" i="67"/>
  <c r="AQ1237" i="67"/>
  <c r="BK12" i="68" s="1"/>
  <c r="AB1167" i="67"/>
  <c r="AM1085" i="67"/>
  <c r="AQ7" i="67"/>
  <c r="AQ1223" i="67" s="1"/>
  <c r="BK5" i="68" s="1"/>
  <c r="AO1167" i="67"/>
  <c r="AO1320" i="67" s="1"/>
  <c r="P1070" i="67"/>
  <c r="AD1256" i="67"/>
  <c r="P1188" i="67"/>
  <c r="AM1038" i="67"/>
  <c r="AG1189" i="67"/>
  <c r="P1084" i="67"/>
  <c r="P1102" i="67"/>
  <c r="AD1358" i="67"/>
  <c r="P1204" i="67"/>
  <c r="AQ1341" i="67"/>
  <c r="AI18" i="68"/>
  <c r="AQ1123" i="67"/>
  <c r="Z1171" i="67"/>
  <c r="Z1167" i="67"/>
  <c r="AQ972" i="67"/>
  <c r="AQ1255" i="67"/>
  <c r="BI5" i="68"/>
  <c r="AW1238" i="67"/>
  <c r="BQ12" i="68" s="1"/>
  <c r="AN1167" i="67"/>
  <c r="AN1171" i="67"/>
  <c r="AN1324" i="67" s="1"/>
  <c r="AN1140" i="67"/>
  <c r="AB1140" i="67"/>
  <c r="AW1224" i="67"/>
  <c r="AB1171" i="67"/>
  <c r="AB1324" i="67" s="1"/>
  <c r="AI1140" i="67"/>
  <c r="BD18" i="68"/>
  <c r="AO1140" i="67"/>
  <c r="P125" i="65"/>
  <c r="P135" i="65" s="1"/>
  <c r="Y465" i="67" s="1"/>
  <c r="AD1224" i="67"/>
  <c r="AX5" i="68" s="1"/>
  <c r="AR69" i="70"/>
  <c r="Y1139" i="67" s="1"/>
  <c r="Y1204" i="67"/>
  <c r="Y1357" i="67" s="1"/>
  <c r="Y933" i="67"/>
  <c r="Y1237" i="67" s="1"/>
  <c r="Y1037" i="67"/>
  <c r="Y1341" i="67" s="1"/>
  <c r="P74" i="65"/>
  <c r="P79" i="65" s="1"/>
  <c r="Y313" i="67" s="1"/>
  <c r="Y919" i="67"/>
  <c r="P18" i="65"/>
  <c r="AR53" i="70"/>
  <c r="P162" i="65" s="1"/>
  <c r="AU18" i="68"/>
  <c r="BP70" i="70"/>
  <c r="AW1016" i="67" s="1"/>
  <c r="BB18" i="68"/>
  <c r="BI18" i="68"/>
  <c r="BL18" i="68"/>
  <c r="AG18" i="68"/>
  <c r="BC70" i="70"/>
  <c r="AJ838" i="67" s="1"/>
  <c r="L1224" i="67"/>
  <c r="AN1016" i="67"/>
  <c r="AN989" i="67"/>
  <c r="AN838" i="67"/>
  <c r="AW70" i="70"/>
  <c r="AD989" i="67" s="1"/>
  <c r="AG1103" i="67"/>
  <c r="AG1085" i="67"/>
  <c r="AG1205" i="67"/>
  <c r="AO1171" i="67"/>
  <c r="BE12" i="68"/>
  <c r="AG1071" i="67"/>
  <c r="AD1238" i="67"/>
  <c r="AX12" i="68" s="1"/>
  <c r="AL18" i="68"/>
  <c r="AQ1020" i="67"/>
  <c r="AI838" i="67"/>
  <c r="AQ1019" i="67"/>
  <c r="AQ1016" i="67"/>
  <c r="AQ1320" i="67" s="1"/>
  <c r="AH162" i="65"/>
  <c r="AH174" i="65" s="1"/>
  <c r="AQ670" i="67" s="1"/>
  <c r="AT18" i="68"/>
  <c r="BM5" i="68"/>
  <c r="AI1016" i="67"/>
  <c r="AI1320" i="67" s="1"/>
  <c r="Q1167" i="67"/>
  <c r="AK1171" i="67"/>
  <c r="AM1189" i="67"/>
  <c r="AM1205" i="67"/>
  <c r="Q1171" i="67"/>
  <c r="Q1324" i="67" s="1"/>
  <c r="AK1167" i="67"/>
  <c r="AM1103" i="67"/>
  <c r="AM1071" i="67"/>
  <c r="Q1140" i="67"/>
  <c r="AS18" i="68"/>
  <c r="AD126" i="65"/>
  <c r="AD136" i="65" s="1"/>
  <c r="AM466" i="67" s="1"/>
  <c r="BF54" i="70"/>
  <c r="AM973" i="67" s="1"/>
  <c r="AM1054" i="67"/>
  <c r="X126" i="65"/>
  <c r="X136" i="65" s="1"/>
  <c r="AG466" i="67" s="1"/>
  <c r="AZ54" i="70"/>
  <c r="AG973" i="67" s="1"/>
  <c r="BA18" i="68"/>
  <c r="AK12" i="68"/>
  <c r="AR18" i="68"/>
  <c r="AM952" i="67"/>
  <c r="AM934" i="67"/>
  <c r="BB6" i="68"/>
  <c r="AO70" i="70"/>
  <c r="V1140" i="67" s="1"/>
  <c r="AL24" i="65"/>
  <c r="AE70" i="70"/>
  <c r="L989" i="67" s="1"/>
  <c r="AV12" i="68"/>
  <c r="BK6" i="68"/>
  <c r="BK18" i="68"/>
  <c r="BD6" i="68"/>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AP6" i="68"/>
  <c r="AS6" i="68"/>
  <c r="BH5" i="68"/>
  <c r="AR6" i="68"/>
  <c r="AW6" i="68"/>
  <c r="BC12" i="68"/>
  <c r="AI69" i="70"/>
  <c r="P1139" i="67" s="1"/>
  <c r="G18" i="65"/>
  <c r="G23" i="65" s="1"/>
  <c r="AI53" i="70"/>
  <c r="P1123" i="67" s="1"/>
  <c r="AK6" i="68"/>
  <c r="AT12" i="68"/>
  <c r="BM12" i="68"/>
  <c r="S1224" i="67"/>
  <c r="AW1223" i="67"/>
  <c r="AK5" i="68"/>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W8" i="62" l="1"/>
  <c r="Q19" i="62"/>
  <c r="H19" i="62"/>
  <c r="AJ7" i="62"/>
  <c r="V8" i="62"/>
  <c r="AC8" i="62"/>
  <c r="Z19" i="62"/>
  <c r="K19" i="62"/>
  <c r="Q8" i="62"/>
  <c r="AJ19" i="62"/>
  <c r="AJ13" i="62"/>
  <c r="J7" i="62"/>
  <c r="AJ8" i="62"/>
  <c r="F19" i="62"/>
  <c r="R8" i="62"/>
  <c r="AK19" i="62"/>
  <c r="AP13" i="62"/>
  <c r="O8" i="62"/>
  <c r="AH19" i="62"/>
  <c r="W7" i="62"/>
  <c r="AH7" i="62"/>
  <c r="AE19" i="62"/>
  <c r="G19" i="62"/>
  <c r="AA19" i="62"/>
  <c r="S13" i="62"/>
  <c r="R19" i="62"/>
  <c r="S19" i="62"/>
  <c r="J8" i="62"/>
  <c r="AA8" i="62"/>
  <c r="T19" i="62"/>
  <c r="AC19" i="62"/>
  <c r="AM1238" i="67"/>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L1167" i="67"/>
  <c r="AM1166" i="67"/>
  <c r="L1171" i="67"/>
  <c r="AJ1020" i="67"/>
  <c r="P1357" i="67"/>
  <c r="P1341" i="67"/>
  <c r="AM1170" i="67"/>
  <c r="AM1124" i="67"/>
  <c r="AM1277" i="67" s="1"/>
  <c r="L1140" i="67"/>
  <c r="AM1342" i="67"/>
  <c r="Z1320" i="67"/>
  <c r="AW989" i="67"/>
  <c r="AW838" i="67"/>
  <c r="BI4" i="68"/>
  <c r="BI58" i="68" s="1"/>
  <c r="BQ5" i="68"/>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P7" i="62" l="1"/>
  <c r="E7" i="62"/>
  <c r="Y1276" i="67"/>
  <c r="AT51" i="68"/>
  <c r="BK51" i="68"/>
  <c r="BK49" i="68" s="1"/>
  <c r="AD1293" i="67"/>
  <c r="AX47" i="68" s="1"/>
  <c r="AX56" i="68" s="1"/>
  <c r="BH50" i="68"/>
  <c r="BH49" i="68" s="1"/>
  <c r="AD1320" i="67"/>
  <c r="AX50" i="68" s="1"/>
  <c r="AD1324" i="67"/>
  <c r="AX51" i="68" s="1"/>
  <c r="O989" i="67"/>
  <c r="AV50" i="68"/>
  <c r="AV49" i="68" s="1"/>
  <c r="T1320" i="67"/>
  <c r="BE51" i="68"/>
  <c r="AJ1320" i="67"/>
  <c r="AJ1293" i="67"/>
  <c r="BD47" i="68" s="1"/>
  <c r="BD56" i="68" s="1"/>
  <c r="P1320" i="67"/>
  <c r="AJ1324" i="67"/>
  <c r="AF4" i="68"/>
  <c r="AF58" i="68" s="1"/>
  <c r="L1324" i="67"/>
  <c r="AZ5" i="68"/>
  <c r="L1293" i="67"/>
  <c r="AF47" i="68" s="1"/>
  <c r="AF56" i="68" s="1"/>
  <c r="AT50" i="68"/>
  <c r="AW1293" i="67"/>
  <c r="BQ47" i="68" s="1"/>
  <c r="BQ43" i="68"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Z4" i="68" l="1"/>
  <c r="AZ58" i="68" s="1"/>
  <c r="AP39" i="62"/>
  <c r="AN50" i="68"/>
  <c r="AT49" i="68"/>
  <c r="BG50" i="68"/>
  <c r="AF51" i="68"/>
  <c r="AF49" i="68" s="1"/>
  <c r="O1293" i="67"/>
  <c r="AI47" i="68" s="1"/>
  <c r="AI56" i="68" s="1"/>
  <c r="BD50" i="68"/>
  <c r="AJ50" i="68"/>
  <c r="AF71" i="68"/>
  <c r="U1320" i="67"/>
  <c r="BE49" i="68"/>
  <c r="Y7" i="62"/>
  <c r="AH1320" i="67"/>
  <c r="BD51" i="68"/>
  <c r="AU1293" i="67"/>
  <c r="BO47" i="68" s="1"/>
  <c r="BO56" i="68" s="1"/>
  <c r="AN71" i="68"/>
  <c r="AC1324" i="67"/>
  <c r="BQ71" i="68"/>
  <c r="AP51" i="68"/>
  <c r="AP49" i="68" s="1"/>
  <c r="AU1320" i="67"/>
  <c r="AX49" i="68"/>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AX66" i="68" l="1"/>
  <c r="AX72" i="68" s="1"/>
  <c r="AX73" i="68" s="1"/>
  <c r="U5" i="63" s="1"/>
  <c r="U6" i="63" s="1"/>
  <c r="BO50" i="68"/>
  <c r="AT66" i="68"/>
  <c r="AD40" i="62"/>
  <c r="BB50" i="68"/>
  <c r="BG49" i="68"/>
  <c r="AO50" i="68"/>
  <c r="AO49" i="68" s="1"/>
  <c r="BD49" i="68"/>
  <c r="BP50" i="68"/>
  <c r="BP49" i="68" s="1"/>
  <c r="AJ49" i="68"/>
  <c r="AW51" i="68"/>
  <c r="AW50" i="68"/>
  <c r="BH72" i="68"/>
  <c r="BH73" i="68" s="1"/>
  <c r="AE5" i="63" s="1"/>
  <c r="AE6" i="63" s="1"/>
  <c r="BF51" i="68"/>
  <c r="BF49" i="68" s="1"/>
  <c r="BL50" i="68"/>
  <c r="BL49" i="68" s="1"/>
  <c r="W40" i="62"/>
  <c r="BN51" i="68"/>
  <c r="BN49" i="68" s="1"/>
  <c r="AS49" i="68"/>
  <c r="BO51" i="68"/>
  <c r="BO49" i="68" s="1"/>
  <c r="AZ50" i="68"/>
  <c r="AZ49" i="68" s="1"/>
  <c r="AR50" i="68"/>
  <c r="AR49" i="68" s="1"/>
  <c r="BL71" i="68"/>
  <c r="BK72" i="68"/>
  <c r="BK73" i="68" s="1"/>
  <c r="AH5" i="63" s="1"/>
  <c r="AH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H43" i="68"/>
  <c r="BN43" i="68"/>
  <c r="BP43" i="68"/>
  <c r="AS66" i="68" l="1"/>
  <c r="AS72" i="68" s="1"/>
  <c r="AS73" i="68" s="1"/>
  <c r="P5" i="63" s="1"/>
  <c r="P6" i="63" s="1"/>
  <c r="AF40" i="62"/>
  <c r="AC40" i="62"/>
  <c r="AP40" i="62"/>
  <c r="I40" i="62"/>
  <c r="BG66" i="68"/>
  <c r="BG72" i="68" s="1"/>
  <c r="BG73" i="68" s="1"/>
  <c r="AD5" i="63" s="1"/>
  <c r="AD6" i="63" s="1"/>
  <c r="AJ66" i="68"/>
  <c r="AJ72" i="68" s="1"/>
  <c r="AJ73" i="68" s="1"/>
  <c r="AJ80" i="68" s="1"/>
  <c r="BD66" i="68"/>
  <c r="BD72" i="68" s="1"/>
  <c r="BD73" i="68" s="1"/>
  <c r="AA5" i="63" s="1"/>
  <c r="AA6" i="63" s="1"/>
  <c r="AW49" i="68"/>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L72" i="68"/>
  <c r="AL73" i="68" s="1"/>
  <c r="I5" i="63" s="1"/>
  <c r="I6" i="63" s="1"/>
  <c r="BA72" i="68"/>
  <c r="BA73" i="68" s="1"/>
  <c r="X5" i="63" s="1"/>
  <c r="X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W66" i="68"/>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tc={34491922-EC77-4FCA-8FD3-70CC8CAB53C7}</author>
  </authors>
  <commentList>
    <comment ref="B7" authorId="0" shapeId="0" xr:uid="{34491922-EC77-4FCA-8FD3-70CC8CAB53C7}">
      <text>
        <t>[Threaded comment]
Your version of Excel allows you to read this threaded comment; however, any edits to it will get removed if the file is opened in a newer version of Excel. Learn more: https://go.microsoft.com/fwlink/?linkid=870924
Comment:
    Not that this only includes: livestock, maize and sorghum, and excludes certain important crops such as sugarcane.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<sst xmlns="http://schemas.openxmlformats.org/spreadsheetml/2006/main" count="15731" uniqueCount="1476">
  <si>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</si>
  <si>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</si>
  <si>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</si>
  <si>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</si>
  <si>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</si>
  <si>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</si>
  <si>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</si>
  <si>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</si>
  <si>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</si>
  <si>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</si>
  <si>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</si>
  <si>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</si>
  <si>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</si>
  <si>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</si>
  <si>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</si>
  <si>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</si>
  <si>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</si>
  <si>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</si>
  <si>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</si>
  <si>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</si>
  <si>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</si>
  <si>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</si>
  <si>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</si>
  <si>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</si>
  <si>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</si>
  <si>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</si>
  <si>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</si>
  <si>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</si>
  <si>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</si>
  <si>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</si>
  <si>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</si>
  <si>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</si>
  <si>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</si>
  <si>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</si>
  <si>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</si>
  <si>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</si>
  <si>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</si>
  <si>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</si>
  <si>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</si>
  <si>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</si>
  <si>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</si>
  <si>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</si>
  <si>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</si>
  <si>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</si>
  <si>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</si>
  <si>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</si>
  <si>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</si>
  <si>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</si>
  <si>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</si>
  <si>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</si>
  <si>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</si>
  <si>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</si>
  <si>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</si>
  <si>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</si>
  <si>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</si>
  <si>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</si>
  <si>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</si>
  <si>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</si>
  <si>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</si>
  <si>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</si>
  <si>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</si>
  <si>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</si>
  <si>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</si>
  <si>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</si>
  <si>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</si>
  <si>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</si>
  <si>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</si>
  <si>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</si>
  <si>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</si>
  <si>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</si>
  <si>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</si>
  <si>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</si>
  <si>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</si>
  <si>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</si>
  <si>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</si>
  <si>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</si>
  <si>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</si>
  <si>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</si>
  <si>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</si>
  <si>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</si>
  <si>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</si>
  <si>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</si>
  <si>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</si>
  <si>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</si>
  <si>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</si>
  <si>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</si>
  <si>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</si>
  <si>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</si>
  <si>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</si>
  <si>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</si>
  <si>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</si>
  <si>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</si>
  <si>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</si>
  <si>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</si>
  <si>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</si>
  <si>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</si>
  <si>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</si>
  <si>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</si>
  <si>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</si>
  <si>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</si>
  <si>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</si>
  <si>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</si>
  <si>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</si>
  <si>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</si>
  <si>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</si>
  <si>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</si>
  <si>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</si>
  <si>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</si>
  <si>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</si>
  <si>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</si>
  <si>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</si>
  <si>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</si>
  <si>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</si>
  <si>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</si>
  <si>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</si>
  <si>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</si>
  <si>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</si>
  <si>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</si>
  <si>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</si>
  <si>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</si>
  <si>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</si>
  <si>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</si>
  <si>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</si>
  <si>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</si>
  <si>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</si>
  <si>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</si>
  <si>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</si>
  <si>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</si>
  <si>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</si>
  <si>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</si>
  <si>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</si>
  <si>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</si>
  <si>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</si>
  <si>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</si>
  <si>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</si>
  <si>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</si>
  <si>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</si>
  <si>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</si>
  <si>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</si>
  <si>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</si>
  <si>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</si>
  <si>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</si>
  <si>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</si>
  <si>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</si>
  <si>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</si>
  <si>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</si>
  <si>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</si>
  <si>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</si>
  <si>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</si>
  <si>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</si>
  <si>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</si>
  <si>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</si>
  <si>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</si>
  <si>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</si>
  <si>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</si>
  <si>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</si>
  <si>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</si>
  <si>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</si>
  <si>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</si>
  <si>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</si>
  <si>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</si>
  <si>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</si>
  <si>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</si>
  <si>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</si>
  <si>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</si>
  <si>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</si>
  <si>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</si>
  <si>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</si>
  <si>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</si>
  <si>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</si>
  <si>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</si>
  <si>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</si>
  <si>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</si>
  <si>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</si>
  <si>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</si>
  <si>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</si>
  <si>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</si>
  <si>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</si>
  <si>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</si>
  <si>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</si>
  <si>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</si>
  <si>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</si>
  <si>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</si>
  <si>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</si>
  <si>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</si>
  <si>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</si>
  <si>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</si>
  <si>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</si>
  <si>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</si>
  <si>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</si>
  <si>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</si>
  <si>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</si>
  <si>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</si>
  <si>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</si>
  <si>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</si>
  <si>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</si>
  <si>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</si>
  <si>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</si>
  <si>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</si>
  <si>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</si>
  <si>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</si>
  <si>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</si>
  <si>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</si>
  <si>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</si>
  <si>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</si>
  <si>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</si>
  <si>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</si>
  <si>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</si>
  <si>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</si>
  <si>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</si>
  <si>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</si>
  <si>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</si>
  <si>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</si>
  <si>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</si>
  <si>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</si>
  <si>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</si>
  <si>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</si>
  <si>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</si>
  <si>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</si>
  <si>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</si>
  <si>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</si>
  <si>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</si>
  <si>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</si>
  <si>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</si>
  <si>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</si>
  <si>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</si>
  <si>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</si>
  <si>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</si>
  <si>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</si>
  <si>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</si>
  <si>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</si>
  <si>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</si>
  <si>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</si>
  <si>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</si>
  <si>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</si>
  <si>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</si>
  <si>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</si>
  <si>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</si>
  <si>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</si>
  <si>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</si>
  <si>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</si>
  <si>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</si>
  <si>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</si>
  <si>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</si>
  <si>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</si>
  <si>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</si>
  <si>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</si>
  <si>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</si>
  <si>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</si>
  <si>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</si>
  <si>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</si>
  <si>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</si>
  <si>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</si>
  <si>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</si>
  <si>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</si>
  <si>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</si>
  <si>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</si>
  <si>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</si>
  <si>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</si>
  <si>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</si>
  <si>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</si>
  <si>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</si>
  <si>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</si>
  <si>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</si>
  <si>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</si>
  <si>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</si>
  <si>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</si>
  <si>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</si>
  <si>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</si>
  <si>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</si>
  <si>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</si>
  <si>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</si>
  <si>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</si>
  <si>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</si>
  <si>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</si>
  <si>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</si>
  <si>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</si>
  <si>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</si>
  <si>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</si>
  <si>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</si>
  <si>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</si>
  <si>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</si>
  <si>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</si>
  <si>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</si>
  <si>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</si>
  <si>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</si>
  <si>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</si>
  <si>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</si>
  <si>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</si>
  <si>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</si>
  <si>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</si>
  <si>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</si>
  <si>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</si>
  <si>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</si>
  <si>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</si>
  <si>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</si>
  <si>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</si>
  <si>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</si>
  <si>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</si>
  <si>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</si>
  <si>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</si>
  <si>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</si>
  <si>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</si>
  <si>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</si>
  <si>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</si>
  <si>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</si>
  <si>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</si>
  <si>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</si>
  <si>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</si>
  <si>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</si>
  <si>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</si>
  <si>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</si>
  <si>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</si>
  <si>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</si>
  <si>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</si>
  <si>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</si>
  <si>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</si>
  <si>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</si>
  <si>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</si>
  <si>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</si>
  <si>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</si>
  <si>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</si>
  <si>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</si>
  <si>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</si>
  <si>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</si>
  <si>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</si>
  <si>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</si>
  <si>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</si>
  <si>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</si>
  <si>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</si>
  <si>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</si>
  <si>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</si>
  <si>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</si>
  <si>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</si>
  <si>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</si>
  <si>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</si>
  <si>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</si>
  <si>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</si>
  <si>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</si>
  <si>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</si>
  <si>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</si>
  <si>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</si>
  <si>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</si>
  <si>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</si>
  <si>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</si>
  <si>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</si>
  <si>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</si>
  <si>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</si>
  <si>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</si>
  <si>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</si>
  <si>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</si>
  <si>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</si>
  <si>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</si>
  <si>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</si>
  <si>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</si>
  <si>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</si>
  <si>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</si>
  <si>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</si>
  <si>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</si>
  <si>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</si>
  <si>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</si>
  <si>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</si>
  <si>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</si>
  <si>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</si>
  <si>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</si>
  <si>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</si>
  <si>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</si>
  <si>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</si>
  <si>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</si>
  <si>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</si>
  <si>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</si>
  <si>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</si>
  <si>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</si>
  <si>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</si>
  <si>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</si>
  <si>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</si>
  <si>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</si>
  <si>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</si>
  <si>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</si>
  <si>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</si>
  <si>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</si>
  <si>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</si>
  <si>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</si>
  <si>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</si>
  <si>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</si>
  <si>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</si>
  <si>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</si>
  <si>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</si>
  <si>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</si>
  <si>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</si>
  <si>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</si>
  <si>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</si>
  <si>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</si>
  <si>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</si>
  <si>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</si>
  <si>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</si>
  <si>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</si>
  <si>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</si>
  <si>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</si>
  <si>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</si>
  <si>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</si>
  <si>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</si>
  <si>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</si>
  <si>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</si>
  <si>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</si>
  <si>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</si>
  <si>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</si>
  <si>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</si>
  <si>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</si>
  <si>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</si>
  <si>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</si>
  <si>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</si>
  <si>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</si>
  <si>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</si>
  <si>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</si>
  <si>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</si>
  <si>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</si>
  <si>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</si>
  <si>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</si>
  <si>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</si>
  <si>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</si>
  <si>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</si>
  <si>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</si>
  <si>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</si>
  <si>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</si>
  <si>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</si>
  <si>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</si>
  <si>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</si>
  <si>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</si>
  <si>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</si>
  <si>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</si>
  <si>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</si>
  <si>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</si>
  <si>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</si>
  <si>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</si>
  <si>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</si>
  <si>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</si>
  <si>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</si>
  <si>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</si>
  <si>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</si>
  <si>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</si>
  <si>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</si>
  <si>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</si>
  <si>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</si>
  <si>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</si>
  <si>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</si>
  <si>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</si>
  <si>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</si>
  <si>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</si>
  <si>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</si>
  <si>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</si>
  <si>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</si>
  <si>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</si>
  <si>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</si>
  <si>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</si>
  <si>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</si>
  <si>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</si>
  <si>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</si>
  <si>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</si>
  <si>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</si>
  <si>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</si>
  <si>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</si>
  <si>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</si>
  <si>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</si>
  <si>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</si>
  <si>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</si>
  <si>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</si>
  <si>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</si>
  <si>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</si>
  <si>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</si>
  <si>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</si>
  <si>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</si>
  <si>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</si>
  <si>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</si>
  <si>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</si>
  <si>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</si>
  <si>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</si>
  <si>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</si>
  <si>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</si>
  <si>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</si>
  <si>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</si>
  <si>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</si>
  <si>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</si>
  <si>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</si>
  <si>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</si>
  <si>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</si>
  <si>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</si>
  <si>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</si>
  <si>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</si>
  <si>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</si>
  <si>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</si>
  <si>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</si>
  <si>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</si>
  <si>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</si>
  <si>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</si>
  <si>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</si>
  <si>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</si>
  <si>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</si>
  <si>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</si>
  <si>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</si>
  <si>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</si>
  <si>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</si>
  <si>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</si>
  <si>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</si>
  <si>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</si>
  <si>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</si>
  <si>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</si>
  <si>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</si>
  <si>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</si>
  <si>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</si>
  <si>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</si>
  <si>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</si>
  <si>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</si>
  <si>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</si>
  <si>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</si>
  <si>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</si>
  <si>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</si>
  <si>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</si>
  <si>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</si>
  <si>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</si>
  <si>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</si>
  <si>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</si>
  <si>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</si>
  <si>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</si>
  <si>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</si>
  <si>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</si>
  <si>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</si>
  <si>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</si>
  <si>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</si>
  <si>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</si>
  <si>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</si>
  <si>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</si>
  <si>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</si>
  <si>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</si>
  <si>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</si>
  <si>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</si>
  <si>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</si>
  <si>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</si>
  <si>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</si>
  <si>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</si>
  <si>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</si>
  <si>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</si>
  <si>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</si>
  <si>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</si>
  <si>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</si>
  <si>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</si>
  <si>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</si>
  <si>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</si>
  <si>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</si>
  <si>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</si>
  <si>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</si>
  <si>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</si>
  <si>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</si>
  <si>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</si>
  <si>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</si>
  <si>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</si>
  <si>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</si>
  <si>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</si>
  <si>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</si>
  <si>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</si>
  <si>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</si>
  <si>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</si>
  <si>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</si>
  <si>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</si>
  <si>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</si>
  <si>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</si>
  <si>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</si>
  <si>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</si>
  <si>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</si>
  <si>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</si>
  <si>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</si>
  <si>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</si>
  <si>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</si>
  <si>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</si>
  <si>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</si>
  <si>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</si>
  <si>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</si>
  <si>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</si>
  <si>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</si>
  <si>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</si>
  <si>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</si>
  <si>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</si>
  <si>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</si>
  <si>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</si>
  <si>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</si>
  <si>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</si>
  <si>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</si>
  <si>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</si>
  <si>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</si>
  <si>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</si>
  <si>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</si>
  <si>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</si>
  <si>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</si>
  <si>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</si>
  <si>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</si>
  <si>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</si>
  <si>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</si>
  <si>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</si>
  <si>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</si>
  <si>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</si>
  <si>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</si>
  <si>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</si>
  <si>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</si>
  <si>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</si>
  <si>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</si>
  <si>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</si>
  <si>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</si>
  <si>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</si>
  <si>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</si>
  <si>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</si>
  <si>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</si>
  <si>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</si>
  <si>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</si>
  <si>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</si>
  <si>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</si>
  <si>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</si>
  <si>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</si>
  <si>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</si>
  <si>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</si>
  <si>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</si>
  <si>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</si>
  <si>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</si>
  <si>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</si>
  <si>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</si>
  <si>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</si>
  <si>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</si>
  <si>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</si>
  <si>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</si>
  <si>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</si>
  <si>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</si>
  <si>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</si>
  <si>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</si>
  <si>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</si>
  <si>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</si>
  <si>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</si>
  <si>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</si>
  <si>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</si>
  <si>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</si>
  <si>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</si>
  <si>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</si>
  <si>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</si>
  <si>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</si>
  <si>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</si>
  <si>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</si>
  <si>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</si>
  <si>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</si>
  <si>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</si>
  <si>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</si>
  <si>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</si>
  <si>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</si>
  <si>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</si>
  <si>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</si>
  <si>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</si>
  <si>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</si>
  <si>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</si>
  <si>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</si>
  <si>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</si>
  <si>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</si>
  <si>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</si>
  <si>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</si>
  <si>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</si>
  <si>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</si>
  <si>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</si>
  <si>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</si>
  <si>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</si>
  <si>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</si>
  <si>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</si>
  <si>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</si>
  <si>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</si>
  <si>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</si>
  <si>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</si>
  <si>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</si>
  <si>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</si>
  <si>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</si>
  <si>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</si>
  <si>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</si>
  <si>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</si>
  <si>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</si>
  <si>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</si>
  <si>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</si>
  <si>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</si>
  <si>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</si>
  <si>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</si>
  <si>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</si>
  <si>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</si>
  <si>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</si>
  <si>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</si>
  <si>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</si>
  <si>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</si>
  <si>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</si>
  <si>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</si>
  <si>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</si>
  <si>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</si>
  <si>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</si>
  <si>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</si>
  <si>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</si>
  <si>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</si>
  <si>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</si>
  <si>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</si>
  <si>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</si>
  <si>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</si>
  <si>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</si>
  <si>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</si>
  <si>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</si>
  <si>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</si>
  <si>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</si>
  <si>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</si>
  <si>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</si>
  <si>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</si>
  <si>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</si>
  <si>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</si>
  <si>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</si>
  <si>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</si>
  <si>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</si>
  <si>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</si>
  <si>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</si>
  <si>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</si>
  <si>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</si>
  <si>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</si>
  <si>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</si>
  <si>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</si>
  <si>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</si>
  <si>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</si>
  <si>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</si>
  <si>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</si>
  <si>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</si>
  <si>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</si>
  <si>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</si>
  <si>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</si>
  <si>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</si>
  <si>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</si>
  <si>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</si>
  <si>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</si>
  <si>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</si>
  <si>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</si>
  <si>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</si>
  <si>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</si>
  <si>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</si>
  <si>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</si>
  <si>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</si>
  <si>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</si>
  <si>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</si>
  <si>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</si>
  <si>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</si>
  <si>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</si>
  <si>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</si>
  <si>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</si>
  <si>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</si>
  <si>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</si>
  <si>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</si>
  <si>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</si>
  <si>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</si>
  <si>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</si>
  <si>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</si>
  <si>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</si>
  <si>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</si>
  <si>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</si>
  <si>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</si>
  <si>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</si>
  <si>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</si>
  <si>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</si>
  <si>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</si>
  <si>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</si>
  <si>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</si>
  <si>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</si>
  <si>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</si>
  <si>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</si>
  <si>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</si>
  <si>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</si>
  <si>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</si>
  <si>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</si>
  <si>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</si>
  <si>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</si>
  <si>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</si>
  <si>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</si>
  <si>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</si>
  <si>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</si>
  <si>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</si>
  <si>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</si>
  <si>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</si>
  <si>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</si>
  <si>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</si>
  <si>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</si>
  <si>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</si>
  <si>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</si>
  <si>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</si>
  <si>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</si>
  <si>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</si>
  <si>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</si>
  <si>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</si>
  <si>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</si>
  <si>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</si>
  <si>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</si>
  <si>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</si>
  <si>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</si>
  <si>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</si>
  <si>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</si>
  <si>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</si>
  <si>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</si>
  <si>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</si>
  <si>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</si>
  <si>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</si>
  <si>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</si>
  <si>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</si>
  <si>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</si>
  <si>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</si>
  <si>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</si>
  <si>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</si>
  <si>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</si>
  <si>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</si>
  <si>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</si>
  <si>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</si>
  <si>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</si>
  <si>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</si>
  <si>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</si>
  <si>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</si>
  <si>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</si>
  <si>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</si>
  <si>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</si>
  <si>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</si>
  <si>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</si>
  <si>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</si>
  <si>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</si>
  <si>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</si>
  <si>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</si>
  <si>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</si>
  <si>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</si>
  <si>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</si>
  <si>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</si>
  <si>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</si>
  <si>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</si>
  <si>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</si>
  <si>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</si>
  <si>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</si>
  <si>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</si>
  <si>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</si>
  <si>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</si>
  <si>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</si>
  <si>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</si>
  <si>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</si>
  <si>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</si>
  <si>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</si>
  <si>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</si>
  <si>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</si>
  <si>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</si>
  <si>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</si>
  <si>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</si>
  <si>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</si>
  <si>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</si>
  <si>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</si>
  <si>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</si>
  <si>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</si>
  <si>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</si>
  <si>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</si>
  <si>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</si>
  <si>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</si>
  <si>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</si>
  <si>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</si>
  <si>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</si>
  <si>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</si>
  <si>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</si>
  <si>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</si>
  <si>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</si>
  <si>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</si>
  <si>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</si>
  <si>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</si>
  <si>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</si>
  <si>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</si>
  <si>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</si>
  <si>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</si>
  <si>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</si>
  <si>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</si>
  <si>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</si>
  <si>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</si>
  <si>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</si>
  <si>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</si>
  <si>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</si>
  <si>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</si>
  <si>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</si>
  <si>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</si>
  <si>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</si>
  <si>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</si>
  <si>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</si>
  <si>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</si>
  <si>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</si>
  <si>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</si>
  <si>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</si>
  <si>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</si>
  <si>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</si>
  <si>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</si>
  <si>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</si>
  <si>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</si>
  <si>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</si>
  <si>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</si>
  <si>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</si>
  <si>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</si>
  <si>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</si>
  <si>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</si>
  <si>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</si>
  <si>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</si>
  <si>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</si>
  <si>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</si>
  <si>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</si>
  <si>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</si>
  <si>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</si>
  <si>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</si>
  <si>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</si>
  <si>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</si>
  <si>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</si>
  <si>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</si>
  <si>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</si>
  <si>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</si>
  <si>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</si>
  <si>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</si>
  <si>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</si>
  <si>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</si>
  <si>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</si>
  <si>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</si>
  <si>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</si>
  <si>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</si>
  <si>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</si>
  <si>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</si>
  <si>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</si>
  <si>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</si>
  <si>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</si>
  <si>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</si>
  <si>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</si>
  <si>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</si>
  <si>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</si>
  <si>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</si>
  <si>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</si>
  <si>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</si>
  <si>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</si>
  <si>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</si>
  <si>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</si>
  <si>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</si>
  <si>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</si>
  <si>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</si>
  <si>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</si>
  <si>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</si>
  <si>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</si>
  <si>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</si>
  <si>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</si>
  <si>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</si>
  <si>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</si>
  <si>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</si>
  <si>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</si>
  <si>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</si>
  <si>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</si>
  <si>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</si>
  <si>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</si>
  <si>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</si>
  <si>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</si>
  <si>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</si>
  <si>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</si>
  <si>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</si>
  <si>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</si>
  <si>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</si>
  <si>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</si>
  <si>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</si>
  <si>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</si>
  <si>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</si>
  <si>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</si>
  <si>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</si>
  <si>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</si>
  <si>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</si>
  <si>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</si>
  <si>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</si>
  <si>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</si>
  <si>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</si>
  <si>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</si>
  <si>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</si>
  <si>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</si>
  <si>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</si>
  <si>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</si>
  <si>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</si>
  <si>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</si>
  <si>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</si>
  <si>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</si>
  <si>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</si>
  <si>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</si>
  <si>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</si>
  <si>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</si>
  <si>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</si>
  <si>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</si>
  <si>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</si>
  <si>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</si>
  <si>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</si>
  <si>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</si>
  <si>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</si>
  <si>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</si>
  <si>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</si>
  <si>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</si>
  <si>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</si>
  <si>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</si>
  <si>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</si>
  <si>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</si>
  <si>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</si>
  <si>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</si>
  <si>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</si>
  <si>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</si>
  <si>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</si>
  <si>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</si>
  <si>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</si>
  <si>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</si>
  <si>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</si>
  <si>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</si>
  <si>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</si>
  <si>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</si>
  <si>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</si>
  <si>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</si>
  <si>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</si>
  <si>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</si>
  <si>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</si>
  <si>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</si>
  <si>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</si>
  <si>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</si>
  <si>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</si>
  <si>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</si>
  <si>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</si>
  <si>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</si>
  <si>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</si>
  <si>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</si>
  <si>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</si>
  <si>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</si>
  <si>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</si>
  <si>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</si>
  <si>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</si>
  <si>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</si>
  <si>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</si>
  <si>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</si>
  <si>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</si>
  <si>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</si>
  <si>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</si>
  <si>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</si>
  <si>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</si>
  <si>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</si>
  <si>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</si>
  <si>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</si>
  <si>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</si>
  <si>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</si>
  <si>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</si>
  <si>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</si>
  <si>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</si>
  <si>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</si>
  <si>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</si>
  <si>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</si>
  <si>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</si>
  <si>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</si>
  <si>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</si>
  <si>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</si>
  <si>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</si>
  <si>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</si>
  <si>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</si>
  <si>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</si>
  <si>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</si>
  <si>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</si>
  <si>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</si>
  <si>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</si>
  <si>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</si>
  <si>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</si>
  <si>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</si>
  <si>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</si>
  <si>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</si>
  <si>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</si>
  <si>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</si>
  <si>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</si>
  <si>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</si>
  <si>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</si>
  <si>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</si>
  <si>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</si>
  <si>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</si>
  <si>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</si>
  <si>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</si>
  <si>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</si>
  <si>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</si>
  <si>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</si>
  <si>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</si>
  <si>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</si>
  <si>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</si>
  <si>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</si>
  <si>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</si>
  <si>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</si>
  <si>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</si>
  <si>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</si>
  <si>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</si>
  <si>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</si>
  <si>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</si>
  <si>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</si>
  <si>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</si>
  <si>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</si>
  <si>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</si>
  <si>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</si>
  <si>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</si>
  <si>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</si>
  <si>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</si>
  <si>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</si>
  <si>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</si>
  <si>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</si>
  <si>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</si>
  <si>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</si>
  <si>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</si>
  <si>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</si>
  <si>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</si>
  <si>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</si>
  <si>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</si>
  <si>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</si>
  <si>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</si>
  <si>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</si>
  <si>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</si>
  <si>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</si>
  <si>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</si>
  <si>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</si>
  <si>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</si>
  <si>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</si>
  <si>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</si>
  <si>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</si>
  <si>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</si>
  <si>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</si>
  <si>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</si>
  <si>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</si>
  <si>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</si>
  <si>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</si>
  <si>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</si>
  <si>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</si>
  <si>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</si>
  <si>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</si>
  <si>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</si>
  <si>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</si>
  <si>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</si>
  <si>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</si>
  <si>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</si>
  <si>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</si>
  <si>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</si>
  <si>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</si>
  <si>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</si>
  <si>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</si>
  <si>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</si>
  <si>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</si>
  <si>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</si>
  <si>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</si>
  <si>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</si>
  <si>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</si>
  <si>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</si>
  <si>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</si>
  <si>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</si>
  <si>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</si>
  <si>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</si>
  <si>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</si>
  <si>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</si>
  <si>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</si>
  <si>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</si>
  <si>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</si>
  <si>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</si>
  <si>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</si>
  <si>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</si>
  <si>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</si>
  <si>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</si>
  <si>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</si>
  <si>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</si>
  <si>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</si>
  <si>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</si>
  <si>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</si>
  <si>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</si>
  <si>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</si>
  <si>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</si>
  <si>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</si>
  <si>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</si>
  <si>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</si>
  <si>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</si>
  <si>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</si>
  <si>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</si>
  <si>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</si>
  <si>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</si>
  <si>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</si>
  <si>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</si>
  <si>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</si>
  <si>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</si>
  <si>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</si>
  <si>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</si>
  <si>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</si>
  <si>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</si>
  <si>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</si>
  <si>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</si>
  <si>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</si>
  <si>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</si>
  <si>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</si>
  <si>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</si>
  <si>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</si>
  <si>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</si>
  <si>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</si>
  <si>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</si>
  <si>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</si>
  <si>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</si>
  <si>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</si>
  <si>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</si>
  <si>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</si>
  <si>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</si>
  <si>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</si>
  <si>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</si>
  <si>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</si>
  <si>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</si>
  <si>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</si>
  <si>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</si>
  <si>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</si>
  <si>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</si>
  <si>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</si>
  <si>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</si>
  <si>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</si>
  <si>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</si>
  <si>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</si>
  <si>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</si>
  <si>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</si>
  <si>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</si>
  <si>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</si>
  <si>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</si>
  <si>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</si>
  <si>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</si>
  <si>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</si>
  <si>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</si>
  <si>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</si>
  <si>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</si>
  <si>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</si>
  <si>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</si>
  <si>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</si>
  <si>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</si>
  <si>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</si>
  <si>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</si>
  <si>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</si>
  <si>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</si>
  <si>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</si>
  <si>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</si>
  <si>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</si>
  <si>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</si>
  <si>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</si>
  <si>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</si>
  <si>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</si>
  <si>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</si>
  <si>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</si>
  <si>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</si>
  <si>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</si>
  <si>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</si>
  <si>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</si>
  <si>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</si>
  <si>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</si>
  <si>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</si>
  <si>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</si>
  <si>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</si>
  <si>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</si>
  <si>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</si>
  <si>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</si>
  <si>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</si>
  <si>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</si>
  <si>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</si>
  <si>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</si>
  <si>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</si>
  <si>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</si>
  <si>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</si>
  <si>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</si>
  <si>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</si>
  <si>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</si>
  <si>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</si>
  <si>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</si>
  <si>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</si>
  <si>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</si>
  <si>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</si>
  <si>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</si>
  <si>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</si>
  <si>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</si>
  <si>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</si>
  <si>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</si>
  <si>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</si>
  <si>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</si>
  <si>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</si>
  <si>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</si>
  <si>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</si>
  <si>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</si>
  <si>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</si>
  <si>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</si>
  <si>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</si>
  <si>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</si>
  <si>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</si>
  <si>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</si>
  <si>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</si>
  <si>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</si>
  <si>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</si>
  <si>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</si>
  <si>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</si>
  <si>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</si>
  <si>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</si>
  <si>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</si>
  <si>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</si>
  <si>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</si>
  <si>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</si>
  <si>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</si>
  <si>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</si>
  <si>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</si>
  <si>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</si>
  <si>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</si>
  <si>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</si>
  <si>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</si>
  <si>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</si>
  <si>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</si>
  <si>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</si>
  <si>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</si>
  <si>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</si>
  <si>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</si>
  <si>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</si>
  <si>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</si>
  <si>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</si>
  <si>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</si>
  <si>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</si>
  <si>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</si>
  <si>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</si>
  <si>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</si>
  <si>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</si>
  <si>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</si>
  <si>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</si>
  <si>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</si>
  <si>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</si>
  <si>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</si>
  <si>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</si>
  <si>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</si>
  <si>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</si>
  <si>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</si>
  <si>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</si>
  <si>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</si>
  <si>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</si>
  <si>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</si>
  <si>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</si>
  <si>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</si>
  <si>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</si>
  <si>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</si>
  <si>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</si>
  <si>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</si>
  <si>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</si>
  <si>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</si>
  <si>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</si>
  <si>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</si>
  <si>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</si>
  <si>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</si>
  <si>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</si>
  <si>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</si>
  <si>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</si>
  <si>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</si>
  <si>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</si>
  <si>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</si>
  <si>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</si>
  <si>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</si>
  <si>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</si>
  <si>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</si>
  <si>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</si>
  <si>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</si>
  <si>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</si>
  <si>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</si>
  <si>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</si>
  <si>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</si>
  <si>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</si>
  <si>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</si>
  <si>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</si>
  <si>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</si>
  <si>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</si>
  <si>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</si>
  <si>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</si>
  <si>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</si>
  <si>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</si>
  <si>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</si>
  <si>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</si>
  <si>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</si>
  <si>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</si>
  <si>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</si>
  <si>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</si>
  <si>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</si>
  <si>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</si>
  <si>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</si>
  <si>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</si>
  <si>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</si>
  <si>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</si>
  <si>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</si>
  <si>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</si>
  <si>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</si>
  <si>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</si>
  <si>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</si>
  <si>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</si>
  <si>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</si>
  <si>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</si>
  <si>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</si>
  <si>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</si>
  <si>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</si>
  <si>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</si>
  <si>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</si>
  <si>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</si>
  <si>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</si>
  <si>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</si>
  <si>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</si>
  <si>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</si>
  <si>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</si>
  <si>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</si>
  <si>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</si>
  <si>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</si>
  <si>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</si>
  <si>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</si>
  <si>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</si>
  <si>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</si>
  <si>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</si>
  <si>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</si>
  <si>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</si>
  <si>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</si>
  <si>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</si>
  <si>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</si>
  <si>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</si>
  <si>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</si>
  <si>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</si>
  <si>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</si>
  <si>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</si>
  <si>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</si>
  <si>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</si>
  <si>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</si>
  <si>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</si>
  <si>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</si>
  <si>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</si>
  <si>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</si>
  <si>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</si>
  <si>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</si>
  <si>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</si>
  <si>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</si>
  <si>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</si>
  <si>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</si>
  <si>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</si>
  <si>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</si>
  <si>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</si>
  <si>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</si>
  <si>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</si>
  <si>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</si>
  <si>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</si>
  <si>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</si>
  <si>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</si>
  <si>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</si>
  <si>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</si>
  <si>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</si>
  <si>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</si>
  <si>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</si>
  <si>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</si>
  <si>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</si>
  <si>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</si>
  <si>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</si>
  <si>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</si>
  <si>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</si>
  <si>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</si>
  <si>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</si>
  <si>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</si>
  <si>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</si>
  <si>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</si>
  <si>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</si>
  <si>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</si>
  <si>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</si>
  <si>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</si>
  <si>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</si>
  <si>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</si>
  <si>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</si>
  <si>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</si>
  <si>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</si>
  <si>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</si>
  <si>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</si>
  <si>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</si>
  <si>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</si>
  <si>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</si>
  <si>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trana</t>
  </si>
  <si>
    <t>Agricultural Production_Non-Energy</t>
  </si>
  <si>
    <t>Total Production</t>
  </si>
  <si>
    <t>production?</t>
  </si>
  <si>
    <t>AgriProduction_Mt</t>
  </si>
  <si>
    <t>Mton</t>
  </si>
  <si>
    <t>Fertizer Use_Nitrogen</t>
  </si>
  <si>
    <t>Fertizer Use_Nitrogen_Tg</t>
  </si>
  <si>
    <t>AgriOther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</si>
</sst>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_ ;\-0\ "/>
    <numFmt numFmtId="166" formatCode="0.0"/>
    <numFmt numFmtId="167" formatCode="0.0000"/>
    <numFmt numFmtId="168" formatCode="#,##0.000"/>
    <numFmt numFmtId="169" formatCode="0.0%"/>
    <numFmt numFmtId="170" formatCode="_-* #,##0_-;\-* #,##0_-;_-* &quot;-&quot;??_-;_-@_-"/>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40">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170" fontId="3" fillId="7" borderId="0" xfId="9" applyNumberFormat="1" applyFont="1" applyFill="1"/>
    <xf numFmtId="170" fontId="1" fillId="10" borderId="0" xfId="0" applyNumberFormat="1" applyFont="1" applyFill="1"/>
    <xf numFmtId="43" fontId="0" fillId="0" borderId="0" xfId="9"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66.22030397119731</c:v>
                </c:pt>
                <c:pt idx="1">
                  <c:v>69.002307623774243</c:v>
                </c:pt>
                <c:pt idx="2">
                  <c:v>71.921673494309061</c:v>
                </c:pt>
                <c:pt idx="3">
                  <c:v>73.63828583995398</c:v>
                </c:pt>
                <c:pt idx="4">
                  <c:v>71.645920885518635</c:v>
                </c:pt>
                <c:pt idx="5">
                  <c:v>72.785427559496128</c:v>
                </c:pt>
                <c:pt idx="6">
                  <c:v>74.143459643923279</c:v>
                </c:pt>
                <c:pt idx="7">
                  <c:v>75.485306046115838</c:v>
                </c:pt>
                <c:pt idx="8">
                  <c:v>76.024311768927959</c:v>
                </c:pt>
                <c:pt idx="9">
                  <c:v>76.84226761788716</c:v>
                </c:pt>
                <c:pt idx="10">
                  <c:v>77.017128903622634</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71.921673494309061</c:v>
                </c:pt>
                <c:pt idx="1">
                  <c:v>73.63828583995398</c:v>
                </c:pt>
                <c:pt idx="2">
                  <c:v>71.645920885518635</c:v>
                </c:pt>
                <c:pt idx="3">
                  <c:v>72.785427559496128</c:v>
                </c:pt>
                <c:pt idx="4">
                  <c:v>74.143459643923279</c:v>
                </c:pt>
                <c:pt idx="5">
                  <c:v>75.485306046115838</c:v>
                </c:pt>
                <c:pt idx="6">
                  <c:v>76.024311768927959</c:v>
                </c:pt>
                <c:pt idx="7">
                  <c:v>76.84226761788716</c:v>
                </c:pt>
                <c:pt idx="8">
                  <c:v>77.017128903622634</c:v>
                </c:pt>
                <c:pt idx="9">
                  <c:v>76.766798948952101</c:v>
                </c:pt>
                <c:pt idx="10">
                  <c:v>76.100439080421197</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1551.6978906253507</c:v>
                </c:pt>
                <c:pt idx="15">
                  <c:v>1579.6991994235043</c:v>
                </c:pt>
                <c:pt idx="16">
                  <c:v>1592.2732513502267</c:v>
                </c:pt>
                <c:pt idx="17">
                  <c:v>1589.0236047287594</c:v>
                </c:pt>
                <c:pt idx="18">
                  <c:v>1597.0850065537823</c:v>
                </c:pt>
                <c:pt idx="19">
                  <c:v>1606.5563837569275</c:v>
                </c:pt>
                <c:pt idx="20">
                  <c:v>1411.6234801521707</c:v>
                </c:pt>
                <c:pt idx="21">
                  <c:v>1554.111905929318</c:v>
                </c:pt>
                <c:pt idx="22">
                  <c:v>1631.1686908897182</c:v>
                </c:pt>
                <c:pt idx="23">
                  <c:v>1653.7643941690799</c:v>
                </c:pt>
                <c:pt idx="24">
                  <c:v>1677.4143405566911</c:v>
                </c:pt>
                <c:pt idx="25">
                  <c:v>1715.1768753869505</c:v>
                </c:pt>
                <c:pt idx="26">
                  <c:v>1768.3870187402836</c:v>
                </c:pt>
                <c:pt idx="27">
                  <c:v>1829.6999275758769</c:v>
                </c:pt>
                <c:pt idx="28">
                  <c:v>1901.3901400131199</c:v>
                </c:pt>
                <c:pt idx="29">
                  <c:v>1990.0942070204578</c:v>
                </c:pt>
                <c:pt idx="30">
                  <c:v>2095.3188674733874</c:v>
                </c:pt>
                <c:pt idx="31">
                  <c:v>2211.355360595815</c:v>
                </c:pt>
                <c:pt idx="32">
                  <c:v>2338.0576270949173</c:v>
                </c:pt>
                <c:pt idx="33">
                  <c:v>2472.2047909879288</c:v>
                </c:pt>
                <c:pt idx="34">
                  <c:v>2615.4883592759584</c:v>
                </c:pt>
                <c:pt idx="35">
                  <c:v>2766.4199928813459</c:v>
                </c:pt>
                <c:pt idx="36">
                  <c:v>2919.0729524005683</c:v>
                </c:pt>
                <c:pt idx="37">
                  <c:v>3082.1811246225393</c:v>
                </c:pt>
                <c:pt idx="38">
                  <c:v>3250.3121850380871</c:v>
                </c:pt>
                <c:pt idx="39">
                  <c:v>3423.0638916317325</c:v>
                </c:pt>
                <c:pt idx="40">
                  <c:v>3603.1758492060208</c:v>
                </c:pt>
                <c:pt idx="41">
                  <c:v>3784.0054033688471</c:v>
                </c:pt>
                <c:pt idx="42">
                  <c:v>3974.9018238589406</c:v>
                </c:pt>
                <c:pt idx="43">
                  <c:v>4179.4817556693388</c:v>
                </c:pt>
                <c:pt idx="44">
                  <c:v>4392.2016901633897</c:v>
                </c:pt>
                <c:pt idx="45">
                  <c:v>4613.5893334388538</c:v>
                </c:pt>
                <c:pt idx="46">
                  <c:v>4850.4042184467753</c:v>
                </c:pt>
                <c:pt idx="47">
                  <c:v>5100.8511518585374</c:v>
                </c:pt>
                <c:pt idx="48">
                  <c:v>5363.7620304788998</c:v>
                </c:pt>
                <c:pt idx="49">
                  <c:v>5643.7375632913754</c:v>
                </c:pt>
                <c:pt idx="50">
                  <c:v>5915.9564588340545</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1905.0768868757129</c:v>
                </c:pt>
                <c:pt idx="15">
                  <c:v>1943.9246182197317</c:v>
                </c:pt>
                <c:pt idx="16">
                  <c:v>1961.3692810630369</c:v>
                </c:pt>
                <c:pt idx="17">
                  <c:v>1956.8608704089575</c:v>
                </c:pt>
                <c:pt idx="18">
                  <c:v>1968.0448895064972</c:v>
                </c:pt>
                <c:pt idx="19">
                  <c:v>1981.1850437649266</c:v>
                </c:pt>
                <c:pt idx="20">
                  <c:v>1710.7440753111075</c:v>
                </c:pt>
                <c:pt idx="21">
                  <c:v>1908.4259809721664</c:v>
                </c:pt>
                <c:pt idx="22">
                  <c:v>2015.3310296594925</c:v>
                </c:pt>
                <c:pt idx="23">
                  <c:v>2046.6792718739307</c:v>
                </c:pt>
                <c:pt idx="24">
                  <c:v>2079.4901226162701</c:v>
                </c:pt>
                <c:pt idx="25">
                  <c:v>2131.8801311880052</c:v>
                </c:pt>
                <c:pt idx="26">
                  <c:v>2205.7014432083674</c:v>
                </c:pt>
                <c:pt idx="27">
                  <c:v>2290.7641603668781</c:v>
                </c:pt>
                <c:pt idx="28">
                  <c:v>2390.2238725122361</c:v>
                </c:pt>
                <c:pt idx="29">
                  <c:v>2513.2878260246566</c:v>
                </c:pt>
                <c:pt idx="30">
                  <c:v>2659.2716930469924</c:v>
                </c:pt>
                <c:pt idx="31">
                  <c:v>2820.2554007520903</c:v>
                </c:pt>
                <c:pt idx="32">
                  <c:v>2996.0363131771546</c:v>
                </c:pt>
                <c:pt idx="33">
                  <c:v>3182.1459347324649</c:v>
                </c:pt>
                <c:pt idx="34">
                  <c:v>3380.9309846381602</c:v>
                </c:pt>
                <c:pt idx="35">
                  <c:v>3590.3266095313293</c:v>
                </c:pt>
                <c:pt idx="36">
                  <c:v>3802.1103230362914</c:v>
                </c:pt>
                <c:pt idx="37">
                  <c:v>4028.3991190411011</c:v>
                </c:pt>
                <c:pt idx="38">
                  <c:v>4261.6564397145867</c:v>
                </c:pt>
                <c:pt idx="39">
                  <c:v>4501.3242329362101</c:v>
                </c:pt>
                <c:pt idx="40">
                  <c:v>4751.2033007372347</c:v>
                </c:pt>
                <c:pt idx="41">
                  <c:v>5002.0779291274403</c:v>
                </c:pt>
                <c:pt idx="42">
                  <c:v>5266.9188660704658</c:v>
                </c:pt>
                <c:pt idx="43">
                  <c:v>5550.7436789260746</c:v>
                </c:pt>
                <c:pt idx="44">
                  <c:v>5845.8615581048889</c:v>
                </c:pt>
                <c:pt idx="45">
                  <c:v>6153.0046188398856</c:v>
                </c:pt>
                <c:pt idx="46">
                  <c:v>6481.5507270724793</c:v>
                </c:pt>
                <c:pt idx="47">
                  <c:v>6829.0093139280707</c:v>
                </c:pt>
                <c:pt idx="48">
                  <c:v>7193.7598066170849</c:v>
                </c:pt>
                <c:pt idx="49">
                  <c:v>7582.1850177384586</c:v>
                </c:pt>
                <c:pt idx="50">
                  <c:v>7959.8490261259822</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483.47206766951052</c:v>
                </c:pt>
                <c:pt idx="17">
                  <c:v>488.3754655866876</c:v>
                </c:pt>
                <c:pt idx="18">
                  <c:v>494.66817106631413</c:v>
                </c:pt>
                <c:pt idx="19">
                  <c:v>501.21183128389964</c:v>
                </c:pt>
                <c:pt idx="20">
                  <c:v>481.04401170501524</c:v>
                </c:pt>
                <c:pt idx="21">
                  <c:v>501.11397014383618</c:v>
                </c:pt>
                <c:pt idx="22">
                  <c:v>513.0357378575676</c:v>
                </c:pt>
                <c:pt idx="23">
                  <c:v>518.71896408846419</c:v>
                </c:pt>
                <c:pt idx="24">
                  <c:v>525.02355677717742</c:v>
                </c:pt>
                <c:pt idx="25">
                  <c:v>533.24957827092123</c:v>
                </c:pt>
                <c:pt idx="26">
                  <c:v>543.15425232315943</c:v>
                </c:pt>
                <c:pt idx="27">
                  <c:v>553.89775394010564</c:v>
                </c:pt>
                <c:pt idx="28">
                  <c:v>565.74404479907503</c:v>
                </c:pt>
                <c:pt idx="29">
                  <c:v>579.47822094686887</c:v>
                </c:pt>
                <c:pt idx="30">
                  <c:v>595.05841999814777</c:v>
                </c:pt>
                <c:pt idx="31">
                  <c:v>611.82131030603034</c:v>
                </c:pt>
                <c:pt idx="32">
                  <c:v>629.76419844045438</c:v>
                </c:pt>
                <c:pt idx="33">
                  <c:v>648.51575697751969</c:v>
                </c:pt>
                <c:pt idx="34">
                  <c:v>668.26644301849296</c:v>
                </c:pt>
                <c:pt idx="35">
                  <c:v>688.85019567660527</c:v>
                </c:pt>
                <c:pt idx="36">
                  <c:v>709.58681884081989</c:v>
                </c:pt>
                <c:pt idx="37">
                  <c:v>731.48687219147382</c:v>
                </c:pt>
                <c:pt idx="38">
                  <c:v>753.90190242912388</c:v>
                </c:pt>
                <c:pt idx="39">
                  <c:v>776.78584904228126</c:v>
                </c:pt>
                <c:pt idx="40">
                  <c:v>800.46226653612291</c:v>
                </c:pt>
                <c:pt idx="41">
                  <c:v>824.16145163018587</c:v>
                </c:pt>
                <c:pt idx="42">
                  <c:v>848.96269642275684</c:v>
                </c:pt>
                <c:pt idx="43">
                  <c:v>875.28059036151831</c:v>
                </c:pt>
                <c:pt idx="44">
                  <c:v>902.46828710493162</c:v>
                </c:pt>
                <c:pt idx="45">
                  <c:v>930.57887978319013</c:v>
                </c:pt>
                <c:pt idx="46">
                  <c:v>960.39108407070864</c:v>
                </c:pt>
                <c:pt idx="47">
                  <c:v>991.6947760981235</c:v>
                </c:pt>
                <c:pt idx="48">
                  <c:v>1024.3555454043171</c:v>
                </c:pt>
                <c:pt idx="49">
                  <c:v>1058.9111241949295</c:v>
                </c:pt>
                <c:pt idx="50">
                  <c:v>1092.458411495533</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450.99502687358483</c:v>
                </c:pt>
                <c:pt idx="17">
                  <c:v>455.50305642644469</c:v>
                </c:pt>
                <c:pt idx="18">
                  <c:v>461.28837157907071</c:v>
                </c:pt>
                <c:pt idx="19">
                  <c:v>467.30440661090256</c:v>
                </c:pt>
                <c:pt idx="20">
                  <c:v>448.76274872100043</c:v>
                </c:pt>
                <c:pt idx="21">
                  <c:v>467.21443616205573</c:v>
                </c:pt>
                <c:pt idx="22">
                  <c:v>478.17493377689584</c:v>
                </c:pt>
                <c:pt idx="23">
                  <c:v>483.39991291120606</c:v>
                </c:pt>
                <c:pt idx="24">
                  <c:v>489.19615678933388</c:v>
                </c:pt>
                <c:pt idx="25">
                  <c:v>496.7589017720228</c:v>
                </c:pt>
                <c:pt idx="26">
                  <c:v>505.8649470273993</c:v>
                </c:pt>
                <c:pt idx="27">
                  <c:v>515.74218391668569</c:v>
                </c:pt>
                <c:pt idx="28">
                  <c:v>526.63329048931962</c:v>
                </c:pt>
                <c:pt idx="29">
                  <c:v>539.26005931457576</c:v>
                </c:pt>
                <c:pt idx="30">
                  <c:v>553.58400343433811</c:v>
                </c:pt>
                <c:pt idx="31">
                  <c:v>568.99527663216713</c:v>
                </c:pt>
                <c:pt idx="32">
                  <c:v>585.49140265332642</c:v>
                </c:pt>
                <c:pt idx="33">
                  <c:v>602.73099476375774</c:v>
                </c:pt>
                <c:pt idx="34">
                  <c:v>620.88915322160165</c:v>
                </c:pt>
                <c:pt idx="35">
                  <c:v>639.81320687967138</c:v>
                </c:pt>
                <c:pt idx="36">
                  <c:v>658.87780486453482</c:v>
                </c:pt>
                <c:pt idx="37">
                  <c:v>679.01202390641765</c:v>
                </c:pt>
                <c:pt idx="38">
                  <c:v>699.6196964727402</c:v>
                </c:pt>
                <c:pt idx="39">
                  <c:v>720.65847598047617</c:v>
                </c:pt>
                <c:pt idx="40">
                  <c:v>742.42582824739816</c:v>
                </c:pt>
                <c:pt idx="41">
                  <c:v>764.21411232862101</c:v>
                </c:pt>
                <c:pt idx="42">
                  <c:v>787.0155953738697</c:v>
                </c:pt>
                <c:pt idx="43">
                  <c:v>811.21143785880315</c:v>
                </c:pt>
                <c:pt idx="44">
                  <c:v>836.20694963730853</c:v>
                </c:pt>
                <c:pt idx="45">
                  <c:v>862.05094286047108</c:v>
                </c:pt>
                <c:pt idx="46">
                  <c:v>889.45934418422098</c:v>
                </c:pt>
                <c:pt idx="47">
                  <c:v>918.23897234347328</c:v>
                </c:pt>
                <c:pt idx="48">
                  <c:v>948.26625459516993</c:v>
                </c:pt>
                <c:pt idx="49">
                  <c:v>980.03556498675641</c:v>
                </c:pt>
                <c:pt idx="50">
                  <c:v>1010.8778839508404</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919.93415141939693</c:v>
                </c:pt>
                <c:pt idx="13">
                  <c:v>944.20834947610206</c:v>
                </c:pt>
                <c:pt idx="14">
                  <c:v>973.8562285322181</c:v>
                </c:pt>
                <c:pt idx="15">
                  <c:v>993.92642644116006</c:v>
                </c:pt>
                <c:pt idx="16">
                  <c:v>1007.6100166861243</c:v>
                </c:pt>
                <c:pt idx="17">
                  <c:v>1014.7469565614488</c:v>
                </c:pt>
                <c:pt idx="18">
                  <c:v>1026.8981254598255</c:v>
                </c:pt>
                <c:pt idx="19">
                  <c:v>1039.800145818496</c:v>
                </c:pt>
                <c:pt idx="20">
                  <c:v>959.49268916772814</c:v>
                </c:pt>
                <c:pt idx="21">
                  <c:v>1026.8131364891101</c:v>
                </c:pt>
                <c:pt idx="22">
                  <c:v>1064.9473161814585</c:v>
                </c:pt>
                <c:pt idx="23">
                  <c:v>1079.6678854556774</c:v>
                </c:pt>
                <c:pt idx="24">
                  <c:v>1095.6514754783148</c:v>
                </c:pt>
                <c:pt idx="25">
                  <c:v>1118.1953651632493</c:v>
                </c:pt>
                <c:pt idx="26">
                  <c:v>1147.2333998819383</c:v>
                </c:pt>
                <c:pt idx="27">
                  <c:v>1179.6103999905661</c:v>
                </c:pt>
                <c:pt idx="28">
                  <c:v>1216.3097423113277</c:v>
                </c:pt>
                <c:pt idx="29">
                  <c:v>1260.2248167738899</c:v>
                </c:pt>
                <c:pt idx="30">
                  <c:v>1311.1672467169758</c:v>
                </c:pt>
                <c:pt idx="31">
                  <c:v>1366.6675625928001</c:v>
                </c:pt>
                <c:pt idx="32">
                  <c:v>1426.6856791488958</c:v>
                </c:pt>
                <c:pt idx="33">
                  <c:v>1489.8330537439074</c:v>
                </c:pt>
                <c:pt idx="34">
                  <c:v>1556.8315422954406</c:v>
                </c:pt>
                <c:pt idx="35">
                  <c:v>1627.0484507035119</c:v>
                </c:pt>
                <c:pt idx="36">
                  <c:v>1697.933708219284</c:v>
                </c:pt>
                <c:pt idx="37">
                  <c:v>1773.258459906694</c:v>
                </c:pt>
                <c:pt idx="38">
                  <c:v>1850.6449242461965</c:v>
                </c:pt>
                <c:pt idx="39">
                  <c:v>1929.9201982294478</c:v>
                </c:pt>
                <c:pt idx="40">
                  <c:v>2012.2778197386046</c:v>
                </c:pt>
                <c:pt idx="41">
                  <c:v>2094.8478055571686</c:v>
                </c:pt>
                <c:pt idx="42">
                  <c:v>2181.663015841882</c:v>
                </c:pt>
                <c:pt idx="43">
                  <c:v>2274.2787859483806</c:v>
                </c:pt>
                <c:pt idx="44">
                  <c:v>2370.2927365029236</c:v>
                </c:pt>
                <c:pt idx="45">
                  <c:v>2469.9198370425393</c:v>
                </c:pt>
                <c:pt idx="46">
                  <c:v>2576.0732396956528</c:v>
                </c:pt>
                <c:pt idx="47">
                  <c:v>2687.9739118834841</c:v>
                </c:pt>
                <c:pt idx="48">
                  <c:v>2805.1186924876888</c:v>
                </c:pt>
                <c:pt idx="49">
                  <c:v>2929.5028323263728</c:v>
                </c:pt>
                <c:pt idx="50">
                  <c:v>3050.3585460871404</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920.44626243808511</c:v>
                </c:pt>
                <c:pt idx="13">
                  <c:v>941.69158339834871</c:v>
                </c:pt>
                <c:pt idx="14">
                  <c:v>967.64007013586524</c:v>
                </c:pt>
                <c:pt idx="15">
                  <c:v>985.2059561567097</c:v>
                </c:pt>
                <c:pt idx="16">
                  <c:v>997.18214033234688</c:v>
                </c:pt>
                <c:pt idx="17">
                  <c:v>1003.4285497078974</c:v>
                </c:pt>
                <c:pt idx="18">
                  <c:v>1014.0635244529055</c:v>
                </c:pt>
                <c:pt idx="19">
                  <c:v>1025.3556611865474</c:v>
                </c:pt>
                <c:pt idx="20">
                  <c:v>955.06877928575716</c:v>
                </c:pt>
                <c:pt idx="21">
                  <c:v>1013.9891402052071</c:v>
                </c:pt>
                <c:pt idx="22">
                  <c:v>1047.3650270307051</c:v>
                </c:pt>
                <c:pt idx="23">
                  <c:v>1060.2487984417317</c:v>
                </c:pt>
                <c:pt idx="24">
                  <c:v>1074.237993855518</c:v>
                </c:pt>
                <c:pt idx="25">
                  <c:v>1093.9689102355512</c:v>
                </c:pt>
                <c:pt idx="26">
                  <c:v>1119.3836475715768</c:v>
                </c:pt>
                <c:pt idx="27">
                  <c:v>1147.720722083016</c:v>
                </c:pt>
                <c:pt idx="28">
                  <c:v>1179.8408071549843</c:v>
                </c:pt>
                <c:pt idx="29">
                  <c:v>1218.2762623560795</c:v>
                </c:pt>
                <c:pt idx="30">
                  <c:v>1262.8622162198633</c:v>
                </c:pt>
                <c:pt idx="31">
                  <c:v>1311.4373337756915</c:v>
                </c:pt>
                <c:pt idx="32">
                  <c:v>1363.9665315142161</c:v>
                </c:pt>
                <c:pt idx="33">
                  <c:v>1419.2345258650507</c:v>
                </c:pt>
                <c:pt idx="34">
                  <c:v>1477.8731012694682</c:v>
                </c:pt>
                <c:pt idx="35">
                  <c:v>1539.3285097028211</c:v>
                </c:pt>
                <c:pt idx="36">
                  <c:v>1601.3688722208954</c:v>
                </c:pt>
                <c:pt idx="37">
                  <c:v>1667.294779314215</c:v>
                </c:pt>
                <c:pt idx="38">
                  <c:v>1735.0251434247853</c:v>
                </c:pt>
                <c:pt idx="39">
                  <c:v>1804.4086359732355</c:v>
                </c:pt>
                <c:pt idx="40">
                  <c:v>1876.4898680039942</c:v>
                </c:pt>
                <c:pt idx="41">
                  <c:v>1948.7569660272488</c:v>
                </c:pt>
                <c:pt idx="42">
                  <c:v>2024.7395794352356</c:v>
                </c:pt>
                <c:pt idx="43">
                  <c:v>2105.7989725117054</c:v>
                </c:pt>
                <c:pt idx="44">
                  <c:v>2189.8325291066144</c:v>
                </c:pt>
                <c:pt idx="45">
                  <c:v>2277.0283953659296</c:v>
                </c:pt>
                <c:pt idx="46">
                  <c:v>2369.9362271765276</c:v>
                </c:pt>
                <c:pt idx="47">
                  <c:v>2467.8741978046874</c:v>
                </c:pt>
                <c:pt idx="48">
                  <c:v>2570.4019293879164</c:v>
                </c:pt>
                <c:pt idx="49">
                  <c:v>2679.2657100601355</c:v>
                </c:pt>
                <c:pt idx="50">
                  <c:v>2785.0413333260922</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215.15729984140495</c:v>
                </c:pt>
                <c:pt idx="14">
                  <c:v>221.26625183821378</c:v>
                </c:pt>
                <c:pt idx="15">
                  <c:v>225.16453122577877</c:v>
                </c:pt>
                <c:pt idx="16">
                  <c:v>227.57954482450731</c:v>
                </c:pt>
                <c:pt idx="17">
                  <c:v>228.47375642089816</c:v>
                </c:pt>
                <c:pt idx="18">
                  <c:v>230.50265811419084</c:v>
                </c:pt>
                <c:pt idx="19">
                  <c:v>232.69090070904014</c:v>
                </c:pt>
                <c:pt idx="20">
                  <c:v>214.00458336859714</c:v>
                </c:pt>
                <c:pt idx="21">
                  <c:v>228.88963807559961</c:v>
                </c:pt>
                <c:pt idx="22">
                  <c:v>237.18515677797598</c:v>
                </c:pt>
                <c:pt idx="23">
                  <c:v>240.12103609538198</c:v>
                </c:pt>
                <c:pt idx="24">
                  <c:v>243.27586309167933</c:v>
                </c:pt>
                <c:pt idx="25">
                  <c:v>247.88968769691706</c:v>
                </c:pt>
                <c:pt idx="26">
                  <c:v>254.00283414480216</c:v>
                </c:pt>
                <c:pt idx="27">
                  <c:v>260.8928317633156</c:v>
                </c:pt>
                <c:pt idx="28">
                  <c:v>268.78430827255687</c:v>
                </c:pt>
                <c:pt idx="29">
                  <c:v>278.33610623105011</c:v>
                </c:pt>
                <c:pt idx="30">
                  <c:v>289.50305180743254</c:v>
                </c:pt>
                <c:pt idx="31">
                  <c:v>301.72117189978508</c:v>
                </c:pt>
                <c:pt idx="32">
                  <c:v>314.97932280163093</c:v>
                </c:pt>
                <c:pt idx="33">
                  <c:v>328.95998431180311</c:v>
                </c:pt>
                <c:pt idx="34">
                  <c:v>343.82886077729194</c:v>
                </c:pt>
                <c:pt idx="35">
                  <c:v>359.44050054643884</c:v>
                </c:pt>
                <c:pt idx="36">
                  <c:v>375.21134386227038</c:v>
                </c:pt>
                <c:pt idx="37">
                  <c:v>392.00323411715522</c:v>
                </c:pt>
                <c:pt idx="38">
                  <c:v>409.27553982968976</c:v>
                </c:pt>
                <c:pt idx="39">
                  <c:v>426.98867924009625</c:v>
                </c:pt>
                <c:pt idx="40">
                  <c:v>445.4145025056265</c:v>
                </c:pt>
                <c:pt idx="41">
                  <c:v>463.8972694418859</c:v>
                </c:pt>
                <c:pt idx="42">
                  <c:v>483.3589796814581</c:v>
                </c:pt>
                <c:pt idx="43">
                  <c:v>504.15562481061045</c:v>
                </c:pt>
                <c:pt idx="44">
                  <c:v>525.73893206895582</c:v>
                </c:pt>
                <c:pt idx="45">
                  <c:v>548.15914151304617</c:v>
                </c:pt>
                <c:pt idx="46">
                  <c:v>572.08248859794446</c:v>
                </c:pt>
                <c:pt idx="47">
                  <c:v>597.33127248180688</c:v>
                </c:pt>
                <c:pt idx="48">
                  <c:v>623.79039853765221</c:v>
                </c:pt>
                <c:pt idx="49">
                  <c:v>651.91509964646741</c:v>
                </c:pt>
                <c:pt idx="50">
                  <c:v>679.24889234800344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238.58845125065105</c:v>
                </c:pt>
                <c:pt idx="14">
                  <c:v>245.79232692559358</c:v>
                </c:pt>
                <c:pt idx="15">
                  <c:v>250.38930527292374</c:v>
                </c:pt>
                <c:pt idx="16">
                  <c:v>253.23716816783994</c:v>
                </c:pt>
                <c:pt idx="17">
                  <c:v>254.29165168168265</c:v>
                </c:pt>
                <c:pt idx="18">
                  <c:v>256.68419880969998</c:v>
                </c:pt>
                <c:pt idx="19">
                  <c:v>259.26464593191389</c:v>
                </c:pt>
                <c:pt idx="20">
                  <c:v>237.22913034537896</c:v>
                </c:pt>
                <c:pt idx="21">
                  <c:v>254.78207290900994</c:v>
                </c:pt>
                <c:pt idx="22">
                  <c:v>264.56441944280124</c:v>
                </c:pt>
                <c:pt idx="23">
                  <c:v>268.02650420141055</c:v>
                </c:pt>
                <c:pt idx="24">
                  <c:v>271.74677921243546</c:v>
                </c:pt>
                <c:pt idx="25">
                  <c:v>277.18755184569341</c:v>
                </c:pt>
                <c:pt idx="26">
                  <c:v>284.39637375430965</c:v>
                </c:pt>
                <c:pt idx="27">
                  <c:v>292.52128393044939</c:v>
                </c:pt>
                <c:pt idx="28">
                  <c:v>301.8271707165955</c:v>
                </c:pt>
                <c:pt idx="29">
                  <c:v>313.09096277145198</c:v>
                </c:pt>
                <c:pt idx="30">
                  <c:v>326.25938963798018</c:v>
                </c:pt>
                <c:pt idx="31">
                  <c:v>340.66739581854995</c:v>
                </c:pt>
                <c:pt idx="32">
                  <c:v>356.30184029059967</c:v>
                </c:pt>
                <c:pt idx="33">
                  <c:v>372.78829286468209</c:v>
                </c:pt>
                <c:pt idx="34">
                  <c:v>390.32215751763971</c:v>
                </c:pt>
                <c:pt idx="35">
                  <c:v>408.73191291229193</c:v>
                </c:pt>
                <c:pt idx="36">
                  <c:v>427.32940632779054</c:v>
                </c:pt>
                <c:pt idx="37">
                  <c:v>447.13095163485133</c:v>
                </c:pt>
                <c:pt idx="38">
                  <c:v>467.49901853694797</c:v>
                </c:pt>
                <c:pt idx="39">
                  <c:v>488.38693093045686</c:v>
                </c:pt>
                <c:pt idx="40">
                  <c:v>510.11526339774144</c:v>
                </c:pt>
                <c:pt idx="41">
                  <c:v>531.9107457009751</c:v>
                </c:pt>
                <c:pt idx="42">
                  <c:v>554.8606299136635</c:v>
                </c:pt>
                <c:pt idx="43">
                  <c:v>579.38471293880002</c:v>
                </c:pt>
                <c:pt idx="44">
                  <c:v>604.83645363416417</c:v>
                </c:pt>
                <c:pt idx="45">
                  <c:v>631.2750967149691</c:v>
                </c:pt>
                <c:pt idx="46">
                  <c:v>659.48628878492389</c:v>
                </c:pt>
                <c:pt idx="47">
                  <c:v>689.26047920872372</c:v>
                </c:pt>
                <c:pt idx="48">
                  <c:v>720.4619446439591</c:v>
                </c:pt>
                <c:pt idx="49">
                  <c:v>753.627510568959</c:v>
                </c:pt>
                <c:pt idx="50">
                  <c:v>785.86041147395531</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2896.0855151347182</c:v>
                </c:pt>
                <c:pt idx="14">
                  <c:v>2942.4453105118937</c:v>
                </c:pt>
                <c:pt idx="15">
                  <c:v>2979.877509050561</c:v>
                </c:pt>
                <c:pt idx="16">
                  <c:v>3011.5897015159671</c:v>
                </c:pt>
                <c:pt idx="17">
                  <c:v>3037.4479061853235</c:v>
                </c:pt>
                <c:pt idx="18">
                  <c:v>3068.5581134720883</c:v>
                </c:pt>
                <c:pt idx="19">
                  <c:v>3100.7243936023351</c:v>
                </c:pt>
                <c:pt idx="20">
                  <c:v>3029.696958420152</c:v>
                </c:pt>
                <c:pt idx="21">
                  <c:v>3109.1140655085592</c:v>
                </c:pt>
                <c:pt idx="22">
                  <c:v>3157.5747420427224</c:v>
                </c:pt>
                <c:pt idx="23">
                  <c:v>3183.0742876605213</c:v>
                </c:pt>
                <c:pt idx="24">
                  <c:v>3211.601980978447</c:v>
                </c:pt>
                <c:pt idx="25">
                  <c:v>3247.6528718574791</c:v>
                </c:pt>
                <c:pt idx="26">
                  <c:v>3289.7475379625166</c:v>
                </c:pt>
                <c:pt idx="27">
                  <c:v>3334.7972447573065</c:v>
                </c:pt>
                <c:pt idx="28">
                  <c:v>3383.7785630245348</c:v>
                </c:pt>
                <c:pt idx="29">
                  <c:v>3439.6178928336658</c:v>
                </c:pt>
                <c:pt idx="30">
                  <c:v>3502.182835750375</c:v>
                </c:pt>
                <c:pt idx="31">
                  <c:v>3569.0180770323368</c:v>
                </c:pt>
                <c:pt idx="32">
                  <c:v>3640.1344876552243</c:v>
                </c:pt>
                <c:pt idx="33">
                  <c:v>3714.1618705158767</c:v>
                </c:pt>
                <c:pt idx="34">
                  <c:v>3791.796313897486</c:v>
                </c:pt>
                <c:pt idx="35">
                  <c:v>3872.4331835462376</c:v>
                </c:pt>
                <c:pt idx="36">
                  <c:v>3953.5670949442506</c:v>
                </c:pt>
                <c:pt idx="37">
                  <c:v>4038.932379746127</c:v>
                </c:pt>
                <c:pt idx="38">
                  <c:v>4126.1036277900439</c:v>
                </c:pt>
                <c:pt idx="39">
                  <c:v>4214.911336461304</c:v>
                </c:pt>
                <c:pt idx="40">
                  <c:v>4306.5607658895042</c:v>
                </c:pt>
                <c:pt idx="41">
                  <c:v>4398.2059951715119</c:v>
                </c:pt>
                <c:pt idx="42">
                  <c:v>4493.8317217814592</c:v>
                </c:pt>
                <c:pt idx="43">
                  <c:v>4594.9642999311936</c:v>
                </c:pt>
                <c:pt idx="44">
                  <c:v>4699.2054703429139</c:v>
                </c:pt>
                <c:pt idx="45">
                  <c:v>4806.7397527664198</c:v>
                </c:pt>
                <c:pt idx="46">
                  <c:v>4920.4397592407913</c:v>
                </c:pt>
                <c:pt idx="47">
                  <c:v>5039.5254843360744</c:v>
                </c:pt>
                <c:pt idx="48">
                  <c:v>5163.5013326379576</c:v>
                </c:pt>
                <c:pt idx="49">
                  <c:v>5294.3623133548108</c:v>
                </c:pt>
                <c:pt idx="50">
                  <c:v>5421.33492429337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1989.2140809840125</c:v>
                </c:pt>
                <c:pt idx="14">
                  <c:v>2031.5845891224521</c:v>
                </c:pt>
                <c:pt idx="15">
                  <c:v>2065.7957253002255</c:v>
                </c:pt>
                <c:pt idx="16">
                  <c:v>2094.7790652397448</c:v>
                </c:pt>
                <c:pt idx="17">
                  <c:v>2118.4121564230545</c:v>
                </c:pt>
                <c:pt idx="18">
                  <c:v>2146.8453123571589</c:v>
                </c:pt>
                <c:pt idx="19">
                  <c:v>2176.2436654550011</c:v>
                </c:pt>
                <c:pt idx="20">
                  <c:v>2111.3281822015783</c:v>
                </c:pt>
                <c:pt idx="21">
                  <c:v>2183.911401235313</c:v>
                </c:pt>
                <c:pt idx="22">
                  <c:v>2228.2020084905803</c:v>
                </c:pt>
                <c:pt idx="23">
                  <c:v>2251.5073034414158</c:v>
                </c:pt>
                <c:pt idx="24">
                  <c:v>2277.580172229209</c:v>
                </c:pt>
                <c:pt idx="25">
                  <c:v>2310.5288630713621</c:v>
                </c:pt>
                <c:pt idx="26">
                  <c:v>2349.0012587814281</c:v>
                </c:pt>
                <c:pt idx="27">
                  <c:v>2390.1744122186556</c:v>
                </c:pt>
                <c:pt idx="28">
                  <c:v>2434.9408596843587</c:v>
                </c:pt>
                <c:pt idx="29">
                  <c:v>2485.975182827372</c:v>
                </c:pt>
                <c:pt idx="30">
                  <c:v>2543.1563761753159</c:v>
                </c:pt>
                <c:pt idx="31">
                  <c:v>2604.2404062412929</c:v>
                </c:pt>
                <c:pt idx="32">
                  <c:v>2669.2372085472225</c:v>
                </c:pt>
                <c:pt idx="33">
                  <c:v>2736.8944922441392</c:v>
                </c:pt>
                <c:pt idx="34">
                  <c:v>2807.8484468153706</c:v>
                </c:pt>
                <c:pt idx="35">
                  <c:v>2881.5464671347786</c:v>
                </c:pt>
                <c:pt idx="36">
                  <c:v>2955.6987584730923</c:v>
                </c:pt>
                <c:pt idx="37">
                  <c:v>3033.7183110835163</c:v>
                </c:pt>
                <c:pt idx="38">
                  <c:v>3113.388422753188</c:v>
                </c:pt>
                <c:pt idx="39">
                  <c:v>3194.5541766655588</c:v>
                </c:pt>
                <c:pt idx="40">
                  <c:v>3278.317119618122</c:v>
                </c:pt>
                <c:pt idx="41">
                  <c:v>3362.0762238495054</c:v>
                </c:pt>
                <c:pt idx="42">
                  <c:v>3449.4733013086893</c:v>
                </c:pt>
                <c:pt idx="43">
                  <c:v>3541.9033625436946</c:v>
                </c:pt>
                <c:pt idx="44">
                  <c:v>3637.1745198763842</c:v>
                </c:pt>
                <c:pt idx="45">
                  <c:v>3735.4554150252357</c:v>
                </c:pt>
                <c:pt idx="46">
                  <c:v>3839.3714700998603</c:v>
                </c:pt>
                <c:pt idx="47">
                  <c:v>3948.2097995892473</c:v>
                </c:pt>
                <c:pt idx="48">
                  <c:v>4061.5174543514818</c:v>
                </c:pt>
                <c:pt idx="49">
                  <c:v>4181.1177718972613</c:v>
                </c:pt>
                <c:pt idx="50">
                  <c:v>4297.1643161358879</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164.54325277273026</c:v>
                </c:pt>
                <c:pt idx="21">
                  <c:v>165.68350681876433</c:v>
                </c:pt>
                <c:pt idx="22">
                  <c:v>166.63344605258959</c:v>
                </c:pt>
                <c:pt idx="23">
                  <c:v>167.59457812653326</c:v>
                </c:pt>
                <c:pt idx="24">
                  <c:v>168.71170962644038</c:v>
                </c:pt>
                <c:pt idx="25">
                  <c:v>169.92106337344669</c:v>
                </c:pt>
                <c:pt idx="26">
                  <c:v>171.09888329462041</c:v>
                </c:pt>
                <c:pt idx="27">
                  <c:v>172.24715637629978</c:v>
                </c:pt>
                <c:pt idx="28">
                  <c:v>173.36647998775408</c:v>
                </c:pt>
                <c:pt idx="29">
                  <c:v>174.46325293849503</c:v>
                </c:pt>
                <c:pt idx="30">
                  <c:v>175.54214538688302</c:v>
                </c:pt>
                <c:pt idx="31">
                  <c:v>176.60140022609249</c:v>
                </c:pt>
                <c:pt idx="32">
                  <c:v>177.64542803425243</c:v>
                </c:pt>
                <c:pt idx="33">
                  <c:v>178.67414974875214</c:v>
                </c:pt>
                <c:pt idx="34">
                  <c:v>179.68618613915027</c:v>
                </c:pt>
                <c:pt idx="35">
                  <c:v>180.68322519395082</c:v>
                </c:pt>
                <c:pt idx="36">
                  <c:v>181.66608384763404</c:v>
                </c:pt>
                <c:pt idx="37">
                  <c:v>182.63611544933079</c:v>
                </c:pt>
                <c:pt idx="38">
                  <c:v>183.58626741943172</c:v>
                </c:pt>
                <c:pt idx="39">
                  <c:v>184.51662757341765</c:v>
                </c:pt>
                <c:pt idx="40">
                  <c:v>185.42966965479962</c:v>
                </c:pt>
                <c:pt idx="41">
                  <c:v>186.32401769070725</c:v>
                </c:pt>
                <c:pt idx="42">
                  <c:v>187.20034934515505</c:v>
                </c:pt>
                <c:pt idx="43">
                  <c:v>188.058015295362</c:v>
                </c:pt>
                <c:pt idx="44">
                  <c:v>188.89446168114557</c:v>
                </c:pt>
                <c:pt idx="45">
                  <c:v>189.70728461242425</c:v>
                </c:pt>
                <c:pt idx="46">
                  <c:v>190.49647045275947</c:v>
                </c:pt>
                <c:pt idx="47">
                  <c:v>191.26098899524854</c:v>
                </c:pt>
                <c:pt idx="48">
                  <c:v>192.00089191605073</c:v>
                </c:pt>
                <c:pt idx="49">
                  <c:v>192.71857858161138</c:v>
                </c:pt>
                <c:pt idx="50">
                  <c:v>193.40048592066637</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189.19028187789527</c:v>
                </c:pt>
                <c:pt idx="21">
                  <c:v>191.18793711403208</c:v>
                </c:pt>
                <c:pt idx="22">
                  <c:v>192.85217245795658</c:v>
                </c:pt>
                <c:pt idx="23">
                  <c:v>194.53601697208975</c:v>
                </c:pt>
                <c:pt idx="24">
                  <c:v>196.49316292391052</c:v>
                </c:pt>
                <c:pt idx="25">
                  <c:v>198.6118766030695</c:v>
                </c:pt>
                <c:pt idx="26">
                  <c:v>200.67534495114728</c:v>
                </c:pt>
                <c:pt idx="27">
                  <c:v>202.68704904648467</c:v>
                </c:pt>
                <c:pt idx="28">
                  <c:v>204.64803544344622</c:v>
                </c:pt>
                <c:pt idx="29">
                  <c:v>206.56951446430239</c:v>
                </c:pt>
                <c:pt idx="30">
                  <c:v>208.45966794040447</c:v>
                </c:pt>
                <c:pt idx="31">
                  <c:v>210.31541752823514</c:v>
                </c:pt>
                <c:pt idx="32">
                  <c:v>212.14449029048239</c:v>
                </c:pt>
                <c:pt idx="33">
                  <c:v>213.94674771429567</c:v>
                </c:pt>
                <c:pt idx="34">
                  <c:v>215.7197734724339</c:v>
                </c:pt>
                <c:pt idx="35">
                  <c:v>217.46652481734924</c:v>
                </c:pt>
                <c:pt idx="36">
                  <c:v>219.18843296820532</c:v>
                </c:pt>
                <c:pt idx="37">
                  <c:v>220.88786890977252</c:v>
                </c:pt>
                <c:pt idx="38">
                  <c:v>222.55247695461961</c:v>
                </c:pt>
                <c:pt idx="39">
                  <c:v>224.18241095008952</c:v>
                </c:pt>
                <c:pt idx="40">
                  <c:v>225.78200474327079</c:v>
                </c:pt>
                <c:pt idx="41">
                  <c:v>227.34884771398731</c:v>
                </c:pt>
                <c:pt idx="42">
                  <c:v>228.88412708807849</c:v>
                </c:pt>
                <c:pt idx="43">
                  <c:v>230.38670529180962</c:v>
                </c:pt>
                <c:pt idx="44">
                  <c:v>231.85210811859193</c:v>
                </c:pt>
                <c:pt idx="45">
                  <c:v>233.27612410026589</c:v>
                </c:pt>
                <c:pt idx="46">
                  <c:v>234.65872934662656</c:v>
                </c:pt>
                <c:pt idx="47">
                  <c:v>235.99811899829135</c:v>
                </c:pt>
                <c:pt idx="48">
                  <c:v>237.29438358872568</c:v>
                </c:pt>
                <c:pt idx="49">
                  <c:v>238.55172666095538</c:v>
                </c:pt>
                <c:pt idx="50">
                  <c:v>239.74638654500595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598039.00741273258</c:v>
                </c:pt>
                <c:pt idx="25">
                  <c:v>601046.62603335571</c:v>
                </c:pt>
                <c:pt idx="26">
                  <c:v>603045.20236245089</c:v>
                </c:pt>
                <c:pt idx="27">
                  <c:v>604015.06594627816</c:v>
                </c:pt>
                <c:pt idx="28">
                  <c:v>606157.85554919671</c:v>
                </c:pt>
                <c:pt idx="29">
                  <c:v>608615.99513645715</c:v>
                </c:pt>
                <c:pt idx="30">
                  <c:v>591037.14961379278</c:v>
                </c:pt>
                <c:pt idx="31">
                  <c:v>602956.03617813659</c:v>
                </c:pt>
                <c:pt idx="32">
                  <c:v>608872.68170862389</c:v>
                </c:pt>
                <c:pt idx="33">
                  <c:v>610417.86935989198</c:v>
                </c:pt>
                <c:pt idx="34">
                  <c:v>612614.94471857976</c:v>
                </c:pt>
                <c:pt idx="35">
                  <c:v>616301.6537342408</c:v>
                </c:pt>
                <c:pt idx="36">
                  <c:v>621171.9260892031</c:v>
                </c:pt>
                <c:pt idx="37">
                  <c:v>626624.7388894558</c:v>
                </c:pt>
                <c:pt idx="38">
                  <c:v>632831.82517196704</c:v>
                </c:pt>
                <c:pt idx="39">
                  <c:v>640325.3816612243</c:v>
                </c:pt>
                <c:pt idx="40">
                  <c:v>649061.87713400729</c:v>
                </c:pt>
                <c:pt idx="41">
                  <c:v>658570.8020478657</c:v>
                </c:pt>
                <c:pt idx="42">
                  <c:v>668843.56237672991</c:v>
                </c:pt>
                <c:pt idx="43">
                  <c:v>679619.47621619399</c:v>
                </c:pt>
                <c:pt idx="44">
                  <c:v>691019.0701412101</c:v>
                </c:pt>
                <c:pt idx="45">
                  <c:v>702925.13128206437</c:v>
                </c:pt>
                <c:pt idx="46">
                  <c:v>714878.86917754635</c:v>
                </c:pt>
                <c:pt idx="47">
                  <c:v>727552.6518650424</c:v>
                </c:pt>
                <c:pt idx="48">
                  <c:v>740503.44254802458</c:v>
                </c:pt>
                <c:pt idx="49">
                  <c:v>753698.30318611918</c:v>
                </c:pt>
                <c:pt idx="50">
                  <c:v>767349.81888702617</c:v>
                </c:pt>
                <c:pt idx="51">
                  <c:v>780948.35952281742</c:v>
                </c:pt>
                <c:pt idx="52">
                  <c:v>795200.10820186988</c:v>
                </c:pt>
                <c:pt idx="53">
                  <c:v>810368.19006591034</c:v>
                </c:pt>
                <c:pt idx="54">
                  <c:v>826022.58345255663</c:v>
                </c:pt>
                <c:pt idx="55">
                  <c:v>842191.6096591925</c:v>
                </c:pt>
                <c:pt idx="56">
                  <c:v>859372.82823453296</c:v>
                </c:pt>
                <c:pt idx="57">
                  <c:v>877421.74418922595</c:v>
                </c:pt>
                <c:pt idx="58">
                  <c:v>896245.23756638065</c:v>
                </c:pt>
                <c:pt idx="59">
                  <c:v>916182.49352342752</c:v>
                </c:pt>
                <c:pt idx="60">
                  <c:v>935365.80916547542</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495518.03471340693</c:v>
                </c:pt>
                <c:pt idx="25">
                  <c:v>498010.06157049473</c:v>
                </c:pt>
                <c:pt idx="26">
                  <c:v>499666.02481460216</c:v>
                </c:pt>
                <c:pt idx="27">
                  <c:v>500469.62606977334</c:v>
                </c:pt>
                <c:pt idx="28">
                  <c:v>502245.08031219151</c:v>
                </c:pt>
                <c:pt idx="29">
                  <c:v>504281.82454163593</c:v>
                </c:pt>
                <c:pt idx="30">
                  <c:v>489716.49539428548</c:v>
                </c:pt>
                <c:pt idx="31">
                  <c:v>499592.14426188462</c:v>
                </c:pt>
                <c:pt idx="32">
                  <c:v>504494.50770143128</c:v>
                </c:pt>
                <c:pt idx="33">
                  <c:v>505774.80604105332</c:v>
                </c:pt>
                <c:pt idx="34">
                  <c:v>507595.23990968033</c:v>
                </c:pt>
                <c:pt idx="35">
                  <c:v>510649.94166551379</c:v>
                </c:pt>
                <c:pt idx="36">
                  <c:v>514685.31018819683</c:v>
                </c:pt>
                <c:pt idx="37">
                  <c:v>519203.35507983482</c:v>
                </c:pt>
                <c:pt idx="38">
                  <c:v>524346.36942820135</c:v>
                </c:pt>
                <c:pt idx="39">
                  <c:v>530555.31623358582</c:v>
                </c:pt>
                <c:pt idx="40">
                  <c:v>537794.12676817749</c:v>
                </c:pt>
                <c:pt idx="41">
                  <c:v>545672.95026823157</c:v>
                </c:pt>
                <c:pt idx="42">
                  <c:v>554184.66596929042</c:v>
                </c:pt>
                <c:pt idx="43">
                  <c:v>563113.28029341786</c:v>
                </c:pt>
                <c:pt idx="44">
                  <c:v>572558.65811700269</c:v>
                </c:pt>
                <c:pt idx="45">
                  <c:v>582423.68020513898</c:v>
                </c:pt>
                <c:pt idx="46">
                  <c:v>592328.20588996704</c:v>
                </c:pt>
                <c:pt idx="47">
                  <c:v>602829.3401167494</c:v>
                </c:pt>
                <c:pt idx="48">
                  <c:v>613559.9952540776</c:v>
                </c:pt>
                <c:pt idx="49">
                  <c:v>624492.8797827845</c:v>
                </c:pt>
                <c:pt idx="50">
                  <c:v>635804.13564925024</c:v>
                </c:pt>
                <c:pt idx="51">
                  <c:v>647071.49789033434</c:v>
                </c:pt>
                <c:pt idx="52">
                  <c:v>658880.08965297788</c:v>
                </c:pt>
                <c:pt idx="53">
                  <c:v>671447.92891175428</c:v>
                </c:pt>
                <c:pt idx="54">
                  <c:v>684418.71200354688</c:v>
                </c:pt>
                <c:pt idx="55">
                  <c:v>697815.9051461881</c:v>
                </c:pt>
                <c:pt idx="56">
                  <c:v>712051.77196575585</c:v>
                </c:pt>
                <c:pt idx="57">
                  <c:v>727006.58804250148</c:v>
                </c:pt>
                <c:pt idx="58">
                  <c:v>742603.19684071536</c:v>
                </c:pt>
                <c:pt idx="59">
                  <c:v>759122.63749083993</c:v>
                </c:pt>
                <c:pt idx="60">
                  <c:v>775017.38473710825</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615125.83619595354</c:v>
                </c:pt>
                <c:pt idx="25">
                  <c:v>618219.38677716604</c:v>
                </c:pt>
                <c:pt idx="26">
                  <c:v>620275.06528709247</c:v>
                </c:pt>
                <c:pt idx="27">
                  <c:v>621272.63925902906</c:v>
                </c:pt>
                <c:pt idx="28">
                  <c:v>623476.65142203099</c:v>
                </c:pt>
                <c:pt idx="29">
                  <c:v>626005.02356892754</c:v>
                </c:pt>
                <c:pt idx="30">
                  <c:v>607923.92531704414</c:v>
                </c:pt>
                <c:pt idx="31">
                  <c:v>620183.35149751208</c:v>
                </c:pt>
                <c:pt idx="32">
                  <c:v>626269.0440431562</c:v>
                </c:pt>
                <c:pt idx="33">
                  <c:v>627858.37991303182</c:v>
                </c:pt>
                <c:pt idx="34">
                  <c:v>630118.22885339637</c:v>
                </c:pt>
                <c:pt idx="35">
                  <c:v>633910.27241236204</c:v>
                </c:pt>
                <c:pt idx="36">
                  <c:v>638919.6954060375</c:v>
                </c:pt>
                <c:pt idx="37">
                  <c:v>644528.30285772611</c:v>
                </c:pt>
                <c:pt idx="38">
                  <c:v>650912.73446259485</c:v>
                </c:pt>
                <c:pt idx="39">
                  <c:v>658620.39256583073</c:v>
                </c:pt>
                <c:pt idx="40">
                  <c:v>667606.502194979</c:v>
                </c:pt>
                <c:pt idx="41">
                  <c:v>677387.1106778048</c:v>
                </c:pt>
                <c:pt idx="42">
                  <c:v>687953.37844463659</c:v>
                </c:pt>
                <c:pt idx="43">
                  <c:v>699037.17553665675</c:v>
                </c:pt>
                <c:pt idx="44">
                  <c:v>710762.47214524483</c:v>
                </c:pt>
                <c:pt idx="45">
                  <c:v>723008.70646155195</c:v>
                </c:pt>
                <c:pt idx="46">
                  <c:v>735303.97972547635</c:v>
                </c:pt>
                <c:pt idx="47">
                  <c:v>748339.87048975797</c:v>
                </c:pt>
                <c:pt idx="48">
                  <c:v>761660.68376368261</c:v>
                </c:pt>
                <c:pt idx="49">
                  <c:v>775232.54042000847</c:v>
                </c:pt>
                <c:pt idx="50">
                  <c:v>789274.09942665556</c:v>
                </c:pt>
                <c:pt idx="51">
                  <c:v>803261.16979489801</c:v>
                </c:pt>
                <c:pt idx="52">
                  <c:v>817920.11129335209</c:v>
                </c:pt>
                <c:pt idx="53">
                  <c:v>833521.56692493649</c:v>
                </c:pt>
                <c:pt idx="54">
                  <c:v>849623.22869405837</c:v>
                </c:pt>
                <c:pt idx="55">
                  <c:v>866254.22707802674</c:v>
                </c:pt>
                <c:pt idx="56">
                  <c:v>883926.33761266258</c:v>
                </c:pt>
                <c:pt idx="57">
                  <c:v>902490.93688034685</c:v>
                </c:pt>
                <c:pt idx="58">
                  <c:v>921852.2443539917</c:v>
                </c:pt>
                <c:pt idx="59">
                  <c:v>942359.13619552553</c:v>
                </c:pt>
                <c:pt idx="60">
                  <c:v>962090.5465702035</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5690965.7565264758</c:v>
                </c:pt>
                <c:pt idx="27">
                  <c:v>5543806.2775503108</c:v>
                </c:pt>
                <c:pt idx="28">
                  <c:v>5427737.2925172504</c:v>
                </c:pt>
                <c:pt idx="29">
                  <c:v>5317922.8374796044</c:v>
                </c:pt>
                <c:pt idx="30">
                  <c:v>4748663.1043264745</c:v>
                </c:pt>
                <c:pt idx="31">
                  <c:v>4975698.1204633834</c:v>
                </c:pt>
                <c:pt idx="32">
                  <c:v>5054297.6867420916</c:v>
                </c:pt>
                <c:pt idx="33">
                  <c:v>5020164.632735569</c:v>
                </c:pt>
                <c:pt idx="34">
                  <c:v>4992399.7967124144</c:v>
                </c:pt>
                <c:pt idx="35">
                  <c:v>4994223.6401157631</c:v>
                </c:pt>
                <c:pt idx="36">
                  <c:v>5023550.103307955</c:v>
                </c:pt>
                <c:pt idx="37">
                  <c:v>5065162.3418486938</c:v>
                </c:pt>
                <c:pt idx="38">
                  <c:v>5122412.1723342743</c:v>
                </c:pt>
                <c:pt idx="39">
                  <c:v>5206271.9395817183</c:v>
                </c:pt>
                <c:pt idx="40">
                  <c:v>5314373.2496831566</c:v>
                </c:pt>
                <c:pt idx="41">
                  <c:v>5389740.9504844137</c:v>
                </c:pt>
                <c:pt idx="42">
                  <c:v>5474011.7219505608</c:v>
                </c:pt>
                <c:pt idx="43">
                  <c:v>5560834.8092291318</c:v>
                </c:pt>
                <c:pt idx="44">
                  <c:v>5652138.8869073428</c:v>
                </c:pt>
                <c:pt idx="45">
                  <c:v>5744810.5110138832</c:v>
                </c:pt>
                <c:pt idx="46">
                  <c:v>5829436.1712408708</c:v>
                </c:pt>
                <c:pt idx="47">
                  <c:v>5918700.71135238</c:v>
                </c:pt>
                <c:pt idx="48">
                  <c:v>6003923.363982847</c:v>
                </c:pt>
                <c:pt idx="49">
                  <c:v>6084283.1029933132</c:v>
                </c:pt>
                <c:pt idx="50">
                  <c:v>6163215.0126304673</c:v>
                </c:pt>
                <c:pt idx="51">
                  <c:v>6263446.5925146369</c:v>
                </c:pt>
                <c:pt idx="52">
                  <c:v>6367117.1108291112</c:v>
                </c:pt>
                <c:pt idx="53">
                  <c:v>6477994.0702043502</c:v>
                </c:pt>
                <c:pt idx="54">
                  <c:v>6588439.6438278789</c:v>
                </c:pt>
                <c:pt idx="55">
                  <c:v>6698597.1834595762</c:v>
                </c:pt>
                <c:pt idx="56">
                  <c:v>6815706.2516582739</c:v>
                </c:pt>
                <c:pt idx="57">
                  <c:v>6936734.5992281614</c:v>
                </c:pt>
                <c:pt idx="58">
                  <c:v>7059578.032431215</c:v>
                </c:pt>
                <c:pt idx="59">
                  <c:v>7188416.9901146693</c:v>
                </c:pt>
                <c:pt idx="60">
                  <c:v>7296432.4292359715</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5046705.4822027236</c:v>
                </c:pt>
                <c:pt idx="27">
                  <c:v>4916205.5668842373</c:v>
                </c:pt>
                <c:pt idx="28">
                  <c:v>4813276.4669492599</c:v>
                </c:pt>
                <c:pt idx="29">
                  <c:v>4715893.8370102141</c:v>
                </c:pt>
                <c:pt idx="30">
                  <c:v>4211078.601949892</c:v>
                </c:pt>
                <c:pt idx="31">
                  <c:v>4412411.5407882826</c:v>
                </c:pt>
                <c:pt idx="32">
                  <c:v>4482113.0429599676</c:v>
                </c:pt>
                <c:pt idx="33">
                  <c:v>4451844.1082749385</c:v>
                </c:pt>
                <c:pt idx="34">
                  <c:v>4427222.4612355372</c:v>
                </c:pt>
                <c:pt idx="35">
                  <c:v>4428839.8318007709</c:v>
                </c:pt>
                <c:pt idx="36">
                  <c:v>4454846.3180278093</c:v>
                </c:pt>
                <c:pt idx="37">
                  <c:v>4491747.7371111047</c:v>
                </c:pt>
                <c:pt idx="38">
                  <c:v>4542516.4547115266</c:v>
                </c:pt>
                <c:pt idx="39">
                  <c:v>4616882.6634026561</c:v>
                </c:pt>
                <c:pt idx="40">
                  <c:v>4712746.0893416665</c:v>
                </c:pt>
                <c:pt idx="41">
                  <c:v>4779581.5975993853</c:v>
                </c:pt>
                <c:pt idx="42">
                  <c:v>4854312.2817297429</c:v>
                </c:pt>
                <c:pt idx="43">
                  <c:v>4931306.340259796</c:v>
                </c:pt>
                <c:pt idx="44">
                  <c:v>5012274.1072574537</c:v>
                </c:pt>
                <c:pt idx="45">
                  <c:v>5094454.6041066507</c:v>
                </c:pt>
                <c:pt idx="46">
                  <c:v>5169500.0009117154</c:v>
                </c:pt>
                <c:pt idx="47">
                  <c:v>5248659.1213879585</c:v>
                </c:pt>
                <c:pt idx="48">
                  <c:v>5324233.9265508261</c:v>
                </c:pt>
                <c:pt idx="49">
                  <c:v>5395496.3366167117</c:v>
                </c:pt>
                <c:pt idx="50">
                  <c:v>5465492.5583704142</c:v>
                </c:pt>
                <c:pt idx="51">
                  <c:v>5554377.1669469411</c:v>
                </c:pt>
                <c:pt idx="52">
                  <c:v>5646311.4001692105</c:v>
                </c:pt>
                <c:pt idx="53">
                  <c:v>5744636.2509359317</c:v>
                </c:pt>
                <c:pt idx="54">
                  <c:v>5842578.5520737795</c:v>
                </c:pt>
                <c:pt idx="55">
                  <c:v>5940265.4268415105</c:v>
                </c:pt>
                <c:pt idx="56">
                  <c:v>6044116.8646780904</c:v>
                </c:pt>
                <c:pt idx="57">
                  <c:v>6151443.8898815764</c:v>
                </c:pt>
                <c:pt idx="58">
                  <c:v>6260380.5193257947</c:v>
                </c:pt>
                <c:pt idx="59">
                  <c:v>6374633.9346299889</c:v>
                </c:pt>
                <c:pt idx="60">
                  <c:v>6470421.2108318983</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610009.49754182214</c:v>
                </c:pt>
                <c:pt idx="27">
                  <c:v>618596.39996388648</c:v>
                </c:pt>
                <c:pt idx="28">
                  <c:v>630321.10002649133</c:v>
                </c:pt>
                <c:pt idx="29">
                  <c:v>642612.00897727197</c:v>
                </c:pt>
                <c:pt idx="30">
                  <c:v>597014.6851984323</c:v>
                </c:pt>
                <c:pt idx="31">
                  <c:v>640629.51808142359</c:v>
                </c:pt>
                <c:pt idx="32">
                  <c:v>666212.35601499933</c:v>
                </c:pt>
                <c:pt idx="33">
                  <c:v>677236.93449176487</c:v>
                </c:pt>
                <c:pt idx="34">
                  <c:v>689105.39494050061</c:v>
                </c:pt>
                <c:pt idx="35">
                  <c:v>705164.71894820069</c:v>
                </c:pt>
                <c:pt idx="36">
                  <c:v>725406.17317973659</c:v>
                </c:pt>
                <c:pt idx="37">
                  <c:v>747862.16579298896</c:v>
                </c:pt>
                <c:pt idx="38">
                  <c:v>773174.64753167983</c:v>
                </c:pt>
                <c:pt idx="39">
                  <c:v>803209.53882740473</c:v>
                </c:pt>
                <c:pt idx="40">
                  <c:v>837882.86375355208</c:v>
                </c:pt>
                <c:pt idx="41">
                  <c:v>877946.13137026876</c:v>
                </c:pt>
                <c:pt idx="42">
                  <c:v>921300.15899073158</c:v>
                </c:pt>
                <c:pt idx="43">
                  <c:v>967089.19243832561</c:v>
                </c:pt>
                <c:pt idx="44">
                  <c:v>1015815.809260074</c:v>
                </c:pt>
                <c:pt idx="45">
                  <c:v>1067103.9132946692</c:v>
                </c:pt>
                <c:pt idx="46">
                  <c:v>1119304.9312915269</c:v>
                </c:pt>
                <c:pt idx="47">
                  <c:v>1174924.2894494412</c:v>
                </c:pt>
                <c:pt idx="48">
                  <c:v>1232423.3164023301</c:v>
                </c:pt>
                <c:pt idx="49">
                  <c:v>1291707.0898985872</c:v>
                </c:pt>
                <c:pt idx="50">
                  <c:v>1353597.5244011215</c:v>
                </c:pt>
                <c:pt idx="51">
                  <c:v>1414424.0937777301</c:v>
                </c:pt>
                <c:pt idx="52">
                  <c:v>1478544.2798039929</c:v>
                </c:pt>
                <c:pt idx="53">
                  <c:v>1547048.2047428007</c:v>
                </c:pt>
                <c:pt idx="54">
                  <c:v>1618339.5175338604</c:v>
                </c:pt>
                <c:pt idx="55">
                  <c:v>1692591.2487318111</c:v>
                </c:pt>
                <c:pt idx="56">
                  <c:v>1771834.4197072859</c:v>
                </c:pt>
                <c:pt idx="57">
                  <c:v>1855580.6313194891</c:v>
                </c:pt>
                <c:pt idx="58">
                  <c:v>1943524.761329802</c:v>
                </c:pt>
                <c:pt idx="59">
                  <c:v>2037093.9360268321</c:v>
                </c:pt>
                <c:pt idx="60">
                  <c:v>2128828.1623534956</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19294707.59935737</c:v>
                      </c:pt>
                      <c:pt idx="31">
                        <c:v>19308595.530858379</c:v>
                      </c:pt>
                      <c:pt idx="32">
                        <c:v>19303712.829933655</c:v>
                      </c:pt>
                      <c:pt idx="33">
                        <c:v>19303361.314411636</c:v>
                      </c:pt>
                      <c:pt idx="34">
                        <c:v>19323836.572483618</c:v>
                      </c:pt>
                      <c:pt idx="35">
                        <c:v>19357346.218920205</c:v>
                      </c:pt>
                      <c:pt idx="36">
                        <c:v>19389499.096448597</c:v>
                      </c:pt>
                      <c:pt idx="37">
                        <c:v>19420398.936924286</c:v>
                      </c:pt>
                      <c:pt idx="38">
                        <c:v>19450003.570025813</c:v>
                      </c:pt>
                      <c:pt idx="39">
                        <c:v>19478929.949521698</c:v>
                      </c:pt>
                      <c:pt idx="40">
                        <c:v>19507600.613935191</c:v>
                      </c:pt>
                      <c:pt idx="41">
                        <c:v>19535727.890048202</c:v>
                      </c:pt>
                      <c:pt idx="42">
                        <c:v>19563716.202206749</c:v>
                      </c:pt>
                      <c:pt idx="43">
                        <c:v>19591477.381817997</c:v>
                      </c:pt>
                      <c:pt idx="44">
                        <c:v>19618788.988862384</c:v>
                      </c:pt>
                      <c:pt idx="45">
                        <c:v>19645771.268803079</c:v>
                      </c:pt>
                      <c:pt idx="46">
                        <c:v>19672453.015585411</c:v>
                      </c:pt>
                      <c:pt idx="47">
                        <c:v>19698924.812201742</c:v>
                      </c:pt>
                      <c:pt idx="48">
                        <c:v>19724376.674356177</c:v>
                      </c:pt>
                      <c:pt idx="49">
                        <c:v>19748778.823879883</c:v>
                      </c:pt>
                      <c:pt idx="50">
                        <c:v>19772359.32529838</c:v>
                      </c:pt>
                      <c:pt idx="51">
                        <c:v>19794936.606249541</c:v>
                      </c:pt>
                      <c:pt idx="52">
                        <c:v>19816551.623688176</c:v>
                      </c:pt>
                      <c:pt idx="53">
                        <c:v>19837107.023180217</c:v>
                      </c:pt>
                      <c:pt idx="54">
                        <c:v>19856308.655348971</c:v>
                      </c:pt>
                      <c:pt idx="55">
                        <c:v>19873883.938426055</c:v>
                      </c:pt>
                      <c:pt idx="56">
                        <c:v>19889815.116446964</c:v>
                      </c:pt>
                      <c:pt idx="57">
                        <c:v>19903980.277063575</c:v>
                      </c:pt>
                      <c:pt idx="58">
                        <c:v>19916372.588615235</c:v>
                      </c:pt>
                      <c:pt idx="59">
                        <c:v>19927229.202147596</c:v>
                      </c:pt>
                      <c:pt idx="60">
                        <c:v>19935139.987152595</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2883117.227490182</c:v>
                      </c:pt>
                      <c:pt idx="31">
                        <c:v>2885192.4356455053</c:v>
                      </c:pt>
                      <c:pt idx="32">
                        <c:v>2884462.836656753</c:v>
                      </c:pt>
                      <c:pt idx="33">
                        <c:v>2884410.3113488653</c:v>
                      </c:pt>
                      <c:pt idx="34">
                        <c:v>2887469.8326699659</c:v>
                      </c:pt>
                      <c:pt idx="35">
                        <c:v>2892477.0212179618</c:v>
                      </c:pt>
                      <c:pt idx="36">
                        <c:v>2897281.4741819738</c:v>
                      </c:pt>
                      <c:pt idx="37">
                        <c:v>2901898.6917243185</c:v>
                      </c:pt>
                      <c:pt idx="38">
                        <c:v>2906322.3725325931</c:v>
                      </c:pt>
                      <c:pt idx="39">
                        <c:v>2910644.7051009433</c:v>
                      </c:pt>
                      <c:pt idx="40">
                        <c:v>2914928.8273696266</c:v>
                      </c:pt>
                      <c:pt idx="41">
                        <c:v>2919131.7536853636</c:v>
                      </c:pt>
                      <c:pt idx="42">
                        <c:v>2923313.9152722731</c:v>
                      </c:pt>
                      <c:pt idx="43">
                        <c:v>2927462.137513034</c:v>
                      </c:pt>
                      <c:pt idx="44">
                        <c:v>2931543.1822438049</c:v>
                      </c:pt>
                      <c:pt idx="45">
                        <c:v>2935575.0171774714</c:v>
                      </c:pt>
                      <c:pt idx="46">
                        <c:v>2939561.9448575904</c:v>
                      </c:pt>
                      <c:pt idx="47">
                        <c:v>2943517.5006738235</c:v>
                      </c:pt>
                      <c:pt idx="48">
                        <c:v>2947320.652490004</c:v>
                      </c:pt>
                      <c:pt idx="49">
                        <c:v>2950966.9506946951</c:v>
                      </c:pt>
                      <c:pt idx="50">
                        <c:v>2954490.47389516</c:v>
                      </c:pt>
                      <c:pt idx="51">
                        <c:v>2957864.090589012</c:v>
                      </c:pt>
                      <c:pt idx="52">
                        <c:v>2961093.9207809921</c:v>
                      </c:pt>
                      <c:pt idx="53">
                        <c:v>2964165.417256814</c:v>
                      </c:pt>
                      <c:pt idx="54">
                        <c:v>2967034.6266613407</c:v>
                      </c:pt>
                      <c:pt idx="55">
                        <c:v>2969660.8183855028</c:v>
                      </c:pt>
                      <c:pt idx="56">
                        <c:v>2972041.339239202</c:v>
                      </c:pt>
                      <c:pt idx="57">
                        <c:v>2974157.9724347875</c:v>
                      </c:pt>
                      <c:pt idx="58">
                        <c:v>2976009.6971494029</c:v>
                      </c:pt>
                      <c:pt idx="59">
                        <c:v>2977631.9497461924</c:v>
                      </c:pt>
                      <c:pt idx="60">
                        <c:v>2978814.0210687784</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2073465.0740723512</c:v>
                      </c:pt>
                      <c:pt idx="24">
                        <c:v>2080881.121959276</c:v>
                      </c:pt>
                      <c:pt idx="25">
                        <c:v>2089915.8268703569</c:v>
                      </c:pt>
                      <c:pt idx="26">
                        <c:v>2100556.3029240505</c:v>
                      </c:pt>
                      <c:pt idx="27">
                        <c:v>2112737.7866022554</c:v>
                      </c:pt>
                      <c:pt idx="28">
                        <c:v>2125847.6846541637</c:v>
                      </c:pt>
                      <c:pt idx="29">
                        <c:v>2139834.1013227375</c:v>
                      </c:pt>
                      <c:pt idx="30">
                        <c:v>2134587.2599102575</c:v>
                      </c:pt>
                      <c:pt idx="31">
                        <c:v>2138256.6174556674</c:v>
                      </c:pt>
                      <c:pt idx="32">
                        <c:v>2138612.6865135431</c:v>
                      </c:pt>
                      <c:pt idx="33">
                        <c:v>2139591.6492956472</c:v>
                      </c:pt>
                      <c:pt idx="34">
                        <c:v>2143919.9099595002</c:v>
                      </c:pt>
                      <c:pt idx="35">
                        <c:v>2150286.5393837062</c:v>
                      </c:pt>
                      <c:pt idx="36">
                        <c:v>2156296.3015812854</c:v>
                      </c:pt>
                      <c:pt idx="37">
                        <c:v>2161977.4535931544</c:v>
                      </c:pt>
                      <c:pt idx="38">
                        <c:v>2167332.9033531058</c:v>
                      </c:pt>
                      <c:pt idx="39">
                        <c:v>2172473.4651576607</c:v>
                      </c:pt>
                      <c:pt idx="40">
                        <c:v>2177476.2677693181</c:v>
                      </c:pt>
                      <c:pt idx="41">
                        <c:v>2182300.4670798844</c:v>
                      </c:pt>
                      <c:pt idx="42">
                        <c:v>2187018.5225144769</c:v>
                      </c:pt>
                      <c:pt idx="43">
                        <c:v>2191621.2122322586</c:v>
                      </c:pt>
                      <c:pt idx="44">
                        <c:v>2196077.0421099947</c:v>
                      </c:pt>
                      <c:pt idx="45">
                        <c:v>2200410.2632412626</c:v>
                      </c:pt>
                      <c:pt idx="46">
                        <c:v>2204629.727455548</c:v>
                      </c:pt>
                      <c:pt idx="47">
                        <c:v>2208753.9611315508</c:v>
                      </c:pt>
                      <c:pt idx="48">
                        <c:v>2212655.0903133801</c:v>
                      </c:pt>
                      <c:pt idx="49">
                        <c:v>2216332.1928741168</c:v>
                      </c:pt>
                      <c:pt idx="50">
                        <c:v>2219825.7748379377</c:v>
                      </c:pt>
                      <c:pt idx="51">
                        <c:v>2223109.7938261046</c:v>
                      </c:pt>
                      <c:pt idx="52">
                        <c:v>2226194.025315416</c:v>
                      </c:pt>
                      <c:pt idx="53">
                        <c:v>2229065.7811079524</c:v>
                      </c:pt>
                      <c:pt idx="54">
                        <c:v>2231680.7343182894</c:v>
                      </c:pt>
                      <c:pt idx="55">
                        <c:v>2233998.1661114693</c:v>
                      </c:pt>
                      <c:pt idx="56">
                        <c:v>2236018.2346010059</c:v>
                      </c:pt>
                      <c:pt idx="57">
                        <c:v>2237724.3417083644</c:v>
                      </c:pt>
                      <c:pt idx="58">
                        <c:v>2239118.2177963043</c:v>
                      </c:pt>
                      <c:pt idx="59">
                        <c:v>2240240.2917254451</c:v>
                      </c:pt>
                      <c:pt idx="60">
                        <c:v>2240868.9427719326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4024961.6143757398</c:v>
                      </c:pt>
                      <c:pt idx="24">
                        <c:v>4039357.4720385941</c:v>
                      </c:pt>
                      <c:pt idx="25">
                        <c:v>4056895.4286306924</c:v>
                      </c:pt>
                      <c:pt idx="26">
                        <c:v>4077550.4703819798</c:v>
                      </c:pt>
                      <c:pt idx="27">
                        <c:v>4101196.8798749652</c:v>
                      </c:pt>
                      <c:pt idx="28">
                        <c:v>4126645.5055051409</c:v>
                      </c:pt>
                      <c:pt idx="29">
                        <c:v>4153795.6084500193</c:v>
                      </c:pt>
                      <c:pt idx="30">
                        <c:v>4143610.5633552051</c:v>
                      </c:pt>
                      <c:pt idx="31">
                        <c:v>4150733.4338845299</c:v>
                      </c:pt>
                      <c:pt idx="32">
                        <c:v>4151424.6267615827</c:v>
                      </c:pt>
                      <c:pt idx="33">
                        <c:v>4153324.9662797847</c:v>
                      </c:pt>
                      <c:pt idx="34">
                        <c:v>4161726.8840390295</c:v>
                      </c:pt>
                      <c:pt idx="35">
                        <c:v>4174085.6352742519</c:v>
                      </c:pt>
                      <c:pt idx="36">
                        <c:v>4185751.6442460241</c:v>
                      </c:pt>
                      <c:pt idx="37">
                        <c:v>4196779.7628572993</c:v>
                      </c:pt>
                      <c:pt idx="38">
                        <c:v>4207175.6359207341</c:v>
                      </c:pt>
                      <c:pt idx="39">
                        <c:v>4217154.3735413402</c:v>
                      </c:pt>
                      <c:pt idx="40">
                        <c:v>4226865.6962580876</c:v>
                      </c:pt>
                      <c:pt idx="41">
                        <c:v>4236230.3184491871</c:v>
                      </c:pt>
                      <c:pt idx="42">
                        <c:v>4245388.896645749</c:v>
                      </c:pt>
                      <c:pt idx="43">
                        <c:v>4254323.5296273241</c:v>
                      </c:pt>
                      <c:pt idx="44">
                        <c:v>4262973.0817429293</c:v>
                      </c:pt>
                      <c:pt idx="45">
                        <c:v>4271384.6286448035</c:v>
                      </c:pt>
                      <c:pt idx="46">
                        <c:v>4279575.3532960629</c:v>
                      </c:pt>
                      <c:pt idx="47">
                        <c:v>4287581.2186671272</c:v>
                      </c:pt>
                      <c:pt idx="48">
                        <c:v>4295153.9988436196</c:v>
                      </c:pt>
                      <c:pt idx="49">
                        <c:v>4302291.9038144611</c:v>
                      </c:pt>
                      <c:pt idx="50">
                        <c:v>4309073.5629207017</c:v>
                      </c:pt>
                      <c:pt idx="51">
                        <c:v>4315448.4233094966</c:v>
                      </c:pt>
                      <c:pt idx="52">
                        <c:v>4321435.4609063948</c:v>
                      </c:pt>
                      <c:pt idx="53">
                        <c:v>4327010.045680142</c:v>
                      </c:pt>
                      <c:pt idx="54">
                        <c:v>4332086.1313237371</c:v>
                      </c:pt>
                      <c:pt idx="55">
                        <c:v>4336584.6753928512</c:v>
                      </c:pt>
                      <c:pt idx="56">
                        <c:v>4340505.9848137163</c:v>
                      </c:pt>
                      <c:pt idx="57">
                        <c:v>4343817.8397868238</c:v>
                      </c:pt>
                      <c:pt idx="58">
                        <c:v>4346523.5992516484</c:v>
                      </c:pt>
                      <c:pt idx="59">
                        <c:v>4348701.7427611565</c:v>
                      </c:pt>
                      <c:pt idx="60">
                        <c:v>4349922.0653808098</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312241.56810798898</c:v>
                      </c:pt>
                      <c:pt idx="25">
                        <c:v>312726.42527824303</c:v>
                      </c:pt>
                      <c:pt idx="26">
                        <c:v>312032.30780712375</c:v>
                      </c:pt>
                      <c:pt idx="27">
                        <c:v>310184.61831503391</c:v>
                      </c:pt>
                      <c:pt idx="28">
                        <c:v>309160.1538858742</c:v>
                      </c:pt>
                      <c:pt idx="29">
                        <c:v>308239.46209968906</c:v>
                      </c:pt>
                      <c:pt idx="30">
                        <c:v>294288.06949392188</c:v>
                      </c:pt>
                      <c:pt idx="31">
                        <c:v>303027.95614003902</c:v>
                      </c:pt>
                      <c:pt idx="32">
                        <c:v>307386.87813778559</c:v>
                      </c:pt>
                      <c:pt idx="33">
                        <c:v>308045.20224828663</c:v>
                      </c:pt>
                      <c:pt idx="34">
                        <c:v>308624.41284560575</c:v>
                      </c:pt>
                      <c:pt idx="35">
                        <c:v>310029.84023967013</c:v>
                      </c:pt>
                      <c:pt idx="36">
                        <c:v>312428.79331891559</c:v>
                      </c:pt>
                      <c:pt idx="37">
                        <c:v>315323.2845379496</c:v>
                      </c:pt>
                      <c:pt idx="38">
                        <c:v>318844.64734990173</c:v>
                      </c:pt>
                      <c:pt idx="39">
                        <c:v>323388.12851953279</c:v>
                      </c:pt>
                      <c:pt idx="40">
                        <c:v>328894.38205114764</c:v>
                      </c:pt>
                      <c:pt idx="41">
                        <c:v>334991.82956595405</c:v>
                      </c:pt>
                      <c:pt idx="42">
                        <c:v>341655.53306807892</c:v>
                      </c:pt>
                      <c:pt idx="43">
                        <c:v>348679.53226352658</c:v>
                      </c:pt>
                      <c:pt idx="44">
                        <c:v>356161.9578533743</c:v>
                      </c:pt>
                      <c:pt idx="45">
                        <c:v>364004.83192229457</c:v>
                      </c:pt>
                      <c:pt idx="46">
                        <c:v>371850.4299910689</c:v>
                      </c:pt>
                      <c:pt idx="47">
                        <c:v>380214.88400822948</c:v>
                      </c:pt>
                      <c:pt idx="48">
                        <c:v>388782.13711572392</c:v>
                      </c:pt>
                      <c:pt idx="49">
                        <c:v>397528.89013365656</c:v>
                      </c:pt>
                      <c:pt idx="50">
                        <c:v>406610.80865718157</c:v>
                      </c:pt>
                      <c:pt idx="51">
                        <c:v>415645.5849707239</c:v>
                      </c:pt>
                      <c:pt idx="52">
                        <c:v>425172.03385524813</c:v>
                      </c:pt>
                      <c:pt idx="53">
                        <c:v>435393.05600758985</c:v>
                      </c:pt>
                      <c:pt idx="54">
                        <c:v>445992.78369025595</c:v>
                      </c:pt>
                      <c:pt idx="55">
                        <c:v>457005.01758702658</c:v>
                      </c:pt>
                      <c:pt idx="56">
                        <c:v>468809.16064677841</c:v>
                      </c:pt>
                      <c:pt idx="57">
                        <c:v>481302.79798443045</c:v>
                      </c:pt>
                      <c:pt idx="58">
                        <c:v>494419.21522295987</c:v>
                      </c:pt>
                      <c:pt idx="59">
                        <c:v>508408.24121522659</c:v>
                      </c:pt>
                      <c:pt idx="60">
                        <c:v>521927.37253184826</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1647045.1860532647</c:v>
                      </c:pt>
                      <c:pt idx="24">
                        <c:v>1647784.0190100386</c:v>
                      </c:pt>
                      <c:pt idx="25">
                        <c:v>1632656.0990208653</c:v>
                      </c:pt>
                      <c:pt idx="26">
                        <c:v>1607948.7164639276</c:v>
                      </c:pt>
                      <c:pt idx="27">
                        <c:v>1574056.8450456359</c:v>
                      </c:pt>
                      <c:pt idx="28">
                        <c:v>1549447.5878836231</c:v>
                      </c:pt>
                      <c:pt idx="29">
                        <c:v>1527015.9199472498</c:v>
                      </c:pt>
                      <c:pt idx="30">
                        <c:v>1371748.5957835338</c:v>
                      </c:pt>
                      <c:pt idx="31">
                        <c:v>1433736.2656028473</c:v>
                      </c:pt>
                      <c:pt idx="32">
                        <c:v>1452477.0019582291</c:v>
                      </c:pt>
                      <c:pt idx="33">
                        <c:v>1438142.4640501887</c:v>
                      </c:pt>
                      <c:pt idx="34">
                        <c:v>1425535.3141805318</c:v>
                      </c:pt>
                      <c:pt idx="35">
                        <c:v>1421639.0693319717</c:v>
                      </c:pt>
                      <c:pt idx="36">
                        <c:v>1426115.1897885611</c:v>
                      </c:pt>
                      <c:pt idx="37">
                        <c:v>1434452.4061513322</c:v>
                      </c:pt>
                      <c:pt idx="38">
                        <c:v>1447601.8836349829</c:v>
                      </c:pt>
                      <c:pt idx="39">
                        <c:v>1468725.2268326974</c:v>
                      </c:pt>
                      <c:pt idx="40">
                        <c:v>1497084.9344248879</c:v>
                      </c:pt>
                      <c:pt idx="41">
                        <c:v>1529362.5480945888</c:v>
                      </c:pt>
                      <c:pt idx="42">
                        <c:v>1565237.646985665</c:v>
                      </c:pt>
                      <c:pt idx="43">
                        <c:v>1602915.7440535391</c:v>
                      </c:pt>
                      <c:pt idx="44">
                        <c:v>1643043.925379565</c:v>
                      </c:pt>
                      <c:pt idx="45">
                        <c:v>1684757.2724027899</c:v>
                      </c:pt>
                      <c:pt idx="46">
                        <c:v>1725237.1319040265</c:v>
                      </c:pt>
                      <c:pt idx="47">
                        <c:v>1768394.2381216898</c:v>
                      </c:pt>
                      <c:pt idx="48">
                        <c:v>1811637.4241507875</c:v>
                      </c:pt>
                      <c:pt idx="49">
                        <c:v>1854739.6499469937</c:v>
                      </c:pt>
                      <c:pt idx="50">
                        <c:v>1898816.1951115066</c:v>
                      </c:pt>
                      <c:pt idx="51">
                        <c:v>1941016.7130752378</c:v>
                      </c:pt>
                      <c:pt idx="52">
                        <c:v>1985177.0922714637</c:v>
                      </c:pt>
                      <c:pt idx="53">
                        <c:v>2032570.3488604655</c:v>
                      </c:pt>
                      <c:pt idx="54">
                        <c:v>2080791.8647134064</c:v>
                      </c:pt>
                      <c:pt idx="55">
                        <c:v>2129930.2914873464</c:v>
                      </c:pt>
                      <c:pt idx="56">
                        <c:v>2182413.7415643274</c:v>
                      </c:pt>
                      <c:pt idx="57">
                        <c:v>2237328.5405060551</c:v>
                      </c:pt>
                      <c:pt idx="58">
                        <c:v>2294048.7331730053</c:v>
                      </c:pt>
                      <c:pt idx="59">
                        <c:v>2354045.6716976329</c:v>
                      </c:pt>
                      <c:pt idx="60">
                        <c:v>2408353.7615859271</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224597.07082544517</c:v>
                      </c:pt>
                      <c:pt idx="24">
                        <c:v>224697.82077409615</c:v>
                      </c:pt>
                      <c:pt idx="25">
                        <c:v>222634.92259375434</c:v>
                      </c:pt>
                      <c:pt idx="26">
                        <c:v>219265.73406326285</c:v>
                      </c:pt>
                      <c:pt idx="27">
                        <c:v>214644.1152334958</c:v>
                      </c:pt>
                      <c:pt idx="28">
                        <c:v>211288.30743867587</c:v>
                      </c:pt>
                      <c:pt idx="29">
                        <c:v>208229.44362917045</c:v>
                      </c:pt>
                      <c:pt idx="30">
                        <c:v>187056.62669775457</c:v>
                      </c:pt>
                      <c:pt idx="31">
                        <c:v>195509.49076402464</c:v>
                      </c:pt>
                      <c:pt idx="32">
                        <c:v>198065.04572157669</c:v>
                      </c:pt>
                      <c:pt idx="33">
                        <c:v>196110.33600684389</c:v>
                      </c:pt>
                      <c:pt idx="34">
                        <c:v>194391.17920643615</c:v>
                      </c:pt>
                      <c:pt idx="35">
                        <c:v>193859.87309072341</c:v>
                      </c:pt>
                      <c:pt idx="36">
                        <c:v>194470.25315298559</c:v>
                      </c:pt>
                      <c:pt idx="37">
                        <c:v>195607.14629336348</c:v>
                      </c:pt>
                      <c:pt idx="38">
                        <c:v>197400.25685931582</c:v>
                      </c:pt>
                      <c:pt idx="39">
                        <c:v>200280.71274991328</c:v>
                      </c:pt>
                      <c:pt idx="40">
                        <c:v>204147.94560339377</c:v>
                      </c:pt>
                      <c:pt idx="41">
                        <c:v>208549.43837653482</c:v>
                      </c:pt>
                      <c:pt idx="42">
                        <c:v>213441.49731622703</c:v>
                      </c:pt>
                      <c:pt idx="43">
                        <c:v>218579.41964366441</c:v>
                      </c:pt>
                      <c:pt idx="44">
                        <c:v>224051.4443699407</c:v>
                      </c:pt>
                      <c:pt idx="45">
                        <c:v>229739.62805492588</c:v>
                      </c:pt>
                      <c:pt idx="46">
                        <c:v>235259.6088960036</c:v>
                      </c:pt>
                      <c:pt idx="47">
                        <c:v>241144.66883477586</c:v>
                      </c:pt>
                      <c:pt idx="48">
                        <c:v>247041.46692965282</c:v>
                      </c:pt>
                      <c:pt idx="49">
                        <c:v>252919.04317459004</c:v>
                      </c:pt>
                      <c:pt idx="50">
                        <c:v>258929.48115156908</c:v>
                      </c:pt>
                      <c:pt idx="51">
                        <c:v>264684.09723753243</c:v>
                      </c:pt>
                      <c:pt idx="52">
                        <c:v>270705.96712792688</c:v>
                      </c:pt>
                      <c:pt idx="53">
                        <c:v>277168.68393551797</c:v>
                      </c:pt>
                      <c:pt idx="54">
                        <c:v>283744.3451881918</c:v>
                      </c:pt>
                      <c:pt idx="55">
                        <c:v>290445.03974827455</c:v>
                      </c:pt>
                      <c:pt idx="56">
                        <c:v>297601.873849681</c:v>
                      </c:pt>
                      <c:pt idx="57">
                        <c:v>305090.255523553</c:v>
                      </c:pt>
                      <c:pt idx="58">
                        <c:v>312824.82725086436</c:v>
                      </c:pt>
                      <c:pt idx="59">
                        <c:v>321006.22795876808</c:v>
                      </c:pt>
                      <c:pt idx="60">
                        <c:v>328411.87657989911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26412334.873995654</c:v>
                      </c:pt>
                      <c:pt idx="30">
                        <c:v>25350316.178505685</c:v>
                      </c:pt>
                      <c:pt idx="31">
                        <c:v>26408735.533055577</c:v>
                      </c:pt>
                      <c:pt idx="32">
                        <c:v>27037761.553333167</c:v>
                      </c:pt>
                      <c:pt idx="33">
                        <c:v>27338002.975853834</c:v>
                      </c:pt>
                      <c:pt idx="34">
                        <c:v>27670981.254269924</c:v>
                      </c:pt>
                      <c:pt idx="35">
                        <c:v>28105220.469150901</c:v>
                      </c:pt>
                      <c:pt idx="36">
                        <c:v>28627932.806100942</c:v>
                      </c:pt>
                      <c:pt idx="37">
                        <c:v>29194859.417688563</c:v>
                      </c:pt>
                      <c:pt idx="38">
                        <c:v>29819916.767370615</c:v>
                      </c:pt>
                      <c:pt idx="39">
                        <c:v>30544491.454696167</c:v>
                      </c:pt>
                      <c:pt idx="40">
                        <c:v>31366383.106817737</c:v>
                      </c:pt>
                      <c:pt idx="41">
                        <c:v>32250631.586499896</c:v>
                      </c:pt>
                      <c:pt idx="42">
                        <c:v>33197098.245378032</c:v>
                      </c:pt>
                      <c:pt idx="43">
                        <c:v>34186211.859999739</c:v>
                      </c:pt>
                      <c:pt idx="44">
                        <c:v>35228014.344321951</c:v>
                      </c:pt>
                      <c:pt idx="45">
                        <c:v>36313753.867247581</c:v>
                      </c:pt>
                      <c:pt idx="46">
                        <c:v>37407573.988881394</c:v>
                      </c:pt>
                      <c:pt idx="47">
                        <c:v>38562749.506188259</c:v>
                      </c:pt>
                      <c:pt idx="48">
                        <c:v>39745096.975792833</c:v>
                      </c:pt>
                      <c:pt idx="49">
                        <c:v>40952188.782423802</c:v>
                      </c:pt>
                      <c:pt idx="50">
                        <c:v>42201083.559905358</c:v>
                      </c:pt>
                      <c:pt idx="51">
                        <c:v>43451202.561684646</c:v>
                      </c:pt>
                      <c:pt idx="52">
                        <c:v>44759448.199851647</c:v>
                      </c:pt>
                      <c:pt idx="53">
                        <c:v>46147680.988987908</c:v>
                      </c:pt>
                      <c:pt idx="54">
                        <c:v>47581799.423311822</c:v>
                      </c:pt>
                      <c:pt idx="55">
                        <c:v>49064604.117689945</c:v>
                      </c:pt>
                      <c:pt idx="56">
                        <c:v>50637154.6480323</c:v>
                      </c:pt>
                      <c:pt idx="57">
                        <c:v>52288374.959454365</c:v>
                      </c:pt>
                      <c:pt idx="58">
                        <c:v>54011180.429054819</c:v>
                      </c:pt>
                      <c:pt idx="59">
                        <c:v>55833926.495470583</c:v>
                      </c:pt>
                      <c:pt idx="60">
                        <c:v>57603540.497549266</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97270973.713722616</c:v>
                      </c:pt>
                      <c:pt idx="25">
                        <c:v>97842130.84288761</c:v>
                      </c:pt>
                      <c:pt idx="26">
                        <c:v>97491901.62390025</c:v>
                      </c:pt>
                      <c:pt idx="27">
                        <c:v>96224012.280420944</c:v>
                      </c:pt>
                      <c:pt idx="28">
                        <c:v>95690259.829558313</c:v>
                      </c:pt>
                      <c:pt idx="29">
                        <c:v>95277598.733681634</c:v>
                      </c:pt>
                      <c:pt idx="30">
                        <c:v>82894080.954694346</c:v>
                      </c:pt>
                      <c:pt idx="31">
                        <c:v>90393930.419263557</c:v>
                      </c:pt>
                      <c:pt idx="32">
                        <c:v>94002622.019163698</c:v>
                      </c:pt>
                      <c:pt idx="33">
                        <c:v>94454154.889687449</c:v>
                      </c:pt>
                      <c:pt idx="34">
                        <c:v>94974679.786767587</c:v>
                      </c:pt>
                      <c:pt idx="35">
                        <c:v>96294735.95473586</c:v>
                      </c:pt>
                      <c:pt idx="36">
                        <c:v>98468274.24258782</c:v>
                      </c:pt>
                      <c:pt idx="37">
                        <c:v>101068840.03772344</c:v>
                      </c:pt>
                      <c:pt idx="38">
                        <c:v>104211214.83932562</c:v>
                      </c:pt>
                      <c:pt idx="39">
                        <c:v>108244282.49400334</c:v>
                      </c:pt>
                      <c:pt idx="40">
                        <c:v>113122032.67958254</c:v>
                      </c:pt>
                      <c:pt idx="41">
                        <c:v>118520843.42590588</c:v>
                      </c:pt>
                      <c:pt idx="42">
                        <c:v>124422803.86290345</c:v>
                      </c:pt>
                      <c:pt idx="43">
                        <c:v>130648267.66371906</c:v>
                      </c:pt>
                      <c:pt idx="44">
                        <c:v>137280542.32060531</c:v>
                      </c:pt>
                      <c:pt idx="45">
                        <c:v>144235037.05865496</c:v>
                      </c:pt>
                      <c:pt idx="46">
                        <c:v>151199621.99613568</c:v>
                      </c:pt>
                      <c:pt idx="47">
                        <c:v>158624775.00255036</c:v>
                      </c:pt>
                      <c:pt idx="48">
                        <c:v>166225099.24857998</c:v>
                      </c:pt>
                      <c:pt idx="49">
                        <c:v>173978053.60793683</c:v>
                      </c:pt>
                      <c:pt idx="50">
                        <c:v>182020374.97889093</c:v>
                      </c:pt>
                      <c:pt idx="51">
                        <c:v>190014409.54631716</c:v>
                      </c:pt>
                      <c:pt idx="52">
                        <c:v>198428811.99033922</c:v>
                      </c:pt>
                      <c:pt idx="53">
                        <c:v>207436820.08242714</c:v>
                      </c:pt>
                      <c:pt idx="54">
                        <c:v>216755778.63124537</c:v>
                      </c:pt>
                      <c:pt idx="55">
                        <c:v>226407448.65376598</c:v>
                      </c:pt>
                      <c:pt idx="56">
                        <c:v>236717297.94777542</c:v>
                      </c:pt>
                      <c:pt idx="57">
                        <c:v>247588545.91690725</c:v>
                      </c:pt>
                      <c:pt idx="58">
                        <c:v>258956906.1799702</c:v>
                      </c:pt>
                      <c:pt idx="59">
                        <c:v>271036603.07164901</c:v>
                      </c:pt>
                      <c:pt idx="60">
                        <c:v>282631869.11967134</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1061457.1413934436</c:v>
                      </c:pt>
                      <c:pt idx="27">
                        <c:v>1072259.7799560239</c:v>
                      </c:pt>
                      <c:pt idx="28">
                        <c:v>1086111.7444713814</c:v>
                      </c:pt>
                      <c:pt idx="29">
                        <c:v>1100513.9530831533</c:v>
                      </c:pt>
                      <c:pt idx="30">
                        <c:v>1056263.1741044044</c:v>
                      </c:pt>
                      <c:pt idx="31">
                        <c:v>1100363.9805439834</c:v>
                      </c:pt>
                      <c:pt idx="32">
                        <c:v>1126573.3980555497</c:v>
                      </c:pt>
                      <c:pt idx="33">
                        <c:v>1139083.4573272441</c:v>
                      </c:pt>
                      <c:pt idx="34">
                        <c:v>1152957.552261248</c:v>
                      </c:pt>
                      <c:pt idx="35">
                        <c:v>1171050.8528812886</c:v>
                      </c:pt>
                      <c:pt idx="36">
                        <c:v>1192830.5335875405</c:v>
                      </c:pt>
                      <c:pt idx="37">
                        <c:v>1216452.4757370246</c:v>
                      </c:pt>
                      <c:pt idx="38">
                        <c:v>1242496.5319737766</c:v>
                      </c:pt>
                      <c:pt idx="39">
                        <c:v>1272687.1439456749</c:v>
                      </c:pt>
                      <c:pt idx="40">
                        <c:v>1306932.6294507403</c:v>
                      </c:pt>
                      <c:pt idx="41">
                        <c:v>1343776.3161041634</c:v>
                      </c:pt>
                      <c:pt idx="42">
                        <c:v>1383212.4268907527</c:v>
                      </c:pt>
                      <c:pt idx="43">
                        <c:v>1424425.4941666571</c:v>
                      </c:pt>
                      <c:pt idx="44">
                        <c:v>1467833.9310134158</c:v>
                      </c:pt>
                      <c:pt idx="45">
                        <c:v>1513073.077801984</c:v>
                      </c:pt>
                      <c:pt idx="46">
                        <c:v>1558648.9162033929</c:v>
                      </c:pt>
                      <c:pt idx="47">
                        <c:v>1606781.2294245122</c:v>
                      </c:pt>
                      <c:pt idx="48">
                        <c:v>1656045.707324703</c:v>
                      </c:pt>
                      <c:pt idx="49">
                        <c:v>1706341.19926766</c:v>
                      </c:pt>
                      <c:pt idx="50">
                        <c:v>1758378.4816627251</c:v>
                      </c:pt>
                      <c:pt idx="51">
                        <c:v>1810466.7734035284</c:v>
                      </c:pt>
                      <c:pt idx="52">
                        <c:v>1864977.0083271537</c:v>
                      </c:pt>
                      <c:pt idx="53">
                        <c:v>1922820.0412078311</c:v>
                      </c:pt>
                      <c:pt idx="54">
                        <c:v>1982574.9759713276</c:v>
                      </c:pt>
                      <c:pt idx="55">
                        <c:v>2044358.5049037496</c:v>
                      </c:pt>
                      <c:pt idx="56">
                        <c:v>2109881.4436680144</c:v>
                      </c:pt>
                      <c:pt idx="57">
                        <c:v>2178682.2899772674</c:v>
                      </c:pt>
                      <c:pt idx="58">
                        <c:v>2250465.8512106193</c:v>
                      </c:pt>
                      <c:pt idx="59">
                        <c:v>2326413.6039779428</c:v>
                      </c:pt>
                      <c:pt idx="60">
                        <c:v>2400147.5207312214</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4052957.2380717797</c:v>
                      </c:pt>
                      <c:pt idx="25">
                        <c:v>4076755.451786987</c:v>
                      </c:pt>
                      <c:pt idx="26">
                        <c:v>4062162.5676625138</c:v>
                      </c:pt>
                      <c:pt idx="27">
                        <c:v>4009333.8450175426</c:v>
                      </c:pt>
                      <c:pt idx="28">
                        <c:v>3987094.1595649333</c:v>
                      </c:pt>
                      <c:pt idx="29">
                        <c:v>3969899.9472367382</c:v>
                      </c:pt>
                      <c:pt idx="30">
                        <c:v>3453920.0397789343</c:v>
                      </c:pt>
                      <c:pt idx="31">
                        <c:v>3766413.7674693181</c:v>
                      </c:pt>
                      <c:pt idx="32">
                        <c:v>3916775.9174651573</c:v>
                      </c:pt>
                      <c:pt idx="33">
                        <c:v>3935589.7870703144</c:v>
                      </c:pt>
                      <c:pt idx="34">
                        <c:v>3957278.3244486535</c:v>
                      </c:pt>
                      <c:pt idx="35">
                        <c:v>4012280.6647806643</c:v>
                      </c:pt>
                      <c:pt idx="36">
                        <c:v>4102844.7601078297</c:v>
                      </c:pt>
                      <c:pt idx="37">
                        <c:v>4211201.6682384806</c:v>
                      </c:pt>
                      <c:pt idx="38">
                        <c:v>4342133.951638571</c:v>
                      </c:pt>
                      <c:pt idx="39">
                        <c:v>4510178.4372501429</c:v>
                      </c:pt>
                      <c:pt idx="40">
                        <c:v>4713418.0283159437</c:v>
                      </c:pt>
                      <c:pt idx="41">
                        <c:v>4938368.4760794165</c:v>
                      </c:pt>
                      <c:pt idx="42">
                        <c:v>5184283.4942876482</c:v>
                      </c:pt>
                      <c:pt idx="43">
                        <c:v>5443677.8193216324</c:v>
                      </c:pt>
                      <c:pt idx="44">
                        <c:v>5720022.5966918934</c:v>
                      </c:pt>
                      <c:pt idx="45">
                        <c:v>6009793.2107772948</c:v>
                      </c:pt>
                      <c:pt idx="46">
                        <c:v>6299984.249838993</c:v>
                      </c:pt>
                      <c:pt idx="47">
                        <c:v>6609365.6251062714</c:v>
                      </c:pt>
                      <c:pt idx="48">
                        <c:v>6926045.8020241726</c:v>
                      </c:pt>
                      <c:pt idx="49">
                        <c:v>7249085.5669973744</c:v>
                      </c:pt>
                      <c:pt idx="50">
                        <c:v>7584182.2907871287</c:v>
                      </c:pt>
                      <c:pt idx="51">
                        <c:v>7917267.0644298885</c:v>
                      </c:pt>
                      <c:pt idx="52">
                        <c:v>8267867.1662641419</c:v>
                      </c:pt>
                      <c:pt idx="53">
                        <c:v>8643200.8367678057</c:v>
                      </c:pt>
                      <c:pt idx="54">
                        <c:v>9031490.7763018981</c:v>
                      </c:pt>
                      <c:pt idx="55">
                        <c:v>9433643.6939069256</c:v>
                      </c:pt>
                      <c:pt idx="56">
                        <c:v>9863220.7478239853</c:v>
                      </c:pt>
                      <c:pt idx="57">
                        <c:v>10316189.413204478</c:v>
                      </c:pt>
                      <c:pt idx="58">
                        <c:v>10789871.090832103</c:v>
                      </c:pt>
                      <c:pt idx="59">
                        <c:v>11293191.794652052</c:v>
                      </c:pt>
                      <c:pt idx="60">
                        <c:v>11776327.879986316</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24050.505209418385</c:v>
                </c:pt>
                <c:pt idx="17">
                  <c:v>23669.383405227258</c:v>
                </c:pt>
                <c:pt idx="18">
                  <c:v>23387.298701141393</c:v>
                </c:pt>
                <c:pt idx="19">
                  <c:v>23126.61405950896</c:v>
                </c:pt>
                <c:pt idx="20">
                  <c:v>21369.845788427832</c:v>
                </c:pt>
                <c:pt idx="21">
                  <c:v>22130.690210491619</c:v>
                </c:pt>
                <c:pt idx="22">
                  <c:v>22415.522364806249</c:v>
                </c:pt>
                <c:pt idx="23">
                  <c:v>22342.904855677618</c:v>
                </c:pt>
                <c:pt idx="24">
                  <c:v>22297.353936164949</c:v>
                </c:pt>
                <c:pt idx="25">
                  <c:v>22351.074137831845</c:v>
                </c:pt>
                <c:pt idx="26">
                  <c:v>22493.352984543399</c:v>
                </c:pt>
                <c:pt idx="27">
                  <c:v>22675.772991138219</c:v>
                </c:pt>
                <c:pt idx="28">
                  <c:v>22909.483096038628</c:v>
                </c:pt>
                <c:pt idx="29">
                  <c:v>23230.671225335645</c:v>
                </c:pt>
                <c:pt idx="30">
                  <c:v>23632.453983382034</c:v>
                </c:pt>
                <c:pt idx="31">
                  <c:v>23954.238691339007</c:v>
                </c:pt>
                <c:pt idx="32">
                  <c:v>24309.371207343283</c:v>
                </c:pt>
                <c:pt idx="33">
                  <c:v>24677.52071412162</c:v>
                </c:pt>
                <c:pt idx="34">
                  <c:v>25065.354226144031</c:v>
                </c:pt>
                <c:pt idx="35">
                  <c:v>25463.056169326916</c:v>
                </c:pt>
                <c:pt idx="36">
                  <c:v>25839.628795434342</c:v>
                </c:pt>
                <c:pt idx="37">
                  <c:v>26237.542604884566</c:v>
                </c:pt>
                <c:pt idx="38">
                  <c:v>26627.896881498975</c:v>
                </c:pt>
                <c:pt idx="39">
                  <c:v>27008.085436548117</c:v>
                </c:pt>
                <c:pt idx="40">
                  <c:v>27390.010382681361</c:v>
                </c:pt>
                <c:pt idx="41">
                  <c:v>27829.312175818228</c:v>
                </c:pt>
                <c:pt idx="42">
                  <c:v>28285.897616724691</c:v>
                </c:pt>
                <c:pt idx="43">
                  <c:v>28773.155862944026</c:v>
                </c:pt>
                <c:pt idx="44">
                  <c:v>29265.211239222921</c:v>
                </c:pt>
                <c:pt idx="45">
                  <c:v>29762.789642045263</c:v>
                </c:pt>
                <c:pt idx="46">
                  <c:v>30291.528189428875</c:v>
                </c:pt>
                <c:pt idx="47">
                  <c:v>30841.488997699438</c:v>
                </c:pt>
                <c:pt idx="48">
                  <c:v>31405.876857713662</c:v>
                </c:pt>
                <c:pt idx="49">
                  <c:v>32000.167587001302</c:v>
                </c:pt>
                <c:pt idx="50">
                  <c:v>32529.032115555776</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767.77846974201918</c:v>
                </c:pt>
                <c:pt idx="17">
                  <c:v>757.64147058917911</c:v>
                </c:pt>
                <c:pt idx="18">
                  <c:v>751.15754383054082</c:v>
                </c:pt>
                <c:pt idx="19">
                  <c:v>745.51317364056126</c:v>
                </c:pt>
                <c:pt idx="20">
                  <c:v>685.26188604267395</c:v>
                </c:pt>
                <c:pt idx="21">
                  <c:v>713.14475725713066</c:v>
                </c:pt>
                <c:pt idx="22">
                  <c:v>723.46821531053001</c:v>
                </c:pt>
                <c:pt idx="23">
                  <c:v>720.33443143967384</c:v>
                </c:pt>
                <c:pt idx="24">
                  <c:v>718.01520835412771</c:v>
                </c:pt>
                <c:pt idx="25">
                  <c:v>719.35822432662496</c:v>
                </c:pt>
                <c:pt idx="26">
                  <c:v>724.17377271170653</c:v>
                </c:pt>
                <c:pt idx="27">
                  <c:v>730.62750312540061</c:v>
                </c:pt>
                <c:pt idx="28">
                  <c:v>739.14138127166734</c:v>
                </c:pt>
                <c:pt idx="29">
                  <c:v>751.08019887343528</c:v>
                </c:pt>
                <c:pt idx="30">
                  <c:v>766.18255786583677</c:v>
                </c:pt>
                <c:pt idx="31">
                  <c:v>783.09636080775022</c:v>
                </c:pt>
                <c:pt idx="32">
                  <c:v>801.70025670894506</c:v>
                </c:pt>
                <c:pt idx="33">
                  <c:v>821.2493011868969</c:v>
                </c:pt>
                <c:pt idx="34">
                  <c:v>842.03581787579844</c:v>
                </c:pt>
                <c:pt idx="35">
                  <c:v>863.70574846866975</c:v>
                </c:pt>
                <c:pt idx="36">
                  <c:v>885.04838862658357</c:v>
                </c:pt>
                <c:pt idx="37">
                  <c:v>907.77067647743138</c:v>
                </c:pt>
                <c:pt idx="38">
                  <c:v>930.75177558977202</c:v>
                </c:pt>
                <c:pt idx="39">
                  <c:v>953.89780561401676</c:v>
                </c:pt>
                <c:pt idx="40">
                  <c:v>977.70997578364313</c:v>
                </c:pt>
                <c:pt idx="41">
                  <c:v>1000.9164526188529</c:v>
                </c:pt>
                <c:pt idx="42">
                  <c:v>1025.241214134383</c:v>
                </c:pt>
                <c:pt idx="43">
                  <c:v>1051.276258278521</c:v>
                </c:pt>
                <c:pt idx="44">
                  <c:v>1077.9616391688305</c:v>
                </c:pt>
                <c:pt idx="45">
                  <c:v>1105.3494215415274</c:v>
                </c:pt>
                <c:pt idx="46">
                  <c:v>1134.5635346074182</c:v>
                </c:pt>
                <c:pt idx="47">
                  <c:v>1165.2163924314029</c:v>
                </c:pt>
                <c:pt idx="48">
                  <c:v>1197.0463551047183</c:v>
                </c:pt>
                <c:pt idx="49">
                  <c:v>1230.7617610577402</c:v>
                </c:pt>
                <c:pt idx="50">
                  <c:v>1262.2047270799694</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1611.8202237640569</c:v>
                </c:pt>
                <c:pt idx="13">
                  <c:v>1628.3498454049941</c:v>
                </c:pt>
                <c:pt idx="14">
                  <c:v>1654.3267410473238</c:v>
                </c:pt>
                <c:pt idx="15">
                  <c:v>1663.6384309182042</c:v>
                </c:pt>
                <c:pt idx="16">
                  <c:v>1662.3021398559852</c:v>
                </c:pt>
                <c:pt idx="17">
                  <c:v>1650.3976769413116</c:v>
                </c:pt>
                <c:pt idx="18">
                  <c:v>1647.5009704288245</c:v>
                </c:pt>
                <c:pt idx="19">
                  <c:v>1646.2684747308629</c:v>
                </c:pt>
                <c:pt idx="20">
                  <c:v>1496.9632118820093</c:v>
                </c:pt>
                <c:pt idx="21">
                  <c:v>1589.4536201520787</c:v>
                </c:pt>
                <c:pt idx="22">
                  <c:v>1634.6379842255499</c:v>
                </c:pt>
                <c:pt idx="23">
                  <c:v>1642.3613957102418</c:v>
                </c:pt>
                <c:pt idx="24">
                  <c:v>1651.831783548467</c:v>
                </c:pt>
                <c:pt idx="25">
                  <c:v>1671.3833505112827</c:v>
                </c:pt>
                <c:pt idx="26">
                  <c:v>1700.9742841824357</c:v>
                </c:pt>
                <c:pt idx="27">
                  <c:v>1735.5397910667693</c:v>
                </c:pt>
                <c:pt idx="28">
                  <c:v>1776.4587711909221</c:v>
                </c:pt>
                <c:pt idx="29">
                  <c:v>1827.9376364764994</c:v>
                </c:pt>
                <c:pt idx="30">
                  <c:v>1889.4630902844299</c:v>
                </c:pt>
                <c:pt idx="31">
                  <c:v>1955.2970642616535</c:v>
                </c:pt>
                <c:pt idx="32">
                  <c:v>2027.0326613025154</c:v>
                </c:pt>
                <c:pt idx="33">
                  <c:v>2102.5217820786279</c:v>
                </c:pt>
                <c:pt idx="34">
                  <c:v>2182.7475880121342</c:v>
                </c:pt>
                <c:pt idx="35">
                  <c:v>2266.7086965274766</c:v>
                </c:pt>
                <c:pt idx="36">
                  <c:v>2350.6936759298737</c:v>
                </c:pt>
                <c:pt idx="37">
                  <c:v>2440.0729602060906</c:v>
                </c:pt>
                <c:pt idx="38">
                  <c:v>2531.4145610132391</c:v>
                </c:pt>
                <c:pt idx="39">
                  <c:v>2624.4542426738071</c:v>
                </c:pt>
                <c:pt idx="40">
                  <c:v>2720.8327201724637</c:v>
                </c:pt>
                <c:pt idx="41">
                  <c:v>2817.7487077323372</c:v>
                </c:pt>
                <c:pt idx="42">
                  <c:v>2919.6225778999151</c:v>
                </c:pt>
                <c:pt idx="43">
                  <c:v>3028.5140214947187</c:v>
                </c:pt>
                <c:pt idx="44">
                  <c:v>3141.0574304598881</c:v>
                </c:pt>
                <c:pt idx="45">
                  <c:v>3257.5050202947727</c:v>
                </c:pt>
                <c:pt idx="46">
                  <c:v>3381.7304185792786</c:v>
                </c:pt>
                <c:pt idx="47">
                  <c:v>3512.5857804113907</c:v>
                </c:pt>
                <c:pt idx="48">
                  <c:v>3649.3149372296352</c:v>
                </c:pt>
                <c:pt idx="49">
                  <c:v>3794.4839588574464</c:v>
                </c:pt>
                <c:pt idx="50">
                  <c:v>3933.8203748562191</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893.63599451516268</c:v>
                </c:pt>
                <c:pt idx="22">
                  <c:v>901.53557284553392</c:v>
                </c:pt>
                <c:pt idx="23">
                  <c:v>905.89010059598195</c:v>
                </c:pt>
                <c:pt idx="24">
                  <c:v>907.58009218117843</c:v>
                </c:pt>
                <c:pt idx="25">
                  <c:v>909.40288860123439</c:v>
                </c:pt>
                <c:pt idx="26">
                  <c:v>911.92422757648922</c:v>
                </c:pt>
                <c:pt idx="27">
                  <c:v>915.10313656095923</c:v>
                </c:pt>
                <c:pt idx="28">
                  <c:v>918.57833095683384</c:v>
                </c:pt>
                <c:pt idx="29">
                  <c:v>922.43403487282035</c:v>
                </c:pt>
                <c:pt idx="30">
                  <c:v>926.93686062638631</c:v>
                </c:pt>
                <c:pt idx="31">
                  <c:v>932.02307525086815</c:v>
                </c:pt>
                <c:pt idx="32">
                  <c:v>937.4114004614803</c:v>
                </c:pt>
                <c:pt idx="33">
                  <c:v>943.0703615154913</c:v>
                </c:pt>
                <c:pt idx="34">
                  <c:v>948.84872324168452</c:v>
                </c:pt>
                <c:pt idx="35">
                  <c:v>954.79399041296358</c:v>
                </c:pt>
                <c:pt idx="36">
                  <c:v>960.83317350344373</c:v>
                </c:pt>
                <c:pt idx="37">
                  <c:v>966.74459566725386</c:v>
                </c:pt>
                <c:pt idx="38">
                  <c:v>972.83250351153242</c:v>
                </c:pt>
                <c:pt idx="39">
                  <c:v>978.89306599922156</c:v>
                </c:pt>
                <c:pt idx="40">
                  <c:v>984.91027811786876</c:v>
                </c:pt>
                <c:pt idx="41">
                  <c:v>990.96854669159461</c:v>
                </c:pt>
                <c:pt idx="42">
                  <c:v>996.85817227544851</c:v>
                </c:pt>
                <c:pt idx="43">
                  <c:v>1002.8620363509766</c:v>
                </c:pt>
                <c:pt idx="44">
                  <c:v>1009.0666625916243</c:v>
                </c:pt>
                <c:pt idx="45">
                  <c:v>1015.2950621882683</c:v>
                </c:pt>
                <c:pt idx="46">
                  <c:v>1021.5521396290935</c:v>
                </c:pt>
                <c:pt idx="47">
                  <c:v>1028.0026193966835</c:v>
                </c:pt>
                <c:pt idx="48">
                  <c:v>1034.5766203170861</c:v>
                </c:pt>
                <c:pt idx="49">
                  <c:v>1041.2271453774342</c:v>
                </c:pt>
                <c:pt idx="50">
                  <c:v>1048.046646803637</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469.91487835797898</c:v>
                </c:pt>
                <c:pt idx="22">
                  <c:v>469.71584189716231</c:v>
                </c:pt>
                <c:pt idx="23">
                  <c:v>469.60612594072387</c:v>
                </c:pt>
                <c:pt idx="24">
                  <c:v>469.56354519402316</c:v>
                </c:pt>
                <c:pt idx="25">
                  <c:v>469.51761831880731</c:v>
                </c:pt>
                <c:pt idx="26">
                  <c:v>469.45409108163506</c:v>
                </c:pt>
                <c:pt idx="27">
                  <c:v>469.37399581995572</c:v>
                </c:pt>
                <c:pt idx="28">
                  <c:v>469.28643540036416</c:v>
                </c:pt>
                <c:pt idx="29">
                  <c:v>469.18928772623514</c:v>
                </c:pt>
                <c:pt idx="30">
                  <c:v>469.07583527799261</c:v>
                </c:pt>
                <c:pt idx="31">
                  <c:v>468.94768386085701</c:v>
                </c:pt>
                <c:pt idx="32">
                  <c:v>468.81192051567615</c:v>
                </c:pt>
                <c:pt idx="33">
                  <c:v>468.66933827482927</c:v>
                </c:pt>
                <c:pt idx="34">
                  <c:v>468.523747634519</c:v>
                </c:pt>
                <c:pt idx="35">
                  <c:v>468.37395167239384</c:v>
                </c:pt>
                <c:pt idx="36">
                  <c:v>468.22178942039972</c:v>
                </c:pt>
                <c:pt idx="37">
                  <c:v>468.07284621144964</c:v>
                </c:pt>
                <c:pt idx="38">
                  <c:v>467.91945629866859</c:v>
                </c:pt>
                <c:pt idx="39">
                  <c:v>467.76675537494071</c:v>
                </c:pt>
                <c:pt idx="40">
                  <c:v>467.61514669989612</c:v>
                </c:pt>
                <c:pt idx="41">
                  <c:v>467.46250357324266</c:v>
                </c:pt>
                <c:pt idx="42">
                  <c:v>467.31410954729336</c:v>
                </c:pt>
                <c:pt idx="43">
                  <c:v>467.16283718732154</c:v>
                </c:pt>
                <c:pt idx="44">
                  <c:v>467.00650645725204</c:v>
                </c:pt>
                <c:pt idx="45">
                  <c:v>466.84957673766149</c:v>
                </c:pt>
                <c:pt idx="46">
                  <c:v>466.6919244558822</c:v>
                </c:pt>
                <c:pt idx="47">
                  <c:v>466.52939924126719</c:v>
                </c:pt>
                <c:pt idx="48">
                  <c:v>466.36376180824482</c:v>
                </c:pt>
                <c:pt idx="49">
                  <c:v>466.19619628572883</c:v>
                </c:pt>
                <c:pt idx="50">
                  <c:v>466.02437326282302</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16845.135916251187</c:v>
                </c:pt>
                <c:pt idx="17">
                  <c:v>16640.888084222788</c:v>
                </c:pt>
                <c:pt idx="18">
                  <c:v>16487.529960272332</c:v>
                </c:pt>
                <c:pt idx="19">
                  <c:v>16345.805129696333</c:v>
                </c:pt>
                <c:pt idx="20">
                  <c:v>15430.560631270724</c:v>
                </c:pt>
                <c:pt idx="21">
                  <c:v>15811.043186802979</c:v>
                </c:pt>
                <c:pt idx="22">
                  <c:v>15958.847934518744</c:v>
                </c:pt>
                <c:pt idx="23">
                  <c:v>15919.233047927217</c:v>
                </c:pt>
                <c:pt idx="24">
                  <c:v>15891.545967315633</c:v>
                </c:pt>
                <c:pt idx="25">
                  <c:v>15915.155892934759</c:v>
                </c:pt>
                <c:pt idx="26">
                  <c:v>15984.84339828518</c:v>
                </c:pt>
                <c:pt idx="27">
                  <c:v>16075.567194018065</c:v>
                </c:pt>
                <c:pt idx="28">
                  <c:v>16192.720227144715</c:v>
                </c:pt>
                <c:pt idx="29">
                  <c:v>16354.896144587752</c:v>
                </c:pt>
                <c:pt idx="30">
                  <c:v>16558.670091352691</c:v>
                </c:pt>
                <c:pt idx="31">
                  <c:v>16718.997085821164</c:v>
                </c:pt>
                <c:pt idx="32">
                  <c:v>16896.069003270473</c:v>
                </c:pt>
                <c:pt idx="33">
                  <c:v>17079.376550926358</c:v>
                </c:pt>
                <c:pt idx="34">
                  <c:v>17272.154709260769</c:v>
                </c:pt>
                <c:pt idx="35">
                  <c:v>17469.365060057426</c:v>
                </c:pt>
                <c:pt idx="36">
                  <c:v>17655.092104453866</c:v>
                </c:pt>
                <c:pt idx="37">
                  <c:v>17850.792549268703</c:v>
                </c:pt>
                <c:pt idx="38">
                  <c:v>18041.925731567091</c:v>
                </c:pt>
                <c:pt idx="39">
                  <c:v>18226.979392581368</c:v>
                </c:pt>
                <c:pt idx="40">
                  <c:v>18411.957867290104</c:v>
                </c:pt>
                <c:pt idx="41">
                  <c:v>18627.439142589483</c:v>
                </c:pt>
                <c:pt idx="42">
                  <c:v>18850.725445944816</c:v>
                </c:pt>
                <c:pt idx="43">
                  <c:v>19088.747367065309</c:v>
                </c:pt>
                <c:pt idx="44">
                  <c:v>19328.417871836467</c:v>
                </c:pt>
                <c:pt idx="45">
                  <c:v>19569.915973937041</c:v>
                </c:pt>
                <c:pt idx="46">
                  <c:v>19826.107036199104</c:v>
                </c:pt>
                <c:pt idx="47">
                  <c:v>20092.021030049393</c:v>
                </c:pt>
                <c:pt idx="48">
                  <c:v>20364.102979787673</c:v>
                </c:pt>
                <c:pt idx="49">
                  <c:v>20650.001260780562</c:v>
                </c:pt>
                <c:pt idx="50">
                  <c:v>20901.929344604407</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2020.7416492119826</c:v>
                </c:pt>
                <c:pt idx="17">
                  <c:v>1997.8167979558436</c:v>
                </c:pt>
                <c:pt idx="18">
                  <c:v>1981.3182233351415</c:v>
                </c:pt>
                <c:pt idx="19">
                  <c:v>1966.2827775921453</c:v>
                </c:pt>
                <c:pt idx="20">
                  <c:v>1853.5422606516693</c:v>
                </c:pt>
                <c:pt idx="21">
                  <c:v>1902.820284924391</c:v>
                </c:pt>
                <c:pt idx="22">
                  <c:v>1921.5543958027654</c:v>
                </c:pt>
                <c:pt idx="23">
                  <c:v>1917.2325138661979</c:v>
                </c:pt>
                <c:pt idx="24">
                  <c:v>1914.8468047202759</c:v>
                </c:pt>
                <c:pt idx="25">
                  <c:v>1919.0235554424712</c:v>
                </c:pt>
                <c:pt idx="26">
                  <c:v>1928.923304491045</c:v>
                </c:pt>
                <c:pt idx="27">
                  <c:v>1941.4247785753696</c:v>
                </c:pt>
                <c:pt idx="28">
                  <c:v>1957.2434080061732</c:v>
                </c:pt>
                <c:pt idx="29">
                  <c:v>1978.7299836417585</c:v>
                </c:pt>
                <c:pt idx="30">
                  <c:v>2005.4551722913536</c:v>
                </c:pt>
                <c:pt idx="31">
                  <c:v>2027.5270915670139</c:v>
                </c:pt>
                <c:pt idx="32">
                  <c:v>2051.8162616729601</c:v>
                </c:pt>
                <c:pt idx="33">
                  <c:v>2077.0106814151418</c:v>
                </c:pt>
                <c:pt idx="34">
                  <c:v>2103.5415711520436</c:v>
                </c:pt>
                <c:pt idx="35">
                  <c:v>2130.779621564021</c:v>
                </c:pt>
                <c:pt idx="36">
                  <c:v>2156.7140714549992</c:v>
                </c:pt>
                <c:pt idx="37">
                  <c:v>2184.1024690347967</c:v>
                </c:pt>
                <c:pt idx="38">
                  <c:v>2211.0671577362259</c:v>
                </c:pt>
                <c:pt idx="39">
                  <c:v>2237.4358494281691</c:v>
                </c:pt>
                <c:pt idx="40">
                  <c:v>2263.9882827443353</c:v>
                </c:pt>
                <c:pt idx="41">
                  <c:v>2293.9699712922675</c:v>
                </c:pt>
                <c:pt idx="42">
                  <c:v>2325.1265640673746</c:v>
                </c:pt>
                <c:pt idx="43">
                  <c:v>2358.341737972924</c:v>
                </c:pt>
                <c:pt idx="44">
                  <c:v>2391.928142812822</c:v>
                </c:pt>
                <c:pt idx="45">
                  <c:v>2425.9297941273439</c:v>
                </c:pt>
                <c:pt idx="46">
                  <c:v>2462.0290061456703</c:v>
                </c:pt>
                <c:pt idx="47">
                  <c:v>2499.5834887806723</c:v>
                </c:pt>
                <c:pt idx="48">
                  <c:v>2538.1521015189664</c:v>
                </c:pt>
                <c:pt idx="49">
                  <c:v>2578.7579194180721</c:v>
                </c:pt>
                <c:pt idx="50">
                  <c:v>2615.1308371849518</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468.5534902170719</c:v>
                </c:pt>
                <c:pt idx="14">
                  <c:v>475.46673921112131</c:v>
                </c:pt>
                <c:pt idx="15">
                  <c:v>478.52713833996251</c:v>
                </c:pt>
                <c:pt idx="16">
                  <c:v>479.13075008565431</c:v>
                </c:pt>
                <c:pt idx="17">
                  <c:v>477.27784879908722</c:v>
                </c:pt>
                <c:pt idx="18">
                  <c:v>477.58815133846173</c:v>
                </c:pt>
                <c:pt idx="19">
                  <c:v>478.32509917641192</c:v>
                </c:pt>
                <c:pt idx="20">
                  <c:v>443.3510171493719</c:v>
                </c:pt>
                <c:pt idx="21">
                  <c:v>465.57618981839653</c:v>
                </c:pt>
                <c:pt idx="22">
                  <c:v>476.46817640106639</c:v>
                </c:pt>
                <c:pt idx="23">
                  <c:v>478.44574802634082</c:v>
                </c:pt>
                <c:pt idx="24">
                  <c:v>480.92349467442273</c:v>
                </c:pt>
                <c:pt idx="25">
                  <c:v>485.86605792125317</c:v>
                </c:pt>
                <c:pt idx="26">
                  <c:v>493.21409934144106</c:v>
                </c:pt>
                <c:pt idx="27">
                  <c:v>501.75898994611924</c:v>
                </c:pt>
                <c:pt idx="28">
                  <c:v>511.83185635472989</c:v>
                </c:pt>
                <c:pt idx="29">
                  <c:v>524.44408053716097</c:v>
                </c:pt>
                <c:pt idx="30">
                  <c:v>539.47739621796109</c:v>
                </c:pt>
                <c:pt idx="31">
                  <c:v>556.05727482251325</c:v>
                </c:pt>
                <c:pt idx="32">
                  <c:v>574.1018930192015</c:v>
                </c:pt>
                <c:pt idx="33">
                  <c:v>593.09957867018966</c:v>
                </c:pt>
                <c:pt idx="34">
                  <c:v>613.28978175267173</c:v>
                </c:pt>
                <c:pt idx="35">
                  <c:v>634.43556308621476</c:v>
                </c:pt>
                <c:pt idx="36">
                  <c:v>655.64311598628979</c:v>
                </c:pt>
                <c:pt idx="37">
                  <c:v>678.21214828331097</c:v>
                </c:pt>
                <c:pt idx="38">
                  <c:v>701.31248708428234</c:v>
                </c:pt>
                <c:pt idx="39">
                  <c:v>724.88114622406306</c:v>
                </c:pt>
                <c:pt idx="40">
                  <c:v>749.31884869652549</c:v>
                </c:pt>
                <c:pt idx="41">
                  <c:v>773.59688679884414</c:v>
                </c:pt>
                <c:pt idx="42">
                  <c:v>799.11883674501155</c:v>
                </c:pt>
                <c:pt idx="43">
                  <c:v>826.38903117996551</c:v>
                </c:pt>
                <c:pt idx="44">
                  <c:v>854.58915531939601</c:v>
                </c:pt>
                <c:pt idx="45">
                  <c:v>883.78144491838327</c:v>
                </c:pt>
                <c:pt idx="46">
                  <c:v>914.91436492205196</c:v>
                </c:pt>
                <c:pt idx="47">
                  <c:v>947.71091968754251</c:v>
                </c:pt>
                <c:pt idx="48">
                  <c:v>981.98942255627162</c:v>
                </c:pt>
                <c:pt idx="49">
                  <c:v>1018.3824913368661</c:v>
                </c:pt>
                <c:pt idx="50">
                  <c:v>1053.3889718674006</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22638.455195046361</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26982.018509963771</c:v>
                      </c:pt>
                      <c:pt idx="3">
                        <c:v>26899.412164760473</c:v>
                      </c:pt>
                      <c:pt idx="4">
                        <c:v>26934.727527870862</c:v>
                      </c:pt>
                      <c:pt idx="5">
                        <c:v>26768.466839336899</c:v>
                      </c:pt>
                      <c:pt idx="6">
                        <c:v>26480.585819016389</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49119.04101406275</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598039.00741273258</c:v>
                </c:pt>
                <c:pt idx="25">
                  <c:v>601046.62603335571</c:v>
                </c:pt>
                <c:pt idx="26">
                  <c:v>603045.20236245089</c:v>
                </c:pt>
                <c:pt idx="27">
                  <c:v>604015.06594627816</c:v>
                </c:pt>
                <c:pt idx="28">
                  <c:v>606157.85554919671</c:v>
                </c:pt>
                <c:pt idx="29">
                  <c:v>608615.99513645715</c:v>
                </c:pt>
                <c:pt idx="30">
                  <c:v>591037.14961379278</c:v>
                </c:pt>
                <c:pt idx="31">
                  <c:v>602956.03617813659</c:v>
                </c:pt>
                <c:pt idx="32">
                  <c:v>608872.68170862389</c:v>
                </c:pt>
                <c:pt idx="33">
                  <c:v>610417.86935989198</c:v>
                </c:pt>
                <c:pt idx="34">
                  <c:v>612614.94471857976</c:v>
                </c:pt>
                <c:pt idx="35">
                  <c:v>616301.6537342408</c:v>
                </c:pt>
                <c:pt idx="36">
                  <c:v>621171.9260892031</c:v>
                </c:pt>
                <c:pt idx="37">
                  <c:v>626624.7388894558</c:v>
                </c:pt>
                <c:pt idx="38">
                  <c:v>632831.82517196704</c:v>
                </c:pt>
                <c:pt idx="39">
                  <c:v>640325.3816612243</c:v>
                </c:pt>
                <c:pt idx="40">
                  <c:v>649061.87713400729</c:v>
                </c:pt>
                <c:pt idx="41">
                  <c:v>658570.8020478657</c:v>
                </c:pt>
                <c:pt idx="42">
                  <c:v>668843.56237672991</c:v>
                </c:pt>
                <c:pt idx="43">
                  <c:v>679619.47621619399</c:v>
                </c:pt>
                <c:pt idx="44">
                  <c:v>691019.0701412101</c:v>
                </c:pt>
                <c:pt idx="45">
                  <c:v>702925.13128206437</c:v>
                </c:pt>
                <c:pt idx="46">
                  <c:v>714878.86917754635</c:v>
                </c:pt>
                <c:pt idx="47">
                  <c:v>727552.6518650424</c:v>
                </c:pt>
                <c:pt idx="48">
                  <c:v>740503.44254802458</c:v>
                </c:pt>
                <c:pt idx="49">
                  <c:v>753698.30318611918</c:v>
                </c:pt>
                <c:pt idx="50">
                  <c:v>767349.81888702617</c:v>
                </c:pt>
                <c:pt idx="51">
                  <c:v>780948.35952281742</c:v>
                </c:pt>
                <c:pt idx="52">
                  <c:v>795200.10820186988</c:v>
                </c:pt>
                <c:pt idx="53">
                  <c:v>810368.19006591034</c:v>
                </c:pt>
                <c:pt idx="54">
                  <c:v>826022.58345255663</c:v>
                </c:pt>
                <c:pt idx="55">
                  <c:v>842191.6096591925</c:v>
                </c:pt>
                <c:pt idx="56">
                  <c:v>859372.82823453296</c:v>
                </c:pt>
                <c:pt idx="57">
                  <c:v>877421.74418922595</c:v>
                </c:pt>
                <c:pt idx="58">
                  <c:v>896245.23756638065</c:v>
                </c:pt>
                <c:pt idx="59">
                  <c:v>916182.49352342752</c:v>
                </c:pt>
                <c:pt idx="60">
                  <c:v>935365.80916547542</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495518.03471340693</c:v>
                </c:pt>
                <c:pt idx="25">
                  <c:v>498010.06157049473</c:v>
                </c:pt>
                <c:pt idx="26">
                  <c:v>499666.02481460216</c:v>
                </c:pt>
                <c:pt idx="27">
                  <c:v>500469.62606977334</c:v>
                </c:pt>
                <c:pt idx="28">
                  <c:v>502245.08031219151</c:v>
                </c:pt>
                <c:pt idx="29">
                  <c:v>504281.82454163593</c:v>
                </c:pt>
                <c:pt idx="30">
                  <c:v>489716.49539428548</c:v>
                </c:pt>
                <c:pt idx="31">
                  <c:v>499592.14426188462</c:v>
                </c:pt>
                <c:pt idx="32">
                  <c:v>504494.50770143128</c:v>
                </c:pt>
                <c:pt idx="33">
                  <c:v>505774.80604105332</c:v>
                </c:pt>
                <c:pt idx="34">
                  <c:v>507595.23990968033</c:v>
                </c:pt>
                <c:pt idx="35">
                  <c:v>510649.94166551379</c:v>
                </c:pt>
                <c:pt idx="36">
                  <c:v>514685.31018819683</c:v>
                </c:pt>
                <c:pt idx="37">
                  <c:v>519203.35507983482</c:v>
                </c:pt>
                <c:pt idx="38">
                  <c:v>524346.36942820135</c:v>
                </c:pt>
                <c:pt idx="39">
                  <c:v>530555.31623358582</c:v>
                </c:pt>
                <c:pt idx="40">
                  <c:v>537794.12676817749</c:v>
                </c:pt>
                <c:pt idx="41">
                  <c:v>545672.95026823157</c:v>
                </c:pt>
                <c:pt idx="42">
                  <c:v>554184.66596929042</c:v>
                </c:pt>
                <c:pt idx="43">
                  <c:v>563113.28029341786</c:v>
                </c:pt>
                <c:pt idx="44">
                  <c:v>572558.65811700269</c:v>
                </c:pt>
                <c:pt idx="45">
                  <c:v>582423.68020513898</c:v>
                </c:pt>
                <c:pt idx="46">
                  <c:v>592328.20588996704</c:v>
                </c:pt>
                <c:pt idx="47">
                  <c:v>602829.3401167494</c:v>
                </c:pt>
                <c:pt idx="48">
                  <c:v>613559.9952540776</c:v>
                </c:pt>
                <c:pt idx="49">
                  <c:v>624492.8797827845</c:v>
                </c:pt>
                <c:pt idx="50">
                  <c:v>635804.13564925024</c:v>
                </c:pt>
                <c:pt idx="51">
                  <c:v>647071.49789033434</c:v>
                </c:pt>
                <c:pt idx="52">
                  <c:v>658880.08965297788</c:v>
                </c:pt>
                <c:pt idx="53">
                  <c:v>671447.92891175428</c:v>
                </c:pt>
                <c:pt idx="54">
                  <c:v>684418.71200354688</c:v>
                </c:pt>
                <c:pt idx="55">
                  <c:v>697815.9051461881</c:v>
                </c:pt>
                <c:pt idx="56">
                  <c:v>712051.77196575585</c:v>
                </c:pt>
                <c:pt idx="57">
                  <c:v>727006.58804250148</c:v>
                </c:pt>
                <c:pt idx="58">
                  <c:v>742603.19684071536</c:v>
                </c:pt>
                <c:pt idx="59">
                  <c:v>759122.63749083993</c:v>
                </c:pt>
                <c:pt idx="60">
                  <c:v>775017.38473710825</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615125.83619595354</c:v>
                </c:pt>
                <c:pt idx="25">
                  <c:v>618219.38677716604</c:v>
                </c:pt>
                <c:pt idx="26">
                  <c:v>620275.06528709247</c:v>
                </c:pt>
                <c:pt idx="27">
                  <c:v>621272.63925902906</c:v>
                </c:pt>
                <c:pt idx="28">
                  <c:v>623476.65142203099</c:v>
                </c:pt>
                <c:pt idx="29">
                  <c:v>626005.02356892754</c:v>
                </c:pt>
                <c:pt idx="30">
                  <c:v>607923.92531704414</c:v>
                </c:pt>
                <c:pt idx="31">
                  <c:v>620183.35149751208</c:v>
                </c:pt>
                <c:pt idx="32">
                  <c:v>626269.0440431562</c:v>
                </c:pt>
                <c:pt idx="33">
                  <c:v>627858.37991303182</c:v>
                </c:pt>
                <c:pt idx="34">
                  <c:v>630118.22885339637</c:v>
                </c:pt>
                <c:pt idx="35">
                  <c:v>633910.27241236204</c:v>
                </c:pt>
                <c:pt idx="36">
                  <c:v>638919.6954060375</c:v>
                </c:pt>
                <c:pt idx="37">
                  <c:v>644528.30285772611</c:v>
                </c:pt>
                <c:pt idx="38">
                  <c:v>650912.73446259485</c:v>
                </c:pt>
                <c:pt idx="39">
                  <c:v>658620.39256583073</c:v>
                </c:pt>
                <c:pt idx="40">
                  <c:v>667606.502194979</c:v>
                </c:pt>
                <c:pt idx="41">
                  <c:v>677387.1106778048</c:v>
                </c:pt>
                <c:pt idx="42">
                  <c:v>687953.37844463659</c:v>
                </c:pt>
                <c:pt idx="43">
                  <c:v>699037.17553665675</c:v>
                </c:pt>
                <c:pt idx="44">
                  <c:v>710762.47214524483</c:v>
                </c:pt>
                <c:pt idx="45">
                  <c:v>723008.70646155195</c:v>
                </c:pt>
                <c:pt idx="46">
                  <c:v>735303.97972547635</c:v>
                </c:pt>
                <c:pt idx="47">
                  <c:v>748339.87048975797</c:v>
                </c:pt>
                <c:pt idx="48">
                  <c:v>761660.68376368261</c:v>
                </c:pt>
                <c:pt idx="49">
                  <c:v>775232.54042000847</c:v>
                </c:pt>
                <c:pt idx="50">
                  <c:v>789274.09942665556</c:v>
                </c:pt>
                <c:pt idx="51">
                  <c:v>803261.16979489801</c:v>
                </c:pt>
                <c:pt idx="52">
                  <c:v>817920.11129335209</c:v>
                </c:pt>
                <c:pt idx="53">
                  <c:v>833521.56692493649</c:v>
                </c:pt>
                <c:pt idx="54">
                  <c:v>849623.22869405837</c:v>
                </c:pt>
                <c:pt idx="55">
                  <c:v>866254.22707802674</c:v>
                </c:pt>
                <c:pt idx="56">
                  <c:v>883926.33761266258</c:v>
                </c:pt>
                <c:pt idx="57">
                  <c:v>902490.93688034685</c:v>
                </c:pt>
                <c:pt idx="58">
                  <c:v>921852.2443539917</c:v>
                </c:pt>
                <c:pt idx="59">
                  <c:v>942359.13619552553</c:v>
                </c:pt>
                <c:pt idx="60">
                  <c:v>962090.5465702035</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5954880.1627134709</c:v>
                </c:pt>
                <c:pt idx="23">
                  <c:v>5903235.3888004757</c:v>
                </c:pt>
                <c:pt idx="24">
                  <c:v>5883575.7867908701</c:v>
                </c:pt>
                <c:pt idx="25">
                  <c:v>5805008.3335930631</c:v>
                </c:pt>
                <c:pt idx="26">
                  <c:v>5690965.7565264758</c:v>
                </c:pt>
                <c:pt idx="27">
                  <c:v>5543806.2775503108</c:v>
                </c:pt>
                <c:pt idx="28">
                  <c:v>5427737.2925172504</c:v>
                </c:pt>
                <c:pt idx="29">
                  <c:v>5317922.8374796044</c:v>
                </c:pt>
                <c:pt idx="30">
                  <c:v>4748663.1043264745</c:v>
                </c:pt>
                <c:pt idx="31">
                  <c:v>4975698.1204633834</c:v>
                </c:pt>
                <c:pt idx="32">
                  <c:v>5054297.6867420916</c:v>
                </c:pt>
                <c:pt idx="33">
                  <c:v>5020164.632735569</c:v>
                </c:pt>
                <c:pt idx="34">
                  <c:v>4992399.7967124144</c:v>
                </c:pt>
                <c:pt idx="35">
                  <c:v>4994223.6401157631</c:v>
                </c:pt>
                <c:pt idx="36">
                  <c:v>5023550.103307955</c:v>
                </c:pt>
                <c:pt idx="37">
                  <c:v>5065162.3418486938</c:v>
                </c:pt>
                <c:pt idx="38">
                  <c:v>5122412.1723342743</c:v>
                </c:pt>
                <c:pt idx="39">
                  <c:v>5206271.9395817183</c:v>
                </c:pt>
                <c:pt idx="40">
                  <c:v>5314373.2496831566</c:v>
                </c:pt>
                <c:pt idx="41">
                  <c:v>5389740.9504844137</c:v>
                </c:pt>
                <c:pt idx="42">
                  <c:v>5474011.7219505608</c:v>
                </c:pt>
                <c:pt idx="43">
                  <c:v>5560834.8092291318</c:v>
                </c:pt>
                <c:pt idx="44">
                  <c:v>5652138.8869073428</c:v>
                </c:pt>
                <c:pt idx="45">
                  <c:v>5744810.5110138832</c:v>
                </c:pt>
                <c:pt idx="46">
                  <c:v>5829436.1712408708</c:v>
                </c:pt>
                <c:pt idx="47">
                  <c:v>5918700.71135238</c:v>
                </c:pt>
                <c:pt idx="48">
                  <c:v>6003923.363982847</c:v>
                </c:pt>
                <c:pt idx="49">
                  <c:v>6084283.1029933132</c:v>
                </c:pt>
                <c:pt idx="50">
                  <c:v>6163215.0126304673</c:v>
                </c:pt>
                <c:pt idx="51">
                  <c:v>6263446.5925146369</c:v>
                </c:pt>
                <c:pt idx="52">
                  <c:v>6367117.1108291112</c:v>
                </c:pt>
                <c:pt idx="53">
                  <c:v>6477994.0702043502</c:v>
                </c:pt>
                <c:pt idx="54">
                  <c:v>6588439.6438278789</c:v>
                </c:pt>
                <c:pt idx="55">
                  <c:v>6698597.1834595762</c:v>
                </c:pt>
                <c:pt idx="56">
                  <c:v>6815706.2516582739</c:v>
                </c:pt>
                <c:pt idx="57">
                  <c:v>6936734.5992281614</c:v>
                </c:pt>
                <c:pt idx="58">
                  <c:v>7059578.032431215</c:v>
                </c:pt>
                <c:pt idx="59">
                  <c:v>7188416.9901146693</c:v>
                </c:pt>
                <c:pt idx="60">
                  <c:v>7296432.4292359715</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5280742.7858025106</c:v>
                </c:pt>
                <c:pt idx="23">
                  <c:v>5234944.5900683459</c:v>
                </c:pt>
                <c:pt idx="24">
                  <c:v>5217510.6033805832</c:v>
                </c:pt>
                <c:pt idx="25">
                  <c:v>5147837.5788466781</c:v>
                </c:pt>
                <c:pt idx="26">
                  <c:v>5046705.4822027236</c:v>
                </c:pt>
                <c:pt idx="27">
                  <c:v>4916205.5668842373</c:v>
                </c:pt>
                <c:pt idx="28">
                  <c:v>4813276.4669492599</c:v>
                </c:pt>
                <c:pt idx="29">
                  <c:v>4715893.8370102141</c:v>
                </c:pt>
                <c:pt idx="30">
                  <c:v>4211078.601949892</c:v>
                </c:pt>
                <c:pt idx="31">
                  <c:v>4412411.5407882826</c:v>
                </c:pt>
                <c:pt idx="32">
                  <c:v>4482113.0429599676</c:v>
                </c:pt>
                <c:pt idx="33">
                  <c:v>4451844.1082749385</c:v>
                </c:pt>
                <c:pt idx="34">
                  <c:v>4427222.4612355372</c:v>
                </c:pt>
                <c:pt idx="35">
                  <c:v>4428839.8318007709</c:v>
                </c:pt>
                <c:pt idx="36">
                  <c:v>4454846.3180278093</c:v>
                </c:pt>
                <c:pt idx="37">
                  <c:v>4491747.7371111047</c:v>
                </c:pt>
                <c:pt idx="38">
                  <c:v>4542516.4547115266</c:v>
                </c:pt>
                <c:pt idx="39">
                  <c:v>4616882.6634026561</c:v>
                </c:pt>
                <c:pt idx="40">
                  <c:v>4712746.0893416665</c:v>
                </c:pt>
                <c:pt idx="41">
                  <c:v>4779581.5975993853</c:v>
                </c:pt>
                <c:pt idx="42">
                  <c:v>4854312.2817297429</c:v>
                </c:pt>
                <c:pt idx="43">
                  <c:v>4931306.340259796</c:v>
                </c:pt>
                <c:pt idx="44">
                  <c:v>5012274.1072574537</c:v>
                </c:pt>
                <c:pt idx="45">
                  <c:v>5094454.6041066507</c:v>
                </c:pt>
                <c:pt idx="46">
                  <c:v>5169500.0009117154</c:v>
                </c:pt>
                <c:pt idx="47">
                  <c:v>5248659.1213879585</c:v>
                </c:pt>
                <c:pt idx="48">
                  <c:v>5324233.9265508261</c:v>
                </c:pt>
                <c:pt idx="49">
                  <c:v>5395496.3366167117</c:v>
                </c:pt>
                <c:pt idx="50">
                  <c:v>5465492.5583704142</c:v>
                </c:pt>
                <c:pt idx="51">
                  <c:v>5554377.1669469411</c:v>
                </c:pt>
                <c:pt idx="52">
                  <c:v>5646311.4001692105</c:v>
                </c:pt>
                <c:pt idx="53">
                  <c:v>5744636.2509359317</c:v>
                </c:pt>
                <c:pt idx="54">
                  <c:v>5842578.5520737795</c:v>
                </c:pt>
                <c:pt idx="55">
                  <c:v>5940265.4268415105</c:v>
                </c:pt>
                <c:pt idx="56">
                  <c:v>6044116.8646780904</c:v>
                </c:pt>
                <c:pt idx="57">
                  <c:v>6151443.8898815764</c:v>
                </c:pt>
                <c:pt idx="58">
                  <c:v>6260380.5193257947</c:v>
                </c:pt>
                <c:pt idx="59">
                  <c:v>6374633.9346299889</c:v>
                </c:pt>
                <c:pt idx="60">
                  <c:v>6470421.2108318983</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541460.03376820474</c:v>
                </c:pt>
                <c:pt idx="23">
                  <c:v>559717.10307730944</c:v>
                </c:pt>
                <c:pt idx="24">
                  <c:v>581386.33409904351</c:v>
                </c:pt>
                <c:pt idx="25">
                  <c:v>597546.77075746434</c:v>
                </c:pt>
                <c:pt idx="26">
                  <c:v>610009.49754182214</c:v>
                </c:pt>
                <c:pt idx="27">
                  <c:v>618596.39996388648</c:v>
                </c:pt>
                <c:pt idx="28">
                  <c:v>630321.10002649133</c:v>
                </c:pt>
                <c:pt idx="29">
                  <c:v>642612.00897727197</c:v>
                </c:pt>
                <c:pt idx="30">
                  <c:v>597014.6851984323</c:v>
                </c:pt>
                <c:pt idx="31">
                  <c:v>640629.51808142359</c:v>
                </c:pt>
                <c:pt idx="32">
                  <c:v>666212.35601499933</c:v>
                </c:pt>
                <c:pt idx="33">
                  <c:v>677236.93449176487</c:v>
                </c:pt>
                <c:pt idx="34">
                  <c:v>689105.39494050061</c:v>
                </c:pt>
                <c:pt idx="35">
                  <c:v>705164.71894820069</c:v>
                </c:pt>
                <c:pt idx="36">
                  <c:v>725406.17317973659</c:v>
                </c:pt>
                <c:pt idx="37">
                  <c:v>747862.16579298896</c:v>
                </c:pt>
                <c:pt idx="38">
                  <c:v>773174.64753167983</c:v>
                </c:pt>
                <c:pt idx="39">
                  <c:v>803209.53882740473</c:v>
                </c:pt>
                <c:pt idx="40">
                  <c:v>837882.86375355208</c:v>
                </c:pt>
                <c:pt idx="41">
                  <c:v>877946.13137026876</c:v>
                </c:pt>
                <c:pt idx="42">
                  <c:v>921300.15899073158</c:v>
                </c:pt>
                <c:pt idx="43">
                  <c:v>967089.19243832561</c:v>
                </c:pt>
                <c:pt idx="44">
                  <c:v>1015815.809260074</c:v>
                </c:pt>
                <c:pt idx="45">
                  <c:v>1067103.9132946692</c:v>
                </c:pt>
                <c:pt idx="46">
                  <c:v>1119304.9312915269</c:v>
                </c:pt>
                <c:pt idx="47">
                  <c:v>1174924.2894494412</c:v>
                </c:pt>
                <c:pt idx="48">
                  <c:v>1232423.3164023301</c:v>
                </c:pt>
                <c:pt idx="49">
                  <c:v>1291707.0898985872</c:v>
                </c:pt>
                <c:pt idx="50">
                  <c:v>1353597.5244011215</c:v>
                </c:pt>
                <c:pt idx="51">
                  <c:v>1414424.0937777301</c:v>
                </c:pt>
                <c:pt idx="52">
                  <c:v>1478544.2798039929</c:v>
                </c:pt>
                <c:pt idx="53">
                  <c:v>1547048.2047428007</c:v>
                </c:pt>
                <c:pt idx="54">
                  <c:v>1618339.5175338604</c:v>
                </c:pt>
                <c:pt idx="55">
                  <c:v>1692591.2487318111</c:v>
                </c:pt>
                <c:pt idx="56">
                  <c:v>1771834.4197072859</c:v>
                </c:pt>
                <c:pt idx="57">
                  <c:v>1855580.6313194891</c:v>
                </c:pt>
                <c:pt idx="58">
                  <c:v>1943524.761329802</c:v>
                </c:pt>
                <c:pt idx="59">
                  <c:v>2037093.9360268321</c:v>
                </c:pt>
                <c:pt idx="60">
                  <c:v>2128828.1623534956</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19294707.59935737</c:v>
                      </c:pt>
                      <c:pt idx="31">
                        <c:v>19308595.530858379</c:v>
                      </c:pt>
                      <c:pt idx="32">
                        <c:v>19303712.829933655</c:v>
                      </c:pt>
                      <c:pt idx="33">
                        <c:v>19303361.314411636</c:v>
                      </c:pt>
                      <c:pt idx="34">
                        <c:v>19323836.572483618</c:v>
                      </c:pt>
                      <c:pt idx="35">
                        <c:v>19357346.218920205</c:v>
                      </c:pt>
                      <c:pt idx="36">
                        <c:v>19389499.096448597</c:v>
                      </c:pt>
                      <c:pt idx="37">
                        <c:v>19420398.936924286</c:v>
                      </c:pt>
                      <c:pt idx="38">
                        <c:v>19450003.570025813</c:v>
                      </c:pt>
                      <c:pt idx="39">
                        <c:v>19478929.949521698</c:v>
                      </c:pt>
                      <c:pt idx="40">
                        <c:v>19507600.613935191</c:v>
                      </c:pt>
                      <c:pt idx="41">
                        <c:v>19535727.890048202</c:v>
                      </c:pt>
                      <c:pt idx="42">
                        <c:v>19563716.202206749</c:v>
                      </c:pt>
                      <c:pt idx="43">
                        <c:v>19591477.381817997</c:v>
                      </c:pt>
                      <c:pt idx="44">
                        <c:v>19618788.988862384</c:v>
                      </c:pt>
                      <c:pt idx="45">
                        <c:v>19645771.268803079</c:v>
                      </c:pt>
                      <c:pt idx="46">
                        <c:v>19672453.015585411</c:v>
                      </c:pt>
                      <c:pt idx="47">
                        <c:v>19698924.812201742</c:v>
                      </c:pt>
                      <c:pt idx="48">
                        <c:v>19724376.674356177</c:v>
                      </c:pt>
                      <c:pt idx="49">
                        <c:v>19748778.823879883</c:v>
                      </c:pt>
                      <c:pt idx="50">
                        <c:v>19772359.32529838</c:v>
                      </c:pt>
                      <c:pt idx="51">
                        <c:v>19794936.606249541</c:v>
                      </c:pt>
                      <c:pt idx="52">
                        <c:v>19816551.623688176</c:v>
                      </c:pt>
                      <c:pt idx="53">
                        <c:v>19837107.023180217</c:v>
                      </c:pt>
                      <c:pt idx="54">
                        <c:v>19856308.655348971</c:v>
                      </c:pt>
                      <c:pt idx="55">
                        <c:v>19873883.938426055</c:v>
                      </c:pt>
                      <c:pt idx="56">
                        <c:v>19889815.116446964</c:v>
                      </c:pt>
                      <c:pt idx="57">
                        <c:v>19903980.277063575</c:v>
                      </c:pt>
                      <c:pt idx="58">
                        <c:v>19916372.588615235</c:v>
                      </c:pt>
                      <c:pt idx="59">
                        <c:v>19927229.202147596</c:v>
                      </c:pt>
                      <c:pt idx="60">
                        <c:v>19935139.987152595</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2883117.227490182</c:v>
                      </c:pt>
                      <c:pt idx="31">
                        <c:v>2885192.4356455053</c:v>
                      </c:pt>
                      <c:pt idx="32">
                        <c:v>2884462.836656753</c:v>
                      </c:pt>
                      <c:pt idx="33">
                        <c:v>2884410.3113488653</c:v>
                      </c:pt>
                      <c:pt idx="34">
                        <c:v>2887469.8326699659</c:v>
                      </c:pt>
                      <c:pt idx="35">
                        <c:v>2892477.0212179618</c:v>
                      </c:pt>
                      <c:pt idx="36">
                        <c:v>2897281.4741819738</c:v>
                      </c:pt>
                      <c:pt idx="37">
                        <c:v>2901898.6917243185</c:v>
                      </c:pt>
                      <c:pt idx="38">
                        <c:v>2906322.3725325931</c:v>
                      </c:pt>
                      <c:pt idx="39">
                        <c:v>2910644.7051009433</c:v>
                      </c:pt>
                      <c:pt idx="40">
                        <c:v>2914928.8273696266</c:v>
                      </c:pt>
                      <c:pt idx="41">
                        <c:v>2919131.7536853636</c:v>
                      </c:pt>
                      <c:pt idx="42">
                        <c:v>2923313.9152722731</c:v>
                      </c:pt>
                      <c:pt idx="43">
                        <c:v>2927462.137513034</c:v>
                      </c:pt>
                      <c:pt idx="44">
                        <c:v>2931543.1822438049</c:v>
                      </c:pt>
                      <c:pt idx="45">
                        <c:v>2935575.0171774714</c:v>
                      </c:pt>
                      <c:pt idx="46">
                        <c:v>2939561.9448575904</c:v>
                      </c:pt>
                      <c:pt idx="47">
                        <c:v>2943517.5006738235</c:v>
                      </c:pt>
                      <c:pt idx="48">
                        <c:v>2947320.652490004</c:v>
                      </c:pt>
                      <c:pt idx="49">
                        <c:v>2950966.9506946951</c:v>
                      </c:pt>
                      <c:pt idx="50">
                        <c:v>2954490.47389516</c:v>
                      </c:pt>
                      <c:pt idx="51">
                        <c:v>2957864.090589012</c:v>
                      </c:pt>
                      <c:pt idx="52">
                        <c:v>2961093.9207809921</c:v>
                      </c:pt>
                      <c:pt idx="53">
                        <c:v>2964165.417256814</c:v>
                      </c:pt>
                      <c:pt idx="54">
                        <c:v>2967034.6266613407</c:v>
                      </c:pt>
                      <c:pt idx="55">
                        <c:v>2969660.8183855028</c:v>
                      </c:pt>
                      <c:pt idx="56">
                        <c:v>2972041.339239202</c:v>
                      </c:pt>
                      <c:pt idx="57">
                        <c:v>2974157.9724347875</c:v>
                      </c:pt>
                      <c:pt idx="58">
                        <c:v>2976009.6971494029</c:v>
                      </c:pt>
                      <c:pt idx="59">
                        <c:v>2977631.9497461924</c:v>
                      </c:pt>
                      <c:pt idx="60">
                        <c:v>2978814.0210687784</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2073465.0740723512</c:v>
                      </c:pt>
                      <c:pt idx="24">
                        <c:v>2080881.121959276</c:v>
                      </c:pt>
                      <c:pt idx="25">
                        <c:v>2089915.8268703569</c:v>
                      </c:pt>
                      <c:pt idx="26">
                        <c:v>2100556.3029240505</c:v>
                      </c:pt>
                      <c:pt idx="27">
                        <c:v>2112737.7866022554</c:v>
                      </c:pt>
                      <c:pt idx="28">
                        <c:v>2125847.6846541637</c:v>
                      </c:pt>
                      <c:pt idx="29">
                        <c:v>2139834.1013227375</c:v>
                      </c:pt>
                      <c:pt idx="30">
                        <c:v>2134587.2599102575</c:v>
                      </c:pt>
                      <c:pt idx="31">
                        <c:v>2138256.6174556674</c:v>
                      </c:pt>
                      <c:pt idx="32">
                        <c:v>2138612.6865135431</c:v>
                      </c:pt>
                      <c:pt idx="33">
                        <c:v>2139591.6492956472</c:v>
                      </c:pt>
                      <c:pt idx="34">
                        <c:v>2143919.9099595002</c:v>
                      </c:pt>
                      <c:pt idx="35">
                        <c:v>2150286.5393837062</c:v>
                      </c:pt>
                      <c:pt idx="36">
                        <c:v>2156296.3015812854</c:v>
                      </c:pt>
                      <c:pt idx="37">
                        <c:v>2161977.4535931544</c:v>
                      </c:pt>
                      <c:pt idx="38">
                        <c:v>2167332.9033531058</c:v>
                      </c:pt>
                      <c:pt idx="39">
                        <c:v>2172473.4651576607</c:v>
                      </c:pt>
                      <c:pt idx="40">
                        <c:v>2177476.2677693181</c:v>
                      </c:pt>
                      <c:pt idx="41">
                        <c:v>2182300.4670798844</c:v>
                      </c:pt>
                      <c:pt idx="42">
                        <c:v>2187018.5225144769</c:v>
                      </c:pt>
                      <c:pt idx="43">
                        <c:v>2191621.2122322586</c:v>
                      </c:pt>
                      <c:pt idx="44">
                        <c:v>2196077.0421099947</c:v>
                      </c:pt>
                      <c:pt idx="45">
                        <c:v>2200410.2632412626</c:v>
                      </c:pt>
                      <c:pt idx="46">
                        <c:v>2204629.727455548</c:v>
                      </c:pt>
                      <c:pt idx="47">
                        <c:v>2208753.9611315508</c:v>
                      </c:pt>
                      <c:pt idx="48">
                        <c:v>2212655.0903133801</c:v>
                      </c:pt>
                      <c:pt idx="49">
                        <c:v>2216332.1928741168</c:v>
                      </c:pt>
                      <c:pt idx="50">
                        <c:v>2219825.7748379377</c:v>
                      </c:pt>
                      <c:pt idx="51">
                        <c:v>2223109.7938261046</c:v>
                      </c:pt>
                      <c:pt idx="52">
                        <c:v>2226194.025315416</c:v>
                      </c:pt>
                      <c:pt idx="53">
                        <c:v>2229065.7811079524</c:v>
                      </c:pt>
                      <c:pt idx="54">
                        <c:v>2231680.7343182894</c:v>
                      </c:pt>
                      <c:pt idx="55">
                        <c:v>2233998.1661114693</c:v>
                      </c:pt>
                      <c:pt idx="56">
                        <c:v>2236018.2346010059</c:v>
                      </c:pt>
                      <c:pt idx="57">
                        <c:v>2237724.3417083644</c:v>
                      </c:pt>
                      <c:pt idx="58">
                        <c:v>2239118.2177963043</c:v>
                      </c:pt>
                      <c:pt idx="59">
                        <c:v>2240240.2917254451</c:v>
                      </c:pt>
                      <c:pt idx="60">
                        <c:v>2240868.9427719326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4024961.6143757398</c:v>
                      </c:pt>
                      <c:pt idx="24">
                        <c:v>4039357.4720385941</c:v>
                      </c:pt>
                      <c:pt idx="25">
                        <c:v>4056895.4286306924</c:v>
                      </c:pt>
                      <c:pt idx="26">
                        <c:v>4077550.4703819798</c:v>
                      </c:pt>
                      <c:pt idx="27">
                        <c:v>4101196.8798749652</c:v>
                      </c:pt>
                      <c:pt idx="28">
                        <c:v>4126645.5055051409</c:v>
                      </c:pt>
                      <c:pt idx="29">
                        <c:v>4153795.6084500193</c:v>
                      </c:pt>
                      <c:pt idx="30">
                        <c:v>4143610.5633552051</c:v>
                      </c:pt>
                      <c:pt idx="31">
                        <c:v>4150733.4338845299</c:v>
                      </c:pt>
                      <c:pt idx="32">
                        <c:v>4151424.6267615827</c:v>
                      </c:pt>
                      <c:pt idx="33">
                        <c:v>4153324.9662797847</c:v>
                      </c:pt>
                      <c:pt idx="34">
                        <c:v>4161726.8840390295</c:v>
                      </c:pt>
                      <c:pt idx="35">
                        <c:v>4174085.6352742519</c:v>
                      </c:pt>
                      <c:pt idx="36">
                        <c:v>4185751.6442460241</c:v>
                      </c:pt>
                      <c:pt idx="37">
                        <c:v>4196779.7628572993</c:v>
                      </c:pt>
                      <c:pt idx="38">
                        <c:v>4207175.6359207341</c:v>
                      </c:pt>
                      <c:pt idx="39">
                        <c:v>4217154.3735413402</c:v>
                      </c:pt>
                      <c:pt idx="40">
                        <c:v>4226865.6962580876</c:v>
                      </c:pt>
                      <c:pt idx="41">
                        <c:v>4236230.3184491871</c:v>
                      </c:pt>
                      <c:pt idx="42">
                        <c:v>4245388.896645749</c:v>
                      </c:pt>
                      <c:pt idx="43">
                        <c:v>4254323.5296273241</c:v>
                      </c:pt>
                      <c:pt idx="44">
                        <c:v>4262973.0817429293</c:v>
                      </c:pt>
                      <c:pt idx="45">
                        <c:v>4271384.6286448035</c:v>
                      </c:pt>
                      <c:pt idx="46">
                        <c:v>4279575.3532960629</c:v>
                      </c:pt>
                      <c:pt idx="47">
                        <c:v>4287581.2186671272</c:v>
                      </c:pt>
                      <c:pt idx="48">
                        <c:v>4295153.9988436196</c:v>
                      </c:pt>
                      <c:pt idx="49">
                        <c:v>4302291.9038144611</c:v>
                      </c:pt>
                      <c:pt idx="50">
                        <c:v>4309073.5629207017</c:v>
                      </c:pt>
                      <c:pt idx="51">
                        <c:v>4315448.4233094966</c:v>
                      </c:pt>
                      <c:pt idx="52">
                        <c:v>4321435.4609063948</c:v>
                      </c:pt>
                      <c:pt idx="53">
                        <c:v>4327010.045680142</c:v>
                      </c:pt>
                      <c:pt idx="54">
                        <c:v>4332086.1313237371</c:v>
                      </c:pt>
                      <c:pt idx="55">
                        <c:v>4336584.6753928512</c:v>
                      </c:pt>
                      <c:pt idx="56">
                        <c:v>4340505.9848137163</c:v>
                      </c:pt>
                      <c:pt idx="57">
                        <c:v>4343817.8397868238</c:v>
                      </c:pt>
                      <c:pt idx="58">
                        <c:v>4346523.5992516484</c:v>
                      </c:pt>
                      <c:pt idx="59">
                        <c:v>4348701.7427611565</c:v>
                      </c:pt>
                      <c:pt idx="60">
                        <c:v>4349922.0653808098</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312241.56810798898</c:v>
                      </c:pt>
                      <c:pt idx="25">
                        <c:v>312726.42527824303</c:v>
                      </c:pt>
                      <c:pt idx="26">
                        <c:v>312032.30780712375</c:v>
                      </c:pt>
                      <c:pt idx="27">
                        <c:v>310184.61831503391</c:v>
                      </c:pt>
                      <c:pt idx="28">
                        <c:v>309160.1538858742</c:v>
                      </c:pt>
                      <c:pt idx="29">
                        <c:v>308239.46209968906</c:v>
                      </c:pt>
                      <c:pt idx="30">
                        <c:v>294288.06949392188</c:v>
                      </c:pt>
                      <c:pt idx="31">
                        <c:v>303027.95614003902</c:v>
                      </c:pt>
                      <c:pt idx="32">
                        <c:v>307386.87813778559</c:v>
                      </c:pt>
                      <c:pt idx="33">
                        <c:v>308045.20224828663</c:v>
                      </c:pt>
                      <c:pt idx="34">
                        <c:v>308624.41284560575</c:v>
                      </c:pt>
                      <c:pt idx="35">
                        <c:v>310029.84023967013</c:v>
                      </c:pt>
                      <c:pt idx="36">
                        <c:v>312428.79331891559</c:v>
                      </c:pt>
                      <c:pt idx="37">
                        <c:v>315323.2845379496</c:v>
                      </c:pt>
                      <c:pt idx="38">
                        <c:v>318844.64734990173</c:v>
                      </c:pt>
                      <c:pt idx="39">
                        <c:v>323388.12851953279</c:v>
                      </c:pt>
                      <c:pt idx="40">
                        <c:v>328894.38205114764</c:v>
                      </c:pt>
                      <c:pt idx="41">
                        <c:v>334991.82956595405</c:v>
                      </c:pt>
                      <c:pt idx="42">
                        <c:v>341655.53306807892</c:v>
                      </c:pt>
                      <c:pt idx="43">
                        <c:v>348679.53226352658</c:v>
                      </c:pt>
                      <c:pt idx="44">
                        <c:v>356161.9578533743</c:v>
                      </c:pt>
                      <c:pt idx="45">
                        <c:v>364004.83192229457</c:v>
                      </c:pt>
                      <c:pt idx="46">
                        <c:v>371850.4299910689</c:v>
                      </c:pt>
                      <c:pt idx="47">
                        <c:v>380214.88400822948</c:v>
                      </c:pt>
                      <c:pt idx="48">
                        <c:v>388782.13711572392</c:v>
                      </c:pt>
                      <c:pt idx="49">
                        <c:v>397528.89013365656</c:v>
                      </c:pt>
                      <c:pt idx="50">
                        <c:v>406610.80865718157</c:v>
                      </c:pt>
                      <c:pt idx="51">
                        <c:v>415645.5849707239</c:v>
                      </c:pt>
                      <c:pt idx="52">
                        <c:v>425172.03385524813</c:v>
                      </c:pt>
                      <c:pt idx="53">
                        <c:v>435393.05600758985</c:v>
                      </c:pt>
                      <c:pt idx="54">
                        <c:v>445992.78369025595</c:v>
                      </c:pt>
                      <c:pt idx="55">
                        <c:v>457005.01758702658</c:v>
                      </c:pt>
                      <c:pt idx="56">
                        <c:v>468809.16064677841</c:v>
                      </c:pt>
                      <c:pt idx="57">
                        <c:v>481302.79798443045</c:v>
                      </c:pt>
                      <c:pt idx="58">
                        <c:v>494419.21522295987</c:v>
                      </c:pt>
                      <c:pt idx="59">
                        <c:v>508408.24121522659</c:v>
                      </c:pt>
                      <c:pt idx="60">
                        <c:v>521927.37253184826</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1647045.1860532647</c:v>
                      </c:pt>
                      <c:pt idx="24">
                        <c:v>1647784.0190100386</c:v>
                      </c:pt>
                      <c:pt idx="25">
                        <c:v>1632656.0990208653</c:v>
                      </c:pt>
                      <c:pt idx="26">
                        <c:v>1607948.7164639276</c:v>
                      </c:pt>
                      <c:pt idx="27">
                        <c:v>1574056.8450456359</c:v>
                      </c:pt>
                      <c:pt idx="28">
                        <c:v>1549447.5878836231</c:v>
                      </c:pt>
                      <c:pt idx="29">
                        <c:v>1527015.9199472498</c:v>
                      </c:pt>
                      <c:pt idx="30">
                        <c:v>1371748.5957835338</c:v>
                      </c:pt>
                      <c:pt idx="31">
                        <c:v>1433736.2656028473</c:v>
                      </c:pt>
                      <c:pt idx="32">
                        <c:v>1452477.0019582291</c:v>
                      </c:pt>
                      <c:pt idx="33">
                        <c:v>1438142.4640501887</c:v>
                      </c:pt>
                      <c:pt idx="34">
                        <c:v>1425535.3141805318</c:v>
                      </c:pt>
                      <c:pt idx="35">
                        <c:v>1421639.0693319717</c:v>
                      </c:pt>
                      <c:pt idx="36">
                        <c:v>1426115.1897885611</c:v>
                      </c:pt>
                      <c:pt idx="37">
                        <c:v>1434452.4061513322</c:v>
                      </c:pt>
                      <c:pt idx="38">
                        <c:v>1447601.8836349829</c:v>
                      </c:pt>
                      <c:pt idx="39">
                        <c:v>1468725.2268326974</c:v>
                      </c:pt>
                      <c:pt idx="40">
                        <c:v>1497084.9344248879</c:v>
                      </c:pt>
                      <c:pt idx="41">
                        <c:v>1529362.5480945888</c:v>
                      </c:pt>
                      <c:pt idx="42">
                        <c:v>1565237.646985665</c:v>
                      </c:pt>
                      <c:pt idx="43">
                        <c:v>1602915.7440535391</c:v>
                      </c:pt>
                      <c:pt idx="44">
                        <c:v>1643043.925379565</c:v>
                      </c:pt>
                      <c:pt idx="45">
                        <c:v>1684757.2724027899</c:v>
                      </c:pt>
                      <c:pt idx="46">
                        <c:v>1725237.1319040265</c:v>
                      </c:pt>
                      <c:pt idx="47">
                        <c:v>1768394.2381216898</c:v>
                      </c:pt>
                      <c:pt idx="48">
                        <c:v>1811637.4241507875</c:v>
                      </c:pt>
                      <c:pt idx="49">
                        <c:v>1854739.6499469937</c:v>
                      </c:pt>
                      <c:pt idx="50">
                        <c:v>1898816.1951115066</c:v>
                      </c:pt>
                      <c:pt idx="51">
                        <c:v>1941016.7130752378</c:v>
                      </c:pt>
                      <c:pt idx="52">
                        <c:v>1985177.0922714637</c:v>
                      </c:pt>
                      <c:pt idx="53">
                        <c:v>2032570.3488604655</c:v>
                      </c:pt>
                      <c:pt idx="54">
                        <c:v>2080791.8647134064</c:v>
                      </c:pt>
                      <c:pt idx="55">
                        <c:v>2129930.2914873464</c:v>
                      </c:pt>
                      <c:pt idx="56">
                        <c:v>2182413.7415643274</c:v>
                      </c:pt>
                      <c:pt idx="57">
                        <c:v>2237328.5405060551</c:v>
                      </c:pt>
                      <c:pt idx="58">
                        <c:v>2294048.7331730053</c:v>
                      </c:pt>
                      <c:pt idx="59">
                        <c:v>2354045.6716976329</c:v>
                      </c:pt>
                      <c:pt idx="60">
                        <c:v>2408353.7615859271</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224597.07082544517</c:v>
                      </c:pt>
                      <c:pt idx="24">
                        <c:v>224697.82077409615</c:v>
                      </c:pt>
                      <c:pt idx="25">
                        <c:v>222634.92259375434</c:v>
                      </c:pt>
                      <c:pt idx="26">
                        <c:v>219265.73406326285</c:v>
                      </c:pt>
                      <c:pt idx="27">
                        <c:v>214644.1152334958</c:v>
                      </c:pt>
                      <c:pt idx="28">
                        <c:v>211288.30743867587</c:v>
                      </c:pt>
                      <c:pt idx="29">
                        <c:v>208229.44362917045</c:v>
                      </c:pt>
                      <c:pt idx="30">
                        <c:v>187056.62669775457</c:v>
                      </c:pt>
                      <c:pt idx="31">
                        <c:v>195509.49076402464</c:v>
                      </c:pt>
                      <c:pt idx="32">
                        <c:v>198065.04572157669</c:v>
                      </c:pt>
                      <c:pt idx="33">
                        <c:v>196110.33600684389</c:v>
                      </c:pt>
                      <c:pt idx="34">
                        <c:v>194391.17920643615</c:v>
                      </c:pt>
                      <c:pt idx="35">
                        <c:v>193859.87309072341</c:v>
                      </c:pt>
                      <c:pt idx="36">
                        <c:v>194470.25315298559</c:v>
                      </c:pt>
                      <c:pt idx="37">
                        <c:v>195607.14629336348</c:v>
                      </c:pt>
                      <c:pt idx="38">
                        <c:v>197400.25685931582</c:v>
                      </c:pt>
                      <c:pt idx="39">
                        <c:v>200280.71274991328</c:v>
                      </c:pt>
                      <c:pt idx="40">
                        <c:v>204147.94560339377</c:v>
                      </c:pt>
                      <c:pt idx="41">
                        <c:v>208549.43837653482</c:v>
                      </c:pt>
                      <c:pt idx="42">
                        <c:v>213441.49731622703</c:v>
                      </c:pt>
                      <c:pt idx="43">
                        <c:v>218579.41964366441</c:v>
                      </c:pt>
                      <c:pt idx="44">
                        <c:v>224051.4443699407</c:v>
                      </c:pt>
                      <c:pt idx="45">
                        <c:v>229739.62805492588</c:v>
                      </c:pt>
                      <c:pt idx="46">
                        <c:v>235259.6088960036</c:v>
                      </c:pt>
                      <c:pt idx="47">
                        <c:v>241144.66883477586</c:v>
                      </c:pt>
                      <c:pt idx="48">
                        <c:v>247041.46692965282</c:v>
                      </c:pt>
                      <c:pt idx="49">
                        <c:v>252919.04317459004</c:v>
                      </c:pt>
                      <c:pt idx="50">
                        <c:v>258929.48115156908</c:v>
                      </c:pt>
                      <c:pt idx="51">
                        <c:v>264684.09723753243</c:v>
                      </c:pt>
                      <c:pt idx="52">
                        <c:v>270705.96712792688</c:v>
                      </c:pt>
                      <c:pt idx="53">
                        <c:v>277168.68393551797</c:v>
                      </c:pt>
                      <c:pt idx="54">
                        <c:v>283744.3451881918</c:v>
                      </c:pt>
                      <c:pt idx="55">
                        <c:v>290445.03974827455</c:v>
                      </c:pt>
                      <c:pt idx="56">
                        <c:v>297601.873849681</c:v>
                      </c:pt>
                      <c:pt idx="57">
                        <c:v>305090.255523553</c:v>
                      </c:pt>
                      <c:pt idx="58">
                        <c:v>312824.82725086436</c:v>
                      </c:pt>
                      <c:pt idx="59">
                        <c:v>321006.22795876808</c:v>
                      </c:pt>
                      <c:pt idx="60">
                        <c:v>328411.87657989911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26412334.873995654</c:v>
                      </c:pt>
                      <c:pt idx="30">
                        <c:v>25350316.178505685</c:v>
                      </c:pt>
                      <c:pt idx="31">
                        <c:v>26408735.533055577</c:v>
                      </c:pt>
                      <c:pt idx="32">
                        <c:v>27037761.553333167</c:v>
                      </c:pt>
                      <c:pt idx="33">
                        <c:v>27338002.975853834</c:v>
                      </c:pt>
                      <c:pt idx="34">
                        <c:v>27670981.254269924</c:v>
                      </c:pt>
                      <c:pt idx="35">
                        <c:v>28105220.469150901</c:v>
                      </c:pt>
                      <c:pt idx="36">
                        <c:v>28627932.806100942</c:v>
                      </c:pt>
                      <c:pt idx="37">
                        <c:v>29194859.417688563</c:v>
                      </c:pt>
                      <c:pt idx="38">
                        <c:v>29819916.767370615</c:v>
                      </c:pt>
                      <c:pt idx="39">
                        <c:v>30544491.454696167</c:v>
                      </c:pt>
                      <c:pt idx="40">
                        <c:v>31366383.106817737</c:v>
                      </c:pt>
                      <c:pt idx="41">
                        <c:v>32250631.586499896</c:v>
                      </c:pt>
                      <c:pt idx="42">
                        <c:v>33197098.245378032</c:v>
                      </c:pt>
                      <c:pt idx="43">
                        <c:v>34186211.859999739</c:v>
                      </c:pt>
                      <c:pt idx="44">
                        <c:v>35228014.344321951</c:v>
                      </c:pt>
                      <c:pt idx="45">
                        <c:v>36313753.867247581</c:v>
                      </c:pt>
                      <c:pt idx="46">
                        <c:v>37407573.988881394</c:v>
                      </c:pt>
                      <c:pt idx="47">
                        <c:v>38562749.506188259</c:v>
                      </c:pt>
                      <c:pt idx="48">
                        <c:v>39745096.975792833</c:v>
                      </c:pt>
                      <c:pt idx="49">
                        <c:v>40952188.782423802</c:v>
                      </c:pt>
                      <c:pt idx="50">
                        <c:v>42201083.559905358</c:v>
                      </c:pt>
                      <c:pt idx="51">
                        <c:v>43451202.561684646</c:v>
                      </c:pt>
                      <c:pt idx="52">
                        <c:v>44759448.199851647</c:v>
                      </c:pt>
                      <c:pt idx="53">
                        <c:v>46147680.988987908</c:v>
                      </c:pt>
                      <c:pt idx="54">
                        <c:v>47581799.423311822</c:v>
                      </c:pt>
                      <c:pt idx="55">
                        <c:v>49064604.117689945</c:v>
                      </c:pt>
                      <c:pt idx="56">
                        <c:v>50637154.6480323</c:v>
                      </c:pt>
                      <c:pt idx="57">
                        <c:v>52288374.959454365</c:v>
                      </c:pt>
                      <c:pt idx="58">
                        <c:v>54011180.429054819</c:v>
                      </c:pt>
                      <c:pt idx="59">
                        <c:v>55833926.495470583</c:v>
                      </c:pt>
                      <c:pt idx="60">
                        <c:v>57603540.497549266</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97270973.713722616</c:v>
                      </c:pt>
                      <c:pt idx="25">
                        <c:v>97842130.84288761</c:v>
                      </c:pt>
                      <c:pt idx="26">
                        <c:v>97491901.62390025</c:v>
                      </c:pt>
                      <c:pt idx="27">
                        <c:v>96224012.280420944</c:v>
                      </c:pt>
                      <c:pt idx="28">
                        <c:v>95690259.829558313</c:v>
                      </c:pt>
                      <c:pt idx="29">
                        <c:v>95277598.733681634</c:v>
                      </c:pt>
                      <c:pt idx="30">
                        <c:v>82894080.954694346</c:v>
                      </c:pt>
                      <c:pt idx="31">
                        <c:v>90393930.419263557</c:v>
                      </c:pt>
                      <c:pt idx="32">
                        <c:v>94002622.019163698</c:v>
                      </c:pt>
                      <c:pt idx="33">
                        <c:v>94454154.889687449</c:v>
                      </c:pt>
                      <c:pt idx="34">
                        <c:v>94974679.786767587</c:v>
                      </c:pt>
                      <c:pt idx="35">
                        <c:v>96294735.95473586</c:v>
                      </c:pt>
                      <c:pt idx="36">
                        <c:v>98468274.24258782</c:v>
                      </c:pt>
                      <c:pt idx="37">
                        <c:v>101068840.03772344</c:v>
                      </c:pt>
                      <c:pt idx="38">
                        <c:v>104211214.83932562</c:v>
                      </c:pt>
                      <c:pt idx="39">
                        <c:v>108244282.49400334</c:v>
                      </c:pt>
                      <c:pt idx="40">
                        <c:v>113122032.67958254</c:v>
                      </c:pt>
                      <c:pt idx="41">
                        <c:v>118520843.42590588</c:v>
                      </c:pt>
                      <c:pt idx="42">
                        <c:v>124422803.86290345</c:v>
                      </c:pt>
                      <c:pt idx="43">
                        <c:v>130648267.66371906</c:v>
                      </c:pt>
                      <c:pt idx="44">
                        <c:v>137280542.32060531</c:v>
                      </c:pt>
                      <c:pt idx="45">
                        <c:v>144235037.05865496</c:v>
                      </c:pt>
                      <c:pt idx="46">
                        <c:v>151199621.99613568</c:v>
                      </c:pt>
                      <c:pt idx="47">
                        <c:v>158624775.00255036</c:v>
                      </c:pt>
                      <c:pt idx="48">
                        <c:v>166225099.24857998</c:v>
                      </c:pt>
                      <c:pt idx="49">
                        <c:v>173978053.60793683</c:v>
                      </c:pt>
                      <c:pt idx="50">
                        <c:v>182020374.97889093</c:v>
                      </c:pt>
                      <c:pt idx="51">
                        <c:v>190014409.54631716</c:v>
                      </c:pt>
                      <c:pt idx="52">
                        <c:v>198428811.99033922</c:v>
                      </c:pt>
                      <c:pt idx="53">
                        <c:v>207436820.08242714</c:v>
                      </c:pt>
                      <c:pt idx="54">
                        <c:v>216755778.63124537</c:v>
                      </c:pt>
                      <c:pt idx="55">
                        <c:v>226407448.65376598</c:v>
                      </c:pt>
                      <c:pt idx="56">
                        <c:v>236717297.94777542</c:v>
                      </c:pt>
                      <c:pt idx="57">
                        <c:v>247588545.91690725</c:v>
                      </c:pt>
                      <c:pt idx="58">
                        <c:v>258956906.1799702</c:v>
                      </c:pt>
                      <c:pt idx="59">
                        <c:v>271036603.07164901</c:v>
                      </c:pt>
                      <c:pt idx="60">
                        <c:v>282631869.11967134</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1061457.1413934436</c:v>
                      </c:pt>
                      <c:pt idx="27">
                        <c:v>1072259.7799560239</c:v>
                      </c:pt>
                      <c:pt idx="28">
                        <c:v>1086111.7444713814</c:v>
                      </c:pt>
                      <c:pt idx="29">
                        <c:v>1100513.9530831533</c:v>
                      </c:pt>
                      <c:pt idx="30">
                        <c:v>1056263.1741044044</c:v>
                      </c:pt>
                      <c:pt idx="31">
                        <c:v>1100363.9805439834</c:v>
                      </c:pt>
                      <c:pt idx="32">
                        <c:v>1126573.3980555497</c:v>
                      </c:pt>
                      <c:pt idx="33">
                        <c:v>1139083.4573272441</c:v>
                      </c:pt>
                      <c:pt idx="34">
                        <c:v>1152957.552261248</c:v>
                      </c:pt>
                      <c:pt idx="35">
                        <c:v>1171050.8528812886</c:v>
                      </c:pt>
                      <c:pt idx="36">
                        <c:v>1192830.5335875405</c:v>
                      </c:pt>
                      <c:pt idx="37">
                        <c:v>1216452.4757370246</c:v>
                      </c:pt>
                      <c:pt idx="38">
                        <c:v>1242496.5319737766</c:v>
                      </c:pt>
                      <c:pt idx="39">
                        <c:v>1272687.1439456749</c:v>
                      </c:pt>
                      <c:pt idx="40">
                        <c:v>1306932.6294507403</c:v>
                      </c:pt>
                      <c:pt idx="41">
                        <c:v>1343776.3161041634</c:v>
                      </c:pt>
                      <c:pt idx="42">
                        <c:v>1383212.4268907527</c:v>
                      </c:pt>
                      <c:pt idx="43">
                        <c:v>1424425.4941666571</c:v>
                      </c:pt>
                      <c:pt idx="44">
                        <c:v>1467833.9310134158</c:v>
                      </c:pt>
                      <c:pt idx="45">
                        <c:v>1513073.077801984</c:v>
                      </c:pt>
                      <c:pt idx="46">
                        <c:v>1558648.9162033929</c:v>
                      </c:pt>
                      <c:pt idx="47">
                        <c:v>1606781.2294245122</c:v>
                      </c:pt>
                      <c:pt idx="48">
                        <c:v>1656045.707324703</c:v>
                      </c:pt>
                      <c:pt idx="49">
                        <c:v>1706341.19926766</c:v>
                      </c:pt>
                      <c:pt idx="50">
                        <c:v>1758378.4816627251</c:v>
                      </c:pt>
                      <c:pt idx="51">
                        <c:v>1810466.7734035284</c:v>
                      </c:pt>
                      <c:pt idx="52">
                        <c:v>1864977.0083271537</c:v>
                      </c:pt>
                      <c:pt idx="53">
                        <c:v>1922820.0412078311</c:v>
                      </c:pt>
                      <c:pt idx="54">
                        <c:v>1982574.9759713276</c:v>
                      </c:pt>
                      <c:pt idx="55">
                        <c:v>2044358.5049037496</c:v>
                      </c:pt>
                      <c:pt idx="56">
                        <c:v>2109881.4436680144</c:v>
                      </c:pt>
                      <c:pt idx="57">
                        <c:v>2178682.2899772674</c:v>
                      </c:pt>
                      <c:pt idx="58">
                        <c:v>2250465.8512106193</c:v>
                      </c:pt>
                      <c:pt idx="59">
                        <c:v>2326413.6039779428</c:v>
                      </c:pt>
                      <c:pt idx="60">
                        <c:v>2400147.5207312214</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4052957.2380717797</c:v>
                      </c:pt>
                      <c:pt idx="25">
                        <c:v>4076755.451786987</c:v>
                      </c:pt>
                      <c:pt idx="26">
                        <c:v>4062162.5676625138</c:v>
                      </c:pt>
                      <c:pt idx="27">
                        <c:v>4009333.8450175426</c:v>
                      </c:pt>
                      <c:pt idx="28">
                        <c:v>3987094.1595649333</c:v>
                      </c:pt>
                      <c:pt idx="29">
                        <c:v>3969899.9472367382</c:v>
                      </c:pt>
                      <c:pt idx="30">
                        <c:v>3453920.0397789343</c:v>
                      </c:pt>
                      <c:pt idx="31">
                        <c:v>3766413.7674693181</c:v>
                      </c:pt>
                      <c:pt idx="32">
                        <c:v>3916775.9174651573</c:v>
                      </c:pt>
                      <c:pt idx="33">
                        <c:v>3935589.7870703144</c:v>
                      </c:pt>
                      <c:pt idx="34">
                        <c:v>3957278.3244486535</c:v>
                      </c:pt>
                      <c:pt idx="35">
                        <c:v>4012280.6647806643</c:v>
                      </c:pt>
                      <c:pt idx="36">
                        <c:v>4102844.7601078297</c:v>
                      </c:pt>
                      <c:pt idx="37">
                        <c:v>4211201.6682384806</c:v>
                      </c:pt>
                      <c:pt idx="38">
                        <c:v>4342133.951638571</c:v>
                      </c:pt>
                      <c:pt idx="39">
                        <c:v>4510178.4372501429</c:v>
                      </c:pt>
                      <c:pt idx="40">
                        <c:v>4713418.0283159437</c:v>
                      </c:pt>
                      <c:pt idx="41">
                        <c:v>4938368.4760794165</c:v>
                      </c:pt>
                      <c:pt idx="42">
                        <c:v>5184283.4942876482</c:v>
                      </c:pt>
                      <c:pt idx="43">
                        <c:v>5443677.8193216324</c:v>
                      </c:pt>
                      <c:pt idx="44">
                        <c:v>5720022.5966918934</c:v>
                      </c:pt>
                      <c:pt idx="45">
                        <c:v>6009793.2107772948</c:v>
                      </c:pt>
                      <c:pt idx="46">
                        <c:v>6299984.249838993</c:v>
                      </c:pt>
                      <c:pt idx="47">
                        <c:v>6609365.6251062714</c:v>
                      </c:pt>
                      <c:pt idx="48">
                        <c:v>6926045.8020241726</c:v>
                      </c:pt>
                      <c:pt idx="49">
                        <c:v>7249085.5669973744</c:v>
                      </c:pt>
                      <c:pt idx="50">
                        <c:v>7584182.2907871287</c:v>
                      </c:pt>
                      <c:pt idx="51">
                        <c:v>7917267.0644298885</c:v>
                      </c:pt>
                      <c:pt idx="52">
                        <c:v>8267867.1662641419</c:v>
                      </c:pt>
                      <c:pt idx="53">
                        <c:v>8643200.8367678057</c:v>
                      </c:pt>
                      <c:pt idx="54">
                        <c:v>9031490.7763018981</c:v>
                      </c:pt>
                      <c:pt idx="55">
                        <c:v>9433643.6939069256</c:v>
                      </c:pt>
                      <c:pt idx="56">
                        <c:v>9863220.7478239853</c:v>
                      </c:pt>
                      <c:pt idx="57">
                        <c:v>10316189.413204478</c:v>
                      </c:pt>
                      <c:pt idx="58">
                        <c:v>10789871.090832103</c:v>
                      </c:pt>
                      <c:pt idx="59">
                        <c:v>11293191.794652052</c:v>
                      </c:pt>
                      <c:pt idx="60">
                        <c:v>11776327.879986316</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24596.567437021011</c:v>
                </c:pt>
                <c:pt idx="13">
                  <c:v>24497.747310072344</c:v>
                </c:pt>
                <c:pt idx="14">
                  <c:v>24503.520525013511</c:v>
                </c:pt>
                <c:pt idx="15">
                  <c:v>24330.600675717971</c:v>
                </c:pt>
                <c:pt idx="16">
                  <c:v>24050.505209418385</c:v>
                </c:pt>
                <c:pt idx="17">
                  <c:v>23669.383405227258</c:v>
                </c:pt>
                <c:pt idx="18">
                  <c:v>23387.298701141393</c:v>
                </c:pt>
                <c:pt idx="19">
                  <c:v>23126.61405950896</c:v>
                </c:pt>
                <c:pt idx="20">
                  <c:v>21369.845788427832</c:v>
                </c:pt>
                <c:pt idx="21">
                  <c:v>22130.690210491619</c:v>
                </c:pt>
                <c:pt idx="22">
                  <c:v>22415.522364806249</c:v>
                </c:pt>
                <c:pt idx="23">
                  <c:v>22342.904855677618</c:v>
                </c:pt>
                <c:pt idx="24">
                  <c:v>22297.353936164949</c:v>
                </c:pt>
                <c:pt idx="25">
                  <c:v>22351.074137831845</c:v>
                </c:pt>
                <c:pt idx="26">
                  <c:v>22493.352984543399</c:v>
                </c:pt>
                <c:pt idx="27">
                  <c:v>22675.772991138219</c:v>
                </c:pt>
                <c:pt idx="28">
                  <c:v>22909.483096038628</c:v>
                </c:pt>
                <c:pt idx="29">
                  <c:v>23230.671225335645</c:v>
                </c:pt>
                <c:pt idx="30">
                  <c:v>23632.453983382034</c:v>
                </c:pt>
                <c:pt idx="31">
                  <c:v>23954.238691339007</c:v>
                </c:pt>
                <c:pt idx="32">
                  <c:v>24309.371207343283</c:v>
                </c:pt>
                <c:pt idx="33">
                  <c:v>24677.52071412162</c:v>
                </c:pt>
                <c:pt idx="34">
                  <c:v>25065.354226144031</c:v>
                </c:pt>
                <c:pt idx="35">
                  <c:v>25463.056169326916</c:v>
                </c:pt>
                <c:pt idx="36">
                  <c:v>25839.628795434342</c:v>
                </c:pt>
                <c:pt idx="37">
                  <c:v>26237.542604884566</c:v>
                </c:pt>
                <c:pt idx="38">
                  <c:v>26627.896881498975</c:v>
                </c:pt>
                <c:pt idx="39">
                  <c:v>27008.085436548117</c:v>
                </c:pt>
                <c:pt idx="40">
                  <c:v>27390.010382681361</c:v>
                </c:pt>
                <c:pt idx="41">
                  <c:v>27829.312175818228</c:v>
                </c:pt>
                <c:pt idx="42">
                  <c:v>28285.897616724691</c:v>
                </c:pt>
                <c:pt idx="43">
                  <c:v>28773.155862944026</c:v>
                </c:pt>
                <c:pt idx="44">
                  <c:v>29265.211239222921</c:v>
                </c:pt>
                <c:pt idx="45">
                  <c:v>29762.789642045263</c:v>
                </c:pt>
                <c:pt idx="46">
                  <c:v>30291.528189428875</c:v>
                </c:pt>
                <c:pt idx="47">
                  <c:v>30841.488997699438</c:v>
                </c:pt>
                <c:pt idx="48">
                  <c:v>31405.876857713662</c:v>
                </c:pt>
                <c:pt idx="49">
                  <c:v>32000.167587001302</c:v>
                </c:pt>
                <c:pt idx="50">
                  <c:v>32529.032115555776</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767.77846974201918</c:v>
                </c:pt>
                <c:pt idx="17">
                  <c:v>757.64147058917911</c:v>
                </c:pt>
                <c:pt idx="18">
                  <c:v>751.15754383054082</c:v>
                </c:pt>
                <c:pt idx="19">
                  <c:v>745.51317364056126</c:v>
                </c:pt>
                <c:pt idx="20">
                  <c:v>685.26188604267395</c:v>
                </c:pt>
                <c:pt idx="21">
                  <c:v>713.14475725713066</c:v>
                </c:pt>
                <c:pt idx="22">
                  <c:v>723.46821531053001</c:v>
                </c:pt>
                <c:pt idx="23">
                  <c:v>720.33443143967384</c:v>
                </c:pt>
                <c:pt idx="24">
                  <c:v>718.01520835412771</c:v>
                </c:pt>
                <c:pt idx="25">
                  <c:v>719.35822432662496</c:v>
                </c:pt>
                <c:pt idx="26">
                  <c:v>724.17377271170653</c:v>
                </c:pt>
                <c:pt idx="27">
                  <c:v>730.62750312540061</c:v>
                </c:pt>
                <c:pt idx="28">
                  <c:v>739.14138127166734</c:v>
                </c:pt>
                <c:pt idx="29">
                  <c:v>751.08019887343528</c:v>
                </c:pt>
                <c:pt idx="30">
                  <c:v>766.18255786583677</c:v>
                </c:pt>
                <c:pt idx="31">
                  <c:v>783.09636080775022</c:v>
                </c:pt>
                <c:pt idx="32">
                  <c:v>801.70025670894506</c:v>
                </c:pt>
                <c:pt idx="33">
                  <c:v>821.2493011868969</c:v>
                </c:pt>
                <c:pt idx="34">
                  <c:v>842.03581787579844</c:v>
                </c:pt>
                <c:pt idx="35">
                  <c:v>863.70574846866975</c:v>
                </c:pt>
                <c:pt idx="36">
                  <c:v>885.04838862658357</c:v>
                </c:pt>
                <c:pt idx="37">
                  <c:v>907.77067647743138</c:v>
                </c:pt>
                <c:pt idx="38">
                  <c:v>930.75177558977202</c:v>
                </c:pt>
                <c:pt idx="39">
                  <c:v>953.89780561401676</c:v>
                </c:pt>
                <c:pt idx="40">
                  <c:v>977.70997578364313</c:v>
                </c:pt>
                <c:pt idx="41">
                  <c:v>1000.9164526188529</c:v>
                </c:pt>
                <c:pt idx="42">
                  <c:v>1025.241214134383</c:v>
                </c:pt>
                <c:pt idx="43">
                  <c:v>1051.276258278521</c:v>
                </c:pt>
                <c:pt idx="44">
                  <c:v>1077.9616391688305</c:v>
                </c:pt>
                <c:pt idx="45">
                  <c:v>1105.3494215415274</c:v>
                </c:pt>
                <c:pt idx="46">
                  <c:v>1134.5635346074182</c:v>
                </c:pt>
                <c:pt idx="47">
                  <c:v>1165.2163924314029</c:v>
                </c:pt>
                <c:pt idx="48">
                  <c:v>1197.0463551047183</c:v>
                </c:pt>
                <c:pt idx="49">
                  <c:v>1230.7617610577402</c:v>
                </c:pt>
                <c:pt idx="50">
                  <c:v>1262.2047270799694</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1611.8202237640569</c:v>
                </c:pt>
                <c:pt idx="13">
                  <c:v>1628.3498454049941</c:v>
                </c:pt>
                <c:pt idx="14">
                  <c:v>1654.3267410473238</c:v>
                </c:pt>
                <c:pt idx="15">
                  <c:v>1663.6384309182042</c:v>
                </c:pt>
                <c:pt idx="16">
                  <c:v>1662.3021398559852</c:v>
                </c:pt>
                <c:pt idx="17">
                  <c:v>1650.3976769413116</c:v>
                </c:pt>
                <c:pt idx="18">
                  <c:v>1647.5009704288245</c:v>
                </c:pt>
                <c:pt idx="19">
                  <c:v>1646.2684747308629</c:v>
                </c:pt>
                <c:pt idx="20">
                  <c:v>1496.9632118820093</c:v>
                </c:pt>
                <c:pt idx="21">
                  <c:v>1589.4536201520787</c:v>
                </c:pt>
                <c:pt idx="22">
                  <c:v>1634.6379842255499</c:v>
                </c:pt>
                <c:pt idx="23">
                  <c:v>1642.3613957102418</c:v>
                </c:pt>
                <c:pt idx="24">
                  <c:v>1651.831783548467</c:v>
                </c:pt>
                <c:pt idx="25">
                  <c:v>1671.3833505112827</c:v>
                </c:pt>
                <c:pt idx="26">
                  <c:v>1700.9742841824357</c:v>
                </c:pt>
                <c:pt idx="27">
                  <c:v>1735.5397910667693</c:v>
                </c:pt>
                <c:pt idx="28">
                  <c:v>1776.4587711909221</c:v>
                </c:pt>
                <c:pt idx="29">
                  <c:v>1827.9376364764994</c:v>
                </c:pt>
                <c:pt idx="30">
                  <c:v>1889.4630902844299</c:v>
                </c:pt>
                <c:pt idx="31">
                  <c:v>1955.2970642616535</c:v>
                </c:pt>
                <c:pt idx="32">
                  <c:v>2027.0326613025154</c:v>
                </c:pt>
                <c:pt idx="33">
                  <c:v>2102.5217820786279</c:v>
                </c:pt>
                <c:pt idx="34">
                  <c:v>2182.7475880121342</c:v>
                </c:pt>
                <c:pt idx="35">
                  <c:v>2266.7086965274766</c:v>
                </c:pt>
                <c:pt idx="36">
                  <c:v>2350.6936759298737</c:v>
                </c:pt>
                <c:pt idx="37">
                  <c:v>2440.0729602060906</c:v>
                </c:pt>
                <c:pt idx="38">
                  <c:v>2531.4145610132391</c:v>
                </c:pt>
                <c:pt idx="39">
                  <c:v>2624.4542426738071</c:v>
                </c:pt>
                <c:pt idx="40">
                  <c:v>2720.8327201724637</c:v>
                </c:pt>
                <c:pt idx="41">
                  <c:v>2817.7487077323372</c:v>
                </c:pt>
                <c:pt idx="42">
                  <c:v>2919.6225778999151</c:v>
                </c:pt>
                <c:pt idx="43">
                  <c:v>3028.5140214947187</c:v>
                </c:pt>
                <c:pt idx="44">
                  <c:v>3141.0574304598881</c:v>
                </c:pt>
                <c:pt idx="45">
                  <c:v>3257.5050202947727</c:v>
                </c:pt>
                <c:pt idx="46">
                  <c:v>3381.7304185792786</c:v>
                </c:pt>
                <c:pt idx="47">
                  <c:v>3512.5857804113907</c:v>
                </c:pt>
                <c:pt idx="48">
                  <c:v>3649.3149372296352</c:v>
                </c:pt>
                <c:pt idx="49">
                  <c:v>3794.4839588574464</c:v>
                </c:pt>
                <c:pt idx="50">
                  <c:v>3933.8203748562191</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893.63599451516268</c:v>
                </c:pt>
                <c:pt idx="22">
                  <c:v>901.53557284553392</c:v>
                </c:pt>
                <c:pt idx="23">
                  <c:v>905.89010059598195</c:v>
                </c:pt>
                <c:pt idx="24">
                  <c:v>907.58009218117843</c:v>
                </c:pt>
                <c:pt idx="25">
                  <c:v>909.40288860123439</c:v>
                </c:pt>
                <c:pt idx="26">
                  <c:v>911.92422757648922</c:v>
                </c:pt>
                <c:pt idx="27">
                  <c:v>915.10313656095923</c:v>
                </c:pt>
                <c:pt idx="28">
                  <c:v>918.57833095683384</c:v>
                </c:pt>
                <c:pt idx="29">
                  <c:v>922.43403487282035</c:v>
                </c:pt>
                <c:pt idx="30">
                  <c:v>926.93686062638631</c:v>
                </c:pt>
                <c:pt idx="31">
                  <c:v>932.02307525086815</c:v>
                </c:pt>
                <c:pt idx="32">
                  <c:v>937.4114004614803</c:v>
                </c:pt>
                <c:pt idx="33">
                  <c:v>943.0703615154913</c:v>
                </c:pt>
                <c:pt idx="34">
                  <c:v>948.84872324168452</c:v>
                </c:pt>
                <c:pt idx="35">
                  <c:v>954.79399041296358</c:v>
                </c:pt>
                <c:pt idx="36">
                  <c:v>960.83317350344373</c:v>
                </c:pt>
                <c:pt idx="37">
                  <c:v>966.74459566725386</c:v>
                </c:pt>
                <c:pt idx="38">
                  <c:v>972.83250351153242</c:v>
                </c:pt>
                <c:pt idx="39">
                  <c:v>978.89306599922156</c:v>
                </c:pt>
                <c:pt idx="40">
                  <c:v>984.91027811786876</c:v>
                </c:pt>
                <c:pt idx="41">
                  <c:v>990.96854669159461</c:v>
                </c:pt>
                <c:pt idx="42">
                  <c:v>996.85817227544851</c:v>
                </c:pt>
                <c:pt idx="43">
                  <c:v>1002.8620363509766</c:v>
                </c:pt>
                <c:pt idx="44">
                  <c:v>1009.0666625916243</c:v>
                </c:pt>
                <c:pt idx="45">
                  <c:v>1015.2950621882683</c:v>
                </c:pt>
                <c:pt idx="46">
                  <c:v>1021.5521396290935</c:v>
                </c:pt>
                <c:pt idx="47">
                  <c:v>1028.0026193966835</c:v>
                </c:pt>
                <c:pt idx="48">
                  <c:v>1034.5766203170861</c:v>
                </c:pt>
                <c:pt idx="49">
                  <c:v>1041.2271453774342</c:v>
                </c:pt>
                <c:pt idx="50">
                  <c:v>1048.046646803637</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469.91487835797898</c:v>
                </c:pt>
                <c:pt idx="22">
                  <c:v>469.71584189716231</c:v>
                </c:pt>
                <c:pt idx="23">
                  <c:v>469.60612594072387</c:v>
                </c:pt>
                <c:pt idx="24">
                  <c:v>469.56354519402316</c:v>
                </c:pt>
                <c:pt idx="25">
                  <c:v>469.51761831880731</c:v>
                </c:pt>
                <c:pt idx="26">
                  <c:v>469.45409108163506</c:v>
                </c:pt>
                <c:pt idx="27">
                  <c:v>469.37399581995572</c:v>
                </c:pt>
                <c:pt idx="28">
                  <c:v>469.28643540036416</c:v>
                </c:pt>
                <c:pt idx="29">
                  <c:v>469.18928772623514</c:v>
                </c:pt>
                <c:pt idx="30">
                  <c:v>469.07583527799261</c:v>
                </c:pt>
                <c:pt idx="31">
                  <c:v>468.94768386085701</c:v>
                </c:pt>
                <c:pt idx="32">
                  <c:v>468.81192051567615</c:v>
                </c:pt>
                <c:pt idx="33">
                  <c:v>468.66933827482927</c:v>
                </c:pt>
                <c:pt idx="34">
                  <c:v>468.523747634519</c:v>
                </c:pt>
                <c:pt idx="35">
                  <c:v>468.37395167239384</c:v>
                </c:pt>
                <c:pt idx="36">
                  <c:v>468.22178942039972</c:v>
                </c:pt>
                <c:pt idx="37">
                  <c:v>468.07284621144964</c:v>
                </c:pt>
                <c:pt idx="38">
                  <c:v>467.91945629866859</c:v>
                </c:pt>
                <c:pt idx="39">
                  <c:v>467.76675537494071</c:v>
                </c:pt>
                <c:pt idx="40">
                  <c:v>467.61514669989612</c:v>
                </c:pt>
                <c:pt idx="41">
                  <c:v>467.46250357324266</c:v>
                </c:pt>
                <c:pt idx="42">
                  <c:v>467.31410954729336</c:v>
                </c:pt>
                <c:pt idx="43">
                  <c:v>467.16283718732154</c:v>
                </c:pt>
                <c:pt idx="44">
                  <c:v>467.00650645725204</c:v>
                </c:pt>
                <c:pt idx="45">
                  <c:v>466.84957673766149</c:v>
                </c:pt>
                <c:pt idx="46">
                  <c:v>466.6919244558822</c:v>
                </c:pt>
                <c:pt idx="47">
                  <c:v>466.52939924126719</c:v>
                </c:pt>
                <c:pt idx="48">
                  <c:v>466.36376180824482</c:v>
                </c:pt>
                <c:pt idx="49">
                  <c:v>466.19619628572883</c:v>
                </c:pt>
                <c:pt idx="50">
                  <c:v>466.02437326282302</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17093.826915551948</c:v>
                </c:pt>
                <c:pt idx="14">
                  <c:v>17091.396392844257</c:v>
                </c:pt>
                <c:pt idx="15">
                  <c:v>16996.523789335217</c:v>
                </c:pt>
                <c:pt idx="16">
                  <c:v>16845.135916251187</c:v>
                </c:pt>
                <c:pt idx="17">
                  <c:v>16640.888084222788</c:v>
                </c:pt>
                <c:pt idx="18">
                  <c:v>16487.529960272332</c:v>
                </c:pt>
                <c:pt idx="19">
                  <c:v>16345.805129696333</c:v>
                </c:pt>
                <c:pt idx="20">
                  <c:v>15430.560631270724</c:v>
                </c:pt>
                <c:pt idx="21">
                  <c:v>15811.043186802979</c:v>
                </c:pt>
                <c:pt idx="22">
                  <c:v>15958.847934518744</c:v>
                </c:pt>
                <c:pt idx="23">
                  <c:v>15919.233047927217</c:v>
                </c:pt>
                <c:pt idx="24">
                  <c:v>15891.545967315633</c:v>
                </c:pt>
                <c:pt idx="25">
                  <c:v>15915.155892934759</c:v>
                </c:pt>
                <c:pt idx="26">
                  <c:v>15984.84339828518</c:v>
                </c:pt>
                <c:pt idx="27">
                  <c:v>16075.567194018065</c:v>
                </c:pt>
                <c:pt idx="28">
                  <c:v>16192.720227144715</c:v>
                </c:pt>
                <c:pt idx="29">
                  <c:v>16354.896144587752</c:v>
                </c:pt>
                <c:pt idx="30">
                  <c:v>16558.670091352691</c:v>
                </c:pt>
                <c:pt idx="31">
                  <c:v>16718.997085821164</c:v>
                </c:pt>
                <c:pt idx="32">
                  <c:v>16896.069003270473</c:v>
                </c:pt>
                <c:pt idx="33">
                  <c:v>17079.376550926358</c:v>
                </c:pt>
                <c:pt idx="34">
                  <c:v>17272.154709260769</c:v>
                </c:pt>
                <c:pt idx="35">
                  <c:v>17469.365060057426</c:v>
                </c:pt>
                <c:pt idx="36">
                  <c:v>17655.092104453866</c:v>
                </c:pt>
                <c:pt idx="37">
                  <c:v>17850.792549268703</c:v>
                </c:pt>
                <c:pt idx="38">
                  <c:v>18041.925731567091</c:v>
                </c:pt>
                <c:pt idx="39">
                  <c:v>18226.979392581368</c:v>
                </c:pt>
                <c:pt idx="40">
                  <c:v>18411.957867290104</c:v>
                </c:pt>
                <c:pt idx="41">
                  <c:v>18627.439142589483</c:v>
                </c:pt>
                <c:pt idx="42">
                  <c:v>18850.725445944816</c:v>
                </c:pt>
                <c:pt idx="43">
                  <c:v>19088.747367065309</c:v>
                </c:pt>
                <c:pt idx="44">
                  <c:v>19328.417871836467</c:v>
                </c:pt>
                <c:pt idx="45">
                  <c:v>19569.915973937041</c:v>
                </c:pt>
                <c:pt idx="46">
                  <c:v>19826.107036199104</c:v>
                </c:pt>
                <c:pt idx="47">
                  <c:v>20092.021030049389</c:v>
                </c:pt>
                <c:pt idx="48">
                  <c:v>20364.102979787673</c:v>
                </c:pt>
                <c:pt idx="49">
                  <c:v>20650.001260780562</c:v>
                </c:pt>
                <c:pt idx="50">
                  <c:v>20901.929344604407</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2050.9374050904016</c:v>
                </c:pt>
                <c:pt idx="13">
                  <c:v>2045.5386350321758</c:v>
                </c:pt>
                <c:pt idx="14">
                  <c:v>2047.0573530349106</c:v>
                </c:pt>
                <c:pt idx="15">
                  <c:v>2037.2818538590109</c:v>
                </c:pt>
                <c:pt idx="16">
                  <c:v>2020.7416492119826</c:v>
                </c:pt>
                <c:pt idx="17">
                  <c:v>1997.8167979558436</c:v>
                </c:pt>
                <c:pt idx="18">
                  <c:v>1981.3182233351415</c:v>
                </c:pt>
                <c:pt idx="19">
                  <c:v>1966.2827775921453</c:v>
                </c:pt>
                <c:pt idx="20">
                  <c:v>1853.5422606516693</c:v>
                </c:pt>
                <c:pt idx="21">
                  <c:v>1902.820284924391</c:v>
                </c:pt>
                <c:pt idx="22">
                  <c:v>1921.5543958027654</c:v>
                </c:pt>
                <c:pt idx="23">
                  <c:v>1917.2325138661979</c:v>
                </c:pt>
                <c:pt idx="24">
                  <c:v>1914.8468047202759</c:v>
                </c:pt>
                <c:pt idx="25">
                  <c:v>1919.0235554424712</c:v>
                </c:pt>
                <c:pt idx="26">
                  <c:v>1928.923304491045</c:v>
                </c:pt>
                <c:pt idx="27">
                  <c:v>1941.4247785753696</c:v>
                </c:pt>
                <c:pt idx="28">
                  <c:v>1957.2434080061732</c:v>
                </c:pt>
                <c:pt idx="29">
                  <c:v>1978.7299836417585</c:v>
                </c:pt>
                <c:pt idx="30">
                  <c:v>2005.4551722913536</c:v>
                </c:pt>
                <c:pt idx="31">
                  <c:v>2027.5270915670139</c:v>
                </c:pt>
                <c:pt idx="32">
                  <c:v>2051.8162616729601</c:v>
                </c:pt>
                <c:pt idx="33">
                  <c:v>2077.0106814151418</c:v>
                </c:pt>
                <c:pt idx="34">
                  <c:v>2103.5415711520436</c:v>
                </c:pt>
                <c:pt idx="35">
                  <c:v>2130.779621564021</c:v>
                </c:pt>
                <c:pt idx="36">
                  <c:v>2156.7140714549992</c:v>
                </c:pt>
                <c:pt idx="37">
                  <c:v>2184.1024690347967</c:v>
                </c:pt>
                <c:pt idx="38">
                  <c:v>2211.0671577362259</c:v>
                </c:pt>
                <c:pt idx="39">
                  <c:v>2237.4358494281691</c:v>
                </c:pt>
                <c:pt idx="40">
                  <c:v>2263.9882827443353</c:v>
                </c:pt>
                <c:pt idx="41">
                  <c:v>2293.9699712922675</c:v>
                </c:pt>
                <c:pt idx="42">
                  <c:v>2325.1265640673746</c:v>
                </c:pt>
                <c:pt idx="43">
                  <c:v>2358.341737972924</c:v>
                </c:pt>
                <c:pt idx="44">
                  <c:v>2391.928142812822</c:v>
                </c:pt>
                <c:pt idx="45">
                  <c:v>2425.9297941273439</c:v>
                </c:pt>
                <c:pt idx="46">
                  <c:v>2462.0290061456703</c:v>
                </c:pt>
                <c:pt idx="47">
                  <c:v>2499.5834887806723</c:v>
                </c:pt>
                <c:pt idx="48">
                  <c:v>2538.1521015189664</c:v>
                </c:pt>
                <c:pt idx="49">
                  <c:v>2578.7579194180721</c:v>
                </c:pt>
                <c:pt idx="50">
                  <c:v>2615.1308371849518</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468.5534902170719</c:v>
                </c:pt>
                <c:pt idx="14">
                  <c:v>475.46673921112131</c:v>
                </c:pt>
                <c:pt idx="15">
                  <c:v>478.52713833996251</c:v>
                </c:pt>
                <c:pt idx="16">
                  <c:v>479.13075008565431</c:v>
                </c:pt>
                <c:pt idx="17">
                  <c:v>477.27784879908722</c:v>
                </c:pt>
                <c:pt idx="18">
                  <c:v>477.58815133846173</c:v>
                </c:pt>
                <c:pt idx="19">
                  <c:v>478.32509917641192</c:v>
                </c:pt>
                <c:pt idx="20">
                  <c:v>443.3510171493719</c:v>
                </c:pt>
                <c:pt idx="21">
                  <c:v>465.57618981839653</c:v>
                </c:pt>
                <c:pt idx="22">
                  <c:v>476.46817640106639</c:v>
                </c:pt>
                <c:pt idx="23">
                  <c:v>478.44574802634082</c:v>
                </c:pt>
                <c:pt idx="24">
                  <c:v>480.92349467442273</c:v>
                </c:pt>
                <c:pt idx="25">
                  <c:v>485.86605792125317</c:v>
                </c:pt>
                <c:pt idx="26">
                  <c:v>493.21409934144106</c:v>
                </c:pt>
                <c:pt idx="27">
                  <c:v>501.75898994611924</c:v>
                </c:pt>
                <c:pt idx="28">
                  <c:v>511.83185635472989</c:v>
                </c:pt>
                <c:pt idx="29">
                  <c:v>524.44408053716097</c:v>
                </c:pt>
                <c:pt idx="30">
                  <c:v>539.47739621796109</c:v>
                </c:pt>
                <c:pt idx="31">
                  <c:v>556.05727482251325</c:v>
                </c:pt>
                <c:pt idx="32">
                  <c:v>574.1018930192015</c:v>
                </c:pt>
                <c:pt idx="33">
                  <c:v>593.09957867018966</c:v>
                </c:pt>
                <c:pt idx="34">
                  <c:v>613.28978175267173</c:v>
                </c:pt>
                <c:pt idx="35">
                  <c:v>634.43556308621476</c:v>
                </c:pt>
                <c:pt idx="36">
                  <c:v>655.64311598628979</c:v>
                </c:pt>
                <c:pt idx="37">
                  <c:v>678.21214828331097</c:v>
                </c:pt>
                <c:pt idx="38">
                  <c:v>701.31248708428234</c:v>
                </c:pt>
                <c:pt idx="39">
                  <c:v>724.88114622406306</c:v>
                </c:pt>
                <c:pt idx="40">
                  <c:v>749.31884869652549</c:v>
                </c:pt>
                <c:pt idx="41">
                  <c:v>773.59688679884414</c:v>
                </c:pt>
                <c:pt idx="42">
                  <c:v>799.11883674501155</c:v>
                </c:pt>
                <c:pt idx="43">
                  <c:v>826.38903117996551</c:v>
                </c:pt>
                <c:pt idx="44">
                  <c:v>854.58915531939601</c:v>
                </c:pt>
                <c:pt idx="45">
                  <c:v>883.78144491838327</c:v>
                </c:pt>
                <c:pt idx="46">
                  <c:v>914.91436492205196</c:v>
                </c:pt>
                <c:pt idx="47">
                  <c:v>947.71091968754251</c:v>
                </c:pt>
                <c:pt idx="48">
                  <c:v>981.98942255627162</c:v>
                </c:pt>
                <c:pt idx="49">
                  <c:v>1018.3824913368661</c:v>
                </c:pt>
                <c:pt idx="50">
                  <c:v>1053.3889718674006</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22897.455060347875</c:v>
                </c:pt>
                <c:pt idx="3">
                  <c:v>22916.931601602209</c:v>
                </c:pt>
                <c:pt idx="4">
                  <c:v>22902.965793483327</c:v>
                </c:pt>
                <c:pt idx="5">
                  <c:v>22783.717172728906</c:v>
                </c:pt>
                <c:pt idx="6">
                  <c:v>22638.455195046361</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26982.018509963771</c:v>
                      </c:pt>
                      <c:pt idx="3">
                        <c:v>26899.412164760473</c:v>
                      </c:pt>
                      <c:pt idx="4">
                        <c:v>26934.727527870862</c:v>
                      </c:pt>
                      <c:pt idx="5">
                        <c:v>26768.466839336899</c:v>
                      </c:pt>
                      <c:pt idx="6">
                        <c:v>26480.585819016389</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49879.473570311646</c:v>
                      </c:pt>
                      <c:pt idx="3">
                        <c:v>49816.343766362683</c:v>
                      </c:pt>
                      <c:pt idx="4">
                        <c:v>49837.693321354192</c:v>
                      </c:pt>
                      <c:pt idx="5">
                        <c:v>49552.184012065802</c:v>
                      </c:pt>
                      <c:pt idx="6">
                        <c:v>49119.04101406275</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49879.473570311646</c:v>
                </c:pt>
                <c:pt idx="1">
                  <c:v>49816.343766362683</c:v>
                </c:pt>
                <c:pt idx="2">
                  <c:v>49837.693321354192</c:v>
                </c:pt>
                <c:pt idx="3">
                  <c:v>49552.184012065802</c:v>
                </c:pt>
                <c:pt idx="4">
                  <c:v>49119.04101406275</c:v>
                </c:pt>
                <c:pt idx="5">
                  <c:v>48506.139935969455</c:v>
                </c:pt>
                <c:pt idx="6">
                  <c:v>48052.087616742072</c:v>
                </c:pt>
                <c:pt idx="7">
                  <c:v>47638.317777423887</c:v>
                </c:pt>
                <c:pt idx="8">
                  <c:v>44618.922250870528</c:v>
                </c:pt>
                <c:pt idx="9">
                  <c:v>45951.455487649073</c:v>
                </c:pt>
                <c:pt idx="10">
                  <c:v>46485.286322998043</c:v>
                </c:pt>
                <c:pt idx="11">
                  <c:v>46387.90352823554</c:v>
                </c:pt>
                <c:pt idx="12">
                  <c:v>46331.915613065721</c:v>
                </c:pt>
                <c:pt idx="13">
                  <c:v>46449.395978662025</c:v>
                </c:pt>
                <c:pt idx="14">
                  <c:v>46723.833886848181</c:v>
                </c:pt>
                <c:pt idx="15">
                  <c:v>47070.501576746807</c:v>
                </c:pt>
                <c:pt idx="16">
                  <c:v>47508.436174721079</c:v>
                </c:pt>
                <c:pt idx="17">
                  <c:v>48101.434732269452</c:v>
                </c:pt>
                <c:pt idx="18">
                  <c:v>48838.126599377938</c:v>
                </c:pt>
                <c:pt idx="19">
                  <c:v>49454.610142335412</c:v>
                </c:pt>
                <c:pt idx="20">
                  <c:v>50132.75462142445</c:v>
                </c:pt>
                <c:pt idx="21">
                  <c:v>50836.972527844395</c:v>
                </c:pt>
                <c:pt idx="22">
                  <c:v>51578.964587254231</c:v>
                </c:pt>
                <c:pt idx="23">
                  <c:v>52341.701425821993</c:v>
                </c:pt>
                <c:pt idx="24">
                  <c:v>53070.371942041042</c:v>
                </c:pt>
                <c:pt idx="25">
                  <c:v>53839.821879790172</c:v>
                </c:pt>
                <c:pt idx="26">
                  <c:v>54599.645786581692</c:v>
                </c:pt>
                <c:pt idx="27">
                  <c:v>55344.414431923957</c:v>
                </c:pt>
                <c:pt idx="28">
                  <c:v>56095.859744864792</c:v>
                </c:pt>
                <c:pt idx="29">
                  <c:v>56938.426134991794</c:v>
                </c:pt>
                <c:pt idx="30">
                  <c:v>57814.411790414219</c:v>
                </c:pt>
                <c:pt idx="31">
                  <c:v>58748.45191074739</c:v>
                </c:pt>
                <c:pt idx="32">
                  <c:v>59694.73691134117</c:v>
                </c:pt>
                <c:pt idx="33">
                  <c:v>60654.409704460573</c:v>
                </c:pt>
                <c:pt idx="34">
                  <c:v>61673.605887836035</c:v>
                </c:pt>
                <c:pt idx="35">
                  <c:v>62735.123406764789</c:v>
                </c:pt>
                <c:pt idx="36">
                  <c:v>63826.903320301601</c:v>
                </c:pt>
                <c:pt idx="37">
                  <c:v>64976.954109578852</c:v>
                </c:pt>
                <c:pt idx="38">
                  <c:v>66014.048685877235</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49879.473570311646</c:v>
                </c:pt>
                <c:pt idx="1">
                  <c:v>49816.343766362683</c:v>
                </c:pt>
                <c:pt idx="2">
                  <c:v>49837.693321354192</c:v>
                </c:pt>
                <c:pt idx="3">
                  <c:v>49552.184012065802</c:v>
                </c:pt>
                <c:pt idx="4">
                  <c:v>49119.04101406275</c:v>
                </c:pt>
                <c:pt idx="5">
                  <c:v>48506.139935969455</c:v>
                </c:pt>
                <c:pt idx="6">
                  <c:v>48052.087616742072</c:v>
                </c:pt>
                <c:pt idx="7">
                  <c:v>47638.317777423887</c:v>
                </c:pt>
                <c:pt idx="8">
                  <c:v>44618.922250870528</c:v>
                </c:pt>
                <c:pt idx="9">
                  <c:v>45951.455487649073</c:v>
                </c:pt>
                <c:pt idx="10">
                  <c:v>46485.286322998043</c:v>
                </c:pt>
                <c:pt idx="11">
                  <c:v>46387.90352823554</c:v>
                </c:pt>
                <c:pt idx="12">
                  <c:v>46331.915613065721</c:v>
                </c:pt>
                <c:pt idx="13">
                  <c:v>46449.395978662025</c:v>
                </c:pt>
                <c:pt idx="14">
                  <c:v>46723.833886848181</c:v>
                </c:pt>
                <c:pt idx="15">
                  <c:v>47070.501576746807</c:v>
                </c:pt>
                <c:pt idx="16">
                  <c:v>47508.436174721079</c:v>
                </c:pt>
                <c:pt idx="17">
                  <c:v>48101.434732269452</c:v>
                </c:pt>
                <c:pt idx="18">
                  <c:v>48838.126599377938</c:v>
                </c:pt>
                <c:pt idx="19">
                  <c:v>49454.610142335412</c:v>
                </c:pt>
                <c:pt idx="20">
                  <c:v>50132.75462142445</c:v>
                </c:pt>
                <c:pt idx="21">
                  <c:v>50836.972527844395</c:v>
                </c:pt>
                <c:pt idx="22">
                  <c:v>51578.964587254231</c:v>
                </c:pt>
                <c:pt idx="23">
                  <c:v>52341.701425821993</c:v>
                </c:pt>
                <c:pt idx="24">
                  <c:v>53070.371942041042</c:v>
                </c:pt>
                <c:pt idx="25">
                  <c:v>53839.821879790172</c:v>
                </c:pt>
                <c:pt idx="26">
                  <c:v>54599.645786581692</c:v>
                </c:pt>
                <c:pt idx="27">
                  <c:v>55344.414431923957</c:v>
                </c:pt>
                <c:pt idx="28">
                  <c:v>56095.859744864792</c:v>
                </c:pt>
                <c:pt idx="29">
                  <c:v>56938.426134991794</c:v>
                </c:pt>
                <c:pt idx="30">
                  <c:v>57814.411790414219</c:v>
                </c:pt>
                <c:pt idx="31">
                  <c:v>58748.45191074739</c:v>
                </c:pt>
                <c:pt idx="32">
                  <c:v>59694.73691134117</c:v>
                </c:pt>
                <c:pt idx="33">
                  <c:v>60654.409704460573</c:v>
                </c:pt>
                <c:pt idx="34">
                  <c:v>61673.605887836035</c:v>
                </c:pt>
                <c:pt idx="35">
                  <c:v>62735.123406764789</c:v>
                </c:pt>
                <c:pt idx="36">
                  <c:v>63826.903320301601</c:v>
                </c:pt>
                <c:pt idx="37">
                  <c:v>64976.954109578852</c:v>
                </c:pt>
                <c:pt idx="38">
                  <c:v>66014.048685877235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_Veda\AFOLU\Land_model_Linked.xlsx" TargetMode="External"/><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IndexG2E"/>
      <sheetName val="IndexE2G"/>
      <sheetName val="DriversCGE"/>
      <sheetName val="GHGSummary"/>
      <sheetName val="Other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8">
          <cell r="B8">
            <v>1E-3</v>
          </cell>
        </row>
      </sheetData>
      <sheetData sheetId="13" refreshError="1"/>
      <sheetData sheetId="14" refreshError="1"/>
      <sheetData sheetId="15" refreshError="1"/>
      <sheetData sheetId="16">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 displayName="Bruno Merven" id="{9A0FDBCE-9BC0-4243-8C6F-B8EB1CF7DB51}" userId="S::01405439@wf.uct.ac.za::c7f06137-2c3b-4c5c-8f38-fe1abbc96860" providerId="AD"/>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7" dT="2024-06-14T10:11:34.91" personId="{9A0FDBCE-9BC0-4243-8C6F-B8EB1CF7DB51}" id="{34491922-EC77-4FCA-8FD3-70CC8CAB53C7}">
    <text>Not that this only includes: livestock, maize and sorghum, and excludes certain important crops such as sugarcane.</text>
  </threadedComment>
</ThreadedComments>
</file>

<file path=xl/threadedComments/threadedComment2.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3.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5546875"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36" t="s">
        <v>691</v>
      </c>
      <c r="B4" s="36" t="s">
        <v>694</v>
      </c>
      <c r="C4" s="36" t="s">
        <v>695</v>
      </c>
      <c r="D4" s="36"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1388</v>
      </c>
      <c r="B13" t="s">
        <v>696</v>
      </c>
      <c r="C13" t="s">
        <v>1389</v>
      </c>
      <c r="D13" s="14" t="s">
        <v>1390</v>
      </c>
    </row>
    <row r="17" spans="1:6" ht="15.75" x14ac:dyDescent="0.25">
      <c r="A17" s="20" t="s">
        <v>697</v>
      </c>
      <c r="B17" s="20"/>
      <c r="C17" s="20"/>
      <c r="D17" s="20"/>
    </row>
    <row r="18" spans="1:6" x14ac:dyDescent="0.25">
      <c r="A18" s="36" t="s">
        <v>691</v>
      </c>
      <c r="B18" s="131" t="s">
        <v>700</v>
      </c>
      <c r="C18" s="131"/>
      <c r="D18" s="36" t="s">
        <v>283</v>
      </c>
    </row>
    <row r="19" spans="1:6" ht="51" customHeight="1" x14ac:dyDescent="0.25">
      <c r="A19" s="50" t="s">
        <v>7</v>
      </c>
      <c r="B19" s="121" t="s">
        <v>701</v>
      </c>
      <c r="C19" s="121"/>
      <c r="D19" s="4"/>
    </row>
    <row r="20" spans="1:6" ht="75" x14ac:dyDescent="0.25">
      <c r="A20" s="51" t="s">
        <v>316</v>
      </c>
      <c r="B20" s="121" t="s">
        <v>827</v>
      </c>
      <c r="C20" s="121"/>
      <c r="D20" s="52" t="s">
        <v>828</v>
      </c>
    </row>
    <row r="21" spans="1:6" ht="45" customHeight="1" x14ac:dyDescent="0.25">
      <c r="A21" s="55" t="s">
        <v>826</v>
      </c>
      <c r="B21" s="121" t="s">
        <v>781</v>
      </c>
      <c r="C21" s="121"/>
      <c r="D21" s="52"/>
    </row>
    <row r="22" spans="1:6" ht="99" customHeight="1" x14ac:dyDescent="0.25">
      <c r="A22" s="82" t="s">
        <v>829</v>
      </c>
      <c r="B22" s="132" t="s">
        <v>830</v>
      </c>
      <c r="C22" s="133"/>
      <c r="D22" s="52"/>
    </row>
    <row r="23" spans="1:6" x14ac:dyDescent="0.25">
      <c r="A23" s="53" t="s">
        <v>8</v>
      </c>
      <c r="B23" s="121" t="s">
        <v>728</v>
      </c>
      <c r="C23" s="121"/>
      <c r="D23" s="4"/>
    </row>
    <row r="24" spans="1:6" ht="60" customHeight="1" x14ac:dyDescent="0.25">
      <c r="A24" s="83" t="s">
        <v>876</v>
      </c>
      <c r="B24" s="132" t="s">
        <v>878</v>
      </c>
      <c r="C24" s="133"/>
      <c r="D24" s="4"/>
    </row>
    <row r="25" spans="1:6" ht="75" hidden="1" x14ac:dyDescent="0.25">
      <c r="A25" s="54" t="s">
        <v>783</v>
      </c>
      <c r="B25" s="121" t="s">
        <v>782</v>
      </c>
      <c r="C25" s="121"/>
      <c r="D25" s="76" t="s">
        <v>729</v>
      </c>
    </row>
    <row r="26" spans="1:6" ht="90" x14ac:dyDescent="0.25">
      <c r="A26" s="56" t="s">
        <v>142</v>
      </c>
      <c r="B26" s="121" t="s">
        <v>831</v>
      </c>
      <c r="C26" s="121"/>
      <c r="D26" s="52" t="s">
        <v>801</v>
      </c>
    </row>
    <row r="27" spans="1:6" ht="63" customHeight="1" x14ac:dyDescent="0.25">
      <c r="A27" s="56" t="s">
        <v>279</v>
      </c>
      <c r="B27" s="121" t="s">
        <v>730</v>
      </c>
      <c r="C27" s="121"/>
      <c r="D27" s="52" t="s">
        <v>731</v>
      </c>
    </row>
    <row r="28" spans="1:6" ht="46.5" customHeight="1" x14ac:dyDescent="0.25">
      <c r="A28" s="56" t="s">
        <v>699</v>
      </c>
      <c r="B28" s="121" t="s">
        <v>732</v>
      </c>
      <c r="C28" s="121"/>
      <c r="D28" s="4"/>
    </row>
    <row r="29" spans="1:6" x14ac:dyDescent="0.25">
      <c r="A29" s="56" t="s">
        <v>784</v>
      </c>
      <c r="B29" s="121" t="s">
        <v>733</v>
      </c>
      <c r="C29" s="121"/>
      <c r="D29" s="4"/>
    </row>
    <row r="30" spans="1:6" x14ac:dyDescent="0.25">
      <c r="A30" s="57" t="s">
        <v>785</v>
      </c>
      <c r="B30" s="121" t="s">
        <v>734</v>
      </c>
      <c r="C30" s="121"/>
      <c r="D30" s="4"/>
    </row>
    <row r="31" spans="1:6" ht="63.75" customHeight="1" x14ac:dyDescent="0.25">
      <c r="A31" s="112" t="s">
        <v>1391</v>
      </c>
      <c r="B31" s="121" t="s">
        <v>1397</v>
      </c>
      <c r="C31" s="121"/>
      <c r="D31" s="4"/>
      <c r="F31" t="s">
        <v>1402</v>
      </c>
    </row>
    <row r="32" spans="1:6" x14ac:dyDescent="0.25">
      <c r="A32" s="113" t="s">
        <v>1392</v>
      </c>
      <c r="B32" s="125" t="s">
        <v>1398</v>
      </c>
      <c r="C32" s="126"/>
      <c r="D32" s="4"/>
    </row>
    <row r="33" spans="1:4" x14ac:dyDescent="0.25">
      <c r="A33" s="113" t="s">
        <v>1399</v>
      </c>
      <c r="B33" s="127"/>
      <c r="C33" s="128"/>
      <c r="D33" s="4"/>
    </row>
    <row r="34" spans="1:4" x14ac:dyDescent="0.25">
      <c r="A34" s="113" t="s">
        <v>1393</v>
      </c>
      <c r="B34" s="127"/>
      <c r="C34" s="128"/>
      <c r="D34" s="4"/>
    </row>
    <row r="35" spans="1:4" x14ac:dyDescent="0.25">
      <c r="A35" s="113" t="s">
        <v>1394</v>
      </c>
      <c r="B35" s="129"/>
      <c r="C35" s="130"/>
      <c r="D35" s="4"/>
    </row>
    <row r="36" spans="1:4" ht="31.5" customHeight="1" x14ac:dyDescent="0.25">
      <c r="A36" s="113" t="s">
        <v>1395</v>
      </c>
      <c r="B36" s="121" t="s">
        <v>1400</v>
      </c>
      <c r="C36" s="121"/>
      <c r="D36" s="4"/>
    </row>
    <row r="37" spans="1:4" ht="47.25" customHeight="1" x14ac:dyDescent="0.25">
      <c r="A37" s="112" t="s">
        <v>1396</v>
      </c>
      <c r="B37" s="121" t="s">
        <v>1401</v>
      </c>
      <c r="C37" s="121"/>
      <c r="D37" s="4"/>
    </row>
    <row r="40" spans="1:4" ht="15.75" x14ac:dyDescent="0.25">
      <c r="A40" s="20" t="s">
        <v>702</v>
      </c>
      <c r="B40" s="123" t="s">
        <v>283</v>
      </c>
      <c r="C40" s="123"/>
    </row>
    <row r="41" spans="1:4" ht="50.25" customHeight="1" x14ac:dyDescent="0.25">
      <c r="A41" s="58" t="s">
        <v>324</v>
      </c>
      <c r="B41" s="124" t="s">
        <v>707</v>
      </c>
      <c r="C41" s="124"/>
    </row>
    <row r="42" spans="1:4" x14ac:dyDescent="0.25">
      <c r="A42" s="59" t="s">
        <v>703</v>
      </c>
      <c r="B42" s="122"/>
      <c r="C42" s="122"/>
    </row>
    <row r="43" spans="1:4" x14ac:dyDescent="0.25">
      <c r="A43" s="60" t="s">
        <v>704</v>
      </c>
      <c r="B43" s="122" t="s">
        <v>706</v>
      </c>
      <c r="C43" s="122"/>
    </row>
    <row r="44" spans="1:4" x14ac:dyDescent="0.25">
      <c r="A44" s="61" t="s">
        <v>708</v>
      </c>
      <c r="B44" s="119"/>
      <c r="C44" s="120"/>
    </row>
    <row r="45" spans="1:4" x14ac:dyDescent="0.25">
      <c r="A45" s="62" t="s">
        <v>714</v>
      </c>
      <c r="B45" s="119"/>
      <c r="C45" s="120"/>
    </row>
    <row r="46" spans="1:4" x14ac:dyDescent="0.25">
      <c r="A46" s="63" t="s">
        <v>715</v>
      </c>
      <c r="B46" s="119"/>
      <c r="C46" s="120"/>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5546875" defaultRowHeight="15" x14ac:dyDescent="0.25"/>
  <cols>
    <col min="3" max="3" width="14.7109375" customWidth="1"/>
  </cols>
  <sheetData>
    <row r="6" spans="1:6" x14ac:dyDescent="0.25">
      <c r="D6" t="s">
        <v>886</v>
      </c>
      <c r="E6" t="s">
        <v>887</v>
      </c>
      <c r="F6" t="s">
        <v>888</v>
      </c>
    </row>
    <row r="7" spans="1:6" x14ac:dyDescent="0.25">
      <c r="A7" t="s">
        <v>889</v>
      </c>
      <c r="B7" t="s">
        <v>1442</v>
      </c>
      <c r="C7" t="str">
        <f>"DriversCGE!"&amp;ADDRESS(ROW(DriversCGE!A7),COLUMN(DriversCGE!A7),4)</f>
        <v>DriversCGE!A7</v>
      </c>
      <c r="D7">
        <v>1</v>
      </c>
      <c r="E7">
        <v>1</v>
      </c>
    </row>
    <row r="8" spans="1:6" x14ac:dyDescent="0.25">
      <c r="A8" t="s">
        <v>889</v>
      </c>
      <c r="B8" t="s">
        <v>905</v>
      </c>
      <c r="C8" t="str">
        <f>"DriversCGE!"&amp;ADDRESS(ROW(DriversCGE!A34),COLUMN(DriversCGE!A34),4)</f>
        <v>DriversCGE!A34</v>
      </c>
      <c r="E8">
        <v>1</v>
      </c>
    </row>
    <row r="9" spans="1:6" x14ac:dyDescent="0.25">
      <c r="A9" t="s">
        <v>889</v>
      </c>
      <c r="B9" t="s">
        <v>1404</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8"/>
  <sheetViews>
    <sheetView workbookViewId="0">
      <selection activeCell="B8" sqref="B8"/>
    </sheetView>
  </sheetViews>
  <sheetFormatPr defaultColWidth="8.85546875"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906</v>
      </c>
      <c r="C7" t="str">
        <f>"GHGSummary!"&amp;ADDRESS(ROW(GHGSummary!B6),COLUMN(GHGSummary!B6),4)</f>
        <v>GHGSummary!B6</v>
      </c>
      <c r="D7">
        <v>2</v>
      </c>
      <c r="E7">
        <v>1</v>
      </c>
    </row>
    <row r="8" spans="1:6" x14ac:dyDescent="0.25">
      <c r="A8" t="s">
        <v>889</v>
      </c>
      <c r="B8" t="s">
        <v>1475</v>
      </c>
      <c r="C8" t="str">
        <f>"OtherSummary!"&amp;ADDRESS(ROW(OtherSummary!B6),COLUMN(OtherSummary!B6),4)</f>
        <v>OtherSummary!B6</v>
      </c>
      <c r="D8">
        <v>1</v>
      </c>
      <c r="E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CD87"/>
  <sheetViews>
    <sheetView tabSelected="1" topLeftCell="A11" workbookViewId="0">
      <selection activeCell="W49" sqref="W49"/>
    </sheetView>
  </sheetViews>
  <sheetFormatPr defaultColWidth="8.85546875" defaultRowHeight="15" x14ac:dyDescent="0.25"/>
  <sheetData>
    <row r="7" spans="1:53" x14ac:dyDescent="0.25">
      <c r="B7" s="115" t="s">
        <v>1409</v>
      </c>
      <c r="C7" s="115" t="s">
        <v>1410</v>
      </c>
      <c r="D7" s="115" t="s">
        <v>1411</v>
      </c>
      <c r="E7" s="115" t="s">
        <v>1412</v>
      </c>
      <c r="F7" s="115" t="s">
        <v>1413</v>
      </c>
      <c r="G7" s="115" t="s">
        <v>1414</v>
      </c>
      <c r="H7" s="115" t="s">
        <v>1415</v>
      </c>
      <c r="I7" s="115" t="s">
        <v>1416</v>
      </c>
      <c r="J7" s="115" t="s">
        <v>1417</v>
      </c>
      <c r="K7" s="115" t="s">
        <v>1418</v>
      </c>
      <c r="L7" s="115" t="s">
        <v>1419</v>
      </c>
      <c r="M7" s="115" t="s">
        <v>1420</v>
      </c>
      <c r="N7" s="115" t="s">
        <v>1421</v>
      </c>
      <c r="O7" s="115" t="s">
        <v>1422</v>
      </c>
      <c r="P7" s="115" t="s">
        <v>1423</v>
      </c>
      <c r="Q7" s="115" t="s">
        <v>1424</v>
      </c>
      <c r="R7" s="115" t="s">
        <v>1425</v>
      </c>
      <c r="S7" s="115" t="s">
        <v>1426</v>
      </c>
      <c r="T7" s="115" t="s">
        <v>1427</v>
      </c>
      <c r="U7" s="115" t="s">
        <v>1428</v>
      </c>
      <c r="V7" s="115" t="s">
        <v>1429</v>
      </c>
      <c r="W7" s="115" t="s">
        <v>1430</v>
      </c>
      <c r="X7" s="115" t="s">
        <v>1431</v>
      </c>
      <c r="Y7" s="115" t="s">
        <v>1432</v>
      </c>
      <c r="Z7" s="115" t="s">
        <v>1433</v>
      </c>
      <c r="AA7" s="115" t="s">
        <v>1434</v>
      </c>
      <c r="AB7" s="115" t="s">
        <v>1435</v>
      </c>
      <c r="AC7" s="115" t="s">
        <v>1436</v>
      </c>
      <c r="AD7" s="115" t="s">
        <v>1437</v>
      </c>
      <c r="AE7" s="115" t="s">
        <v>1438</v>
      </c>
      <c r="AF7" s="115" t="s">
        <v>1439</v>
      </c>
      <c r="AG7" s="115" t="s">
        <v>1440</v>
      </c>
      <c r="AH7" s="115" t="s">
        <v>1447</v>
      </c>
      <c r="AI7" s="115" t="s">
        <v>1448</v>
      </c>
      <c r="AJ7" s="115" t="s">
        <v>1449</v>
      </c>
      <c r="AK7" s="115" t="s">
        <v>1450</v>
      </c>
      <c r="AL7" s="115" t="s">
        <v>1451</v>
      </c>
      <c r="AM7" s="115" t="s">
        <v>1452</v>
      </c>
      <c r="AN7" s="115" t="s">
        <v>1453</v>
      </c>
      <c r="AO7" s="115" t="s">
        <v>1454</v>
      </c>
      <c r="AP7" s="115" t="s">
        <v>1455</v>
      </c>
      <c r="AQ7" s="115" t="s">
        <v>1456</v>
      </c>
      <c r="AR7" s="115" t="s">
        <v>1457</v>
      </c>
      <c r="AS7" s="115" t="s">
        <v>1458</v>
      </c>
      <c r="AT7" s="115" t="s">
        <v>1459</v>
      </c>
      <c r="AU7" s="115" t="s">
        <v>1460</v>
      </c>
      <c r="AV7" s="115" t="s">
        <v>1461</v>
      </c>
      <c r="AW7" s="115" t="s">
        <v>1462</v>
      </c>
      <c r="AX7" s="115" t="s">
        <v>1463</v>
      </c>
      <c r="AY7" s="115" t="s">
        <v>1464</v>
      </c>
      <c r="AZ7" s="115" t="s">
        <v>1465</v>
      </c>
      <c r="BA7" s="115" t="s">
        <v>1466</v>
      </c>
    </row>
    <row r="8" spans="1:53" x14ac:dyDescent="0.25">
      <c r="A8" s="115" t="s">
        <v>891</v>
      </c>
      <c r="B8">
        <v>2742.3903804389338</v>
      </c>
      <c r="C8">
        <v>2641.7356599892528</v>
      </c>
      <c r="D8">
        <v>2741.4442117636509</v>
      </c>
      <c r="E8">
        <v>2847.3726654180718</v>
      </c>
      <c r="F8">
        <v>2886.3002207338814</v>
      </c>
      <c r="G8">
        <v>2934.5411754470051</v>
      </c>
      <c r="H8">
        <v>2989.1959338102788</v>
      </c>
      <c r="I8">
        <v>3052.3040506995922</v>
      </c>
      <c r="J8">
        <v>3134.430678513032</v>
      </c>
      <c r="K8">
        <v>3229.617349663285</v>
      </c>
      <c r="L8">
        <v>3336.8334155062184</v>
      </c>
      <c r="M8">
        <v>3456.9976058310472</v>
      </c>
      <c r="N8">
        <v>3590.8465630799487</v>
      </c>
      <c r="O8">
        <v>3736.0422554249476</v>
      </c>
      <c r="P8">
        <v>3889.1809985815398</v>
      </c>
      <c r="Q8">
        <v>4051.1477581067934</v>
      </c>
      <c r="R8">
        <v>4219.4847159247756</v>
      </c>
      <c r="S8">
        <v>4390.5999353927482</v>
      </c>
      <c r="T8">
        <v>4575.26495181869</v>
      </c>
      <c r="U8">
        <v>4767.6636026640399</v>
      </c>
      <c r="V8">
        <v>4958.9257517208807</v>
      </c>
      <c r="W8">
        <v>5163.7356525204159</v>
      </c>
      <c r="X8">
        <v>5367.4842135872796</v>
      </c>
      <c r="Y8">
        <v>5580.0145929383152</v>
      </c>
      <c r="Z8">
        <v>5807.5264929501218</v>
      </c>
      <c r="AA8">
        <v>6043.7491656580842</v>
      </c>
      <c r="AB8">
        <v>6283.9986357768703</v>
      </c>
      <c r="AC8">
        <v>6541.563810747477</v>
      </c>
      <c r="AD8">
        <v>6813.6322046618952</v>
      </c>
      <c r="AE8">
        <v>7098.8743819179599</v>
      </c>
      <c r="AF8">
        <v>7398.7593777282118</v>
      </c>
      <c r="AG8">
        <v>7689.4064743016716</v>
      </c>
      <c r="AH8">
        <v>7990.0384742029783</v>
      </c>
      <c r="AI8">
        <v>8306.9573165830352</v>
      </c>
      <c r="AJ8">
        <v>8639.1030545814356</v>
      </c>
      <c r="AK8">
        <v>8983.0718260812337</v>
      </c>
      <c r="AL8">
        <v>8983.0718260812337</v>
      </c>
      <c r="AM8">
        <v>7319.5617960455738</v>
      </c>
      <c r="AN8">
        <v>7494.8308163079182</v>
      </c>
      <c r="AO8">
        <v>7660.7935453052314</v>
      </c>
      <c r="AP8">
        <v>7816.6291234264672</v>
      </c>
      <c r="AQ8">
        <v>7961.5517724759829</v>
      </c>
      <c r="AR8">
        <v>8094.8172985378196</v>
      </c>
      <c r="AS8">
        <v>8215.7293759486838</v>
      </c>
      <c r="AT8">
        <v>8323.64553920859</v>
      </c>
      <c r="AU8">
        <v>8417.982811589447</v>
      </c>
      <c r="AV8">
        <v>8498.2229022061783</v>
      </c>
      <c r="AW8">
        <v>8563.916907369301</v>
      </c>
      <c r="AX8">
        <v>8614.6894570998229</v>
      </c>
      <c r="AY8">
        <v>8650.2422536951126</v>
      </c>
      <c r="AZ8">
        <v>8670.3569561083241</v>
      </c>
      <c r="BA8">
        <v>8674.8973715470001</v>
      </c>
    </row>
    <row r="9" spans="1:53" x14ac:dyDescent="0.25">
      <c r="A9" s="115" t="s">
        <v>1441</v>
      </c>
      <c r="B9">
        <v>102.81301388133413</v>
      </c>
      <c r="C9">
        <v>106.26331055629672</v>
      </c>
      <c r="D9">
        <v>113.73881192185836</v>
      </c>
      <c r="E9">
        <v>110.47529947891857</v>
      </c>
      <c r="F9">
        <v>108.04441545943988</v>
      </c>
      <c r="G9">
        <v>107.27456322738571</v>
      </c>
      <c r="H9">
        <v>109.48439868057633</v>
      </c>
      <c r="I9">
        <v>110.80218127717447</v>
      </c>
      <c r="J9">
        <v>112.68633328793682</v>
      </c>
      <c r="K9">
        <v>114.76635222527344</v>
      </c>
      <c r="L9">
        <v>116.74878373008109</v>
      </c>
      <c r="M9">
        <v>119.82365944741792</v>
      </c>
      <c r="N9">
        <v>122.82281840972702</v>
      </c>
      <c r="O9">
        <v>125.82541581335968</v>
      </c>
      <c r="P9">
        <v>128.8396153566263</v>
      </c>
      <c r="Q9">
        <v>131.97232948322531</v>
      </c>
      <c r="R9">
        <v>136.27647994298513</v>
      </c>
      <c r="S9">
        <v>139.58299177825666</v>
      </c>
      <c r="T9">
        <v>142.8669941203689</v>
      </c>
      <c r="U9">
        <v>145.94803511159998</v>
      </c>
      <c r="V9">
        <v>148.90551016123177</v>
      </c>
      <c r="W9">
        <v>152.2623337383819</v>
      </c>
      <c r="X9">
        <v>155.6768858095065</v>
      </c>
      <c r="Y9">
        <v>159.84266078783259</v>
      </c>
      <c r="Z9">
        <v>163.77955480614955</v>
      </c>
      <c r="AA9">
        <v>169.17345464046952</v>
      </c>
      <c r="AB9">
        <v>173.89495821409014</v>
      </c>
      <c r="AC9">
        <v>178.79517131728036</v>
      </c>
      <c r="AD9">
        <v>184.9305603195065</v>
      </c>
      <c r="AE9">
        <v>190.37754850989154</v>
      </c>
      <c r="AF9">
        <v>196.07334665488159</v>
      </c>
      <c r="AG9">
        <v>201.97438932193327</v>
      </c>
      <c r="AH9">
        <v>207.85079438151666</v>
      </c>
      <c r="AI9">
        <v>214.03867720836169</v>
      </c>
      <c r="AJ9">
        <v>220.44839909198265</v>
      </c>
      <c r="AK9">
        <v>227.14888420314193</v>
      </c>
      <c r="AL9">
        <v>227.14888420314193</v>
      </c>
      <c r="AM9">
        <v>289.28654241024299</v>
      </c>
      <c r="AN9">
        <v>296.21359218127122</v>
      </c>
      <c r="AO9">
        <v>302.77283512209027</v>
      </c>
      <c r="AP9">
        <v>308.93182890277654</v>
      </c>
      <c r="AQ9">
        <v>314.65951769462703</v>
      </c>
      <c r="AR9">
        <v>319.92648917886788</v>
      </c>
      <c r="AS9">
        <v>324.70522290425646</v>
      </c>
      <c r="AT9">
        <v>328.9703271016831</v>
      </c>
      <c r="AU9">
        <v>332.69876114020923</v>
      </c>
      <c r="AV9">
        <v>335.87004092771502</v>
      </c>
      <c r="AW9">
        <v>338.46642471956818</v>
      </c>
      <c r="AX9">
        <v>340.47307699878388</v>
      </c>
      <c r="AY9">
        <v>341.8782083285887</v>
      </c>
      <c r="AZ9">
        <v>342.67318934997616</v>
      </c>
      <c r="BA9">
        <v>342.85263739891133</v>
      </c>
    </row>
    <row r="10" spans="1:53" x14ac:dyDescent="0.25">
      <c r="A10" s="115" t="s">
        <v>897</v>
      </c>
      <c r="B10">
        <v>195.00072986246352</v>
      </c>
      <c r="C10">
        <v>176.3388379836237</v>
      </c>
      <c r="D10">
        <v>194.63952696828844</v>
      </c>
      <c r="E10">
        <v>184.69284166071549</v>
      </c>
      <c r="F10">
        <v>187.21516137297624</v>
      </c>
      <c r="G10">
        <v>187.50374720551281</v>
      </c>
      <c r="H10">
        <v>189.32765053920016</v>
      </c>
      <c r="I10">
        <v>192.97378938860842</v>
      </c>
      <c r="J10">
        <v>195.70753299619176</v>
      </c>
      <c r="K10">
        <v>198.67961546810602</v>
      </c>
      <c r="L10">
        <v>202.9004007297458</v>
      </c>
      <c r="M10">
        <v>207.74841905014006</v>
      </c>
      <c r="N10">
        <v>213.10889080138818</v>
      </c>
      <c r="O10">
        <v>218.79602570245692</v>
      </c>
      <c r="P10">
        <v>224.98937119243431</v>
      </c>
      <c r="Q10">
        <v>231.42155955674644</v>
      </c>
      <c r="R10">
        <v>241.45698719128956</v>
      </c>
      <c r="S10">
        <v>249.04066073108191</v>
      </c>
      <c r="T10">
        <v>256.7568192109926</v>
      </c>
      <c r="U10">
        <v>264.57514453777304</v>
      </c>
      <c r="V10">
        <v>272.77314972047952</v>
      </c>
      <c r="W10">
        <v>281.48022251724979</v>
      </c>
      <c r="X10">
        <v>290.56777935677655</v>
      </c>
      <c r="Y10">
        <v>300.00898890482955</v>
      </c>
      <c r="Z10">
        <v>310.68466855790291</v>
      </c>
      <c r="AA10">
        <v>321.37572808609741</v>
      </c>
      <c r="AB10">
        <v>332.9650860173964</v>
      </c>
      <c r="AC10">
        <v>346.18696765543297</v>
      </c>
      <c r="AD10">
        <v>359.97750549055968</v>
      </c>
      <c r="AE10">
        <v>374.77964689305531</v>
      </c>
      <c r="AF10">
        <v>390.48494373005519</v>
      </c>
      <c r="AG10">
        <v>406.59987369541807</v>
      </c>
      <c r="AH10">
        <v>423.2753713013085</v>
      </c>
      <c r="AI10">
        <v>440.94263093136749</v>
      </c>
      <c r="AJ10">
        <v>459.53848231860331</v>
      </c>
      <c r="AK10">
        <v>478.82682642191571</v>
      </c>
      <c r="AL10">
        <v>478.82682642191571</v>
      </c>
      <c r="AM10">
        <v>539.31317359320883</v>
      </c>
      <c r="AN10">
        <v>552.22718322713592</v>
      </c>
      <c r="AO10">
        <v>564.45549532665075</v>
      </c>
      <c r="AP10">
        <v>575.93762807409212</v>
      </c>
      <c r="AQ10">
        <v>586.61568448815979</v>
      </c>
      <c r="AR10">
        <v>596.4348315619377</v>
      </c>
      <c r="AS10">
        <v>605.34376327277187</v>
      </c>
      <c r="AT10">
        <v>613.29514207268119</v>
      </c>
      <c r="AU10">
        <v>620.24601361028249</v>
      </c>
      <c r="AV10">
        <v>626.15818965657195</v>
      </c>
      <c r="AW10">
        <v>630.99859450563179</v>
      </c>
      <c r="AX10">
        <v>634.73957049430101</v>
      </c>
      <c r="AY10">
        <v>637.35913872750837</v>
      </c>
      <c r="AZ10">
        <v>638.84121160244638</v>
      </c>
      <c r="BA10">
        <v>639.17575428790974</v>
      </c>
    </row>
    <row r="11" spans="1:53" x14ac:dyDescent="0.25">
      <c r="A11" s="115" t="s">
        <v>894</v>
      </c>
      <c r="B11">
        <v>155.24978901659512</v>
      </c>
      <c r="C11">
        <v>146.28407035914699</v>
      </c>
      <c r="D11">
        <v>155.19896373506174</v>
      </c>
      <c r="E11">
        <v>164.2193762315772</v>
      </c>
      <c r="F11">
        <v>166.97189050831386</v>
      </c>
      <c r="G11">
        <v>170.15266587450819</v>
      </c>
      <c r="H11">
        <v>171.22501239232321</v>
      </c>
      <c r="I11">
        <v>171.28423771596761</v>
      </c>
      <c r="J11">
        <v>174.06305275810016</v>
      </c>
      <c r="K11">
        <v>177.06933713606128</v>
      </c>
      <c r="L11">
        <v>180.47799159121632</v>
      </c>
      <c r="M11">
        <v>185.74744927799736</v>
      </c>
      <c r="N11">
        <v>191.25584731869895</v>
      </c>
      <c r="O11">
        <v>196.74323352963054</v>
      </c>
      <c r="P11">
        <v>202.37777578205038</v>
      </c>
      <c r="Q11">
        <v>208.26124210455654</v>
      </c>
      <c r="R11">
        <v>216.62840546095413</v>
      </c>
      <c r="S11">
        <v>222.15567714638212</v>
      </c>
      <c r="T11">
        <v>227.66685956435049</v>
      </c>
      <c r="U11">
        <v>233.32231860887416</v>
      </c>
      <c r="V11">
        <v>238.78775850014603</v>
      </c>
      <c r="W11">
        <v>244.80096617456425</v>
      </c>
      <c r="X11">
        <v>251.28347354139453</v>
      </c>
      <c r="Y11">
        <v>258.09148770598165</v>
      </c>
      <c r="Z11">
        <v>265.10064642347788</v>
      </c>
      <c r="AA11">
        <v>272.49286006408317</v>
      </c>
      <c r="AB11">
        <v>280.32559553941178</v>
      </c>
      <c r="AC11">
        <v>288.56311741019277</v>
      </c>
      <c r="AD11">
        <v>297.13378694596167</v>
      </c>
      <c r="AE11">
        <v>306.25343779951584</v>
      </c>
      <c r="AF11">
        <v>316.04940247918449</v>
      </c>
      <c r="AG11">
        <v>326.14269080520069</v>
      </c>
      <c r="AH11">
        <v>336.23930968153343</v>
      </c>
      <c r="AI11">
        <v>346.75756858216852</v>
      </c>
      <c r="AJ11">
        <v>357.59087835892751</v>
      </c>
      <c r="AK11">
        <v>368.86864720910654</v>
      </c>
      <c r="AL11">
        <v>368.86864720910654</v>
      </c>
      <c r="AM11">
        <v>431.45696988360572</v>
      </c>
      <c r="AN11">
        <v>442.1365768460326</v>
      </c>
      <c r="AO11">
        <v>452.2539046562319</v>
      </c>
      <c r="AP11">
        <v>461.75949738679077</v>
      </c>
      <c r="AQ11">
        <v>470.60601324322437</v>
      </c>
      <c r="AR11">
        <v>478.7486164897378</v>
      </c>
      <c r="AS11">
        <v>486.14535618252467</v>
      </c>
      <c r="AT11">
        <v>492.75752730063232</v>
      </c>
      <c r="AU11">
        <v>498.55000998082255</v>
      </c>
      <c r="AV11">
        <v>503.49158274392465</v>
      </c>
      <c r="AW11">
        <v>507.55520584453268</v>
      </c>
      <c r="AX11">
        <v>510.71827118097099</v>
      </c>
      <c r="AY11">
        <v>512.96281556454733</v>
      </c>
      <c r="AZ11">
        <v>514.27569456139031</v>
      </c>
      <c r="BA11">
        <v>514.64871458081916</v>
      </c>
    </row>
    <row r="12" spans="1:53" x14ac:dyDescent="0.25">
      <c r="A12" s="115" t="s">
        <v>900</v>
      </c>
      <c r="B12">
        <v>361.17597823920846</v>
      </c>
      <c r="C12">
        <v>313.87202367419002</v>
      </c>
      <c r="D12">
        <v>332.75397219209367</v>
      </c>
      <c r="E12">
        <v>346.10302592884148</v>
      </c>
      <c r="F12">
        <v>346.71001745306933</v>
      </c>
      <c r="G12">
        <v>350.62906050907787</v>
      </c>
      <c r="H12">
        <v>362.83272566715232</v>
      </c>
      <c r="I12">
        <v>382.13103177650339</v>
      </c>
      <c r="J12">
        <v>387.16048716475962</v>
      </c>
      <c r="K12">
        <v>392.8669328212776</v>
      </c>
      <c r="L12">
        <v>402.98378611435692</v>
      </c>
      <c r="M12">
        <v>419.20830561881115</v>
      </c>
      <c r="N12">
        <v>435.65642122667555</v>
      </c>
      <c r="O12">
        <v>451.45306826597749</v>
      </c>
      <c r="P12">
        <v>468.52367238951803</v>
      </c>
      <c r="Q12">
        <v>487.7764308067035</v>
      </c>
      <c r="R12">
        <v>509.56821407991231</v>
      </c>
      <c r="S12">
        <v>529.65270964366982</v>
      </c>
      <c r="T12">
        <v>547.46656709455044</v>
      </c>
      <c r="U12">
        <v>562.76985842281249</v>
      </c>
      <c r="V12">
        <v>584.76258089254145</v>
      </c>
      <c r="W12">
        <v>601.90291120605684</v>
      </c>
      <c r="X12">
        <v>625.06676101016444</v>
      </c>
      <c r="Y12">
        <v>650.54305862182321</v>
      </c>
      <c r="Z12">
        <v>675.9107927288785</v>
      </c>
      <c r="AA12">
        <v>703.68184944080724</v>
      </c>
      <c r="AB12">
        <v>733.35170478805128</v>
      </c>
      <c r="AC12">
        <v>764.17085582198615</v>
      </c>
      <c r="AD12">
        <v>795.36338752524671</v>
      </c>
      <c r="AE12">
        <v>829.05308072924254</v>
      </c>
      <c r="AF12">
        <v>864.11792759262744</v>
      </c>
      <c r="AG12">
        <v>898.93407130043965</v>
      </c>
      <c r="AH12">
        <v>936.23457126153835</v>
      </c>
      <c r="AI12">
        <v>974.71434038147015</v>
      </c>
      <c r="AJ12">
        <v>1014.5320166768333</v>
      </c>
      <c r="AK12">
        <v>1056.5562966058374</v>
      </c>
      <c r="AL12">
        <v>1056.5562966058374</v>
      </c>
      <c r="AM12">
        <v>1019.6380993377895</v>
      </c>
      <c r="AN12">
        <v>1044.8766165131667</v>
      </c>
      <c r="AO12">
        <v>1068.7863308505011</v>
      </c>
      <c r="AP12">
        <v>1091.2503659256115</v>
      </c>
      <c r="AQ12">
        <v>1112.156841526293</v>
      </c>
      <c r="AR12">
        <v>1131.399799868527</v>
      </c>
      <c r="AS12">
        <v>1148.8801006356791</v>
      </c>
      <c r="AT12">
        <v>1164.5062744188547</v>
      </c>
      <c r="AU12">
        <v>1178.1953244116489</v>
      </c>
      <c r="AV12">
        <v>1189.8734666404512</v>
      </c>
      <c r="AW12">
        <v>1199.4767995889185</v>
      </c>
      <c r="AX12">
        <v>1206.9518947962049</v>
      </c>
      <c r="AY12">
        <v>1212.2563008642458</v>
      </c>
      <c r="AZ12">
        <v>1215.358954288439</v>
      </c>
      <c r="BA12">
        <v>1216.2404916146943</v>
      </c>
    </row>
    <row r="13" spans="1:53" x14ac:dyDescent="0.25">
      <c r="A13" s="115" t="s">
        <v>902</v>
      </c>
      <c r="B13">
        <v>24.01473806374511</v>
      </c>
      <c r="C13">
        <v>22.396992506191513</v>
      </c>
      <c r="D13">
        <v>23.16494857108998</v>
      </c>
      <c r="E13">
        <v>25.223857960394056</v>
      </c>
      <c r="F13">
        <v>25.363496309763104</v>
      </c>
      <c r="G13">
        <v>25.748255753947621</v>
      </c>
      <c r="H13">
        <v>26.109435896935903</v>
      </c>
      <c r="I13">
        <v>26.508865223406872</v>
      </c>
      <c r="J13">
        <v>27.004890316983712</v>
      </c>
      <c r="K13">
        <v>27.588964582836486</v>
      </c>
      <c r="L13">
        <v>28.292243573179132</v>
      </c>
      <c r="M13">
        <v>29.202544715342889</v>
      </c>
      <c r="N13">
        <v>30.199382533758811</v>
      </c>
      <c r="O13">
        <v>31.288939978025965</v>
      </c>
      <c r="P13">
        <v>32.420173656799037</v>
      </c>
      <c r="Q13">
        <v>33.610202845001929</v>
      </c>
      <c r="R13">
        <v>35.19231605772034</v>
      </c>
      <c r="S13">
        <v>36.372205795843563</v>
      </c>
      <c r="T13">
        <v>37.624277738682949</v>
      </c>
      <c r="U13">
        <v>38.931691402805257</v>
      </c>
      <c r="V13">
        <v>40.269338085407043</v>
      </c>
      <c r="W13">
        <v>41.688299761384684</v>
      </c>
      <c r="X13">
        <v>43.174340759015742</v>
      </c>
      <c r="Y13">
        <v>44.673382058452823</v>
      </c>
      <c r="Z13">
        <v>46.286450417208449</v>
      </c>
      <c r="AA13">
        <v>47.975360155554284</v>
      </c>
      <c r="AB13">
        <v>49.774526313165637</v>
      </c>
      <c r="AC13">
        <v>51.708464184302905</v>
      </c>
      <c r="AD13">
        <v>53.729221217054025</v>
      </c>
      <c r="AE13">
        <v>55.881697981672211</v>
      </c>
      <c r="AF13">
        <v>58.136102563366713</v>
      </c>
      <c r="AG13">
        <v>60.383301870994053</v>
      </c>
      <c r="AH13">
        <v>62.671164979037741</v>
      </c>
      <c r="AI13">
        <v>65.079939025365135</v>
      </c>
      <c r="AJ13">
        <v>67.606873076861206</v>
      </c>
      <c r="AK13">
        <v>70.231502606573969</v>
      </c>
      <c r="AL13">
        <v>70.231502606573969</v>
      </c>
      <c r="AM13">
        <v>66.786337195974269</v>
      </c>
      <c r="AN13">
        <v>68.43946110287402</v>
      </c>
      <c r="AO13">
        <v>70.005548369552002</v>
      </c>
      <c r="AP13">
        <v>71.476943585445639</v>
      </c>
      <c r="AQ13">
        <v>72.846318592081175</v>
      </c>
      <c r="AR13">
        <v>74.106733150273129</v>
      </c>
      <c r="AS13">
        <v>75.251693565228464</v>
      </c>
      <c r="AT13">
        <v>76.275208586924734</v>
      </c>
      <c r="AU13">
        <v>77.171841921148967</v>
      </c>
      <c r="AV13">
        <v>77.936760714612916</v>
      </c>
      <c r="AW13">
        <v>78.565779415383403</v>
      </c>
      <c r="AX13">
        <v>79.055398457090519</v>
      </c>
      <c r="AY13">
        <v>79.402837271425355</v>
      </c>
      <c r="AZ13">
        <v>79.606061197566405</v>
      </c>
      <c r="BA13">
        <v>79.663801928479032</v>
      </c>
    </row>
    <row r="14" spans="1:53" x14ac:dyDescent="0.25">
      <c r="A14" s="115" t="s">
        <v>892</v>
      </c>
      <c r="B14">
        <v>78.727153819698373</v>
      </c>
      <c r="C14">
        <v>72.786239264052739</v>
      </c>
      <c r="D14">
        <v>75.247700712736417</v>
      </c>
      <c r="E14">
        <v>82.308836278913247</v>
      </c>
      <c r="F14">
        <v>81.593514211462491</v>
      </c>
      <c r="G14">
        <v>82.33941830992066</v>
      </c>
      <c r="H14">
        <v>83.28518782107605</v>
      </c>
      <c r="I14">
        <v>84.407079717992943</v>
      </c>
      <c r="J14">
        <v>85.853857761959517</v>
      </c>
      <c r="K14">
        <v>87.454370351790743</v>
      </c>
      <c r="L14">
        <v>89.514872741387038</v>
      </c>
      <c r="M14">
        <v>92.251793456155127</v>
      </c>
      <c r="N14">
        <v>95.150585434642835</v>
      </c>
      <c r="O14">
        <v>98.234822664158088</v>
      </c>
      <c r="P14">
        <v>101.57620893650426</v>
      </c>
      <c r="Q14">
        <v>105.06038283171577</v>
      </c>
      <c r="R14">
        <v>109.58646026068963</v>
      </c>
      <c r="S14">
        <v>112.87502335315602</v>
      </c>
      <c r="T14">
        <v>116.55656694318412</v>
      </c>
      <c r="U14">
        <v>120.41927894410634</v>
      </c>
      <c r="V14">
        <v>124.32288205370527</v>
      </c>
      <c r="W14">
        <v>128.61441502509766</v>
      </c>
      <c r="X14">
        <v>133.05871523289576</v>
      </c>
      <c r="Y14">
        <v>137.63739686397298</v>
      </c>
      <c r="Z14">
        <v>142.6567025431319</v>
      </c>
      <c r="AA14">
        <v>147.64917124098628</v>
      </c>
      <c r="AB14">
        <v>153.31550728468994</v>
      </c>
      <c r="AC14">
        <v>159.46709073288247</v>
      </c>
      <c r="AD14">
        <v>165.7045767714153</v>
      </c>
      <c r="AE14">
        <v>172.37711129357979</v>
      </c>
      <c r="AF14">
        <v>179.37363163821195</v>
      </c>
      <c r="AG14">
        <v>186.34951265079724</v>
      </c>
      <c r="AH14">
        <v>193.68845122485286</v>
      </c>
      <c r="AI14">
        <v>201.38072018036681</v>
      </c>
      <c r="AJ14">
        <v>209.39774642405746</v>
      </c>
      <c r="AK14">
        <v>217.6681457260031</v>
      </c>
      <c r="AL14">
        <v>217.6681457260031</v>
      </c>
      <c r="AM14">
        <v>219.14701156481777</v>
      </c>
      <c r="AN14">
        <v>224.57143187522334</v>
      </c>
      <c r="AO14">
        <v>229.71025755052744</v>
      </c>
      <c r="AP14">
        <v>234.53836877704489</v>
      </c>
      <c r="AQ14">
        <v>239.03171955828549</v>
      </c>
      <c r="AR14">
        <v>243.16753678314754</v>
      </c>
      <c r="AS14">
        <v>246.92451259335266</v>
      </c>
      <c r="AT14">
        <v>250.2829878101962</v>
      </c>
      <c r="AU14">
        <v>253.22512423980839</v>
      </c>
      <c r="AV14">
        <v>255.73506376809107</v>
      </c>
      <c r="AW14">
        <v>257.79907228060677</v>
      </c>
      <c r="AX14">
        <v>259.40566659765238</v>
      </c>
      <c r="AY14">
        <v>260.54572279866369</v>
      </c>
      <c r="AZ14">
        <v>261.21256452052063</v>
      </c>
      <c r="BA14">
        <v>261.40203004829675</v>
      </c>
    </row>
    <row r="15" spans="1:53" x14ac:dyDescent="0.25">
      <c r="A15" s="115" t="s">
        <v>899</v>
      </c>
      <c r="B15">
        <v>9.7246298269513893</v>
      </c>
      <c r="C15">
        <v>8.7488988442103572</v>
      </c>
      <c r="D15">
        <v>9.2591066198297938</v>
      </c>
      <c r="E15">
        <v>9.6053177815446205</v>
      </c>
      <c r="F15">
        <v>9.6077435987166044</v>
      </c>
      <c r="G15">
        <v>9.6865006679083443</v>
      </c>
      <c r="H15">
        <v>9.9356801284544964</v>
      </c>
      <c r="I15">
        <v>10.355423265645165</v>
      </c>
      <c r="J15">
        <v>10.540537937956756</v>
      </c>
      <c r="K15">
        <v>10.743664367456294</v>
      </c>
      <c r="L15">
        <v>11.039617759113263</v>
      </c>
      <c r="M15">
        <v>11.440227670359912</v>
      </c>
      <c r="N15">
        <v>11.874513611142207</v>
      </c>
      <c r="O15">
        <v>12.317975192410323</v>
      </c>
      <c r="P15">
        <v>12.799464586206865</v>
      </c>
      <c r="Q15">
        <v>13.320137181581387</v>
      </c>
      <c r="R15">
        <v>13.977017834831253</v>
      </c>
      <c r="S15">
        <v>14.531352759702195</v>
      </c>
      <c r="T15">
        <v>15.077164428213591</v>
      </c>
      <c r="U15">
        <v>15.601974696682293</v>
      </c>
      <c r="V15">
        <v>16.218240910458366</v>
      </c>
      <c r="W15">
        <v>16.780084016986844</v>
      </c>
      <c r="X15">
        <v>17.416903888192483</v>
      </c>
      <c r="Y15">
        <v>18.072337062034066</v>
      </c>
      <c r="Z15">
        <v>18.762007529592967</v>
      </c>
      <c r="AA15">
        <v>19.48195068719421</v>
      </c>
      <c r="AB15">
        <v>20.265489302261599</v>
      </c>
      <c r="AC15">
        <v>21.098246563761844</v>
      </c>
      <c r="AD15">
        <v>21.961968480776267</v>
      </c>
      <c r="AE15">
        <v>22.885302745770279</v>
      </c>
      <c r="AF15">
        <v>23.849681234285185</v>
      </c>
      <c r="AG15">
        <v>24.810838870897534</v>
      </c>
      <c r="AH15">
        <v>25.802505279548882</v>
      </c>
      <c r="AI15">
        <v>26.851581084854111</v>
      </c>
      <c r="AJ15">
        <v>27.94754295644853</v>
      </c>
      <c r="AK15">
        <v>29.095388254451485</v>
      </c>
      <c r="AL15">
        <v>29.095388254451485</v>
      </c>
      <c r="AM15">
        <v>48.998881596547079</v>
      </c>
      <c r="AN15">
        <v>50.211722814967501</v>
      </c>
      <c r="AO15">
        <v>51.360708187898531</v>
      </c>
      <c r="AP15">
        <v>52.440221198976559</v>
      </c>
      <c r="AQ15">
        <v>53.444885425650895</v>
      </c>
      <c r="AR15">
        <v>54.369609048660635</v>
      </c>
      <c r="AS15">
        <v>55.209627863294962</v>
      </c>
      <c r="AT15">
        <v>55.960546291613937</v>
      </c>
      <c r="AU15">
        <v>56.618375908025648</v>
      </c>
      <c r="AV15">
        <v>57.179571011178766</v>
      </c>
      <c r="AW15">
        <v>57.641060802880126</v>
      </c>
      <c r="AX15">
        <v>58.000277769392667</v>
      </c>
      <c r="AY15">
        <v>58.255181901590888</v>
      </c>
      <c r="AZ15">
        <v>58.404280437498784</v>
      </c>
      <c r="BA15">
        <v>58.446642863049739</v>
      </c>
    </row>
    <row r="16" spans="1:53" x14ac:dyDescent="0.25">
      <c r="A16" s="115" t="s">
        <v>896</v>
      </c>
      <c r="B16">
        <v>20.822016404956567</v>
      </c>
      <c r="C16">
        <v>17.130015529097005</v>
      </c>
      <c r="D16">
        <v>17.376840977033584</v>
      </c>
      <c r="E16">
        <v>19.117873451226057</v>
      </c>
      <c r="F16">
        <v>18.501541456180338</v>
      </c>
      <c r="G16">
        <v>18.291626093682375</v>
      </c>
      <c r="H16">
        <v>18.525800150644699</v>
      </c>
      <c r="I16">
        <v>19.281285677994781</v>
      </c>
      <c r="J16">
        <v>19.570554701579521</v>
      </c>
      <c r="K16">
        <v>20.161896209124695</v>
      </c>
      <c r="L16">
        <v>20.605898516405187</v>
      </c>
      <c r="M16">
        <v>21.113796772353567</v>
      </c>
      <c r="N16">
        <v>21.831938965428218</v>
      </c>
      <c r="O16">
        <v>22.599968268302945</v>
      </c>
      <c r="P16">
        <v>23.35676988818609</v>
      </c>
      <c r="Q16">
        <v>24.002523758416658</v>
      </c>
      <c r="R16">
        <v>25.578774604154784</v>
      </c>
      <c r="S16">
        <v>26.457918341402944</v>
      </c>
      <c r="T16">
        <v>27.338770298326281</v>
      </c>
      <c r="U16">
        <v>28.251517807949501</v>
      </c>
      <c r="V16">
        <v>29.109403922735922</v>
      </c>
      <c r="W16">
        <v>30.149252225542408</v>
      </c>
      <c r="X16">
        <v>31.041227126171336</v>
      </c>
      <c r="Y16">
        <v>31.960527993910144</v>
      </c>
      <c r="Z16">
        <v>33.1218110460227</v>
      </c>
      <c r="AA16">
        <v>34.141755281932696</v>
      </c>
      <c r="AB16">
        <v>35.346548113201926</v>
      </c>
      <c r="AC16">
        <v>36.736543480238176</v>
      </c>
      <c r="AD16">
        <v>38.139683700587121</v>
      </c>
      <c r="AE16">
        <v>39.640468261993334</v>
      </c>
      <c r="AF16">
        <v>41.248069252680544</v>
      </c>
      <c r="AG16">
        <v>42.837250536687527</v>
      </c>
      <c r="AH16">
        <v>44.413091207235325</v>
      </c>
      <c r="AI16">
        <v>46.16757309437552</v>
      </c>
      <c r="AJ16">
        <v>48.002873730739068</v>
      </c>
      <c r="AK16">
        <v>49.851411877687283</v>
      </c>
      <c r="AL16">
        <v>49.851411877687283</v>
      </c>
      <c r="AM16">
        <v>57.948195195008886</v>
      </c>
      <c r="AN16">
        <v>59.382553641070473</v>
      </c>
      <c r="AO16">
        <v>60.741393404292936</v>
      </c>
      <c r="AP16">
        <v>62.018072149668818</v>
      </c>
      <c r="AQ16">
        <v>63.206231487511133</v>
      </c>
      <c r="AR16">
        <v>64.299849612284419</v>
      </c>
      <c r="AS16">
        <v>65.293292169580255</v>
      </c>
      <c r="AT16">
        <v>66.181360758942191</v>
      </c>
      <c r="AU16">
        <v>66.959338495878328</v>
      </c>
      <c r="AV16">
        <v>67.623032080719071</v>
      </c>
      <c r="AW16">
        <v>68.168809854795839</v>
      </c>
      <c r="AX16">
        <v>68.593635365390654</v>
      </c>
      <c r="AY16">
        <v>68.895096009538861</v>
      </c>
      <c r="AZ16">
        <v>69.071426382407807</v>
      </c>
      <c r="BA16">
        <v>69.121526017843848</v>
      </c>
    </row>
    <row r="17" spans="1:53" x14ac:dyDescent="0.25">
      <c r="A17" s="115" t="s">
        <v>898</v>
      </c>
      <c r="B17">
        <v>13.081394956063592</v>
      </c>
      <c r="C17">
        <v>10.37249769276357</v>
      </c>
      <c r="D17">
        <v>9.9927940376101709</v>
      </c>
      <c r="E17">
        <v>11.261182032758258</v>
      </c>
      <c r="F17">
        <v>10.733714795728819</v>
      </c>
      <c r="G17">
        <v>10.598672511576488</v>
      </c>
      <c r="H17">
        <v>10.62699953234627</v>
      </c>
      <c r="I17">
        <v>10.872747104432278</v>
      </c>
      <c r="J17">
        <v>10.919052507235579</v>
      </c>
      <c r="K17">
        <v>11.039048509489882</v>
      </c>
      <c r="L17">
        <v>11.208088881013722</v>
      </c>
      <c r="M17">
        <v>11.450674095649713</v>
      </c>
      <c r="N17">
        <v>11.731808112806373</v>
      </c>
      <c r="O17">
        <v>12.041684544871712</v>
      </c>
      <c r="P17">
        <v>12.38093654359607</v>
      </c>
      <c r="Q17">
        <v>12.745807206120412</v>
      </c>
      <c r="R17">
        <v>13.539248944304042</v>
      </c>
      <c r="S17">
        <v>13.871828521202641</v>
      </c>
      <c r="T17">
        <v>14.307144968915392</v>
      </c>
      <c r="U17">
        <v>14.733497559935691</v>
      </c>
      <c r="V17">
        <v>15.178709002254116</v>
      </c>
      <c r="W17">
        <v>15.689643960168707</v>
      </c>
      <c r="X17">
        <v>16.193979004022662</v>
      </c>
      <c r="Y17">
        <v>16.754102154887445</v>
      </c>
      <c r="Z17">
        <v>17.44157181336853</v>
      </c>
      <c r="AA17">
        <v>18.021523328506031</v>
      </c>
      <c r="AB17">
        <v>18.773347402391281</v>
      </c>
      <c r="AC17">
        <v>19.575822779742076</v>
      </c>
      <c r="AD17">
        <v>20.425862877397794</v>
      </c>
      <c r="AE17">
        <v>21.346683581842651</v>
      </c>
      <c r="AF17">
        <v>22.347390153020925</v>
      </c>
      <c r="AG17">
        <v>23.328490599494103</v>
      </c>
      <c r="AH17">
        <v>24.565754909747429</v>
      </c>
      <c r="AI17">
        <v>25.681897574092741</v>
      </c>
      <c r="AJ17">
        <v>26.846820366068258</v>
      </c>
      <c r="AK17">
        <v>28.043222049684513</v>
      </c>
      <c r="AL17">
        <v>28.043222049684513</v>
      </c>
      <c r="AM17">
        <v>36.353112381329318</v>
      </c>
      <c r="AN17">
        <v>37.252940125908957</v>
      </c>
      <c r="AO17">
        <v>38.105392121254276</v>
      </c>
      <c r="AP17">
        <v>38.906301377346196</v>
      </c>
      <c r="AQ17">
        <v>39.651679033891874</v>
      </c>
      <c r="AR17">
        <v>40.337747382670514</v>
      </c>
      <c r="AS17">
        <v>40.960971778326609</v>
      </c>
      <c r="AT17">
        <v>41.518091066041428</v>
      </c>
      <c r="AU17">
        <v>42.006146164320789</v>
      </c>
      <c r="AV17">
        <v>42.422506456393549</v>
      </c>
      <c r="AW17">
        <v>42.764893664303578</v>
      </c>
      <c r="AX17">
        <v>43.03140290548248</v>
      </c>
      <c r="AY17">
        <v>43.220520662099197</v>
      </c>
      <c r="AZ17">
        <v>43.331139428388205</v>
      </c>
      <c r="BA17">
        <v>43.362568839971111</v>
      </c>
    </row>
    <row r="18" spans="1:53" x14ac:dyDescent="0.25">
      <c r="A18" s="115" t="s">
        <v>895</v>
      </c>
      <c r="B18">
        <v>0.12038694518980531</v>
      </c>
      <c r="C18">
        <v>0.12031170354548387</v>
      </c>
      <c r="D18">
        <v>0.12006533871457399</v>
      </c>
      <c r="E18">
        <v>0.1199878523075328</v>
      </c>
      <c r="F18">
        <v>0.11998785230753277</v>
      </c>
      <c r="G18">
        <v>0.11998785230753273</v>
      </c>
      <c r="H18">
        <v>0.11998785230753277</v>
      </c>
      <c r="I18">
        <v>0.1199878523075328</v>
      </c>
      <c r="J18">
        <v>0.1199878523075328</v>
      </c>
      <c r="K18">
        <v>0.11998785230753281</v>
      </c>
      <c r="L18">
        <v>0.11998785230753285</v>
      </c>
      <c r="M18">
        <v>0.11998785230753288</v>
      </c>
      <c r="N18">
        <v>0.11998785230753285</v>
      </c>
      <c r="O18">
        <v>0.11998785230753277</v>
      </c>
      <c r="P18">
        <v>0.11998785230753277</v>
      </c>
      <c r="Q18">
        <v>0.11998785230753273</v>
      </c>
      <c r="R18">
        <v>0.11998785230753262</v>
      </c>
      <c r="S18">
        <v>0.11998785230753256</v>
      </c>
      <c r="T18">
        <v>0.11998785230753253</v>
      </c>
      <c r="U18">
        <v>0.11998785230753249</v>
      </c>
      <c r="V18">
        <v>0.11998785230753244</v>
      </c>
      <c r="W18">
        <v>0.11998785230753244</v>
      </c>
      <c r="X18">
        <v>0.11998785230753242</v>
      </c>
      <c r="Y18">
        <v>0.11998785230753234</v>
      </c>
      <c r="Z18">
        <v>0.11998785230753237</v>
      </c>
      <c r="AA18">
        <v>0.11998785230753234</v>
      </c>
      <c r="AB18">
        <v>0.11998785230753237</v>
      </c>
      <c r="AC18">
        <v>0.11998785230753242</v>
      </c>
      <c r="AD18">
        <v>0.11998785230753244</v>
      </c>
      <c r="AE18">
        <v>0.11998785230753239</v>
      </c>
      <c r="AF18">
        <v>0.1199878523075323</v>
      </c>
      <c r="AG18">
        <v>0.11998785230753233</v>
      </c>
      <c r="AH18">
        <v>0.11998785230753235</v>
      </c>
      <c r="AI18">
        <v>0.11998785230753231</v>
      </c>
      <c r="AJ18">
        <v>0.11998785230753231</v>
      </c>
      <c r="AK18">
        <v>0.11998785230753234</v>
      </c>
      <c r="AL18">
        <v>0.11998785230753234</v>
      </c>
      <c r="AM18">
        <v>0.33351479248925975</v>
      </c>
      <c r="AN18">
        <v>0.34177009289824734</v>
      </c>
      <c r="AO18">
        <v>0.34959075340600249</v>
      </c>
      <c r="AP18">
        <v>0.35693854474629533</v>
      </c>
      <c r="AQ18">
        <v>0.36377687187056762</v>
      </c>
      <c r="AR18">
        <v>0.37007107690523405</v>
      </c>
      <c r="AS18">
        <v>0.37578873191125328</v>
      </c>
      <c r="AT18">
        <v>0.38089991803707729</v>
      </c>
      <c r="AU18">
        <v>0.38537748774606229</v>
      </c>
      <c r="AV18">
        <v>0.38919730693939036</v>
      </c>
      <c r="AW18">
        <v>0.3923384739844365</v>
      </c>
      <c r="AX18">
        <v>0.39478351289433466</v>
      </c>
      <c r="AY18">
        <v>0.39651853818439625</v>
      </c>
      <c r="AZ18">
        <v>0.39753338925126791</v>
      </c>
      <c r="BA18">
        <v>0.39782173247679914</v>
      </c>
    </row>
    <row r="19" spans="1:53" x14ac:dyDescent="0.25">
      <c r="A19" s="115" t="s">
        <v>893</v>
      </c>
      <c r="B19">
        <v>142.16546283896085</v>
      </c>
      <c r="C19">
        <v>135.80317478903865</v>
      </c>
      <c r="D19">
        <v>146.22648017079877</v>
      </c>
      <c r="E19">
        <v>150.79986201859398</v>
      </c>
      <c r="F19">
        <v>147.79494896862761</v>
      </c>
      <c r="G19">
        <v>148.44851019592767</v>
      </c>
      <c r="H19">
        <v>150.89618951121298</v>
      </c>
      <c r="I19">
        <v>155.93791089866673</v>
      </c>
      <c r="J19">
        <v>158.47811272942573</v>
      </c>
      <c r="K19">
        <v>159.11992707180804</v>
      </c>
      <c r="L19">
        <v>161.92697757661438</v>
      </c>
      <c r="M19">
        <v>165.9498414471698</v>
      </c>
      <c r="N19">
        <v>167.78394832300515</v>
      </c>
      <c r="O19">
        <v>169.89766333950709</v>
      </c>
      <c r="P19">
        <v>172.33606383620955</v>
      </c>
      <c r="Q19">
        <v>175.70348681086563</v>
      </c>
      <c r="R19">
        <v>179.58087240026512</v>
      </c>
      <c r="S19">
        <v>181.19786702405179</v>
      </c>
      <c r="T19">
        <v>183.3555610476302</v>
      </c>
      <c r="U19">
        <v>185.725342631297</v>
      </c>
      <c r="V19">
        <v>187.60585742704319</v>
      </c>
      <c r="W19">
        <v>189.94500186062999</v>
      </c>
      <c r="X19">
        <v>190.07685776706467</v>
      </c>
      <c r="Y19">
        <v>193.15969206842576</v>
      </c>
      <c r="Z19">
        <v>195.93534822238399</v>
      </c>
      <c r="AA19">
        <v>198.34162037412329</v>
      </c>
      <c r="AB19">
        <v>201.64628755518169</v>
      </c>
      <c r="AC19">
        <v>206.20464706444409</v>
      </c>
      <c r="AD19">
        <v>210.78023668506805</v>
      </c>
      <c r="AE19">
        <v>213.41569138827811</v>
      </c>
      <c r="AF19">
        <v>218.0501742375161</v>
      </c>
      <c r="AG19">
        <v>220.81939032793696</v>
      </c>
      <c r="AH19">
        <v>229.31501732372379</v>
      </c>
      <c r="AI19">
        <v>235.10046486146908</v>
      </c>
      <c r="AJ19">
        <v>240.70556548559188</v>
      </c>
      <c r="AK19">
        <v>246.93962917098673</v>
      </c>
      <c r="AL19">
        <v>246.93962917098673</v>
      </c>
      <c r="AM19">
        <v>395.15944330102462</v>
      </c>
      <c r="AN19">
        <v>404.94059840227339</v>
      </c>
      <c r="AO19">
        <v>414.2067776605453</v>
      </c>
      <c r="AP19">
        <v>422.91268576690231</v>
      </c>
      <c r="AQ19">
        <v>431.01496368797757</v>
      </c>
      <c r="AR19">
        <v>438.47254761988484</v>
      </c>
      <c r="AS19">
        <v>445.24701585951664</v>
      </c>
      <c r="AT19">
        <v>451.30291955426378</v>
      </c>
      <c r="AU19">
        <v>456.6080933977928</v>
      </c>
      <c r="AV19">
        <v>461.13394250535436</v>
      </c>
      <c r="AW19">
        <v>464.85570192589319</v>
      </c>
      <c r="AX19">
        <v>467.75266552763759</v>
      </c>
      <c r="AY19">
        <v>469.80838132547888</v>
      </c>
      <c r="AZ19">
        <v>471.01081069787733</v>
      </c>
      <c r="BA19">
        <v>471.35244936292753</v>
      </c>
    </row>
    <row r="20" spans="1:53" x14ac:dyDescent="0.25">
      <c r="A20" s="115" t="s">
        <v>904</v>
      </c>
      <c r="B20">
        <v>65.034909150272583</v>
      </c>
      <c r="C20">
        <v>54.297015365433602</v>
      </c>
      <c r="D20">
        <v>57.558854735882527</v>
      </c>
      <c r="E20">
        <v>68.249732046722798</v>
      </c>
      <c r="F20">
        <v>72.059441644414221</v>
      </c>
      <c r="G20">
        <v>73.408764661561989</v>
      </c>
      <c r="H20">
        <v>74.457705717389459</v>
      </c>
      <c r="I20">
        <v>75.151032427942297</v>
      </c>
      <c r="J20">
        <v>77.724856929823417</v>
      </c>
      <c r="K20">
        <v>80.365539745271704</v>
      </c>
      <c r="L20">
        <v>82.939902896902609</v>
      </c>
      <c r="M20">
        <v>85.426728351127323</v>
      </c>
      <c r="N20">
        <v>87.982346131136651</v>
      </c>
      <c r="O20">
        <v>90.612859845999893</v>
      </c>
      <c r="P20">
        <v>93.214140092088286</v>
      </c>
      <c r="Q20">
        <v>95.921208099645682</v>
      </c>
      <c r="R20">
        <v>98.969851938792146</v>
      </c>
      <c r="S20">
        <v>101.51190338039885</v>
      </c>
      <c r="T20">
        <v>104.00165460348273</v>
      </c>
      <c r="U20">
        <v>106.41802086272438</v>
      </c>
      <c r="V20">
        <v>108.67016723209193</v>
      </c>
      <c r="W20">
        <v>110.9838418492045</v>
      </c>
      <c r="X20">
        <v>113.29290881037952</v>
      </c>
      <c r="Y20">
        <v>115.69257066431528</v>
      </c>
      <c r="Z20">
        <v>118.19987157186254</v>
      </c>
      <c r="AA20">
        <v>120.62783594971854</v>
      </c>
      <c r="AB20">
        <v>123.22278949357234</v>
      </c>
      <c r="AC20">
        <v>125.85161599230034</v>
      </c>
      <c r="AD20">
        <v>128.43513074524878</v>
      </c>
      <c r="AE20">
        <v>131.05515789827075</v>
      </c>
      <c r="AF20">
        <v>133.80533209474811</v>
      </c>
      <c r="AG20">
        <v>136.35226461106885</v>
      </c>
      <c r="AH20">
        <v>138.92473919717767</v>
      </c>
      <c r="AI20">
        <v>141.55443287311266</v>
      </c>
      <c r="AJ20">
        <v>144.18747750384125</v>
      </c>
      <c r="AK20">
        <v>146.88207128266785</v>
      </c>
      <c r="AL20">
        <v>146.88207128266785</v>
      </c>
      <c r="AM20">
        <v>168.45276310645031</v>
      </c>
      <c r="AN20">
        <v>172.62237775468975</v>
      </c>
      <c r="AO20">
        <v>176.57246303281511</v>
      </c>
      <c r="AP20">
        <v>180.28370997560802</v>
      </c>
      <c r="AQ20">
        <v>183.73763503395921</v>
      </c>
      <c r="AR20">
        <v>186.91673309355198</v>
      </c>
      <c r="AS20">
        <v>189.8046253428422</v>
      </c>
      <c r="AT20">
        <v>192.38620026856049</v>
      </c>
      <c r="AU20">
        <v>194.64774610240696</v>
      </c>
      <c r="AV20">
        <v>196.57707311330375</v>
      </c>
      <c r="AW20">
        <v>198.16362423497247</v>
      </c>
      <c r="AX20">
        <v>199.39857263771356</v>
      </c>
      <c r="AY20">
        <v>200.27490499463551</v>
      </c>
      <c r="AZ20">
        <v>200.78748935432793</v>
      </c>
      <c r="BA20">
        <v>200.93312671182329</v>
      </c>
    </row>
    <row r="21" spans="1:53" x14ac:dyDescent="0.25">
      <c r="A21" s="115" t="s">
        <v>903</v>
      </c>
      <c r="B21">
        <v>227.80708143759773</v>
      </c>
      <c r="C21">
        <v>205.19040845054701</v>
      </c>
      <c r="D21">
        <v>220.5368207929846</v>
      </c>
      <c r="E21">
        <v>246.84945256786483</v>
      </c>
      <c r="F21">
        <v>248.36131697400381</v>
      </c>
      <c r="G21">
        <v>250.37367916373995</v>
      </c>
      <c r="H21">
        <v>254.30557962232646</v>
      </c>
      <c r="I21">
        <v>259.82961973981702</v>
      </c>
      <c r="J21">
        <v>269.37368715276858</v>
      </c>
      <c r="K21">
        <v>280.77028833510468</v>
      </c>
      <c r="L21">
        <v>293.29832227155248</v>
      </c>
      <c r="M21">
        <v>304.75284388890066</v>
      </c>
      <c r="N21">
        <v>316.93151353582243</v>
      </c>
      <c r="O21">
        <v>332.03214476057695</v>
      </c>
      <c r="P21">
        <v>346.90728558192109</v>
      </c>
      <c r="Q21">
        <v>361.63640255284304</v>
      </c>
      <c r="R21">
        <v>378.21956185584412</v>
      </c>
      <c r="S21">
        <v>395.02625558312491</v>
      </c>
      <c r="T21">
        <v>413.45472672868397</v>
      </c>
      <c r="U21">
        <v>433.03871737044716</v>
      </c>
      <c r="V21">
        <v>454.30292549691671</v>
      </c>
      <c r="W21">
        <v>474.63339377507458</v>
      </c>
      <c r="X21">
        <v>493.21925864723448</v>
      </c>
      <c r="Y21">
        <v>510.15156892638947</v>
      </c>
      <c r="Z21">
        <v>528.08464352384601</v>
      </c>
      <c r="AA21">
        <v>545.80046497899389</v>
      </c>
      <c r="AB21">
        <v>563.2566993353438</v>
      </c>
      <c r="AC21">
        <v>580.71329130648292</v>
      </c>
      <c r="AD21">
        <v>599.60545320397614</v>
      </c>
      <c r="AE21">
        <v>619.72262728262251</v>
      </c>
      <c r="AF21">
        <v>641.71593465984381</v>
      </c>
      <c r="AG21">
        <v>662.85310435808606</v>
      </c>
      <c r="AH21">
        <v>681.84096738459925</v>
      </c>
      <c r="AI21">
        <v>701.77822054899639</v>
      </c>
      <c r="AJ21">
        <v>722.80822335453536</v>
      </c>
      <c r="AK21">
        <v>745.7087914553523</v>
      </c>
      <c r="AL21">
        <v>745.7087914553523</v>
      </c>
      <c r="AM21">
        <v>723.31020621108212</v>
      </c>
      <c r="AN21">
        <v>741.21388897307395</v>
      </c>
      <c r="AO21">
        <v>758.17494644926796</v>
      </c>
      <c r="AP21">
        <v>774.11046891852811</v>
      </c>
      <c r="AQ21">
        <v>788.94109086929359</v>
      </c>
      <c r="AR21">
        <v>802.59164803822637</v>
      </c>
      <c r="AS21">
        <v>814.99181233253057</v>
      </c>
      <c r="AT21">
        <v>826.07669724291145</v>
      </c>
      <c r="AU21">
        <v>835.7874265492726</v>
      </c>
      <c r="AV21">
        <v>844.07165942480287</v>
      </c>
      <c r="AW21">
        <v>850.88406545374664</v>
      </c>
      <c r="AX21">
        <v>856.18674358958833</v>
      </c>
      <c r="AY21">
        <v>859.94957968740948</v>
      </c>
      <c r="AZ21">
        <v>862.15053793868742</v>
      </c>
      <c r="BA21">
        <v>862.77588230905815</v>
      </c>
    </row>
    <row r="22" spans="1:53" x14ac:dyDescent="0.25">
      <c r="A22" s="115" t="s">
        <v>1467</v>
      </c>
      <c r="B22">
        <v>21.484668648898612</v>
      </c>
      <c r="C22">
        <v>18.301570616290672</v>
      </c>
      <c r="D22">
        <v>19.345052053498907</v>
      </c>
      <c r="E22">
        <v>21.958246449358739</v>
      </c>
      <c r="F22">
        <v>22.38333771645723</v>
      </c>
      <c r="G22">
        <v>22.50628466442317</v>
      </c>
      <c r="H22">
        <v>22.65543373610673</v>
      </c>
      <c r="I22">
        <v>22.804464967240406</v>
      </c>
      <c r="J22">
        <v>23.389670593842077</v>
      </c>
      <c r="K22">
        <v>24.033571364704994</v>
      </c>
      <c r="L22">
        <v>24.699913244743861</v>
      </c>
      <c r="M22">
        <v>25.331902073625749</v>
      </c>
      <c r="N22">
        <v>26.020073811548983</v>
      </c>
      <c r="O22">
        <v>26.817346832829209</v>
      </c>
      <c r="P22">
        <v>27.595631983014414</v>
      </c>
      <c r="Q22">
        <v>28.378033791196156</v>
      </c>
      <c r="R22">
        <v>29.185595563220904</v>
      </c>
      <c r="S22">
        <v>29.944500770737974</v>
      </c>
      <c r="T22">
        <v>30.74332854631799</v>
      </c>
      <c r="U22">
        <v>31.548414949657271</v>
      </c>
      <c r="V22">
        <v>32.348455221092721</v>
      </c>
      <c r="W22">
        <v>33.167032414950349</v>
      </c>
      <c r="X22">
        <v>33.94684508559682</v>
      </c>
      <c r="Y22">
        <v>34.712334782977834</v>
      </c>
      <c r="Z22">
        <v>35.550512152371248</v>
      </c>
      <c r="AA22">
        <v>36.367751081780192</v>
      </c>
      <c r="AB22">
        <v>37.219285270670994</v>
      </c>
      <c r="AC22">
        <v>38.086247204159534</v>
      </c>
      <c r="AD22">
        <v>39.005362380585282</v>
      </c>
      <c r="AE22">
        <v>39.963335091572247</v>
      </c>
      <c r="AF22">
        <v>41.009948166343591</v>
      </c>
      <c r="AG22">
        <v>42.035629683336886</v>
      </c>
      <c r="AH22">
        <v>43.06572017809107</v>
      </c>
      <c r="AI22">
        <v>44.125263874496603</v>
      </c>
      <c r="AJ22">
        <v>45.221218987270177</v>
      </c>
      <c r="AK22">
        <v>46.403559812684982</v>
      </c>
      <c r="AL22">
        <v>46.403559812684982</v>
      </c>
      <c r="AM22">
        <v>20.261023643722531</v>
      </c>
      <c r="AN22">
        <v>20.762533143568525</v>
      </c>
      <c r="AO22">
        <v>21.237638269414649</v>
      </c>
      <c r="AP22">
        <v>21.684016593337443</v>
      </c>
      <c r="AQ22">
        <v>22.099444966136986</v>
      </c>
      <c r="AR22">
        <v>22.48181792199297</v>
      </c>
      <c r="AS22">
        <v>22.829165463608636</v>
      </c>
      <c r="AT22">
        <v>23.139670020752447</v>
      </c>
      <c r="AU22">
        <v>23.411682380573282</v>
      </c>
      <c r="AV22">
        <v>23.643736396567963</v>
      </c>
      <c r="AW22">
        <v>23.834562294554516</v>
      </c>
      <c r="AX22">
        <v>23.983098408330832</v>
      </c>
      <c r="AY22">
        <v>24.088501194702072</v>
      </c>
      <c r="AZ22">
        <v>24.150153397014527</v>
      </c>
      <c r="BA22">
        <v>24.167670247965546</v>
      </c>
    </row>
    <row r="23" spans="1:53" x14ac:dyDescent="0.25">
      <c r="A23" s="115" t="s">
        <v>901</v>
      </c>
      <c r="B23">
        <v>46.843472029851966</v>
      </c>
      <c r="C23">
        <v>30.511192874526497</v>
      </c>
      <c r="D23">
        <v>29.496232092465974</v>
      </c>
      <c r="E23">
        <v>17.583159905417844</v>
      </c>
      <c r="F23">
        <v>24.948516183176991</v>
      </c>
      <c r="G23">
        <v>24.948516183176991</v>
      </c>
      <c r="H23">
        <v>24.948516183177006</v>
      </c>
      <c r="I23">
        <v>24.948516183177006</v>
      </c>
      <c r="J23">
        <v>24.948516183177013</v>
      </c>
      <c r="K23">
        <v>24.948516183177006</v>
      </c>
      <c r="L23">
        <v>24.948516183177016</v>
      </c>
      <c r="M23">
        <v>24.94851618317702</v>
      </c>
      <c r="N23">
        <v>24.467791163923604</v>
      </c>
      <c r="O23">
        <v>23.987066144670187</v>
      </c>
      <c r="P23">
        <v>23.506341125416775</v>
      </c>
      <c r="Q23">
        <v>23.025616106163362</v>
      </c>
      <c r="R23">
        <v>7.210875288801101</v>
      </c>
      <c r="S23">
        <v>6.7301502695476882</v>
      </c>
      <c r="T23">
        <v>6.2494252502942835</v>
      </c>
      <c r="U23">
        <v>5.7687002310408744</v>
      </c>
      <c r="V23">
        <v>5.2879752117874652</v>
      </c>
      <c r="W23">
        <v>4.8072501925340605</v>
      </c>
      <c r="X23">
        <v>4.3265251732806522</v>
      </c>
      <c r="Y23">
        <v>3.845800154027244</v>
      </c>
      <c r="Z23">
        <v>3.3650751347738397</v>
      </c>
      <c r="AA23">
        <v>2.8843501155204327</v>
      </c>
      <c r="AB23">
        <v>2.4036250962670276</v>
      </c>
      <c r="AC23">
        <v>1.9229000770136238</v>
      </c>
      <c r="AD23">
        <v>1.4421750577602177</v>
      </c>
      <c r="AE23">
        <v>0.9614500385068121</v>
      </c>
      <c r="AF23">
        <v>0.48072501925340549</v>
      </c>
      <c r="AG23">
        <v>4.8072501925340544E-2</v>
      </c>
      <c r="AH23">
        <v>4.8072501925340551E-2</v>
      </c>
      <c r="AI23">
        <v>4.8072501925340537E-2</v>
      </c>
      <c r="AJ23">
        <v>4.8072501925340537E-2</v>
      </c>
      <c r="AK23">
        <v>4.8072501925340544E-2</v>
      </c>
      <c r="AL23">
        <v>4.8072501925340544E-2</v>
      </c>
      <c r="AM23">
        <v>128.73670990085427</v>
      </c>
      <c r="AN23">
        <v>131.92325585872345</v>
      </c>
      <c r="AO23">
        <v>134.94203081471696</v>
      </c>
      <c r="AP23">
        <v>137.77827827207</v>
      </c>
      <c r="AQ23">
        <v>140.41787254203911</v>
      </c>
      <c r="AR23">
        <v>142.84743568542035</v>
      </c>
      <c r="AS23">
        <v>145.05445051774376</v>
      </c>
      <c r="AT23">
        <v>147.02736836231185</v>
      </c>
      <c r="AU23">
        <v>148.75571026998003</v>
      </c>
      <c r="AV23">
        <v>150.23016047860466</v>
      </c>
      <c r="AW23">
        <v>151.44265095799247</v>
      </c>
      <c r="AX23">
        <v>152.38643597721318</v>
      </c>
      <c r="AY23">
        <v>153.05615573917697</v>
      </c>
      <c r="AZ23">
        <v>153.44788825098942</v>
      </c>
      <c r="BA23">
        <v>153.55918873604446</v>
      </c>
    </row>
    <row r="24" spans="1:53" x14ac:dyDescent="0.25">
      <c r="A24" s="115" t="s">
        <v>890</v>
      </c>
      <c r="B24">
        <v>94.108496528509974</v>
      </c>
      <c r="C24">
        <v>88.937261887458234</v>
      </c>
      <c r="D24">
        <v>89.088285514232183</v>
      </c>
      <c r="E24">
        <v>88.384785399318261</v>
      </c>
      <c r="F24">
        <v>84.608944334266596</v>
      </c>
      <c r="G24">
        <v>81.045073535601475</v>
      </c>
      <c r="H24">
        <v>78.336077544610418</v>
      </c>
      <c r="I24">
        <v>76.762446806936055</v>
      </c>
      <c r="J24">
        <v>74.249629493087085</v>
      </c>
      <c r="K24">
        <v>71.357982379274162</v>
      </c>
      <c r="L24">
        <v>69.168359049347146</v>
      </c>
      <c r="M24">
        <v>66.662249661349918</v>
      </c>
      <c r="N24">
        <v>65.877801351409929</v>
      </c>
      <c r="O24">
        <v>65.114996195902435</v>
      </c>
      <c r="P24">
        <v>64.369837943479325</v>
      </c>
      <c r="Q24">
        <v>63.603702057416044</v>
      </c>
      <c r="R24">
        <v>63.498305758823442</v>
      </c>
      <c r="S24">
        <v>62.987417442677142</v>
      </c>
      <c r="T24">
        <v>63.321342277843854</v>
      </c>
      <c r="U24">
        <v>63.754503400367746</v>
      </c>
      <c r="V24">
        <v>63.627602128024122</v>
      </c>
      <c r="W24">
        <v>63.325991737656572</v>
      </c>
      <c r="X24">
        <v>61.358450589090651</v>
      </c>
      <c r="Y24">
        <v>59.552425347842522</v>
      </c>
      <c r="Z24">
        <v>58.473082722409856</v>
      </c>
      <c r="AA24">
        <v>56.561065683298587</v>
      </c>
      <c r="AB24">
        <v>57.405649144470715</v>
      </c>
      <c r="AC24">
        <v>56.164992670861999</v>
      </c>
      <c r="AD24">
        <v>54.926996628671596</v>
      </c>
      <c r="AE24">
        <v>53.539310525472168</v>
      </c>
      <c r="AF24">
        <v>53.064240071936332</v>
      </c>
      <c r="AG24">
        <v>51.659144982558239</v>
      </c>
      <c r="AH24">
        <v>51.99307102016968</v>
      </c>
      <c r="AI24">
        <v>52.200479435383166</v>
      </c>
      <c r="AJ24">
        <v>52.419555547381186</v>
      </c>
      <c r="AK24">
        <v>52.672463122470553</v>
      </c>
      <c r="AL24">
        <v>52.672463122470553</v>
      </c>
      <c r="AM24">
        <v>80.747716747819837</v>
      </c>
      <c r="AN24">
        <v>79.778744146845995</v>
      </c>
      <c r="AO24">
        <v>78.821399217083837</v>
      </c>
      <c r="AP24">
        <v>77.87554242647883</v>
      </c>
      <c r="AQ24">
        <v>76.941035917361077</v>
      </c>
      <c r="AR24">
        <v>76.017743486352742</v>
      </c>
      <c r="AS24">
        <v>75.105530564516513</v>
      </c>
      <c r="AT24">
        <v>74.204264197742319</v>
      </c>
      <c r="AU24">
        <v>73.313813027369406</v>
      </c>
      <c r="AV24">
        <v>72.434047271040967</v>
      </c>
      <c r="AW24">
        <v>71.564838703788482</v>
      </c>
      <c r="AX24">
        <v>70.706060639343022</v>
      </c>
      <c r="AY24">
        <v>69.857587911670905</v>
      </c>
      <c r="AZ24">
        <v>69.019296856730847</v>
      </c>
      <c r="BA24">
        <v>68.19106529445007</v>
      </c>
    </row>
    <row r="25" spans="1:53" x14ac:dyDescent="0.25">
      <c r="A25" s="115" t="s">
        <v>1443</v>
      </c>
      <c r="B25">
        <v>97.599403971326993</v>
      </c>
      <c r="C25">
        <v>86.462924546121229</v>
      </c>
      <c r="D25">
        <v>129.03516052889643</v>
      </c>
      <c r="E25">
        <v>100.78575201204825</v>
      </c>
      <c r="F25">
        <v>107.21457455291578</v>
      </c>
      <c r="G25">
        <v>109.27087154088187</v>
      </c>
      <c r="H25">
        <v>111.16490813807272</v>
      </c>
      <c r="I25">
        <v>112.88143686241447</v>
      </c>
      <c r="J25">
        <v>115.9843740551382</v>
      </c>
      <c r="K25">
        <v>118.54125161524406</v>
      </c>
      <c r="L25">
        <v>122.3868265872517</v>
      </c>
      <c r="M25">
        <v>125.96777741750959</v>
      </c>
      <c r="N25">
        <v>129.54851435983656</v>
      </c>
      <c r="O25">
        <v>133.25530225616561</v>
      </c>
      <c r="P25">
        <v>136.95570315827339</v>
      </c>
      <c r="Q25">
        <v>140.70011550314712</v>
      </c>
      <c r="R25">
        <v>147.92761991012671</v>
      </c>
      <c r="S25">
        <v>153.05420578754308</v>
      </c>
      <c r="T25">
        <v>157.90022621021353</v>
      </c>
      <c r="U25">
        <v>162.57945572598143</v>
      </c>
      <c r="V25">
        <v>167.22184096237928</v>
      </c>
      <c r="W25">
        <v>171.74437251155055</v>
      </c>
      <c r="X25">
        <v>176.5321501280977</v>
      </c>
      <c r="Y25">
        <v>180.99783644885264</v>
      </c>
      <c r="Z25">
        <v>185.9569605240354</v>
      </c>
      <c r="AA25">
        <v>190.80690673002664</v>
      </c>
      <c r="AB25">
        <v>196.11226476782838</v>
      </c>
      <c r="AC25">
        <v>202.12918401990149</v>
      </c>
      <c r="AD25">
        <v>208.34409342420281</v>
      </c>
      <c r="AE25">
        <v>215.27176873785601</v>
      </c>
      <c r="AF25">
        <v>222.58370154344911</v>
      </c>
      <c r="AG25">
        <v>230.49371139400782</v>
      </c>
      <c r="AH25">
        <v>238.57802641140159</v>
      </c>
      <c r="AI25">
        <v>247.2638020901355</v>
      </c>
      <c r="AJ25">
        <v>256.63677698131016</v>
      </c>
      <c r="AK25">
        <v>266.72439627750987</v>
      </c>
      <c r="AL25">
        <v>266.72439627750987</v>
      </c>
      <c r="AM25">
        <v>271.50883398563155</v>
      </c>
      <c r="AN25">
        <v>278.22933646024813</v>
      </c>
      <c r="AO25">
        <v>284.59600583526981</v>
      </c>
      <c r="AP25">
        <v>290.57772030221327</v>
      </c>
      <c r="AQ25">
        <v>296.1446884419646</v>
      </c>
      <c r="AR25">
        <v>301.26869585726928</v>
      </c>
      <c r="AS25">
        <v>305.9233435034194</v>
      </c>
      <c r="AT25">
        <v>310.08427494201732</v>
      </c>
      <c r="AU25">
        <v>313.72938981594018</v>
      </c>
      <c r="AV25">
        <v>316.83904095757532</v>
      </c>
      <c r="AW25">
        <v>319.39621269616327</v>
      </c>
      <c r="AX25">
        <v>321.3866781220629</v>
      </c>
      <c r="AY25">
        <v>322.79913329361392</v>
      </c>
      <c r="AZ25">
        <v>323.62530663296968</v>
      </c>
      <c r="BA25">
        <v>323.8600420471542</v>
      </c>
    </row>
    <row r="26" spans="1:53" x14ac:dyDescent="0.25">
      <c r="A26" s="115" t="s">
        <v>1444</v>
      </c>
      <c r="B26">
        <v>2.4822992718580781</v>
      </c>
      <c r="C26">
        <v>2.1880261865260104</v>
      </c>
      <c r="D26">
        <v>2.2606124822481437</v>
      </c>
      <c r="E26">
        <v>2.4073107905967714</v>
      </c>
      <c r="F26">
        <v>2.4228255458159209</v>
      </c>
      <c r="G26">
        <v>2.4433667175035243</v>
      </c>
      <c r="H26">
        <v>2.4727335592044306</v>
      </c>
      <c r="I26">
        <v>2.5113231485261074</v>
      </c>
      <c r="J26">
        <v>2.5547941595487318</v>
      </c>
      <c r="K26">
        <v>2.6051115070461375</v>
      </c>
      <c r="L26">
        <v>2.6674402455734096</v>
      </c>
      <c r="M26">
        <v>2.7488810577989637</v>
      </c>
      <c r="N26">
        <v>2.8361442394507068</v>
      </c>
      <c r="O26">
        <v>2.9298905285147323</v>
      </c>
      <c r="P26">
        <v>3.0290381739260921</v>
      </c>
      <c r="Q26">
        <v>3.1324703135945926</v>
      </c>
      <c r="R26">
        <v>3.2002857336728567</v>
      </c>
      <c r="S26">
        <v>3.299621578371291</v>
      </c>
      <c r="T26">
        <v>3.4123768969884272</v>
      </c>
      <c r="U26">
        <v>3.5293640671913993</v>
      </c>
      <c r="V26">
        <v>3.645112299646224</v>
      </c>
      <c r="W26">
        <v>3.7757881642371918</v>
      </c>
      <c r="X26">
        <v>3.9068818969021595</v>
      </c>
      <c r="Y26">
        <v>4.0437759316230002</v>
      </c>
      <c r="Z26">
        <v>4.1965314470690283</v>
      </c>
      <c r="AA26">
        <v>4.3461808731727452</v>
      </c>
      <c r="AB26">
        <v>4.5167471804010573</v>
      </c>
      <c r="AC26">
        <v>4.702365819152635</v>
      </c>
      <c r="AD26">
        <v>4.8919563871656271</v>
      </c>
      <c r="AE26">
        <v>5.0940517930863241</v>
      </c>
      <c r="AF26">
        <v>5.307916059248007</v>
      </c>
      <c r="AG26">
        <v>5.5209044262323914</v>
      </c>
      <c r="AH26">
        <v>5.7483255200218384</v>
      </c>
      <c r="AI26">
        <v>5.9856593607852622</v>
      </c>
      <c r="AJ26">
        <v>6.2331111066156604</v>
      </c>
      <c r="AK26">
        <v>6.4878390414674376</v>
      </c>
      <c r="AL26">
        <v>6.4878390414674376</v>
      </c>
      <c r="AM26">
        <v>6.9204319441521411</v>
      </c>
      <c r="AN26">
        <v>7.0917294276386329</v>
      </c>
      <c r="AO26">
        <v>7.2540081331745521</v>
      </c>
      <c r="AP26">
        <v>7.4064748034856294</v>
      </c>
      <c r="AQ26">
        <v>7.5483700913142799</v>
      </c>
      <c r="AR26">
        <v>7.6789748457836078</v>
      </c>
      <c r="AS26">
        <v>7.7976161871585061</v>
      </c>
      <c r="AT26">
        <v>7.9036732992693555</v>
      </c>
      <c r="AU26">
        <v>7.9965828707307933</v>
      </c>
      <c r="AV26">
        <v>8.0758441189923502</v>
      </c>
      <c r="AW26">
        <v>8.1410233351770582</v>
      </c>
      <c r="AX26">
        <v>8.1917578925574457</v>
      </c>
      <c r="AY26">
        <v>8.2277596673262234</v>
      </c>
      <c r="AZ26">
        <v>8.2488178269638102</v>
      </c>
      <c r="BA26">
        <v>8.2548009488935836</v>
      </c>
    </row>
    <row r="27" spans="1:53" x14ac:dyDescent="0.25">
      <c r="A27" s="115" t="s">
        <v>1445</v>
      </c>
      <c r="B27">
        <v>0.28999999999999998</v>
      </c>
      <c r="C27">
        <v>0.28981875047316125</v>
      </c>
      <c r="D27">
        <v>0.28922528246173179</v>
      </c>
      <c r="E27">
        <v>0.2890386255280708</v>
      </c>
      <c r="F27">
        <v>0.28903862552807075</v>
      </c>
      <c r="G27">
        <v>0.28903862552807064</v>
      </c>
      <c r="H27">
        <v>0.2890386255280708</v>
      </c>
      <c r="I27">
        <v>0.28903862552807086</v>
      </c>
      <c r="J27">
        <v>0.28903862552807086</v>
      </c>
      <c r="K27">
        <v>0.28903862552807086</v>
      </c>
      <c r="L27">
        <v>0.28903862552807097</v>
      </c>
      <c r="M27">
        <v>0.28903862552807102</v>
      </c>
      <c r="N27">
        <v>0.28903862552807097</v>
      </c>
      <c r="O27">
        <v>0.28903862552807075</v>
      </c>
      <c r="P27">
        <v>0.2890386255280708</v>
      </c>
      <c r="Q27">
        <v>0.28903862552807064</v>
      </c>
      <c r="R27">
        <v>0.28903862552807036</v>
      </c>
      <c r="S27">
        <v>0.28903862552807025</v>
      </c>
      <c r="T27">
        <v>0.28903862552807019</v>
      </c>
      <c r="U27">
        <v>0.28903862552807008</v>
      </c>
      <c r="V27">
        <v>0.28903862552806997</v>
      </c>
      <c r="W27">
        <v>0.28903862552806997</v>
      </c>
      <c r="X27">
        <v>0.28903862552806991</v>
      </c>
      <c r="Y27">
        <v>0.28903862552806975</v>
      </c>
      <c r="Z27">
        <v>0.2890386255280698</v>
      </c>
      <c r="AA27">
        <v>0.28903862552806975</v>
      </c>
      <c r="AB27">
        <v>0.2890386255280698</v>
      </c>
      <c r="AC27">
        <v>0.28903862552806991</v>
      </c>
      <c r="AD27">
        <v>0.28903862552806997</v>
      </c>
      <c r="AE27">
        <v>0.28903862552806991</v>
      </c>
      <c r="AF27">
        <v>0.28903862552806969</v>
      </c>
      <c r="AG27">
        <v>0.28903862552806975</v>
      </c>
      <c r="AH27">
        <v>0.2890386255280698</v>
      </c>
      <c r="AI27">
        <v>0.28903862552806969</v>
      </c>
      <c r="AJ27">
        <v>0.28903862552806969</v>
      </c>
      <c r="AK27">
        <v>0.28903862552806975</v>
      </c>
      <c r="AL27">
        <v>0.28903862552806975</v>
      </c>
      <c r="AM27">
        <v>0.80599408184904431</v>
      </c>
      <c r="AN27">
        <v>0.82594439117076424</v>
      </c>
      <c r="AO27">
        <v>0.84484432073117255</v>
      </c>
      <c r="AP27">
        <v>0.86260148313688034</v>
      </c>
      <c r="AQ27">
        <v>0.87912744035387169</v>
      </c>
      <c r="AR27">
        <v>0.89433843585431561</v>
      </c>
      <c r="AS27">
        <v>0.908156102118862</v>
      </c>
      <c r="AT27">
        <v>0.92050813525627007</v>
      </c>
      <c r="AU27">
        <v>0.93132892871965034</v>
      </c>
      <c r="AV27">
        <v>0.94056015843685992</v>
      </c>
      <c r="AW27">
        <v>0.94815131212905468</v>
      </c>
      <c r="AX27">
        <v>0.95406015616130868</v>
      </c>
      <c r="AY27">
        <v>0.95825313394562428</v>
      </c>
      <c r="AZ27">
        <v>0.96070569069056411</v>
      </c>
      <c r="BA27">
        <v>0.96140252015226446</v>
      </c>
    </row>
    <row r="28" spans="1:53" x14ac:dyDescent="0.25">
      <c r="A28" s="115" t="s">
        <v>1446</v>
      </c>
      <c r="B28">
        <v>7.816978240367306E-2</v>
      </c>
      <c r="C28">
        <v>7.8120926417211842E-2</v>
      </c>
      <c r="D28">
        <v>7.7960956536808457E-2</v>
      </c>
      <c r="E28">
        <v>7.7910642978572545E-2</v>
      </c>
      <c r="F28">
        <v>7.7910642978572503E-2</v>
      </c>
      <c r="G28">
        <v>7.7910642978572489E-2</v>
      </c>
      <c r="H28">
        <v>7.7910642978572531E-2</v>
      </c>
      <c r="I28">
        <v>7.7910642978572558E-2</v>
      </c>
      <c r="J28">
        <v>7.7910642978572558E-2</v>
      </c>
      <c r="K28">
        <v>7.7910642978572558E-2</v>
      </c>
      <c r="L28">
        <v>7.7910642978572586E-2</v>
      </c>
      <c r="M28">
        <v>7.7910642978572614E-2</v>
      </c>
      <c r="N28">
        <v>7.7910642978572586E-2</v>
      </c>
      <c r="O28">
        <v>7.7910642978572531E-2</v>
      </c>
      <c r="P28">
        <v>7.7910642978572545E-2</v>
      </c>
      <c r="Q28">
        <v>7.7910642978572503E-2</v>
      </c>
      <c r="R28">
        <v>7.7910642978572434E-2</v>
      </c>
      <c r="S28">
        <v>7.791064297857242E-2</v>
      </c>
      <c r="T28">
        <v>7.7910642978572406E-2</v>
      </c>
      <c r="U28">
        <v>7.7910642978572392E-2</v>
      </c>
      <c r="V28">
        <v>7.791064297857235E-2</v>
      </c>
      <c r="W28">
        <v>7.791064297857235E-2</v>
      </c>
      <c r="X28">
        <v>7.7910642978572336E-2</v>
      </c>
      <c r="Y28">
        <v>7.7910642978572281E-2</v>
      </c>
      <c r="Z28">
        <v>7.7910642978572295E-2</v>
      </c>
      <c r="AA28">
        <v>7.7910642978572281E-2</v>
      </c>
      <c r="AB28">
        <v>7.7910642978572295E-2</v>
      </c>
      <c r="AC28">
        <v>7.7910642978572336E-2</v>
      </c>
      <c r="AD28">
        <v>7.791064297857235E-2</v>
      </c>
      <c r="AE28">
        <v>7.7910642978572336E-2</v>
      </c>
      <c r="AF28">
        <v>7.7910642978572267E-2</v>
      </c>
      <c r="AG28">
        <v>7.7910642978572281E-2</v>
      </c>
      <c r="AH28">
        <v>7.7910642978572309E-2</v>
      </c>
      <c r="AI28">
        <v>7.7910642978572281E-2</v>
      </c>
      <c r="AJ28">
        <v>7.7910642978572281E-2</v>
      </c>
      <c r="AK28">
        <v>7.7910642978572295E-2</v>
      </c>
      <c r="AL28">
        <v>7.7910642978572295E-2</v>
      </c>
      <c r="AM28">
        <v>0.22234319499283986</v>
      </c>
      <c r="AN28">
        <v>0.22784672859883154</v>
      </c>
      <c r="AO28">
        <v>0.23306050227066832</v>
      </c>
      <c r="AP28">
        <v>0.23795902983086356</v>
      </c>
      <c r="AQ28">
        <v>0.24251791458037844</v>
      </c>
      <c r="AR28">
        <v>0.24671405127015605</v>
      </c>
      <c r="AS28">
        <v>0.25052582127416884</v>
      </c>
      <c r="AT28">
        <v>0.25393327869138488</v>
      </c>
      <c r="AU28">
        <v>0.25691832516404151</v>
      </c>
      <c r="AV28">
        <v>0.25946487129292689</v>
      </c>
      <c r="AW28">
        <v>0.26155898265629096</v>
      </c>
      <c r="AX28">
        <v>0.26318900859622313</v>
      </c>
      <c r="AY28">
        <v>0.26434569212293085</v>
      </c>
      <c r="AZ28">
        <v>0.26502225950084529</v>
      </c>
      <c r="BA28">
        <v>0.26521448831786609</v>
      </c>
    </row>
    <row r="29" spans="1:53" x14ac:dyDescent="0.25">
      <c r="A29" s="115"/>
    </row>
    <row r="30" spans="1:53" x14ac:dyDescent="0.25">
      <c r="A30" s="115"/>
    </row>
    <row r="34" spans="1:82" x14ac:dyDescent="0.25">
      <c r="A34" s="115" t="s">
        <v>1409</v>
      </c>
      <c r="B34" s="115" t="s">
        <v>1410</v>
      </c>
      <c r="C34" s="115" t="s">
        <v>1411</v>
      </c>
      <c r="D34" s="115" t="s">
        <v>1412</v>
      </c>
      <c r="E34" s="115" t="s">
        <v>1413</v>
      </c>
      <c r="F34" s="115" t="s">
        <v>1414</v>
      </c>
      <c r="G34" s="115" t="s">
        <v>1415</v>
      </c>
      <c r="H34" s="115" t="s">
        <v>1416</v>
      </c>
      <c r="I34" s="115" t="s">
        <v>1417</v>
      </c>
      <c r="J34" s="115" t="s">
        <v>1418</v>
      </c>
      <c r="K34" s="115" t="s">
        <v>1419</v>
      </c>
      <c r="L34" s="115" t="s">
        <v>1420</v>
      </c>
      <c r="M34" s="115" t="s">
        <v>1421</v>
      </c>
      <c r="N34" s="115" t="s">
        <v>1422</v>
      </c>
      <c r="O34" s="115" t="s">
        <v>1423</v>
      </c>
      <c r="P34" s="115" t="s">
        <v>1424</v>
      </c>
      <c r="Q34" s="115" t="s">
        <v>1425</v>
      </c>
      <c r="R34" s="115" t="s">
        <v>1426</v>
      </c>
      <c r="S34" s="115" t="s">
        <v>1427</v>
      </c>
      <c r="T34" s="115" t="s">
        <v>1428</v>
      </c>
      <c r="U34" s="115" t="s">
        <v>1429</v>
      </c>
      <c r="V34" s="115" t="s">
        <v>1430</v>
      </c>
      <c r="W34" s="115" t="s">
        <v>1431</v>
      </c>
      <c r="X34" s="115" t="s">
        <v>1432</v>
      </c>
      <c r="Y34" s="115" t="s">
        <v>1433</v>
      </c>
      <c r="Z34" s="115" t="s">
        <v>1434</v>
      </c>
      <c r="AA34" s="115" t="s">
        <v>1435</v>
      </c>
      <c r="AB34" s="115" t="s">
        <v>1436</v>
      </c>
      <c r="AC34" s="115" t="s">
        <v>1437</v>
      </c>
      <c r="AD34" s="115" t="s">
        <v>1438</v>
      </c>
      <c r="AE34" s="115" t="s">
        <v>1439</v>
      </c>
      <c r="AF34" s="115" t="s">
        <v>1440</v>
      </c>
      <c r="AG34" s="115" t="s">
        <v>1447</v>
      </c>
      <c r="AH34" s="115" t="s">
        <v>1448</v>
      </c>
      <c r="AI34" s="115" t="s">
        <v>1449</v>
      </c>
      <c r="AJ34" s="115" t="s">
        <v>1450</v>
      </c>
      <c r="AK34" s="115" t="s">
        <v>1451</v>
      </c>
      <c r="AL34" s="115" t="s">
        <v>1452</v>
      </c>
      <c r="AM34" s="115" t="s">
        <v>1453</v>
      </c>
      <c r="AN34" s="115" t="s">
        <v>1454</v>
      </c>
      <c r="AO34" s="115" t="s">
        <v>1455</v>
      </c>
      <c r="AP34" s="115" t="s">
        <v>1456</v>
      </c>
      <c r="AQ34" s="115" t="s">
        <v>1457</v>
      </c>
      <c r="AR34" s="115" t="s">
        <v>1458</v>
      </c>
      <c r="AS34" s="115" t="s">
        <v>1459</v>
      </c>
      <c r="AT34" s="115" t="s">
        <v>1460</v>
      </c>
      <c r="AU34" s="115" t="s">
        <v>1461</v>
      </c>
      <c r="AV34" s="115" t="s">
        <v>1462</v>
      </c>
      <c r="AW34" s="115" t="s">
        <v>1463</v>
      </c>
      <c r="AX34" s="115" t="s">
        <v>1464</v>
      </c>
      <c r="AY34" s="115" t="s">
        <v>1465</v>
      </c>
      <c r="AZ34" s="115" t="s">
        <v>1466</v>
      </c>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row>
    <row r="35" spans="1:82" x14ac:dyDescent="0.25">
      <c r="A35">
        <v>58364.834921819442</v>
      </c>
      <c r="B35">
        <v>58801.927000000003</v>
      </c>
      <c r="C35">
        <v>59392.254999999997</v>
      </c>
      <c r="D35">
        <v>59893.885000000002</v>
      </c>
      <c r="E35">
        <v>60414.495000000003</v>
      </c>
      <c r="F35">
        <v>61020.220999999998</v>
      </c>
      <c r="G35">
        <v>61673.080999999998</v>
      </c>
      <c r="H35">
        <v>62305.038999999997</v>
      </c>
      <c r="I35">
        <v>62918.915999999997</v>
      </c>
      <c r="J35">
        <v>63514.502</v>
      </c>
      <c r="K35">
        <v>64093.732000000004</v>
      </c>
      <c r="L35">
        <v>64659.277999999998</v>
      </c>
      <c r="M35">
        <v>65211.525999999998</v>
      </c>
      <c r="N35">
        <v>65752.923999999999</v>
      </c>
      <c r="O35">
        <v>66284.188999999998</v>
      </c>
      <c r="P35">
        <v>66804.167000000001</v>
      </c>
      <c r="Q35">
        <v>67314.133000000002</v>
      </c>
      <c r="R35">
        <v>67815.933000000005</v>
      </c>
      <c r="S35">
        <v>68308.245999999999</v>
      </c>
      <c r="T35">
        <v>68788.494999999995</v>
      </c>
      <c r="U35">
        <v>69256.823000000004</v>
      </c>
      <c r="V35">
        <v>69713.937000000005</v>
      </c>
      <c r="W35">
        <v>70160.652000000002</v>
      </c>
      <c r="X35">
        <v>70595.131999999998</v>
      </c>
      <c r="Y35">
        <v>71016.168000000005</v>
      </c>
      <c r="Z35">
        <v>71423.671000000002</v>
      </c>
      <c r="AA35">
        <v>71816.201000000001</v>
      </c>
      <c r="AB35">
        <v>72192.154999999999</v>
      </c>
      <c r="AC35">
        <v>72551.392999999996</v>
      </c>
      <c r="AD35">
        <v>72894.218999999997</v>
      </c>
      <c r="AE35">
        <v>73220.86</v>
      </c>
      <c r="AF35">
        <v>73529.752999999997</v>
      </c>
      <c r="AG35">
        <v>73819.237999999998</v>
      </c>
      <c r="AH35">
        <v>74089.701000000001</v>
      </c>
      <c r="AI35">
        <v>74342.981</v>
      </c>
      <c r="AJ35">
        <v>74580.11</v>
      </c>
      <c r="AK35">
        <v>74799.05</v>
      </c>
      <c r="AL35">
        <v>75001.119999999995</v>
      </c>
      <c r="AM35">
        <v>75188.808000000005</v>
      </c>
      <c r="AN35">
        <v>75362.119000000006</v>
      </c>
      <c r="AO35">
        <v>75520.304000000004</v>
      </c>
      <c r="AP35">
        <v>75663.198000000004</v>
      </c>
      <c r="AQ35">
        <v>75793.040999999997</v>
      </c>
      <c r="AR35">
        <v>75912.773000000001</v>
      </c>
      <c r="AS35">
        <v>76022.452999999994</v>
      </c>
      <c r="AT35">
        <v>76120.998999999996</v>
      </c>
      <c r="AU35">
        <v>76208.044999999998</v>
      </c>
      <c r="AV35">
        <v>76283.732000000004</v>
      </c>
      <c r="AW35">
        <v>76351.933999999994</v>
      </c>
      <c r="AX35">
        <v>76412.77</v>
      </c>
      <c r="AY35">
        <v>76462.114000000001</v>
      </c>
      <c r="AZ35">
        <v>76502.154999999999</v>
      </c>
    </row>
    <row r="86" spans="1:5" x14ac:dyDescent="0.25">
      <c r="A86" s="115" t="s">
        <v>1405</v>
      </c>
      <c r="B86" s="115" t="s">
        <v>891</v>
      </c>
      <c r="C86" s="115" t="s">
        <v>1406</v>
      </c>
      <c r="D86" s="115" t="s">
        <v>1407</v>
      </c>
      <c r="E86" s="115" t="s">
        <v>1408</v>
      </c>
    </row>
    <row r="87" spans="1:5" x14ac:dyDescent="0.25">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5546875"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85">
        <f>'Net zero emission summary'!AE5</f>
        <v>977.48324710494308</v>
      </c>
      <c r="E7" s="85">
        <f>'Net zero emission summary'!AF5</f>
        <v>972.58505850583742</v>
      </c>
      <c r="F7" s="85">
        <f>'Net zero emission summary'!AG5</f>
        <v>972.49373775284243</v>
      </c>
      <c r="G7" s="85">
        <f>'Net zero emission summary'!AH5</f>
        <v>963.82588908536786</v>
      </c>
      <c r="H7" s="85">
        <f>'Net zero emission summary'!AI5</f>
        <v>949.97028936128584</v>
      </c>
      <c r="I7" s="85">
        <f>'Net zero emission summary'!AJ5</f>
        <v>931.223870238676</v>
      </c>
      <c r="J7" s="85">
        <f>'Net zero emission summary'!AK5</f>
        <v>917.09432606703422</v>
      </c>
      <c r="K7" s="85">
        <f>'Net zero emission summary'!AL5</f>
        <v>903.9107469187411</v>
      </c>
      <c r="L7" s="85">
        <f>'Net zero emission summary'!AM5</f>
        <v>821.1064579269464</v>
      </c>
      <c r="M7" s="85">
        <f>'Net zero emission summary'!AN5</f>
        <v>856.92754925444467</v>
      </c>
      <c r="N7" s="85">
        <f>'Net zero emission summary'!AO5</f>
        <v>870.42008751949834</v>
      </c>
      <c r="O7" s="85">
        <f>'Net zero emission summary'!AP5</f>
        <v>866.95335854266136</v>
      </c>
      <c r="P7" s="85">
        <f>'Net zero emission summary'!AQ5</f>
        <v>864.55308380163444</v>
      </c>
      <c r="Q7" s="85">
        <f>'Net zero emission summary'!AR5</f>
        <v>866.71642961297175</v>
      </c>
      <c r="R7" s="85">
        <f>'Net zero emission summary'!AS5</f>
        <v>873.08533403985496</v>
      </c>
      <c r="S7" s="85">
        <f>'Net zero emission summary'!AT5</f>
        <v>881.36755955523506</v>
      </c>
      <c r="T7" s="85">
        <f>'Net zero emission summary'!AU5</f>
        <v>892.09071378564352</v>
      </c>
      <c r="U7" s="85">
        <f>'Net zero emission summary'!AV5</f>
        <v>906.9601402466775</v>
      </c>
      <c r="V7" s="85">
        <f>'Net zero emission summary'!AW5</f>
        <v>925.64539571635362</v>
      </c>
      <c r="W7" s="85">
        <f>'Net zero emission summary'!AX5</f>
        <v>940.51305995394057</v>
      </c>
      <c r="X7" s="85">
        <f>'Net zero emission summary'!AY5</f>
        <v>956.95696995346702</v>
      </c>
      <c r="Y7" s="85">
        <f>'Net zero emission summary'!AZ5</f>
        <v>974.01581757706958</v>
      </c>
      <c r="Z7" s="85">
        <f>'Net zero emission summary'!BA5</f>
        <v>992.00678468096146</v>
      </c>
      <c r="AA7" s="85">
        <f>'Net zero emission summary'!BB5</f>
        <v>1010.4639518480906</v>
      </c>
      <c r="AB7" s="85">
        <f>'Net zero emission summary'!BC5</f>
        <v>1027.9208577312465</v>
      </c>
      <c r="AC7" s="85">
        <f>'Net zero emission summary'!BD5</f>
        <v>1046.3846333443971</v>
      </c>
      <c r="AD7" s="85">
        <f>'Net zero emission summary'!BE5</f>
        <v>1064.4965990294947</v>
      </c>
      <c r="AE7" s="85">
        <f>'Net zero emission summary'!BF5</f>
        <v>1082.1336039968837</v>
      </c>
      <c r="AF7" s="85">
        <f>'Net zero emission summary'!BG5</f>
        <v>1099.8557057435819</v>
      </c>
      <c r="AG7" s="85">
        <f>'Net zero emission summary'!BH5</f>
        <v>1120.3248126092897</v>
      </c>
      <c r="AH7" s="85">
        <f>'Net zero emission summary'!BI5</f>
        <v>1141.6166794211431</v>
      </c>
      <c r="AI7" s="85">
        <f>'Net zero emission summary'!BJ5</f>
        <v>1164.3646047693242</v>
      </c>
      <c r="AJ7" s="85">
        <f>'Net zero emission summary'!BK5</f>
        <v>1187.3482181315678</v>
      </c>
      <c r="AK7" s="85">
        <f>'Net zero emission summary'!BL5</f>
        <v>1210.6042101396581</v>
      </c>
      <c r="AL7" s="85">
        <f>'Net zero emission summary'!BM5</f>
        <v>1235.3436292107494</v>
      </c>
      <c r="AM7" s="85">
        <f>'Net zero emission summary'!BN5</f>
        <v>1261.0974851809121</v>
      </c>
      <c r="AN7" s="85">
        <f>'Net zero emission summary'!BO5</f>
        <v>1287.5442108269126</v>
      </c>
      <c r="AO7" s="85">
        <f>'Net zero emission summary'!BP5</f>
        <v>1315.4118258490278</v>
      </c>
      <c r="AP7" s="85">
        <f>'Net zero emission summary'!BQ5</f>
        <v>1340.2112734573964</v>
      </c>
    </row>
    <row r="8" spans="1:42" x14ac:dyDescent="0.25">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149.09220789200279</v>
      </c>
      <c r="M8" s="85">
        <f>'Net zero emission summary'!AN6</f>
        <v>149.19952137990489</v>
      </c>
      <c r="N8" s="85">
        <f>'Net zero emission summary'!AO6</f>
        <v>149.1617922431665</v>
      </c>
      <c r="O8" s="85">
        <f>'Net zero emission summary'!AP6</f>
        <v>149.15907604624999</v>
      </c>
      <c r="P8" s="85">
        <f>'Net zero emission summary'!AQ6</f>
        <v>149.31729049015337</v>
      </c>
      <c r="Q8" s="85">
        <f>'Net zero emission summary'!AR6</f>
        <v>149.57622300556901</v>
      </c>
      <c r="R8" s="85">
        <f>'Net zero emission summary'!AS6</f>
        <v>149.82467162683491</v>
      </c>
      <c r="S8" s="85">
        <f>'Net zero emission summary'!AT6</f>
        <v>150.06343790076303</v>
      </c>
      <c r="T8" s="85">
        <f>'Net zero emission summary'!AU6</f>
        <v>150.2921959729033</v>
      </c>
      <c r="U8" s="85">
        <f>'Net zero emission summary'!AV6</f>
        <v>150.51571310904831</v>
      </c>
      <c r="V8" s="85">
        <f>'Net zero emission summary'!AW6</f>
        <v>150.73725430821531</v>
      </c>
      <c r="W8" s="85">
        <f>'Net zero emission summary'!AX6</f>
        <v>150.95459668959543</v>
      </c>
      <c r="X8" s="85">
        <f>'Net zero emission summary'!AY6</f>
        <v>151.17086528207864</v>
      </c>
      <c r="Y8" s="85">
        <f>'Net zero emission summary'!AZ6</f>
        <v>151.38537879779864</v>
      </c>
      <c r="Z8" s="85">
        <f>'Net zero emission summary'!BA6</f>
        <v>151.59641841964094</v>
      </c>
      <c r="AA8" s="85">
        <f>'Net zero emission summary'!BB6</f>
        <v>151.80491329677773</v>
      </c>
      <c r="AB8" s="85">
        <f>'Net zero emission summary'!BC6</f>
        <v>152.01108592301256</v>
      </c>
      <c r="AC8" s="85">
        <f>'Net zero emission summary'!BD6</f>
        <v>152.21563624252758</v>
      </c>
      <c r="AD8" s="85">
        <f>'Net zero emission summary'!BE6</f>
        <v>152.41230542261374</v>
      </c>
      <c r="AE8" s="85">
        <f>'Net zero emission summary'!BF6</f>
        <v>152.60086336427031</v>
      </c>
      <c r="AF8" s="85">
        <f>'Net zero emission summary'!BG6</f>
        <v>152.78307234575294</v>
      </c>
      <c r="AG8" s="85">
        <f>'Net zero emission summary'!BH6</f>
        <v>152.95752933857716</v>
      </c>
      <c r="AH8" s="85">
        <f>'Net zero emission summary'!BI6</f>
        <v>153.12455082138302</v>
      </c>
      <c r="AI8" s="85">
        <f>'Net zero emission summary'!BJ6</f>
        <v>153.28338452635569</v>
      </c>
      <c r="AJ8" s="85">
        <f>'Net zero emission summary'!BK6</f>
        <v>153.43175753073672</v>
      </c>
      <c r="AK8" s="85">
        <f>'Net zero emission summary'!BL6</f>
        <v>153.56756356691508</v>
      </c>
      <c r="AL8" s="85">
        <f>'Net zero emission summary'!BM6</f>
        <v>153.69066543271052</v>
      </c>
      <c r="AM8" s="85">
        <f>'Net zero emission summary'!BN6</f>
        <v>153.80012109875778</v>
      </c>
      <c r="AN8" s="85">
        <f>'Net zero emission summary'!BO6</f>
        <v>153.89587777610615</v>
      </c>
      <c r="AO8" s="85">
        <f>'Net zero emission summary'!BP6</f>
        <v>153.97976795549522</v>
      </c>
      <c r="AP8" s="85">
        <f>'Net zero emission summary'!BQ6</f>
        <v>154.04089541215561</v>
      </c>
    </row>
    <row r="9" spans="1:42" x14ac:dyDescent="0.25">
      <c r="A9" t="str">
        <f>'Emissions summary'!C7</f>
        <v>3A1d Goats</v>
      </c>
      <c r="B9" t="str">
        <f t="shared" si="1"/>
        <v>A3A1d</v>
      </c>
      <c r="C9" t="str">
        <f>'Emissions summary'!D7</f>
        <v>CH4</v>
      </c>
      <c r="D9" s="85">
        <f>'Net zero emission summary'!AE7</f>
        <v>37.504515885641091</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38.710452121917413</v>
      </c>
      <c r="M9" s="85">
        <f>'Net zero emission summary'!AN7</f>
        <v>38.776995426212103</v>
      </c>
      <c r="N9" s="85">
        <f>'Net zero emission summary'!AO7</f>
        <v>38.783452690562861</v>
      </c>
      <c r="O9" s="85">
        <f>'Net zero emission summary'!AP7</f>
        <v>38.801206048608933</v>
      </c>
      <c r="P9" s="85">
        <f>'Net zero emission summary'!AQ7</f>
        <v>38.879698472107385</v>
      </c>
      <c r="Q9" s="85">
        <f>'Net zero emission summary'!AR7</f>
        <v>38.995156438212767</v>
      </c>
      <c r="R9" s="85">
        <f>'Net zero emission summary'!AS7</f>
        <v>39.104142665284733</v>
      </c>
      <c r="S9" s="85">
        <f>'Net zero emission summary'!AT7</f>
        <v>39.207169590949995</v>
      </c>
      <c r="T9" s="85">
        <f>'Net zero emission summary'!AU7</f>
        <v>39.304289950195766</v>
      </c>
      <c r="U9" s="85">
        <f>'Net zero emission summary'!AV7</f>
        <v>39.397513345346809</v>
      </c>
      <c r="V9" s="85">
        <f>'Net zero emission summary'!AW7</f>
        <v>39.488238496110661</v>
      </c>
      <c r="W9" s="85">
        <f>'Net zero emission summary'!AX7</f>
        <v>39.575724700092842</v>
      </c>
      <c r="X9" s="85">
        <f>'Net zero emission summary'!AY7</f>
        <v>39.661285999197112</v>
      </c>
      <c r="Y9" s="85">
        <f>'Net zero emission summary'!AZ7</f>
        <v>39.744755156583402</v>
      </c>
      <c r="Z9" s="85">
        <f>'Net zero emission summary'!BA7</f>
        <v>39.825561030573652</v>
      </c>
      <c r="AA9" s="85">
        <f>'Net zero emission summary'!BB7</f>
        <v>39.904143411479787</v>
      </c>
      <c r="AB9" s="85">
        <f>'Net zero emission summary'!BC7</f>
        <v>39.980662826035882</v>
      </c>
      <c r="AC9" s="85">
        <f>'Net zero emission summary'!BD7</f>
        <v>40.055455247621502</v>
      </c>
      <c r="AD9" s="85">
        <f>'Net zero emission summary'!BE7</f>
        <v>40.126201699289624</v>
      </c>
      <c r="AE9" s="85">
        <f>'Net zero emission summary'!BF7</f>
        <v>40.192885458392894</v>
      </c>
      <c r="AF9" s="85">
        <f>'Net zero emission summary'!BG7</f>
        <v>40.256241096217778</v>
      </c>
      <c r="AG9" s="85">
        <f>'Net zero emission summary'!BH7</f>
        <v>40.315796337737517</v>
      </c>
      <c r="AH9" s="85">
        <f>'Net zero emission summary'!BI7</f>
        <v>40.371728459905668</v>
      </c>
      <c r="AI9" s="85">
        <f>'Net zero emission summary'!BJ7</f>
        <v>40.423807363963917</v>
      </c>
      <c r="AJ9" s="85">
        <f>'Net zero emission summary'!BK7</f>
        <v>40.471229187822296</v>
      </c>
      <c r="AK9" s="85">
        <f>'Net zero emission summary'!BL7</f>
        <v>40.513255500899547</v>
      </c>
      <c r="AL9" s="85">
        <f>'Net zero emission summary'!BM7</f>
        <v>40.549889170562921</v>
      </c>
      <c r="AM9" s="85">
        <f>'Net zero emission summary'!BN7</f>
        <v>40.580829192896346</v>
      </c>
      <c r="AN9" s="85">
        <f>'Net zero emission summary'!BO7</f>
        <v>40.606106947795126</v>
      </c>
      <c r="AO9" s="85">
        <f>'Net zero emission summary'!BP7</f>
        <v>40.62645560719502</v>
      </c>
      <c r="AP9" s="85">
        <f>'Net zero emission summary'!BQ7</f>
        <v>40.637856109153176</v>
      </c>
    </row>
    <row r="10" spans="1:42" x14ac:dyDescent="0.25">
      <c r="A10" t="str">
        <f>'Emissions summary'!C8</f>
        <v>3A1f Horses</v>
      </c>
      <c r="B10" t="str">
        <f t="shared" si="1"/>
        <v>A3A1f</v>
      </c>
      <c r="C10" t="str">
        <f>'Emissions summary'!D8</f>
        <v>CH4</v>
      </c>
      <c r="D10" s="85">
        <f>'Net zero emission summary'!AE8</f>
        <v>5.5526214800767892</v>
      </c>
      <c r="E10" s="85">
        <f>'Net zero emission summary'!AF8</f>
        <v>5.579523571019652</v>
      </c>
      <c r="F10" s="85">
        <f>'Net zero emission summary'!AG8</f>
        <v>5.6203482259438013</v>
      </c>
      <c r="G10" s="85">
        <f>'Net zero emission summary'!AH8</f>
        <v>5.629075655008374</v>
      </c>
      <c r="H10" s="85">
        <f>'Net zero emission summary'!AI8</f>
        <v>5.6165815405282276</v>
      </c>
      <c r="I10" s="85">
        <f>'Net zero emission summary'!AJ8</f>
        <v>5.5833231296706103</v>
      </c>
      <c r="J10" s="85">
        <f>'Net zero emission summary'!AK8</f>
        <v>5.5648827699457346</v>
      </c>
      <c r="K10" s="85">
        <f>'Net zero emission summary'!AL8</f>
        <v>5.5483103177944031</v>
      </c>
      <c r="L10" s="85">
        <f>'Net zero emission summary'!AM8</f>
        <v>5.2971852508905934</v>
      </c>
      <c r="M10" s="85">
        <f>'Net zero emission summary'!AN8</f>
        <v>5.4545032105207021</v>
      </c>
      <c r="N10" s="85">
        <f>'Net zero emission summary'!AO8</f>
        <v>5.5329638064801401</v>
      </c>
      <c r="O10" s="85">
        <f>'Net zero emission summary'!AP8</f>
        <v>5.544813640469159</v>
      </c>
      <c r="P10" s="85">
        <f>'Net zero emission summary'!AQ8</f>
        <v>5.5552394312209037</v>
      </c>
      <c r="Q10" s="85">
        <f>'Net zero emission summary'!AR8</f>
        <v>5.5805371243140618</v>
      </c>
      <c r="R10" s="85">
        <f>'Net zero emission summary'!AS8</f>
        <v>5.6237182797404808</v>
      </c>
      <c r="S10" s="85">
        <f>'Net zero emission summary'!AT8</f>
        <v>5.6758191216830927</v>
      </c>
      <c r="T10" s="85">
        <f>'Net zero emission summary'!AU8</f>
        <v>5.7392036522982304</v>
      </c>
      <c r="U10" s="85">
        <f>'Net zero emission summary'!AV8</f>
        <v>5.8209863133515896</v>
      </c>
      <c r="V10" s="85">
        <f>'Net zero emission summary'!AW8</f>
        <v>5.9200988769206573</v>
      </c>
      <c r="W10" s="85">
        <f>'Net zero emission summary'!AX8</f>
        <v>6.0298529321871719</v>
      </c>
      <c r="X10" s="85">
        <f>'Net zero emission summary'!AY8</f>
        <v>6.1497995952254207</v>
      </c>
      <c r="Y10" s="85">
        <f>'Net zero emission summary'!AZ8</f>
        <v>6.2762315807434783</v>
      </c>
      <c r="Z10" s="85">
        <f>'Net zero emission summary'!BA8</f>
        <v>6.4109152413607369</v>
      </c>
      <c r="AA10" s="85">
        <f>'Net zero emission summary'!BB8</f>
        <v>6.552086974601302</v>
      </c>
      <c r="AB10" s="85">
        <f>'Net zero emission summary'!BC8</f>
        <v>6.6933077398392395</v>
      </c>
      <c r="AC10" s="85">
        <f>'Net zero emission summary'!BD8</f>
        <v>6.8438679121481307</v>
      </c>
      <c r="AD10" s="85">
        <f>'Net zero emission summary'!BE8</f>
        <v>6.9980784680830306</v>
      </c>
      <c r="AE10" s="85">
        <f>'Net zero emission summary'!BF8</f>
        <v>7.1555200224058177</v>
      </c>
      <c r="AF10" s="85">
        <f>'Net zero emission summary'!BG8</f>
        <v>7.3189945558292679</v>
      </c>
      <c r="AG10" s="85">
        <f>'Net zero emission summary'!BH8</f>
        <v>7.4816205294730294</v>
      </c>
      <c r="AH10" s="85">
        <f>'Net zero emission summary'!BI8</f>
        <v>7.6530966093944661</v>
      </c>
      <c r="AI10" s="85">
        <f>'Net zero emission summary'!BJ8</f>
        <v>7.8370750081366163</v>
      </c>
      <c r="AJ10" s="85">
        <f>'Net zero emission summary'!BK8</f>
        <v>8.0278701064246079</v>
      </c>
      <c r="AK10" s="85">
        <f>'Net zero emission summary'!BL8</f>
        <v>8.2260903165664789</v>
      </c>
      <c r="AL10" s="85">
        <f>'Net zero emission summary'!BM8</f>
        <v>8.4385648916420113</v>
      </c>
      <c r="AM10" s="85">
        <f>'Net zero emission summary'!BN8</f>
        <v>8.6634503637197486</v>
      </c>
      <c r="AN10" s="85">
        <f>'Net zero emission summary'!BO8</f>
        <v>8.8995458740132776</v>
      </c>
      <c r="AO10" s="85">
        <f>'Net zero emission summary'!BP8</f>
        <v>9.151348341874078</v>
      </c>
      <c r="AP10" s="85">
        <f>'Net zero emission summary'!BQ8</f>
        <v>9.3946927055732683</v>
      </c>
    </row>
    <row r="11" spans="1:42" x14ac:dyDescent="0.25">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5">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2.0846138094278075</v>
      </c>
      <c r="G12" s="85">
        <f>'Net zero emission summary'!AH10</f>
        <v>2.0654754572205229</v>
      </c>
      <c r="H12" s="85">
        <f>'Net zero emission summary'!AI10</f>
        <v>2.0342181138558559</v>
      </c>
      <c r="I12" s="85">
        <f>'Net zero emission summary'!AJ10</f>
        <v>1.9913414611083866</v>
      </c>
      <c r="J12" s="85">
        <f>'Net zero emission summary'!AK10</f>
        <v>1.9602082563146461</v>
      </c>
      <c r="K12" s="85">
        <f>'Net zero emission summary'!AL10</f>
        <v>1.9318299226197024</v>
      </c>
      <c r="L12" s="85">
        <f>'Net zero emission summary'!AM10</f>
        <v>1.7354010190920159</v>
      </c>
      <c r="M12" s="85">
        <f>'Net zero emission summary'!AN10</f>
        <v>1.8138217047090701</v>
      </c>
      <c r="N12" s="85">
        <f>'Net zero emission summary'!AO10</f>
        <v>1.8375306358278132</v>
      </c>
      <c r="O12" s="85">
        <f>'Net zero emission summary'!AP10</f>
        <v>1.8193959923732539</v>
      </c>
      <c r="P12" s="85">
        <f>'Net zero emission summary'!AQ10</f>
        <v>1.803446669881583</v>
      </c>
      <c r="Q12" s="85">
        <f>'Net zero emission summary'!AR10</f>
        <v>1.7985175252106087</v>
      </c>
      <c r="R12" s="85">
        <f>'Net zero emission summary'!AS10</f>
        <v>1.8041802713040402</v>
      </c>
      <c r="S12" s="85">
        <f>'Net zero emission summary'!AT10</f>
        <v>1.8147276950935136</v>
      </c>
      <c r="T12" s="85">
        <f>'Net zero emission summary'!AU10</f>
        <v>1.8313631169891857</v>
      </c>
      <c r="U12" s="85">
        <f>'Net zero emission summary'!AV10</f>
        <v>1.8580862872731732</v>
      </c>
      <c r="V12" s="85">
        <f>'Net zero emission summary'!AW10</f>
        <v>1.893964192020382</v>
      </c>
      <c r="W12" s="85">
        <f>'Net zero emission summary'!AX10</f>
        <v>1.9347986450888484</v>
      </c>
      <c r="X12" s="85">
        <f>'Net zero emission summary'!AY10</f>
        <v>1.9801842816165383</v>
      </c>
      <c r="Y12" s="85">
        <f>'Net zero emission summary'!AZ10</f>
        <v>2.0278508935963289</v>
      </c>
      <c r="Z12" s="85">
        <f>'Net zero emission summary'!BA10</f>
        <v>2.0786171105121314</v>
      </c>
      <c r="AA12" s="85">
        <f>'Net zero emission summary'!BB10</f>
        <v>2.1313887227130501</v>
      </c>
      <c r="AB12" s="85">
        <f>'Net zero emission summary'!BC10</f>
        <v>2.1825998481678734</v>
      </c>
      <c r="AC12" s="85">
        <f>'Net zero emission summary'!BD10</f>
        <v>2.2371979620944384</v>
      </c>
      <c r="AD12" s="85">
        <f>'Net zero emission summary'!BE10</f>
        <v>2.2919049757078311</v>
      </c>
      <c r="AE12" s="85">
        <f>'Net zero emission summary'!BF10</f>
        <v>2.346433660338374</v>
      </c>
      <c r="AF12" s="85">
        <f>'Net zero emission summary'!BG10</f>
        <v>2.4021949577303787</v>
      </c>
      <c r="AG12" s="85">
        <f>'Net zero emission summary'!BH10</f>
        <v>2.4555828905524559</v>
      </c>
      <c r="AH12" s="85">
        <f>'Net zero emission summary'!BI10</f>
        <v>2.5114502464923003</v>
      </c>
      <c r="AI12" s="85">
        <f>'Net zero emission summary'!BJ10</f>
        <v>2.5714075200302147</v>
      </c>
      <c r="AJ12" s="85">
        <f>'Net zero emission summary'!BK10</f>
        <v>2.6324126254923823</v>
      </c>
      <c r="AK12" s="85">
        <f>'Net zero emission summary'!BL10</f>
        <v>2.69457771621104</v>
      </c>
      <c r="AL12" s="85">
        <f>'Net zero emission summary'!BM10</f>
        <v>2.7609746004717697</v>
      </c>
      <c r="AM12" s="85">
        <f>'Net zero emission summary'!BN10</f>
        <v>2.8304473874967662</v>
      </c>
      <c r="AN12" s="85">
        <f>'Net zero emission summary'!BO10</f>
        <v>2.9022041805854424</v>
      </c>
      <c r="AO12" s="85">
        <f>'Net zero emission summary'!BP10</f>
        <v>2.9781063893269555</v>
      </c>
      <c r="AP12" s="85">
        <f>'Net zero emission summary'!BQ10</f>
        <v>3.046811627901123</v>
      </c>
    </row>
    <row r="13" spans="1:42" x14ac:dyDescent="0.25">
      <c r="A13" t="str">
        <f>'Emissions summary'!C12</f>
        <v>3A2a Cattle</v>
      </c>
      <c r="B13" t="str">
        <f t="shared" si="1"/>
        <v>A3A2a</v>
      </c>
      <c r="C13" t="str">
        <f>'Emissions summary'!D12</f>
        <v>CH4</v>
      </c>
      <c r="D13" s="85">
        <f>'Net zero emission summary'!AE12</f>
        <v>10.513994827787096</v>
      </c>
      <c r="E13" s="85">
        <f>'Net zero emission summary'!AF12</f>
        <v>10.583676395984559</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10.895047418651059</v>
      </c>
      <c r="L13" s="85">
        <f>'Net zero emission summary'!AM12</f>
        <v>10.545353922906072</v>
      </c>
      <c r="M13" s="85">
        <f>'Net zero emission summary'!AN12</f>
        <v>10.789110381942317</v>
      </c>
      <c r="N13" s="85">
        <f>'Net zero emission summary'!AO12</f>
        <v>10.912591793209609</v>
      </c>
      <c r="O13" s="85">
        <f>'Net zero emission summary'!AP12</f>
        <v>10.947108353465719</v>
      </c>
      <c r="P13" s="85">
        <f>'Net zero emission summary'!AQ12</f>
        <v>10.993448514778068</v>
      </c>
      <c r="Q13" s="85">
        <f>'Net zero emission summary'!AR12</f>
        <v>11.069190787339927</v>
      </c>
      <c r="R13" s="85">
        <f>'Net zero emission summary'!AS12</f>
        <v>11.169145914100731</v>
      </c>
      <c r="S13" s="85">
        <f>'Net zero emission summary'!AT12</f>
        <v>11.281119680153814</v>
      </c>
      <c r="T13" s="85">
        <f>'Net zero emission summary'!AU12</f>
        <v>11.408638241280499</v>
      </c>
      <c r="U13" s="85">
        <f>'Net zero emission summary'!AV12</f>
        <v>11.562537824194667</v>
      </c>
      <c r="V13" s="85">
        <f>'Net zero emission summary'!AW12</f>
        <v>11.741951151312151</v>
      </c>
      <c r="W13" s="85">
        <f>'Net zero emission summary'!AX12</f>
        <v>11.938080610563796</v>
      </c>
      <c r="X13" s="85">
        <f>'Net zero emission summary'!AY12</f>
        <v>12.150106653424354</v>
      </c>
      <c r="Y13" s="85">
        <f>'Net zero emission summary'!AZ12</f>
        <v>12.372745121832862</v>
      </c>
      <c r="Z13" s="85">
        <f>'Net zero emission summary'!BA12</f>
        <v>12.608504326688797</v>
      </c>
      <c r="AA13" s="85">
        <f>'Net zero emission summary'!BB12</f>
        <v>12.855008730894999</v>
      </c>
      <c r="AB13" s="85">
        <f>'Net zero emission summary'!BC12</f>
        <v>13.102883193080231</v>
      </c>
      <c r="AC13" s="85">
        <f>'Net zero emission summary'!BD12</f>
        <v>13.36591428269535</v>
      </c>
      <c r="AD13" s="85">
        <f>'Net zero emission summary'!BE12</f>
        <v>13.635106458756464</v>
      </c>
      <c r="AE13" s="85">
        <f>'Net zero emission summary'!BF12</f>
        <v>13.909803024888964</v>
      </c>
      <c r="AF13" s="85">
        <f>'Net zero emission summary'!BG12</f>
        <v>14.194372922686513</v>
      </c>
      <c r="AG13" s="85">
        <f>'Net zero emission summary'!BH12</f>
        <v>14.477718996113421</v>
      </c>
      <c r="AH13" s="85">
        <f>'Net zero emission summary'!BI12</f>
        <v>14.77496109424578</v>
      </c>
      <c r="AI13" s="85">
        <f>'Net zero emission summary'!BJ12</f>
        <v>15.091556791024473</v>
      </c>
      <c r="AJ13" s="85">
        <f>'Net zero emission summary'!BK12</f>
        <v>15.418707075555014</v>
      </c>
      <c r="AK13" s="85">
        <f>'Net zero emission summary'!BL12</f>
        <v>15.75704058090828</v>
      </c>
      <c r="AL13" s="85">
        <f>'Net zero emission summary'!BM12</f>
        <v>16.116854146493917</v>
      </c>
      <c r="AM13" s="85">
        <f>'Net zero emission summary'!BN12</f>
        <v>16.495220037575837</v>
      </c>
      <c r="AN13" s="85">
        <f>'Net zero emission summary'!BO12</f>
        <v>16.890255701061655</v>
      </c>
      <c r="AO13" s="85">
        <f>'Net zero emission summary'!BP12</f>
        <v>17.308996658415484</v>
      </c>
      <c r="AP13" s="85">
        <f>'Net zero emission summary'!BQ12</f>
        <v>17.71294382748448</v>
      </c>
    </row>
    <row r="14" spans="1:42" x14ac:dyDescent="0.25">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4.0755234479592478E-2</v>
      </c>
      <c r="M14" s="85">
        <f>'Net zero emission summary'!AN13</f>
        <v>4.0784569254522111E-2</v>
      </c>
      <c r="N14" s="85">
        <f>'Net zero emission summary'!AO13</f>
        <v>4.0774255772441273E-2</v>
      </c>
      <c r="O14" s="85">
        <f>'Net zero emission summary'!AP13</f>
        <v>4.0773513283992084E-2</v>
      </c>
      <c r="P14" s="85">
        <f>'Net zero emission summary'!AQ13</f>
        <v>4.0816762135494844E-2</v>
      </c>
      <c r="Q14" s="85">
        <f>'Net zero emission summary'!AR13</f>
        <v>4.08875428659526E-2</v>
      </c>
      <c r="R14" s="85">
        <f>'Net zero emission summary'!AS13</f>
        <v>4.0955457762103027E-2</v>
      </c>
      <c r="S14" s="85">
        <f>'Net zero emission summary'!AT13</f>
        <v>4.1020725931495278E-2</v>
      </c>
      <c r="T14" s="85">
        <f>'Net zero emission summary'!AU13</f>
        <v>4.1083258299893281E-2</v>
      </c>
      <c r="U14" s="85">
        <f>'Net zero emission summary'!AV13</f>
        <v>4.1144358027522213E-2</v>
      </c>
      <c r="V14" s="85">
        <f>'Net zero emission summary'!AW13</f>
        <v>4.1204917621122716E-2</v>
      </c>
      <c r="W14" s="85">
        <f>'Net zero emission summary'!AX13</f>
        <v>4.1264329443113541E-2</v>
      </c>
      <c r="X14" s="85">
        <f>'Net zero emission summary'!AY13</f>
        <v>4.1323447738575429E-2</v>
      </c>
      <c r="Y14" s="85">
        <f>'Net zero emission summary'!AZ13</f>
        <v>4.1382086273451399E-2</v>
      </c>
      <c r="Z14" s="85">
        <f>'Net zero emission summary'!BA13</f>
        <v>4.1439775198944401E-2</v>
      </c>
      <c r="AA14" s="85">
        <f>'Net zero emission summary'!BB13</f>
        <v>4.1496768503461415E-2</v>
      </c>
      <c r="AB14" s="85">
        <f>'Net zero emission summary'!BC13</f>
        <v>4.15531270069961E-2</v>
      </c>
      <c r="AC14" s="85">
        <f>'Net zero emission summary'!BD13</f>
        <v>4.1609042043419378E-2</v>
      </c>
      <c r="AD14" s="85">
        <f>'Net zero emission summary'!BE13</f>
        <v>4.1662802723891203E-2</v>
      </c>
      <c r="AE14" s="85">
        <f>'Net zero emission summary'!BF13</f>
        <v>4.1714346149492418E-2</v>
      </c>
      <c r="AF14" s="85">
        <f>'Net zero emission summary'!BG13</f>
        <v>4.1764154049379394E-2</v>
      </c>
      <c r="AG14" s="85">
        <f>'Net zero emission summary'!BH13</f>
        <v>4.1811842897439819E-2</v>
      </c>
      <c r="AH14" s="85">
        <f>'Net zero emission summary'!BI13</f>
        <v>4.1857499204976785E-2</v>
      </c>
      <c r="AI14" s="85">
        <f>'Net zero emission summary'!BJ13</f>
        <v>4.1900917335145685E-2</v>
      </c>
      <c r="AJ14" s="85">
        <f>'Net zero emission summary'!BK13</f>
        <v>4.1941475971103176E-2</v>
      </c>
      <c r="AK14" s="85">
        <f>'Net zero emission summary'!BL13</f>
        <v>4.1978599352173518E-2</v>
      </c>
      <c r="AL14" s="85">
        <f>'Net zero emission summary'!BM13</f>
        <v>4.2012249973331403E-2</v>
      </c>
      <c r="AM14" s="85">
        <f>'Net zero emission summary'!BN13</f>
        <v>4.2042170325293116E-2</v>
      </c>
      <c r="AN14" s="85">
        <f>'Net zero emission summary'!BO13</f>
        <v>4.2068345977887556E-2</v>
      </c>
      <c r="AO14" s="85">
        <f>'Net zero emission summary'!BP13</f>
        <v>4.2091277853267745E-2</v>
      </c>
      <c r="AP14" s="85">
        <f>'Net zero emission summary'!BQ13</f>
        <v>4.2107987404119258E-2</v>
      </c>
    </row>
    <row r="15" spans="1:42" x14ac:dyDescent="0.25">
      <c r="A15" t="str">
        <f>'Emissions summary'!C14</f>
        <v>3A2d Goats</v>
      </c>
      <c r="B15" t="str">
        <f t="shared" si="1"/>
        <v>A3A2d</v>
      </c>
      <c r="C15" t="str">
        <f>'Emissions summary'!D14</f>
        <v>CH4</v>
      </c>
      <c r="D15" s="85">
        <f>'Net zero emission summary'!AE14</f>
        <v>4.2381891563828093E-2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4.3565554612885068E-2</v>
      </c>
      <c r="K15" s="85">
        <f>'Net zero emission summary'!AL14</f>
        <v>4.3852181920952263E-2</v>
      </c>
      <c r="L15" s="85">
        <f>'Net zero emission summary'!AM14</f>
        <v>4.3744657022649056E-2</v>
      </c>
      <c r="M15" s="85">
        <f>'Net zero emission summary'!AN14</f>
        <v>4.3819854129992508E-2</v>
      </c>
      <c r="N15" s="85">
        <f>'Net zero emission summary'!AO14</f>
        <v>4.3827151146659707E-2</v>
      </c>
      <c r="O15" s="85">
        <f>'Net zero emission summary'!AP14</f>
        <v>4.3847213287920156E-2</v>
      </c>
      <c r="P15" s="85">
        <f>'Net zero emission summary'!AQ14</f>
        <v>4.3935913469824575E-2</v>
      </c>
      <c r="Q15" s="85">
        <f>'Net zero emission summary'!AR14</f>
        <v>4.4066386477783909E-2</v>
      </c>
      <c r="R15" s="85">
        <f>'Net zero emission summary'!AS14</f>
        <v>4.4189546111994341E-2</v>
      </c>
      <c r="S15" s="85">
        <f>'Net zero emission summary'!AT14</f>
        <v>4.4305971451412504E-2</v>
      </c>
      <c r="T15" s="85">
        <f>'Net zero emission summary'!AU14</f>
        <v>4.4415722089088921E-2</v>
      </c>
      <c r="U15" s="85">
        <f>'Net zero emission summary'!AV14</f>
        <v>4.4521068971489705E-2</v>
      </c>
      <c r="V15" s="85">
        <f>'Net zero emission summary'!AW14</f>
        <v>4.4623592718590198E-2</v>
      </c>
      <c r="W15" s="85">
        <f>'Net zero emission summary'!AX14</f>
        <v>4.4722456301360056E-2</v>
      </c>
      <c r="X15" s="85">
        <f>'Net zero emission summary'!AY14</f>
        <v>4.4819144649818003E-2</v>
      </c>
      <c r="Y15" s="85">
        <f>'Net zero emission summary'!AZ14</f>
        <v>4.4913468778359125E-2</v>
      </c>
      <c r="Z15" s="85">
        <f>'Net zero emission summary'!BA14</f>
        <v>4.5004783269649129E-2</v>
      </c>
      <c r="AA15" s="85">
        <f>'Net zero emission summary'!BB14</f>
        <v>4.509358510771435E-2</v>
      </c>
      <c r="AB15" s="85">
        <f>'Net zero emission summary'!BC14</f>
        <v>4.5180055695419913E-2</v>
      </c>
      <c r="AC15" s="85">
        <f>'Net zero emission summary'!BD14</f>
        <v>4.526457469870751E-2</v>
      </c>
      <c r="AD15" s="85">
        <f>'Net zero emission summary'!BE14</f>
        <v>4.5344521563033563E-2</v>
      </c>
      <c r="AE15" s="85">
        <f>'Net zero emission summary'!BF14</f>
        <v>4.5419877391009084E-2</v>
      </c>
      <c r="AF15" s="85">
        <f>'Net zero emission summary'!BG14</f>
        <v>4.5491472283219897E-2</v>
      </c>
      <c r="AG15" s="85">
        <f>'Net zero emission summary'!BH14</f>
        <v>4.5558772546362696E-2</v>
      </c>
      <c r="AH15" s="85">
        <f>'Net zero emission summary'!BI14</f>
        <v>4.5621978511849466E-2</v>
      </c>
      <c r="AI15" s="85">
        <f>'Net zero emission summary'!BJ14</f>
        <v>4.568083015710972E-2</v>
      </c>
      <c r="AJ15" s="85">
        <f>'Net zero emission summary'!BK14</f>
        <v>4.5734419079645164E-2</v>
      </c>
      <c r="AK15" s="85">
        <f>'Net zero emission summary'!BL14</f>
        <v>4.578191081768275E-2</v>
      </c>
      <c r="AL15" s="85">
        <f>'Net zero emission summary'!BM14</f>
        <v>4.5823308611484231E-2</v>
      </c>
      <c r="AM15" s="85">
        <f>'Net zero emission summary'!BN14</f>
        <v>4.5858272312269382E-2</v>
      </c>
      <c r="AN15" s="85">
        <f>'Net zero emission summary'!BO14</f>
        <v>4.5886837380816441E-2</v>
      </c>
      <c r="AO15" s="85">
        <f>'Net zero emission summary'!BP14</f>
        <v>4.5909832336378187E-2</v>
      </c>
      <c r="AP15" s="85">
        <f>'Net zero emission summary'!BQ14</f>
        <v>4.5922715447287744E-2</v>
      </c>
    </row>
    <row r="16" spans="1:42" x14ac:dyDescent="0.25">
      <c r="A16" t="str">
        <f>'Emissions summary'!C15</f>
        <v>3A2f Horses</v>
      </c>
      <c r="B16" t="str">
        <f t="shared" si="1"/>
        <v>A3A2f</v>
      </c>
      <c r="C16" t="str">
        <f>'Emissions summary'!D15</f>
        <v>CH4</v>
      </c>
      <c r="D16" s="85">
        <f>'Net zero emission summary'!AE15</f>
        <v>4.1336182129460544E-3</v>
      </c>
      <c r="E16" s="85">
        <f>'Net zero emission summary'!AF15</f>
        <v>4.1536453250924079E-3</v>
      </c>
      <c r="F16" s="85">
        <f>'Net zero emission summary'!AG15</f>
        <v>4.1840370126470525E-3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4.130408792135833E-3</v>
      </c>
      <c r="L16" s="85">
        <f>'Net zero emission summary'!AM15</f>
        <v>3.9434601312185527E-3</v>
      </c>
      <c r="M16" s="85">
        <f>'Net zero emission summary'!AN15</f>
        <v>4.0605746122765228E-3</v>
      </c>
      <c r="N16" s="85">
        <f>'Net zero emission summary'!AO15</f>
        <v>4.1189841670463273E-3</v>
      </c>
      <c r="O16" s="85">
        <f>'Net zero emission summary'!AP15</f>
        <v>4.1278057101270405E-3</v>
      </c>
      <c r="P16" s="85">
        <f>'Net zero emission summary'!AQ15</f>
        <v>4.1355671321311174E-3</v>
      </c>
      <c r="Q16" s="85">
        <f>'Net zero emission summary'!AR15</f>
        <v>4.1543998592115791E-3</v>
      </c>
      <c r="R16" s="85">
        <f>'Net zero emission summary'!AS15</f>
        <v>4.1865458304734694E-3</v>
      </c>
      <c r="S16" s="85">
        <f>'Net zero emission summary'!AT15</f>
        <v>4.2253320128085251E-3</v>
      </c>
      <c r="T16" s="85">
        <f>'Net zero emission summary'!AU15</f>
        <v>4.272518274488683E-3</v>
      </c>
      <c r="U16" s="85">
        <f>'Net zero emission summary'!AV15</f>
        <v>4.3334009221617396E-3</v>
      </c>
      <c r="V16" s="85">
        <f>'Net zero emission summary'!AW15</f>
        <v>4.4071847194853781E-3</v>
      </c>
      <c r="W16" s="85">
        <f>'Net zero emission summary'!AX15</f>
        <v>4.4888905161837847E-3</v>
      </c>
      <c r="X16" s="85">
        <f>'Net zero emission summary'!AY15</f>
        <v>4.5781841431122572E-3</v>
      </c>
      <c r="Y16" s="85">
        <f>'Net zero emission summary'!AZ15</f>
        <v>4.6723057323312554E-3</v>
      </c>
      <c r="Z16" s="85">
        <f>'Net zero emission summary'!BA15</f>
        <v>4.7725702352352153E-3</v>
      </c>
      <c r="AA16" s="85">
        <f>'Net zero emission summary'!BB15</f>
        <v>4.8776647477587476E-3</v>
      </c>
      <c r="AB16" s="85">
        <f>'Net zero emission summary'!BC15</f>
        <v>4.9827957618803235E-3</v>
      </c>
      <c r="AC16" s="85">
        <f>'Net zero emission summary'!BD15</f>
        <v>5.0948794457102743E-3</v>
      </c>
      <c r="AD16" s="85">
        <f>'Net zero emission summary'!BE15</f>
        <v>5.2096806373507004E-3</v>
      </c>
      <c r="AE16" s="85">
        <f>'Net zero emission summary'!BF15</f>
        <v>5.326887127790998E-3</v>
      </c>
      <c r="AF16" s="85">
        <f>'Net zero emission summary'!BG15</f>
        <v>5.4485848360062324E-3</v>
      </c>
      <c r="AG16" s="85">
        <f>'Net zero emission summary'!BH15</f>
        <v>5.5696508386077004E-3</v>
      </c>
      <c r="AH16" s="85">
        <f>'Net zero emission summary'!BI15</f>
        <v>5.6973052536603251E-3</v>
      </c>
      <c r="AI16" s="85">
        <f>'Net zero emission summary'!BJ15</f>
        <v>5.8342669505017037E-3</v>
      </c>
      <c r="AJ16" s="85">
        <f>'Net zero emission summary'!BK15</f>
        <v>5.9763033014494302E-3</v>
      </c>
      <c r="AK16" s="85">
        <f>'Net zero emission summary'!BL15</f>
        <v>6.1238672356661557E-3</v>
      </c>
      <c r="AL16" s="85">
        <f>'Net zero emission summary'!BM15</f>
        <v>6.2820427526668306E-3</v>
      </c>
      <c r="AM16" s="85">
        <f>'Net zero emission summary'!BN15</f>
        <v>6.4494574929913678E-3</v>
      </c>
      <c r="AN16" s="85">
        <f>'Net zero emission summary'!BO15</f>
        <v>6.6252174839876625E-3</v>
      </c>
      <c r="AO16" s="85">
        <f>'Net zero emission summary'!BP15</f>
        <v>6.8126704322840365E-3</v>
      </c>
      <c r="AP16" s="85">
        <f>'Net zero emission summary'!BQ15</f>
        <v>6.9938267919267671E-3</v>
      </c>
    </row>
    <row r="17" spans="1:42" x14ac:dyDescent="0.25">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5">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23.240459651013442</v>
      </c>
      <c r="G18" s="85">
        <f>'Net zero emission summary'!AH17</f>
        <v>23.027094422284396</v>
      </c>
      <c r="H18" s="85">
        <f>'Net zero emission summary'!AI17</f>
        <v>22.678619791645822</v>
      </c>
      <c r="I18" s="85">
        <f>'Net zero emission summary'!AJ17</f>
        <v>22.200606495542029</v>
      </c>
      <c r="J18" s="85">
        <f>'Net zero emission summary'!AK17</f>
        <v>21.853515832253052</v>
      </c>
      <c r="K18" s="85">
        <f>'Net zero emission summary'!AL17</f>
        <v>21.53713803785411</v>
      </c>
      <c r="L18" s="85">
        <f>'Net zero emission summary'!AM17</f>
        <v>19.347236970288485</v>
      </c>
      <c r="M18" s="85">
        <f>'Net zero emission summary'!AN17</f>
        <v>20.221515348204544</v>
      </c>
      <c r="N18" s="85">
        <f>'Net zero emission summary'!AO17</f>
        <v>20.485835988575356</v>
      </c>
      <c r="O18" s="85">
        <f>'Net zero emission summary'!AP17</f>
        <v>20.283660675534101</v>
      </c>
      <c r="P18" s="85">
        <f>'Net zero emission summary'!AQ17</f>
        <v>20.105848562733019</v>
      </c>
      <c r="Q18" s="85">
        <f>'Net zero emission summary'!AR17</f>
        <v>20.050895656193823</v>
      </c>
      <c r="R18" s="85">
        <f>'Net zero emission summary'!AS17</f>
        <v>20.114027168372793</v>
      </c>
      <c r="S18" s="85">
        <f>'Net zero emission summary'!AT17</f>
        <v>20.231615843979174</v>
      </c>
      <c r="T18" s="85">
        <f>'Net zero emission summary'!AU17</f>
        <v>20.417076982917933</v>
      </c>
      <c r="U18" s="85">
        <f>'Net zero emission summary'!AV17</f>
        <v>20.71500207480949</v>
      </c>
      <c r="V18" s="85">
        <f>'Net zero emission summary'!AW17</f>
        <v>21.114989350087718</v>
      </c>
      <c r="W18" s="85">
        <f>'Net zero emission summary'!AX17</f>
        <v>21.570235043374854</v>
      </c>
      <c r="X18" s="85">
        <f>'Net zero emission summary'!AY17</f>
        <v>22.076219916777788</v>
      </c>
      <c r="Y18" s="85">
        <f>'Net zero emission summary'!AZ17</f>
        <v>22.607634401037064</v>
      </c>
      <c r="Z18" s="85">
        <f>'Net zero emission summary'!BA17</f>
        <v>23.173605042951863</v>
      </c>
      <c r="AA18" s="85">
        <f>'Net zero emission summary'!BB17</f>
        <v>23.761932971380496</v>
      </c>
      <c r="AB18" s="85">
        <f>'Net zero emission summary'!BC17</f>
        <v>24.332863706576227</v>
      </c>
      <c r="AC18" s="85">
        <f>'Net zero emission summary'!BD17</f>
        <v>24.941554514433854</v>
      </c>
      <c r="AD18" s="85">
        <f>'Net zero emission summary'!BE17</f>
        <v>25.551459397899283</v>
      </c>
      <c r="AE18" s="85">
        <f>'Net zero emission summary'!BF17</f>
        <v>26.159376168500938</v>
      </c>
      <c r="AF18" s="85">
        <f>'Net zero emission summary'!BG17</f>
        <v>26.781034806789801</v>
      </c>
      <c r="AG18" s="85">
        <f>'Net zero emission summary'!BH17</f>
        <v>27.376233827822418</v>
      </c>
      <c r="AH18" s="85">
        <f>'Net zero emission summary'!BI17</f>
        <v>27.999074867086733</v>
      </c>
      <c r="AI18" s="85">
        <f>'Net zero emission summary'!BJ17</f>
        <v>28.667512632461193</v>
      </c>
      <c r="AJ18" s="85">
        <f>'Net zero emission summary'!BK17</f>
        <v>29.347632223719444</v>
      </c>
      <c r="AK18" s="85">
        <f>'Net zero emission summary'!BL17</f>
        <v>30.040683989957664</v>
      </c>
      <c r="AL18" s="85">
        <f>'Net zero emission summary'!BM17</f>
        <v>30.780914195972684</v>
      </c>
      <c r="AM18" s="85">
        <f>'Net zero emission summary'!BN17</f>
        <v>31.555436314360193</v>
      </c>
      <c r="AN18" s="85">
        <f>'Net zero emission summary'!BO17</f>
        <v>32.355421830584532</v>
      </c>
      <c r="AO18" s="85">
        <f>'Net zero emission summary'!BP17</f>
        <v>33.201622796778906</v>
      </c>
      <c r="AP18" s="85">
        <f>'Net zero emission summary'!BQ17</f>
        <v>33.967587848758711</v>
      </c>
    </row>
    <row r="19" spans="1:42" x14ac:dyDescent="0.25">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2.9856726990921132</v>
      </c>
      <c r="G19" s="85">
        <f>'Net zero emission summary'!AH18</f>
        <v>3.0102189866459588</v>
      </c>
      <c r="H19" s="85">
        <f>'Net zero emission summary'!AI18</f>
        <v>3.0101265790703722</v>
      </c>
      <c r="I19" s="85">
        <f>'Net zero emission summary'!AJ18</f>
        <v>2.9854362546719675</v>
      </c>
      <c r="J19" s="85">
        <f>'Net zero emission summary'!AK18</f>
        <v>2.9805084686213323</v>
      </c>
      <c r="K19" s="85">
        <f>'Net zero emission summary'!AL18</f>
        <v>2.978868166437934</v>
      </c>
      <c r="L19" s="85">
        <f>'Net zero emission summary'!AM18</f>
        <v>2.6497326381564594</v>
      </c>
      <c r="M19" s="85">
        <f>'Net zero emission summary'!AN18</f>
        <v>2.8592319269578121</v>
      </c>
      <c r="N19" s="85">
        <f>'Net zero emission summary'!AO18</f>
        <v>2.9629677228684126</v>
      </c>
      <c r="O19" s="85">
        <f>'Net zero emission summary'!AP18</f>
        <v>2.981370531083563</v>
      </c>
      <c r="P19" s="85">
        <f>'Net zero emission summary'!AQ18</f>
        <v>3.0022635775670641</v>
      </c>
      <c r="Q19" s="85">
        <f>'Net zero emission summary'!AR18</f>
        <v>3.0452072666263947</v>
      </c>
      <c r="R19" s="85">
        <f>'Net zero emission summary'!AS18</f>
        <v>3.1112092350460272</v>
      </c>
      <c r="S19" s="85">
        <f>'Net zero emission summary'!AT18</f>
        <v>3.1887468095856057</v>
      </c>
      <c r="T19" s="85">
        <f>'Net zero emission summary'!AU18</f>
        <v>3.2809704091222516</v>
      </c>
      <c r="U19" s="85">
        <f>'Net zero emission summary'!AV18</f>
        <v>3.3974335289525404</v>
      </c>
      <c r="V19" s="85">
        <f>'Net zero emission summary'!AW18</f>
        <v>3.536956011437923</v>
      </c>
      <c r="W19" s="85">
        <f>'Net zero emission summary'!AX18</f>
        <v>3.6907600654078498</v>
      </c>
      <c r="X19" s="85">
        <f>'Net zero emission summary'!AY18</f>
        <v>3.8584038536923067</v>
      </c>
      <c r="Y19" s="85">
        <f>'Net zero emission summary'!AZ18</f>
        <v>4.035010696674366</v>
      </c>
      <c r="Z19" s="85">
        <f>'Net zero emission summary'!BA18</f>
        <v>4.2228657100268654</v>
      </c>
      <c r="AA19" s="85">
        <f>'Net zero emission summary'!BB18</f>
        <v>4.4196839445403215</v>
      </c>
      <c r="AB19" s="85">
        <f>'Net zero emission summary'!BC18</f>
        <v>4.6169469850498963</v>
      </c>
      <c r="AC19" s="85">
        <f>'Net zero emission summary'!BD18</f>
        <v>4.8269862770368315</v>
      </c>
      <c r="AD19" s="85">
        <f>'Net zero emission summary'!BE18</f>
        <v>5.0419787617424596</v>
      </c>
      <c r="AE19" s="85">
        <f>'Net zero emission summary'!BF18</f>
        <v>5.2613132251807029</v>
      </c>
      <c r="AF19" s="85">
        <f>'Net zero emission summary'!BG18</f>
        <v>5.4887544538142841</v>
      </c>
      <c r="AG19" s="85">
        <f>'Net zero emission summary'!BH18</f>
        <v>5.7150436297271279</v>
      </c>
      <c r="AH19" s="85">
        <f>'Net zero emission summary'!BI18</f>
        <v>5.9530459525723813</v>
      </c>
      <c r="AI19" s="85">
        <f>'Net zero emission summary'!BJ18</f>
        <v>6.2075372658106813</v>
      </c>
      <c r="AJ19" s="85">
        <f>'Net zero emission summary'!BK18</f>
        <v>6.4707636294605146</v>
      </c>
      <c r="AK19" s="85">
        <f>'Net zero emission summary'!BL18</f>
        <v>6.7433262918012637</v>
      </c>
      <c r="AL19" s="85">
        <f>'Net zero emission summary'!BM18</f>
        <v>7.0341975375015435</v>
      </c>
      <c r="AM19" s="85">
        <f>'Net zero emission summary'!BN18</f>
        <v>7.3407371256192686</v>
      </c>
      <c r="AN19" s="85">
        <f>'Net zero emission summary'!BO18</f>
        <v>7.6611979534500918</v>
      </c>
      <c r="AO19" s="85">
        <f>'Net zero emission summary'!BP18</f>
        <v>8.0015181716951158</v>
      </c>
      <c r="AP19" s="85">
        <f>'Net zero emission summary'!BQ18</f>
        <v>8.3286792979215463</v>
      </c>
    </row>
    <row r="20" spans="1:42" x14ac:dyDescent="0.25">
      <c r="A20" t="str">
        <f>'Emissions summary'!C20</f>
        <v>3A2a Cattle</v>
      </c>
      <c r="B20" t="str">
        <f t="shared" si="1"/>
        <v>A3A2a</v>
      </c>
      <c r="C20" t="str">
        <f>'Emissions summary'!D20</f>
        <v>N2O</v>
      </c>
      <c r="D20" s="85">
        <f>'Net zero emission summary'!AE20</f>
        <v>2.6405154397771433</v>
      </c>
      <c r="E20" s="85">
        <f>'Net zero emission summary'!AF20</f>
        <v>2.663854765875719</v>
      </c>
      <c r="F20" s="85">
        <f>'Net zero emission summary'!AG20</f>
        <v>2.7012838960025096</v>
      </c>
      <c r="G20" s="85">
        <f>'Net zero emission summary'!AH20</f>
        <v>2.7146557268578309</v>
      </c>
      <c r="H20" s="85">
        <f>'Net zero emission summary'!AI20</f>
        <v>2.71285127989717</v>
      </c>
      <c r="I20" s="85">
        <f>'Net zero emission summary'!AJ20</f>
        <v>2.6960639868509828</v>
      </c>
      <c r="J20" s="85">
        <f>'Net zero emission summary'!AK20</f>
        <v>2.6925532758612407</v>
      </c>
      <c r="K20" s="85">
        <f>'Net zero emission summary'!AL20</f>
        <v>2.6916404315629792</v>
      </c>
      <c r="L20" s="85">
        <f>'Net zero emission summary'!AM20</f>
        <v>2.4721790699569088</v>
      </c>
      <c r="M20" s="85">
        <f>'Net zero emission summary'!AN20</f>
        <v>2.6084535601325491</v>
      </c>
      <c r="N20" s="85">
        <f>'Net zero emission summary'!AO20</f>
        <v>2.6755973375175408</v>
      </c>
      <c r="O20" s="85">
        <f>'Net zero emission summary'!AP20</f>
        <v>2.6887817317009004</v>
      </c>
      <c r="P20" s="85">
        <f>'Net zero emission summary'!AQ20</f>
        <v>2.7052806234007161</v>
      </c>
      <c r="Q20" s="85">
        <f>'Net zero emission summary'!AR20</f>
        <v>2.7368031738529197</v>
      </c>
      <c r="R20" s="85">
        <f>'Net zero emission summary'!AS20</f>
        <v>2.7826958123422552</v>
      </c>
      <c r="S20" s="85">
        <f>'Net zero emission summary'!AT20</f>
        <v>2.8356643448523782</v>
      </c>
      <c r="T20" s="85">
        <f>'Net zero emission summary'!AU20</f>
        <v>2.8977147403550707</v>
      </c>
      <c r="U20" s="85">
        <f>'Net zero emission summary'!AV20</f>
        <v>2.9749708152792502</v>
      </c>
      <c r="V20" s="85">
        <f>'Net zero emission summary'!AW20</f>
        <v>3.0667273564091038</v>
      </c>
      <c r="W20" s="85">
        <f>'Net zero emission summary'!AX20</f>
        <v>3.1613561317109511</v>
      </c>
      <c r="X20" s="85">
        <f>'Net zero emission summary'!AY20</f>
        <v>3.2643536661483479</v>
      </c>
      <c r="Y20" s="85">
        <f>'Net zero emission summary'!AZ20</f>
        <v>3.3726076567879044</v>
      </c>
      <c r="Z20" s="85">
        <f>'Net zero emission summary'!BA20</f>
        <v>3.4875254418050274</v>
      </c>
      <c r="AA20" s="85">
        <f>'Net zero emission summary'!BB20</f>
        <v>3.6076657236956566</v>
      </c>
      <c r="AB20" s="85">
        <f>'Net zero emission summary'!BC20</f>
        <v>3.7276871096675595</v>
      </c>
      <c r="AC20" s="85">
        <f>'Net zero emission summary'!BD20</f>
        <v>3.8553311585871564</v>
      </c>
      <c r="AD20" s="85">
        <f>'Net zero emission summary'!BE20</f>
        <v>3.9856277194109024</v>
      </c>
      <c r="AE20" s="85">
        <f>'Net zero emission summary'!BF20</f>
        <v>4.1182032738640153</v>
      </c>
      <c r="AF20" s="85">
        <f>'Net zero emission summary'!BG20</f>
        <v>4.2554308092705284</v>
      </c>
      <c r="AG20" s="85">
        <f>'Net zero emission summary'!BH20</f>
        <v>4.395460931857591</v>
      </c>
      <c r="AH20" s="85">
        <f>'Net zero emission summary'!BI20</f>
        <v>4.5425826434901317</v>
      </c>
      <c r="AI20" s="85">
        <f>'Net zero emission summary'!BJ20</f>
        <v>4.6997566242412354</v>
      </c>
      <c r="AJ20" s="85">
        <f>'Net zero emission summary'!BK20</f>
        <v>4.8621486155116678</v>
      </c>
      <c r="AK20" s="85">
        <f>'Net zero emission summary'!BL20</f>
        <v>5.0301194745788056</v>
      </c>
      <c r="AL20" s="85">
        <f>'Net zero emission summary'!BM20</f>
        <v>5.2092385905362519</v>
      </c>
      <c r="AM20" s="85">
        <f>'Net zero emission summary'!BN20</f>
        <v>5.3978643648980986</v>
      </c>
      <c r="AN20" s="85">
        <f>'Net zero emission summary'!BO20</f>
        <v>5.5949227697506991</v>
      </c>
      <c r="AO20" s="85">
        <f>'Net zero emission summary'!BP20</f>
        <v>5.8041189164290055</v>
      </c>
      <c r="AP20" s="85">
        <f>'Net zero emission summary'!BQ20</f>
        <v>6.0049228378106054</v>
      </c>
    </row>
    <row r="21" spans="1:42" x14ac:dyDescent="0.25">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0.18246364199636456</v>
      </c>
      <c r="M21" s="85">
        <f>'Net zero emission summary'!AN21</f>
        <v>0.18259497555238871</v>
      </c>
      <c r="N21" s="85">
        <f>'Net zero emission summary'!AO21</f>
        <v>0.18254880147128816</v>
      </c>
      <c r="O21" s="85">
        <f>'Net zero emission summary'!AP21</f>
        <v>0.18254547730573473</v>
      </c>
      <c r="P21" s="85">
        <f>'Net zero emission summary'!AQ21</f>
        <v>0.18273910502148993</v>
      </c>
      <c r="Q21" s="85">
        <f>'Net zero emission summary'!AR21</f>
        <v>0.18305599461929001</v>
      </c>
      <c r="R21" s="85">
        <f>'Net zero emission summary'!AS21</f>
        <v>0.1833600537041081</v>
      </c>
      <c r="S21" s="85">
        <f>'Net zero emission summary'!AT21</f>
        <v>0.1836522632336523</v>
      </c>
      <c r="T21" s="85">
        <f>'Net zero emission summary'!AU21</f>
        <v>0.18393222441719731</v>
      </c>
      <c r="U21" s="85">
        <f>'Net zero emission summary'!AV21</f>
        <v>0.1842057715816417</v>
      </c>
      <c r="V21" s="85">
        <f>'Net zero emission summary'!AW21</f>
        <v>0.18447690053347487</v>
      </c>
      <c r="W21" s="85">
        <f>'Net zero emission summary'!AX21</f>
        <v>0.18474289084260961</v>
      </c>
      <c r="X21" s="85">
        <f>'Net zero emission summary'!AY21</f>
        <v>0.18500756701577692</v>
      </c>
      <c r="Y21" s="85">
        <f>'Net zero emission summary'!AZ21</f>
        <v>0.1852700952718751</v>
      </c>
      <c r="Z21" s="85">
        <f>'Net zero emission summary'!BA21</f>
        <v>0.18552837206951145</v>
      </c>
      <c r="AA21" s="85">
        <f>'Net zero emission summary'!BB21</f>
        <v>0.18578353453009772</v>
      </c>
      <c r="AB21" s="85">
        <f>'Net zero emission summary'!BC21</f>
        <v>0.1860358549484124</v>
      </c>
      <c r="AC21" s="85">
        <f>'Net zero emission summary'!BD21</f>
        <v>0.18628618993773161</v>
      </c>
      <c r="AD21" s="85">
        <f>'Net zero emission summary'!BE21</f>
        <v>0.18652687974556489</v>
      </c>
      <c r="AE21" s="85">
        <f>'Net zero emission summary'!BF21</f>
        <v>0.18675764276965873</v>
      </c>
      <c r="AF21" s="85">
        <f>'Net zero emission summary'!BG21</f>
        <v>0.18698063574049095</v>
      </c>
      <c r="AG21" s="85">
        <f>'Net zero emission summary'!BH21</f>
        <v>0.18719414158853301</v>
      </c>
      <c r="AH21" s="85">
        <f>'Net zero emission summary'!BI21</f>
        <v>0.18739854763010472</v>
      </c>
      <c r="AI21" s="85">
        <f>'Net zero emission summary'!BJ21</f>
        <v>0.18759293321665452</v>
      </c>
      <c r="AJ21" s="85">
        <f>'Net zero emission summary'!BK21</f>
        <v>0.187774516675214</v>
      </c>
      <c r="AK21" s="85">
        <f>'Net zero emission summary'!BL21</f>
        <v>0.187940720290524</v>
      </c>
      <c r="AL21" s="85">
        <f>'Net zero emission summary'!BM21</f>
        <v>0.18809137615032484</v>
      </c>
      <c r="AM21" s="85">
        <f>'Net zero emission summary'!BN21</f>
        <v>0.1882253313700275</v>
      </c>
      <c r="AN21" s="85">
        <f>'Net zero emission summary'!BO21</f>
        <v>0.18834252134488594</v>
      </c>
      <c r="AO21" s="85">
        <f>'Net zero emission summary'!BP21</f>
        <v>0.18844518873358101</v>
      </c>
      <c r="AP21" s="85">
        <f>'Net zero emission summary'!BQ21</f>
        <v>0.18851999840020225</v>
      </c>
    </row>
    <row r="22" spans="1:42" x14ac:dyDescent="0.25">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0.1313609060950319</v>
      </c>
      <c r="I22" s="85">
        <f>'Net zero emission summary'!AJ22</f>
        <v>0.13212269035728819</v>
      </c>
      <c r="J22" s="85">
        <f>'Net zero emission summary'!AK22</f>
        <v>0.13294253416938448</v>
      </c>
      <c r="K22" s="85">
        <f>'Net zero emission summary'!AL22</f>
        <v>0.13381719216548246</v>
      </c>
      <c r="L22" s="85">
        <f>'Net zero emission summary'!AM22</f>
        <v>0.13348907439919319</v>
      </c>
      <c r="M22" s="85">
        <f>'Net zero emission summary'!AN22</f>
        <v>0.13371854224601104</v>
      </c>
      <c r="N22" s="85">
        <f>'Net zero emission summary'!AO22</f>
        <v>0.13374080946827493</v>
      </c>
      <c r="O22" s="85">
        <f>'Net zero emission summary'!AP22</f>
        <v>0.13380203012582714</v>
      </c>
      <c r="P22" s="85">
        <f>'Net zero emission summary'!AQ22</f>
        <v>0.13407270330027515</v>
      </c>
      <c r="Q22" s="85">
        <f>'Net zero emission summary'!AR22</f>
        <v>0.13447084840534604</v>
      </c>
      <c r="R22" s="85">
        <f>'Net zero emission summary'!AS22</f>
        <v>0.13484667637367553</v>
      </c>
      <c r="S22" s="85">
        <f>'Net zero emission summary'!AT22</f>
        <v>0.135201954294531</v>
      </c>
      <c r="T22" s="85">
        <f>'Net zero emission summary'!AU22</f>
        <v>0.13553686401917603</v>
      </c>
      <c r="U22" s="85">
        <f>'Net zero emission summary'!AV22</f>
        <v>0.13585833545773915</v>
      </c>
      <c r="V22" s="85">
        <f>'Net zero emission summary'!AW22</f>
        <v>0.13617119195350036</v>
      </c>
      <c r="W22" s="85">
        <f>'Net zero emission summary'!AX22</f>
        <v>0.13647287926925422</v>
      </c>
      <c r="X22" s="85">
        <f>'Net zero emission summary'!AY22</f>
        <v>0.13676792874544863</v>
      </c>
      <c r="Y22" s="85">
        <f>'Net zero emission summary'!AZ22</f>
        <v>0.13705576368277475</v>
      </c>
      <c r="Z22" s="85">
        <f>'Net zero emission summary'!BA22</f>
        <v>0.13733441455698836</v>
      </c>
      <c r="AA22" s="85">
        <f>'Net zero emission summary'!BB22</f>
        <v>0.13760539794044785</v>
      </c>
      <c r="AB22" s="85">
        <f>'Net zero emission summary'!BC22</f>
        <v>0.13786926739334113</v>
      </c>
      <c r="AC22" s="85">
        <f>'Net zero emission summary'!BD22</f>
        <v>0.13812718148584757</v>
      </c>
      <c r="AD22" s="85">
        <f>'Net zero emission summary'!BE22</f>
        <v>0.13837114346078036</v>
      </c>
      <c r="AE22" s="85">
        <f>'Net zero emission summary'!BF22</f>
        <v>0.13860109565178344</v>
      </c>
      <c r="AF22" s="85">
        <f>'Net zero emission summary'!BG22</f>
        <v>0.13881957115355692</v>
      </c>
      <c r="AG22" s="85">
        <f>'Net zero emission summary'!BH22</f>
        <v>0.13902494137349267</v>
      </c>
      <c r="AH22" s="85">
        <f>'Net zero emission summary'!BI22</f>
        <v>0.13921781763321434</v>
      </c>
      <c r="AI22" s="85">
        <f>'Net zero emission summary'!BJ22</f>
        <v>0.13939740646045315</v>
      </c>
      <c r="AJ22" s="85">
        <f>'Net zero emission summary'!BK22</f>
        <v>0.13956093581818937</v>
      </c>
      <c r="AK22" s="85">
        <f>'Net zero emission summary'!BL22</f>
        <v>0.13970585930333557</v>
      </c>
      <c r="AL22" s="85">
        <f>'Net zero emission summary'!BM22</f>
        <v>0.13983218680371737</v>
      </c>
      <c r="AM22" s="85">
        <f>'Net zero emission summary'!BN22</f>
        <v>0.13993888033780913</v>
      </c>
      <c r="AN22" s="85">
        <f>'Net zero emission summary'!BO22</f>
        <v>0.14002604811600253</v>
      </c>
      <c r="AO22" s="85">
        <f>'Net zero emission summary'!BP22</f>
        <v>0.14009621840747832</v>
      </c>
      <c r="AP22" s="85">
        <f>'Net zero emission summary'!BQ22</f>
        <v>0.14013553188408892</v>
      </c>
    </row>
    <row r="23" spans="1:42" x14ac:dyDescent="0.25">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0.13492146542995681</v>
      </c>
      <c r="G23" s="85">
        <f>'Net zero emission summary'!AH25</f>
        <v>0.13368278298717362</v>
      </c>
      <c r="H23" s="85">
        <f>'Net zero emission summary'!AI25</f>
        <v>0.131659728859289</v>
      </c>
      <c r="I23" s="85">
        <f>'Net zero emission summary'!AJ25</f>
        <v>0.12888464371149955</v>
      </c>
      <c r="J23" s="85">
        <f>'Net zero emission summary'!AK25</f>
        <v>0.12686962414513903</v>
      </c>
      <c r="K23" s="85">
        <f>'Net zero emission summary'!AL25</f>
        <v>0.12503290678710086</v>
      </c>
      <c r="L23" s="85">
        <f>'Net zero emission summary'!AM25</f>
        <v>0.11231953254152316</v>
      </c>
      <c r="M23" s="85">
        <f>'Net zero emission summary'!AN25</f>
        <v>0.1173951171776909</v>
      </c>
      <c r="N23" s="85">
        <f>'Net zero emission summary'!AO25</f>
        <v>0.11892961901963964</v>
      </c>
      <c r="O23" s="85">
        <f>'Net zero emission summary'!AP25</f>
        <v>0.1177558991397879</v>
      </c>
      <c r="P23" s="85">
        <f>'Net zero emission summary'!AQ25</f>
        <v>0.11672361874643203</v>
      </c>
      <c r="Q23" s="85">
        <f>'Net zero emission summary'!AR25</f>
        <v>0.11640459206661419</v>
      </c>
      <c r="R23" s="85">
        <f>'Net zero emission summary'!AS25</f>
        <v>0.11677109928144133</v>
      </c>
      <c r="S23" s="85">
        <f>'Net zero emission summary'!AT25</f>
        <v>0.11745375516127411</v>
      </c>
      <c r="T23" s="85">
        <f>'Net zero emission summary'!AU25</f>
        <v>0.11853044163915259</v>
      </c>
      <c r="U23" s="85">
        <f>'Net zero emission summary'!AV25</f>
        <v>0.12026003264509512</v>
      </c>
      <c r="V23" s="85">
        <f>'Net zero emission summary'!AW25</f>
        <v>0.12258214116378446</v>
      </c>
      <c r="W23" s="85">
        <f>'Net zero emission summary'!AX25</f>
        <v>0.12522504999568007</v>
      </c>
      <c r="X23" s="85">
        <f>'Net zero emission summary'!AY25</f>
        <v>0.12816252290413602</v>
      </c>
      <c r="Y23" s="85">
        <f>'Net zero emission summary'!AZ25</f>
        <v>0.13124762629897524</v>
      </c>
      <c r="Z23" s="85">
        <f>'Net zero emission summary'!BA25</f>
        <v>0.13453334394587851</v>
      </c>
      <c r="AA23" s="85">
        <f>'Net zero emission summary'!BB25</f>
        <v>0.1379488558354422</v>
      </c>
      <c r="AB23" s="85">
        <f>'Net zero emission summary'!BC25</f>
        <v>0.14126336908553844</v>
      </c>
      <c r="AC23" s="85">
        <f>'Net zero emission summary'!BD25</f>
        <v>0.14479709677522781</v>
      </c>
      <c r="AD23" s="85">
        <f>'Net zero emission summary'!BE25</f>
        <v>0.14833787272741317</v>
      </c>
      <c r="AE23" s="85">
        <f>'Net zero emission summary'!BF25</f>
        <v>0.15186710677788712</v>
      </c>
      <c r="AF23" s="85">
        <f>'Net zero emission summary'!BG25</f>
        <v>0.15547611863628502</v>
      </c>
      <c r="AG23" s="85">
        <f>'Net zero emission summary'!BH25</f>
        <v>0.15893152035148708</v>
      </c>
      <c r="AH23" s="85">
        <f>'Net zero emission summary'!BI25</f>
        <v>0.16254739658669715</v>
      </c>
      <c r="AI23" s="85">
        <f>'Net zero emission summary'!BJ25</f>
        <v>0.166427982608115</v>
      </c>
      <c r="AJ23" s="85">
        <f>'Net zero emission summary'!BK25</f>
        <v>0.17037638695545265</v>
      </c>
      <c r="AK23" s="85">
        <f>'Net zero emission summary'!BL25</f>
        <v>0.17439986847534605</v>
      </c>
      <c r="AL23" s="85">
        <f>'Net zero emission summary'!BM25</f>
        <v>0.17869724235050991</v>
      </c>
      <c r="AM23" s="85">
        <f>'Net zero emission summary'!BN25</f>
        <v>0.18319369641337954</v>
      </c>
      <c r="AN23" s="85">
        <f>'Net zero emission summary'!BO25</f>
        <v>0.18783797711146039</v>
      </c>
      <c r="AO23" s="85">
        <f>'Net zero emission summary'!BP25</f>
        <v>0.19275055956988055</v>
      </c>
      <c r="AP23" s="85">
        <f>'Net zero emission summary'!BQ25</f>
        <v>0.19719733596041297</v>
      </c>
    </row>
    <row r="24" spans="1:42" x14ac:dyDescent="0.25">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2.1900184905347508</v>
      </c>
      <c r="G24" s="85">
        <f>'Net zero emission summary'!AH26</f>
        <v>2.2070152134542438</v>
      </c>
      <c r="H24" s="85">
        <f>'Net zero emission summary'!AI26</f>
        <v>2.205415691039156</v>
      </c>
      <c r="I24" s="85">
        <f>'Net zero emission summary'!AJ26</f>
        <v>2.1852604118945709</v>
      </c>
      <c r="J24" s="85">
        <f>'Net zero emission summary'!AK26</f>
        <v>2.1799994398925184</v>
      </c>
      <c r="K24" s="85">
        <f>'Net zero emission summary'!AL26</f>
        <v>2.1772115733745303</v>
      </c>
      <c r="L24" s="85">
        <f>'Net zero emission summary'!AM26</f>
        <v>1.9284622678221699</v>
      </c>
      <c r="M24" s="85">
        <f>'Net zero emission summary'!AN26</f>
        <v>2.085107547317421</v>
      </c>
      <c r="N24" s="85">
        <f>'Net zero emission summary'!AO26</f>
        <v>2.1622091880895464</v>
      </c>
      <c r="O24" s="85">
        <f>'Net zero emission summary'!AP26</f>
        <v>2.1750548478898208</v>
      </c>
      <c r="P24" s="85">
        <f>'Net zero emission summary'!AQ26</f>
        <v>2.1896735738809801</v>
      </c>
      <c r="Q24" s="85">
        <f>'Net zero emission summary'!AR26</f>
        <v>2.2208245862535172</v>
      </c>
      <c r="R24" s="85">
        <f>'Net zero emission summary'!AS26</f>
        <v>2.2693401782418601</v>
      </c>
      <c r="S24" s="85">
        <f>'Net zero emission summary'!AT26</f>
        <v>2.3265431375122594</v>
      </c>
      <c r="T24" s="85">
        <f>'Net zero emission summary'!AU26</f>
        <v>2.3947978947014099</v>
      </c>
      <c r="U24" s="85">
        <f>'Net zero emission summary'!AV26</f>
        <v>2.481278065928207</v>
      </c>
      <c r="V24" s="85">
        <f>'Net zero emission summary'!AW26</f>
        <v>2.5850846366641034</v>
      </c>
      <c r="W24" s="85">
        <f>'Net zero emission summary'!AX26</f>
        <v>2.6996129328965166</v>
      </c>
      <c r="X24" s="85">
        <f>'Net zero emission summary'!AY26</f>
        <v>2.8245233516460178</v>
      </c>
      <c r="Y24" s="85">
        <f>'Net zero emission summary'!AZ26</f>
        <v>2.9561471872443672</v>
      </c>
      <c r="Z24" s="85">
        <f>'Net zero emission summary'!BA26</f>
        <v>3.0961996792746405</v>
      </c>
      <c r="AA24" s="85">
        <f>'Net zero emission summary'!BB26</f>
        <v>3.2429600251837631</v>
      </c>
      <c r="AB24" s="85">
        <f>'Net zero emission summary'!BC26</f>
        <v>3.3900272244853862</v>
      </c>
      <c r="AC24" s="85">
        <f>'Net zero emission summary'!BD26</f>
        <v>3.546661470653039</v>
      </c>
      <c r="AD24" s="85">
        <f>'Net zero emission summary'!BE26</f>
        <v>3.7069898072786907</v>
      </c>
      <c r="AE24" s="85">
        <f>'Net zero emission summary'!BF26</f>
        <v>3.8705523089166776</v>
      </c>
      <c r="AF24" s="85">
        <f>'Net zero emission summary'!BG26</f>
        <v>4.0401726076909572</v>
      </c>
      <c r="AG24" s="85">
        <f>'Net zero emission summary'!BH26</f>
        <v>4.2089004252557887</v>
      </c>
      <c r="AH24" s="85">
        <f>'Net zero emission summary'!BI26</f>
        <v>4.3863909427240957</v>
      </c>
      <c r="AI24" s="85">
        <f>'Net zero emission summary'!BJ26</f>
        <v>4.5762251228113442</v>
      </c>
      <c r="AJ24" s="85">
        <f>'Net zero emission summary'!BK26</f>
        <v>4.7725828691036316</v>
      </c>
      <c r="AK24" s="85">
        <f>'Net zero emission summary'!BL26</f>
        <v>4.9759147879802885</v>
      </c>
      <c r="AL24" s="85">
        <f>'Net zero emission summary'!BM26</f>
        <v>5.1929484060278366</v>
      </c>
      <c r="AM24" s="85">
        <f>'Net zero emission summary'!BN26</f>
        <v>5.4216995992754935</v>
      </c>
      <c r="AN24" s="85">
        <f>'Net zero emission summary'!BO26</f>
        <v>5.6608543521596459</v>
      </c>
      <c r="AO24" s="85">
        <f>'Net zero emission summary'!BP26</f>
        <v>5.9148599518840737</v>
      </c>
      <c r="AP24" s="85">
        <f>'Net zero emission summary'!BQ26</f>
        <v>6.1589674406421722</v>
      </c>
    </row>
    <row r="25" spans="1:42" x14ac:dyDescent="0.25">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5">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5">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5">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5">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5">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5">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5">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5">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5">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5">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5">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5">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893.63599451516268</v>
      </c>
      <c r="N37" s="85">
        <f>'Net zero emission summary'!AO41</f>
        <v>901.53557284553392</v>
      </c>
      <c r="O37" s="85">
        <f>'Net zero emission summary'!AP41</f>
        <v>905.89010059598195</v>
      </c>
      <c r="P37" s="85">
        <f>'Net zero emission summary'!AQ41</f>
        <v>907.58009218117843</v>
      </c>
      <c r="Q37" s="85">
        <f>'Net zero emission summary'!AR41</f>
        <v>909.40288860123439</v>
      </c>
      <c r="R37" s="85">
        <f>'Net zero emission summary'!AS41</f>
        <v>911.92422757648922</v>
      </c>
      <c r="S37" s="85">
        <f>'Net zero emission summary'!AT41</f>
        <v>915.10313656095923</v>
      </c>
      <c r="T37" s="85">
        <f>'Net zero emission summary'!AU41</f>
        <v>918.57833095683384</v>
      </c>
      <c r="U37" s="85">
        <f>'Net zero emission summary'!AV41</f>
        <v>922.43403487282035</v>
      </c>
      <c r="V37" s="85">
        <f>'Net zero emission summary'!AW41</f>
        <v>926.93686062638631</v>
      </c>
      <c r="W37" s="85">
        <f>'Net zero emission summary'!AX41</f>
        <v>932.02307525086815</v>
      </c>
      <c r="X37" s="85">
        <f>'Net zero emission summary'!AY41</f>
        <v>937.4114004614803</v>
      </c>
      <c r="Y37" s="85">
        <f>'Net zero emission summary'!AZ41</f>
        <v>943.0703615154913</v>
      </c>
      <c r="Z37" s="85">
        <f>'Net zero emission summary'!BA41</f>
        <v>948.84872324168452</v>
      </c>
      <c r="AA37" s="85">
        <f>'Net zero emission summary'!BB41</f>
        <v>954.79399041296358</v>
      </c>
      <c r="AB37" s="85">
        <f>'Net zero emission summary'!BC41</f>
        <v>960.83317350344373</v>
      </c>
      <c r="AC37" s="85">
        <f>'Net zero emission summary'!BD41</f>
        <v>966.74459566725386</v>
      </c>
      <c r="AD37" s="85">
        <f>'Net zero emission summary'!BE41</f>
        <v>972.83250351153242</v>
      </c>
      <c r="AE37" s="85">
        <f>'Net zero emission summary'!BF41</f>
        <v>978.89306599922156</v>
      </c>
      <c r="AF37" s="85">
        <f>'Net zero emission summary'!BG41</f>
        <v>984.91027811786876</v>
      </c>
      <c r="AG37" s="85">
        <f>'Net zero emission summary'!BH41</f>
        <v>990.96854669159461</v>
      </c>
      <c r="AH37" s="85">
        <f>'Net zero emission summary'!BI41</f>
        <v>996.85817227544851</v>
      </c>
      <c r="AI37" s="85">
        <f>'Net zero emission summary'!BJ41</f>
        <v>1002.8620363509766</v>
      </c>
      <c r="AJ37" s="85">
        <f>'Net zero emission summary'!BK41</f>
        <v>1009.0666625916243</v>
      </c>
      <c r="AK37" s="85">
        <f>'Net zero emission summary'!BL41</f>
        <v>1015.2950621882683</v>
      </c>
      <c r="AL37" s="85">
        <f>'Net zero emission summary'!BM41</f>
        <v>1021.5521396290935</v>
      </c>
      <c r="AM37" s="85">
        <f>'Net zero emission summary'!BN41</f>
        <v>1028.0026193966835</v>
      </c>
      <c r="AN37" s="85">
        <f>'Net zero emission summary'!BO41</f>
        <v>1034.5766203170861</v>
      </c>
      <c r="AO37" s="85">
        <f>'Net zero emission summary'!BP41</f>
        <v>1041.2271453774342</v>
      </c>
      <c r="AP37" s="85">
        <f>'Net zero emission summary'!BQ41</f>
        <v>1048.046646803637</v>
      </c>
    </row>
    <row r="38" spans="1:42" x14ac:dyDescent="0.25">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469.91487835797898</v>
      </c>
      <c r="N38" s="85">
        <f>'Net zero emission summary'!AO42</f>
        <v>469.71584189716231</v>
      </c>
      <c r="O38" s="85">
        <f>'Net zero emission summary'!AP42</f>
        <v>469.60612594072387</v>
      </c>
      <c r="P38" s="85">
        <f>'Net zero emission summary'!AQ42</f>
        <v>469.56354519402316</v>
      </c>
      <c r="Q38" s="85">
        <f>'Net zero emission summary'!AR42</f>
        <v>469.51761831880731</v>
      </c>
      <c r="R38" s="85">
        <f>'Net zero emission summary'!AS42</f>
        <v>469.45409108163506</v>
      </c>
      <c r="S38" s="85">
        <f>'Net zero emission summary'!AT42</f>
        <v>469.37399581995572</v>
      </c>
      <c r="T38" s="85">
        <f>'Net zero emission summary'!AU42</f>
        <v>469.28643540036416</v>
      </c>
      <c r="U38" s="85">
        <f>'Net zero emission summary'!AV42</f>
        <v>469.18928772623514</v>
      </c>
      <c r="V38" s="85">
        <f>'Net zero emission summary'!AW42</f>
        <v>469.07583527799261</v>
      </c>
      <c r="W38" s="85">
        <f>'Net zero emission summary'!AX42</f>
        <v>468.94768386085701</v>
      </c>
      <c r="X38" s="85">
        <f>'Net zero emission summary'!AY42</f>
        <v>468.81192051567615</v>
      </c>
      <c r="Y38" s="85">
        <f>'Net zero emission summary'!AZ42</f>
        <v>468.66933827482927</v>
      </c>
      <c r="Z38" s="85">
        <f>'Net zero emission summary'!BA42</f>
        <v>468.523747634519</v>
      </c>
      <c r="AA38" s="85">
        <f>'Net zero emission summary'!BB42</f>
        <v>468.37395167239384</v>
      </c>
      <c r="AB38" s="85">
        <f>'Net zero emission summary'!BC42</f>
        <v>468.22178942039972</v>
      </c>
      <c r="AC38" s="85">
        <f>'Net zero emission summary'!BD42</f>
        <v>468.07284621144964</v>
      </c>
      <c r="AD38" s="85">
        <f>'Net zero emission summary'!BE42</f>
        <v>467.91945629866859</v>
      </c>
      <c r="AE38" s="85">
        <f>'Net zero emission summary'!BF42</f>
        <v>467.76675537494071</v>
      </c>
      <c r="AF38" s="85">
        <f>'Net zero emission summary'!BG42</f>
        <v>467.61514669989612</v>
      </c>
      <c r="AG38" s="85">
        <f>'Net zero emission summary'!BH42</f>
        <v>467.46250357324266</v>
      </c>
      <c r="AH38" s="85">
        <f>'Net zero emission summary'!BI42</f>
        <v>467.31410954729336</v>
      </c>
      <c r="AI38" s="85">
        <f>'Net zero emission summary'!BJ42</f>
        <v>467.16283718732154</v>
      </c>
      <c r="AJ38" s="85">
        <f>'Net zero emission summary'!BK42</f>
        <v>467.00650645725204</v>
      </c>
      <c r="AK38" s="85">
        <f>'Net zero emission summary'!BL42</f>
        <v>466.84957673766149</v>
      </c>
      <c r="AL38" s="85">
        <f>'Net zero emission summary'!BM42</f>
        <v>466.6919244558822</v>
      </c>
      <c r="AM38" s="85">
        <f>'Net zero emission summary'!BN42</f>
        <v>466.52939924126719</v>
      </c>
      <c r="AN38" s="85">
        <f>'Net zero emission summary'!BO42</f>
        <v>466.36376180824482</v>
      </c>
      <c r="AO38" s="85">
        <f>'Net zero emission summary'!BP42</f>
        <v>466.19619628572883</v>
      </c>
      <c r="AP38" s="85">
        <f>'Net zero emission summary'!BQ42</f>
        <v>466.02437326282302</v>
      </c>
    </row>
    <row r="39" spans="1:42" x14ac:dyDescent="0.25">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55.141377146941771</v>
      </c>
      <c r="F39" s="85">
        <f>'Net zero emission summary'!AG43</f>
        <v>55.133536751110512</v>
      </c>
      <c r="G39" s="85">
        <f>'Net zero emission summary'!AH43</f>
        <v>54.82749609462973</v>
      </c>
      <c r="H39" s="85">
        <f>'Net zero emission summary'!AI43</f>
        <v>54.339148116939313</v>
      </c>
      <c r="I39" s="85">
        <f>'Net zero emission summary'!AJ43</f>
        <v>53.680284142654159</v>
      </c>
      <c r="J39" s="85">
        <f>'Net zero emission summary'!AK43</f>
        <v>53.185580517007523</v>
      </c>
      <c r="K39" s="85">
        <f>'Net zero emission summary'!AL43</f>
        <v>52.728403644181718</v>
      </c>
      <c r="L39" s="85">
        <f>'Net zero emission summary'!AM43</f>
        <v>49.776002036357177</v>
      </c>
      <c r="M39" s="85">
        <f>'Net zero emission summary'!AN43</f>
        <v>51.003365118719287</v>
      </c>
      <c r="N39" s="85">
        <f>'Net zero emission summary'!AO43</f>
        <v>51.48015462747982</v>
      </c>
      <c r="O39" s="85">
        <f>'Net zero emission summary'!AP43</f>
        <v>51.35236467073296</v>
      </c>
      <c r="P39" s="85">
        <f>'Net zero emission summary'!AQ43</f>
        <v>51.263051507469783</v>
      </c>
      <c r="Q39" s="85">
        <f>'Net zero emission summary'!AR43</f>
        <v>51.339212557854061</v>
      </c>
      <c r="R39" s="85">
        <f>'Net zero emission summary'!AS43</f>
        <v>51.564010962210261</v>
      </c>
      <c r="S39" s="85">
        <f>'Net zero emission summary'!AT43</f>
        <v>51.856668367800211</v>
      </c>
      <c r="T39" s="85">
        <f>'Net zero emission summary'!AU43</f>
        <v>52.23458137788618</v>
      </c>
      <c r="U39" s="85">
        <f>'Net zero emission summary'!AV43</f>
        <v>52.757729498670166</v>
      </c>
      <c r="V39" s="85">
        <f>'Net zero emission summary'!AW43</f>
        <v>53.415064810815132</v>
      </c>
      <c r="W39" s="85">
        <f>'Net zero emission summary'!AX43</f>
        <v>53.932248663939241</v>
      </c>
      <c r="X39" s="85">
        <f>'Net zero emission summary'!AY43</f>
        <v>54.503448397646693</v>
      </c>
      <c r="Y39" s="85">
        <f>'Net zero emission summary'!AZ43</f>
        <v>55.094763067504381</v>
      </c>
      <c r="Z39" s="85">
        <f>'Net zero emission summary'!BA43</f>
        <v>55.716628094389577</v>
      </c>
      <c r="AA39" s="85">
        <f>'Net zero emission summary'!BB43</f>
        <v>56.352790516314272</v>
      </c>
      <c r="AB39" s="85">
        <f>'Net zero emission summary'!BC43</f>
        <v>56.951910014367307</v>
      </c>
      <c r="AC39" s="85">
        <f>'Net zero emission summary'!BD43</f>
        <v>57.583201771834524</v>
      </c>
      <c r="AD39" s="85">
        <f>'Net zero emission summary'!BE43</f>
        <v>58.199760424409973</v>
      </c>
      <c r="AE39" s="85">
        <f>'Net zero emission summary'!BF43</f>
        <v>58.796707718004413</v>
      </c>
      <c r="AF39" s="85">
        <f>'Net zero emission summary'!BG43</f>
        <v>59.393412475129367</v>
      </c>
      <c r="AG39" s="85">
        <f>'Net zero emission summary'!BH43</f>
        <v>60.088513363191879</v>
      </c>
      <c r="AH39" s="85">
        <f>'Net zero emission summary'!BI43</f>
        <v>60.80879176111231</v>
      </c>
      <c r="AI39" s="85">
        <f>'Net zero emission summary'!BJ43</f>
        <v>61.576604409888091</v>
      </c>
      <c r="AJ39" s="85">
        <f>'Net zero emission summary'!BK43</f>
        <v>62.349735070440218</v>
      </c>
      <c r="AK39" s="85">
        <f>'Net zero emission summary'!BL43</f>
        <v>63.128761206248519</v>
      </c>
      <c r="AL39" s="85">
        <f>'Net zero emission summary'!BM43</f>
        <v>63.955183987739041</v>
      </c>
      <c r="AM39" s="85">
        <f>'Net zero emission summary'!BN43</f>
        <v>64.812971064675452</v>
      </c>
      <c r="AN39" s="85">
        <f>'Net zero emission summary'!BO43</f>
        <v>65.690654773508626</v>
      </c>
      <c r="AO39" s="85">
        <f>'Net zero emission summary'!BP43</f>
        <v>66.612907292840518</v>
      </c>
      <c r="AP39" s="85">
        <f>'Net zero emission summary'!BQ43</f>
        <v>67.425578530981952</v>
      </c>
    </row>
    <row r="40" spans="1:42" x14ac:dyDescent="0.25">
      <c r="A40" t="str">
        <f>'Emissions summary'!B49</f>
        <v>3C5 Indirect N2O from managed soils (N2O)</v>
      </c>
      <c r="B40" t="str">
        <f t="shared" ref="B40:B41" si="2">"A"&amp;LEFT(A40,3)</f>
        <v>A3C5</v>
      </c>
      <c r="C40" t="str">
        <f>'Emissions summary'!D49</f>
        <v>N2O</v>
      </c>
      <c r="D40" s="85">
        <f>'Net zero emission summary'!AE49</f>
        <v>6.6159271131948438</v>
      </c>
      <c r="E40" s="85">
        <f>'Net zero emission summary'!AF49</f>
        <v>6.5985117259102442</v>
      </c>
      <c r="F40" s="85">
        <f>'Net zero emission summary'!AG49</f>
        <v>6.6034108162416469</v>
      </c>
      <c r="G40" s="85">
        <f>'Net zero emission summary'!AH49</f>
        <v>6.5718769479322932</v>
      </c>
      <c r="H40" s="85">
        <f>'Net zero emission summary'!AI49</f>
        <v>6.5185214490709118</v>
      </c>
      <c r="I40" s="85">
        <f>'Net zero emission summary'!AJ49</f>
        <v>6.4445703159865921</v>
      </c>
      <c r="J40" s="85">
        <f>'Net zero emission summary'!AK49</f>
        <v>6.3913491075327142</v>
      </c>
      <c r="K40" s="85">
        <f>'Net zero emission summary'!AL49</f>
        <v>6.3428476696520812</v>
      </c>
      <c r="L40" s="85">
        <f>'Net zero emission summary'!AM49</f>
        <v>5.9791685827473202</v>
      </c>
      <c r="M40" s="85">
        <f>'Net zero emission summary'!AN49</f>
        <v>6.1381299513690033</v>
      </c>
      <c r="N40" s="85">
        <f>'Net zero emission summary'!AO49</f>
        <v>6.1985625671056948</v>
      </c>
      <c r="O40" s="85">
        <f>'Net zero emission summary'!AP49</f>
        <v>6.1846210124716059</v>
      </c>
      <c r="P40" s="85">
        <f>'Net zero emission summary'!AQ49</f>
        <v>6.1769251765170194</v>
      </c>
      <c r="Q40" s="85">
        <f>'Net zero emission summary'!AR49</f>
        <v>6.1903985659434557</v>
      </c>
      <c r="R40" s="85">
        <f>'Net zero emission summary'!AS49</f>
        <v>6.2223332402936933</v>
      </c>
      <c r="S40" s="85">
        <f>'Net zero emission summary'!AT49</f>
        <v>6.262660576049579</v>
      </c>
      <c r="T40" s="85">
        <f>'Net zero emission summary'!AU49</f>
        <v>6.3136884129231392</v>
      </c>
      <c r="U40" s="85">
        <f>'Net zero emission summary'!AV49</f>
        <v>6.3829999472314789</v>
      </c>
      <c r="V40" s="85">
        <f>'Net zero emission summary'!AW49</f>
        <v>6.4692102331979147</v>
      </c>
      <c r="W40" s="85">
        <f>'Net zero emission summary'!AX49</f>
        <v>6.5404099727968195</v>
      </c>
      <c r="X40" s="85">
        <f>'Net zero emission summary'!AY49</f>
        <v>6.6187621344289038</v>
      </c>
      <c r="Y40" s="85">
        <f>'Net zero emission summary'!AZ49</f>
        <v>6.7000344561778764</v>
      </c>
      <c r="Z40" s="85">
        <f>'Net zero emission summary'!BA49</f>
        <v>6.7856179714582057</v>
      </c>
      <c r="AA40" s="85">
        <f>'Net zero emission summary'!BB49</f>
        <v>6.8734826502065198</v>
      </c>
      <c r="AB40" s="85">
        <f>'Net zero emission summary'!BC49</f>
        <v>6.9571421659838686</v>
      </c>
      <c r="AC40" s="85">
        <f>'Net zero emission summary'!BD49</f>
        <v>7.0454918355961178</v>
      </c>
      <c r="AD40" s="85">
        <f>'Net zero emission summary'!BE49</f>
        <v>7.1324747023749229</v>
      </c>
      <c r="AE40" s="85">
        <f>'Net zero emission summary'!BF49</f>
        <v>7.2175349981553847</v>
      </c>
      <c r="AF40" s="85">
        <f>'Net zero emission summary'!BG49</f>
        <v>7.303188008852695</v>
      </c>
      <c r="AG40" s="85">
        <f>'Net zero emission summary'!BH49</f>
        <v>7.3999031332008629</v>
      </c>
      <c r="AH40" s="85">
        <f>'Net zero emission summary'!BI49</f>
        <v>7.5004082711850799</v>
      </c>
      <c r="AI40" s="85">
        <f>'Net zero emission summary'!BJ49</f>
        <v>7.6075539934610443</v>
      </c>
      <c r="AJ40" s="85">
        <f>'Net zero emission summary'!BK49</f>
        <v>7.715897234880071</v>
      </c>
      <c r="AK40" s="85">
        <f>'Net zero emission summary'!BL49</f>
        <v>7.8255799810559479</v>
      </c>
      <c r="AL40" s="85">
        <f>'Net zero emission summary'!BM49</f>
        <v>7.9420290520828081</v>
      </c>
      <c r="AM40" s="85">
        <f>'Net zero emission summary'!BN49</f>
        <v>8.0631725444537814</v>
      </c>
      <c r="AN40" s="85">
        <f>'Net zero emission summary'!BO49</f>
        <v>8.1875874242547297</v>
      </c>
      <c r="AO40" s="85">
        <f>'Net zero emission summary'!BP49</f>
        <v>8.3185739336066842</v>
      </c>
      <c r="AP40" s="85">
        <f>'Net zero emission summary'!BQ49</f>
        <v>8.4359059264030698</v>
      </c>
    </row>
    <row r="41" spans="1:42" x14ac:dyDescent="0.25">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1.5114628716679739</v>
      </c>
      <c r="F41" s="85">
        <f>'Net zero emission summary'!AG52</f>
        <v>1.5337636748745849</v>
      </c>
      <c r="G41" s="85">
        <f>'Net zero emission summary'!AH52</f>
        <v>1.5436359301289113</v>
      </c>
      <c r="H41" s="85">
        <f>'Net zero emission summary'!AI52</f>
        <v>1.5455830647924333</v>
      </c>
      <c r="I41" s="85">
        <f>'Net zero emission summary'!AJ52</f>
        <v>1.5396059638680233</v>
      </c>
      <c r="J41" s="85">
        <f>'Net zero emission summary'!AK52</f>
        <v>1.5406069398014894</v>
      </c>
      <c r="K41" s="85">
        <f>'Net zero emission summary'!AL52</f>
        <v>1.5429841908916513</v>
      </c>
      <c r="L41" s="85">
        <f>'Net zero emission summary'!AM52</f>
        <v>1.4301645714495868</v>
      </c>
      <c r="M41" s="85">
        <f>'Net zero emission summary'!AN52</f>
        <v>1.5018586768335371</v>
      </c>
      <c r="N41" s="85">
        <f>'Net zero emission summary'!AO52</f>
        <v>1.5369941174227948</v>
      </c>
      <c r="O41" s="85">
        <f>'Net zero emission summary'!AP52</f>
        <v>1.5433733807301317</v>
      </c>
      <c r="P41" s="85">
        <f>'Net zero emission summary'!AQ52</f>
        <v>1.5513661118529765</v>
      </c>
      <c r="Q41" s="85">
        <f>'Net zero emission summary'!AR52</f>
        <v>1.5673098642621071</v>
      </c>
      <c r="R41" s="85">
        <f>'Net zero emission summary'!AS52</f>
        <v>1.591013223682068</v>
      </c>
      <c r="S41" s="85">
        <f>'Net zero emission summary'!AT52</f>
        <v>1.6185773869229654</v>
      </c>
      <c r="T41" s="85">
        <f>'Net zero emission summary'!AU52</f>
        <v>1.6510705043700964</v>
      </c>
      <c r="U41" s="85">
        <f>'Net zero emission summary'!AV52</f>
        <v>1.6917550985069707</v>
      </c>
      <c r="V41" s="85">
        <f>'Net zero emission summary'!AW52</f>
        <v>1.7402496652192294</v>
      </c>
      <c r="W41" s="85">
        <f>'Net zero emission summary'!AX52</f>
        <v>1.7937331445887523</v>
      </c>
      <c r="X41" s="85">
        <f>'Net zero emission summary'!AY52</f>
        <v>1.8519415903845209</v>
      </c>
      <c r="Y41" s="85">
        <f>'Net zero emission summary'!AZ52</f>
        <v>1.9132244473231923</v>
      </c>
      <c r="Z41" s="85">
        <f>'Net zero emission summary'!BA52</f>
        <v>1.9783541346860378</v>
      </c>
      <c r="AA41" s="85">
        <f>'Net zero emission summary'!BB52</f>
        <v>2.0465663325361767</v>
      </c>
      <c r="AB41" s="85">
        <f>'Net zero emission summary'!BC52</f>
        <v>2.1149777935041607</v>
      </c>
      <c r="AC41" s="85">
        <f>'Net zero emission summary'!BD52</f>
        <v>2.1877811234945517</v>
      </c>
      <c r="AD41" s="85">
        <f>'Net zero emission summary'!BE52</f>
        <v>2.2622983454331687</v>
      </c>
      <c r="AE41" s="85">
        <f>'Net zero emission summary'!BF52</f>
        <v>2.338326278142139</v>
      </c>
      <c r="AF41" s="85">
        <f>'Net zero emission summary'!BG52</f>
        <v>2.4171575764404047</v>
      </c>
      <c r="AG41" s="85">
        <f>'Net zero emission summary'!BH52</f>
        <v>2.4954738283833682</v>
      </c>
      <c r="AH41" s="85">
        <f>'Net zero emission summary'!BI52</f>
        <v>2.5778026991774565</v>
      </c>
      <c r="AI41" s="85">
        <f>'Net zero emission summary'!BJ52</f>
        <v>2.6657710683224694</v>
      </c>
      <c r="AJ41" s="85">
        <f>'Net zero emission summary'!BK52</f>
        <v>2.7567392107077291</v>
      </c>
      <c r="AK41" s="85">
        <f>'Net zero emission summary'!BL52</f>
        <v>2.8509078868334945</v>
      </c>
      <c r="AL41" s="85">
        <f>'Net zero emission summary'!BM52</f>
        <v>2.9513366610388774</v>
      </c>
      <c r="AM41" s="85">
        <f>'Net zero emission summary'!BN52</f>
        <v>3.0571319989920727</v>
      </c>
      <c r="AN41" s="85">
        <f>'Net zero emission summary'!BO52</f>
        <v>3.1677078146976503</v>
      </c>
      <c r="AO41" s="85">
        <f>'Net zero emission summary'!BP52</f>
        <v>3.2851048107640843</v>
      </c>
      <c r="AP41" s="85">
        <f>'Net zero emission summary'!BQ52</f>
        <v>3.3980289415077438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787AF-8131-492B-BAEF-B904BEC1D9F5}">
  <sheetPr>
    <tabColor theme="6"/>
  </sheetPr>
  <dimension ref="A6:AO41"/>
  <sheetViews>
    <sheetView workbookViewId="0">
      <selection activeCell="B7" sqref="B7"/>
    </sheetView>
  </sheetViews>
  <sheetFormatPr defaultColWidth="8.85546875" defaultRowHeight="15" x14ac:dyDescent="0.25"/>
  <cols>
    <col min="1" max="1" width="46.42578125" customWidth="1"/>
    <col min="2" max="2" width="23.42578125" customWidth="1"/>
    <col min="3" max="3" width="12.5703125" bestFit="1" customWidth="1"/>
  </cols>
  <sheetData>
    <row r="6" spans="1:41" x14ac:dyDescent="0.25">
      <c r="C6">
        <v>2012</v>
      </c>
      <c r="D6">
        <f>C6+1</f>
        <v>2013</v>
      </c>
      <c r="E6">
        <f t="shared" ref="E6:AO6" si="0">D6+1</f>
        <v>2014</v>
      </c>
      <c r="F6">
        <f t="shared" si="0"/>
        <v>2015</v>
      </c>
      <c r="G6">
        <f t="shared" si="0"/>
        <v>2016</v>
      </c>
      <c r="H6">
        <f t="shared" si="0"/>
        <v>2017</v>
      </c>
      <c r="I6">
        <f t="shared" si="0"/>
        <v>2018</v>
      </c>
      <c r="J6">
        <f t="shared" si="0"/>
        <v>2019</v>
      </c>
      <c r="K6">
        <f t="shared" si="0"/>
        <v>2020</v>
      </c>
      <c r="L6">
        <f t="shared" si="0"/>
        <v>2021</v>
      </c>
      <c r="M6">
        <f t="shared" si="0"/>
        <v>2022</v>
      </c>
      <c r="N6">
        <f t="shared" si="0"/>
        <v>2023</v>
      </c>
      <c r="O6">
        <f t="shared" si="0"/>
        <v>2024</v>
      </c>
      <c r="P6">
        <f t="shared" si="0"/>
        <v>2025</v>
      </c>
      <c r="Q6">
        <f t="shared" si="0"/>
        <v>2026</v>
      </c>
      <c r="R6">
        <f t="shared" si="0"/>
        <v>2027</v>
      </c>
      <c r="S6">
        <f t="shared" si="0"/>
        <v>2028</v>
      </c>
      <c r="T6">
        <f t="shared" si="0"/>
        <v>2029</v>
      </c>
      <c r="U6">
        <f t="shared" si="0"/>
        <v>2030</v>
      </c>
      <c r="V6">
        <f t="shared" si="0"/>
        <v>2031</v>
      </c>
      <c r="W6">
        <f t="shared" si="0"/>
        <v>2032</v>
      </c>
      <c r="X6">
        <f t="shared" si="0"/>
        <v>2033</v>
      </c>
      <c r="Y6">
        <f t="shared" si="0"/>
        <v>2034</v>
      </c>
      <c r="Z6">
        <f t="shared" si="0"/>
        <v>2035</v>
      </c>
      <c r="AA6">
        <f t="shared" si="0"/>
        <v>2036</v>
      </c>
      <c r="AB6">
        <f t="shared" si="0"/>
        <v>2037</v>
      </c>
      <c r="AC6">
        <f t="shared" si="0"/>
        <v>2038</v>
      </c>
      <c r="AD6">
        <f t="shared" si="0"/>
        <v>2039</v>
      </c>
      <c r="AE6">
        <f t="shared" si="0"/>
        <v>2040</v>
      </c>
      <c r="AF6">
        <f t="shared" si="0"/>
        <v>2041</v>
      </c>
      <c r="AG6">
        <f t="shared" si="0"/>
        <v>2042</v>
      </c>
      <c r="AH6">
        <f t="shared" si="0"/>
        <v>2043</v>
      </c>
      <c r="AI6">
        <f t="shared" si="0"/>
        <v>2044</v>
      </c>
      <c r="AJ6">
        <f t="shared" si="0"/>
        <v>2045</v>
      </c>
      <c r="AK6">
        <f t="shared" si="0"/>
        <v>2046</v>
      </c>
      <c r="AL6">
        <f t="shared" si="0"/>
        <v>2047</v>
      </c>
      <c r="AM6">
        <f t="shared" si="0"/>
        <v>2048</v>
      </c>
      <c r="AN6">
        <f t="shared" si="0"/>
        <v>2049</v>
      </c>
      <c r="AO6">
        <f t="shared" si="0"/>
        <v>2050</v>
      </c>
    </row>
    <row r="7" spans="1:41" x14ac:dyDescent="0.25">
      <c r="A7" t="s">
        <v>1468</v>
      </c>
      <c r="B7" t="s">
        <v>1471</v>
      </c>
      <c r="C7" s="85">
        <f>'Intermediate calculations'!Y68</f>
        <v>37.264624704131457</v>
      </c>
      <c r="D7" s="85">
        <f>'Intermediate calculations'!Z68</f>
        <v>37.918815926764417</v>
      </c>
      <c r="E7" s="85">
        <f>'Intermediate calculations'!AA68</f>
        <v>38.67508607723213</v>
      </c>
      <c r="F7" s="85">
        <f>'Intermediate calculations'!AB68</f>
        <v>39.273821563098878</v>
      </c>
      <c r="G7" s="85">
        <f>'Intermediate calculations'!AC68</f>
        <v>39.770853769491715</v>
      </c>
      <c r="H7" s="85">
        <f>'Intermediate calculations'!AD68</f>
        <v>40.163768314038464</v>
      </c>
      <c r="I7" s="85">
        <f>'Intermediate calculations'!AE68</f>
        <v>40.647451326305443</v>
      </c>
      <c r="J7" s="85">
        <f>'Intermediate calculations'!AF68</f>
        <v>41.148594433671477</v>
      </c>
      <c r="K7" s="85">
        <f>'Intermediate calculations'!AG68</f>
        <v>39.882619475081391</v>
      </c>
      <c r="L7" s="85">
        <f>'Intermediate calculations'!AH68</f>
        <v>41.229005600941633</v>
      </c>
      <c r="M7" s="85">
        <f>'Intermediate calculations'!AI68</f>
        <v>42.041517628843529</v>
      </c>
      <c r="N7" s="85">
        <f>'Intermediate calculations'!AJ68</f>
        <v>42.452612373623616</v>
      </c>
      <c r="O7" s="85">
        <f>'Intermediate calculations'!AK68</f>
        <v>42.911034155099948</v>
      </c>
      <c r="P7" s="85">
        <f>'Intermediate calculations'!AL68</f>
        <v>43.497562528131944</v>
      </c>
      <c r="Q7" s="85">
        <f>'Intermediate calculations'!AM68</f>
        <v>44.190769988549341</v>
      </c>
      <c r="R7" s="85">
        <f>'Intermediate calculations'!AN68</f>
        <v>44.936640658043487</v>
      </c>
      <c r="S7" s="85">
        <f>'Intermediate calculations'!AO68</f>
        <v>45.752209148180967</v>
      </c>
      <c r="T7" s="85">
        <f>'Intermediate calculations'!AP68</f>
        <v>46.688357265998448</v>
      </c>
      <c r="U7" s="85">
        <f>'Intermediate calculations'!AQ68</f>
        <v>47.742606208612962</v>
      </c>
      <c r="V7" s="85">
        <f>'Intermediate calculations'!AR68</f>
        <v>48.872136283176616</v>
      </c>
      <c r="W7" s="85">
        <f>'Intermediate calculations'!AS68</f>
        <v>50.076980151484243</v>
      </c>
      <c r="X7" s="85">
        <f>'Intermediate calculations'!AT68</f>
        <v>51.333210000092066</v>
      </c>
      <c r="Y7" s="85">
        <f>'Intermediate calculations'!AU68</f>
        <v>52.653032234866181</v>
      </c>
      <c r="Z7" s="85">
        <f>'Intermediate calculations'!AV68</f>
        <v>54.025826695152922</v>
      </c>
      <c r="AA7" s="85">
        <f>'Intermediate calculations'!AW68</f>
        <v>55.407807472713614</v>
      </c>
      <c r="AB7" s="85">
        <f>'Intermediate calculations'!AX68</f>
        <v>56.864146805922054</v>
      </c>
      <c r="AC7" s="85">
        <f>'Intermediate calculations'!AY68</f>
        <v>58.352736022269056</v>
      </c>
      <c r="AD7" s="85">
        <f>'Intermediate calculations'!AZ68</f>
        <v>59.870611610432761</v>
      </c>
      <c r="AE7" s="85">
        <f>'Intermediate calculations'!BA68</f>
        <v>61.438735391248791</v>
      </c>
      <c r="AF7" s="85">
        <f>'Intermediate calculations'!BB68</f>
        <v>63.007452111010913</v>
      </c>
      <c r="AG7" s="85">
        <f>'Intermediate calculations'!BC68</f>
        <v>64.646330755521475</v>
      </c>
      <c r="AH7" s="85">
        <f>'Intermediate calculations'!BD68</f>
        <v>66.382052394431213</v>
      </c>
      <c r="AI7" s="85">
        <f>'Intermediate calculations'!BE68</f>
        <v>68.172822210944403</v>
      </c>
      <c r="AJ7" s="85">
        <f>'Intermediate calculations'!BF68</f>
        <v>70.021948536354955</v>
      </c>
      <c r="AK7" s="85">
        <f>'Intermediate calculations'!BG68</f>
        <v>71.979602311269204</v>
      </c>
      <c r="AL7" s="85">
        <f>'Intermediate calculations'!BH68</f>
        <v>74.032197379627618</v>
      </c>
      <c r="AM7" s="85">
        <f>'Intermediate calculations'!BI68</f>
        <v>76.171076275562157</v>
      </c>
      <c r="AN7" s="85">
        <f>'Intermediate calculations'!BJ68</f>
        <v>78.430996517718768</v>
      </c>
      <c r="AO7" s="85">
        <f>'Intermediate calculations'!BK68</f>
        <v>80.624281214088825</v>
      </c>
    </row>
    <row r="8" spans="1:41" x14ac:dyDescent="0.25">
      <c r="A8" t="s">
        <v>1473</v>
      </c>
      <c r="B8" t="s">
        <v>1474</v>
      </c>
      <c r="C8" s="100">
        <f>SUM('Activity data'!AD47:AD48)/1000000</f>
        <v>0.42318716250985172</v>
      </c>
      <c r="D8" s="100">
        <f>SUM('Activity data'!AE47:AE48)/1000000</f>
        <v>0.42314507825719178</v>
      </c>
      <c r="E8" s="100">
        <f>SUM('Activity data'!AF47:AF48)/1000000</f>
        <v>0.42306791968311819</v>
      </c>
      <c r="F8" s="100">
        <f>SUM('Activity data'!AG47:AG48)/1000000</f>
        <v>0.42297569600418966</v>
      </c>
      <c r="G8" s="100">
        <f>SUM('Activity data'!AH47:AH48)/1000000</f>
        <v>0.42291339502247344</v>
      </c>
      <c r="H8" s="100">
        <f>SUM('Activity data'!AI47:AI48)/1000000</f>
        <v>0.42287052115292517</v>
      </c>
      <c r="I8" s="100">
        <f>SUM('Activity data'!AJ47:AJ48)/1000000</f>
        <v>0.42284704354373498</v>
      </c>
      <c r="J8" s="100">
        <f>SUM('Activity data'!AK47:AK48)/1000000</f>
        <v>0.42280906108202809</v>
      </c>
      <c r="K8" s="100">
        <f>SUM('Activity data'!AL47:AL48)/1000000</f>
        <v>0.42276916333263242</v>
      </c>
      <c r="L8" s="100">
        <f>SUM('Activity data'!AM47:AM48)/1000000</f>
        <v>0.42300479642898092</v>
      </c>
      <c r="M8" s="100">
        <f>SUM('Activity data'!AN47:AN48)/1000000</f>
        <v>0.42280384792419734</v>
      </c>
      <c r="N8" s="100">
        <f>SUM('Activity data'!AO47:AO48)/1000000</f>
        <v>0.42269307798130978</v>
      </c>
      <c r="O8" s="100">
        <f>SUM('Activity data'!AP47:AP48)/1000000</f>
        <v>0.42265008818262184</v>
      </c>
      <c r="P8" s="100">
        <f>SUM('Activity data'!AQ47:AQ48)/1000000</f>
        <v>0.42260372011083158</v>
      </c>
      <c r="Q8" s="100">
        <f>SUM('Activity data'!AR47:AR48)/1000000</f>
        <v>0.42253958259918972</v>
      </c>
      <c r="R8" s="100">
        <f>SUM('Activity data'!AS47:AS48)/1000000</f>
        <v>0.42245871790229617</v>
      </c>
      <c r="S8" s="100">
        <f>SUM('Activity data'!AT47:AT48)/1000000</f>
        <v>0.42237031633344296</v>
      </c>
      <c r="T8" s="100">
        <f>SUM('Activity data'!AU47:AU48)/1000000</f>
        <v>0.42227223541008196</v>
      </c>
      <c r="U8" s="100">
        <f>SUM('Activity data'!AV47:AV48)/1000000</f>
        <v>0.42215769308077794</v>
      </c>
      <c r="V8" s="100">
        <f>SUM('Activity data'!AW47:AW48)/1000000</f>
        <v>0.42202831057692092</v>
      </c>
      <c r="W8" s="100">
        <f>SUM('Activity data'!AX47:AX48)/1000000</f>
        <v>0.42189124302102399</v>
      </c>
      <c r="X8" s="100">
        <f>SUM('Activity data'!AY47:AY48)/1000000</f>
        <v>0.42174729106373277</v>
      </c>
      <c r="Y8" s="100">
        <f>SUM('Activity data'!AZ47:AZ48)/1000000</f>
        <v>0.42160030180678559</v>
      </c>
      <c r="Z8" s="100">
        <f>SUM('Activity data'!BA47:BA48)/1000000</f>
        <v>0.42144906682959515</v>
      </c>
      <c r="AA8" s="100">
        <f>SUM('Activity data'!BB47:BB48)/1000000</f>
        <v>0.42129544283076975</v>
      </c>
      <c r="AB8" s="100">
        <f>SUM('Activity data'!BC47:BC48)/1000000</f>
        <v>0.42114506879872865</v>
      </c>
      <c r="AC8" s="100">
        <f>SUM('Activity data'!BD47:BD48)/1000000</f>
        <v>0.42099020534559151</v>
      </c>
      <c r="AD8" s="100">
        <f>SUM('Activity data'!BE47:BE48)/1000000</f>
        <v>0.42083603750028181</v>
      </c>
      <c r="AE8" s="100">
        <f>SUM('Activity data'!BF47:BF48)/1000000</f>
        <v>0.42068297239634345</v>
      </c>
      <c r="AF8" s="100">
        <f>SUM('Activity data'!BG47:BG48)/1000000</f>
        <v>0.42052886290333569</v>
      </c>
      <c r="AG8" s="100">
        <f>SUM('Activity data'!BH47:BH48)/1000000</f>
        <v>0.42037904333002246</v>
      </c>
      <c r="AH8" s="100">
        <f>SUM('Activity data'!BI47:BI48)/1000000</f>
        <v>0.42022631777196789</v>
      </c>
      <c r="AI8" s="100">
        <f>SUM('Activity data'!BJ47:BJ48)/1000000</f>
        <v>0.42006848525057811</v>
      </c>
      <c r="AJ8" s="100">
        <f>SUM('Activity data'!BK47:BK48)/1000000</f>
        <v>0.41991004798547388</v>
      </c>
      <c r="AK8" s="100">
        <f>SUM('Activity data'!BL47:BL48)/1000000</f>
        <v>0.41975088121688642</v>
      </c>
      <c r="AL8" s="100">
        <f>SUM('Activity data'!BM47:BM48)/1000000</f>
        <v>0.41958679470362897</v>
      </c>
      <c r="AM8" s="100">
        <f>SUM('Activity data'!BN47:BN48)/1000000</f>
        <v>0.4194195660744347</v>
      </c>
      <c r="AN8" s="100">
        <f>SUM('Activity data'!BO47:BO48)/1000000</f>
        <v>0.4192503908335532</v>
      </c>
      <c r="AO8" s="100">
        <f>SUM('Activity data'!BP47:BP48)/1000000</f>
        <v>0.41907691719259993</v>
      </c>
    </row>
    <row r="9" spans="1:41" x14ac:dyDescent="0.25">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row>
    <row r="10" spans="1:41" x14ac:dyDescent="0.25">
      <c r="C10" s="85"/>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row>
    <row r="11" spans="1:41" x14ac:dyDescent="0.25">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row>
    <row r="12" spans="1:41" x14ac:dyDescent="0.2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row>
    <row r="13" spans="1:41" x14ac:dyDescent="0.2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row>
    <row r="14" spans="1:41" x14ac:dyDescent="0.25">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row>
    <row r="15" spans="1:41" x14ac:dyDescent="0.2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row>
    <row r="16" spans="1:41" x14ac:dyDescent="0.2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row>
    <row r="17" spans="3:41" x14ac:dyDescent="0.25">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row>
    <row r="18" spans="3:41" x14ac:dyDescent="0.25">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row>
    <row r="19" spans="3:41" x14ac:dyDescent="0.25">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row>
    <row r="20" spans="3:41" x14ac:dyDescent="0.2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row>
    <row r="21" spans="3:41" x14ac:dyDescent="0.2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row>
    <row r="22" spans="3:41" x14ac:dyDescent="0.2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row>
    <row r="23" spans="3:41" x14ac:dyDescent="0.25">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row>
    <row r="24" spans="3:41" x14ac:dyDescent="0.25">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row>
    <row r="25" spans="3:41" x14ac:dyDescent="0.25">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row>
    <row r="26" spans="3:41" x14ac:dyDescent="0.25">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row>
    <row r="27" spans="3:41" x14ac:dyDescent="0.25">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row>
    <row r="28" spans="3:41" x14ac:dyDescent="0.25">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row>
    <row r="29" spans="3:41" x14ac:dyDescent="0.25">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row>
    <row r="30" spans="3:41" x14ac:dyDescent="0.25">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row>
    <row r="31" spans="3:41" x14ac:dyDescent="0.25">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row>
    <row r="32" spans="3:41" x14ac:dyDescent="0.2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row>
    <row r="33" spans="3:41" x14ac:dyDescent="0.2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row>
    <row r="34" spans="3:41" x14ac:dyDescent="0.2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row>
    <row r="35" spans="3:41" x14ac:dyDescent="0.25">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row>
    <row r="36" spans="3:41" x14ac:dyDescent="0.25">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row>
    <row r="37" spans="3:41" x14ac:dyDescent="0.2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row>
    <row r="38" spans="3:41" x14ac:dyDescent="0.25">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row>
    <row r="39" spans="3:41" x14ac:dyDescent="0.2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row>
    <row r="40" spans="3:41" x14ac:dyDescent="0.25">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row>
    <row r="41" spans="3:41" x14ac:dyDescent="0.25">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5546875"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35" t="s">
        <v>11</v>
      </c>
      <c r="B3" s="136"/>
      <c r="C3" s="136"/>
      <c r="D3" s="137"/>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34" t="s">
        <v>36</v>
      </c>
      <c r="C40" s="3" t="s">
        <v>37</v>
      </c>
      <c r="D40" s="3"/>
      <c r="F40" t="s">
        <v>137</v>
      </c>
    </row>
    <row r="41" spans="1:6" x14ac:dyDescent="0.25">
      <c r="A41" s="6"/>
      <c r="B41" s="134"/>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5546875" defaultRowHeight="15" outlineLevelCol="1" x14ac:dyDescent="0.25"/>
  <cols>
    <col min="1" max="1" width="19.140625" customWidth="1"/>
    <col min="2" max="2" width="12.85546875" customWidth="1"/>
    <col min="3" max="3" width="28.42578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58801927</v>
      </c>
      <c r="AI4" s="22">
        <f>DriversCGE!C35*1000</f>
        <v>59392255</v>
      </c>
      <c r="AJ4" s="22">
        <f>DriversCGE!D35*1000</f>
        <v>59893885</v>
      </c>
      <c r="AK4" s="22">
        <f>DriversCGE!E35*1000</f>
        <v>60414495</v>
      </c>
      <c r="AL4" s="22">
        <f>DriversCGE!F35*1000</f>
        <v>61020221</v>
      </c>
      <c r="AM4" s="22">
        <f>DriversCGE!G35*1000</f>
        <v>61673081</v>
      </c>
      <c r="AN4" s="22">
        <f>DriversCGE!H35*1000</f>
        <v>62305039</v>
      </c>
      <c r="AO4" s="22">
        <f>DriversCGE!I35*1000</f>
        <v>62918916</v>
      </c>
      <c r="AP4" s="22">
        <f>DriversCGE!J35*1000</f>
        <v>63514502</v>
      </c>
      <c r="AQ4" s="22">
        <f>DriversCGE!K35*1000</f>
        <v>64093732</v>
      </c>
      <c r="AR4" s="22">
        <f>DriversCGE!L35*1000</f>
        <v>64659278</v>
      </c>
      <c r="AS4" s="22">
        <f>DriversCGE!M35*1000</f>
        <v>65211526</v>
      </c>
      <c r="AT4" s="22">
        <f>DriversCGE!N35*1000</f>
        <v>65752924</v>
      </c>
      <c r="AU4" s="22">
        <f>DriversCGE!O35*1000</f>
        <v>66284189</v>
      </c>
      <c r="AV4" s="22">
        <f>DriversCGE!P35*1000</f>
        <v>66804167</v>
      </c>
      <c r="AW4" s="22">
        <f>DriversCGE!Q35*1000</f>
        <v>67314133</v>
      </c>
      <c r="AX4" s="22">
        <f>DriversCGE!R35*1000</f>
        <v>67815933</v>
      </c>
      <c r="AY4" s="22">
        <f>DriversCGE!S35*1000</f>
        <v>68308246</v>
      </c>
      <c r="AZ4" s="22">
        <f>DriversCGE!T35*1000</f>
        <v>68788495</v>
      </c>
      <c r="BA4" s="22">
        <f>DriversCGE!U35*1000</f>
        <v>69256823</v>
      </c>
      <c r="BB4" s="22">
        <f>DriversCGE!V35*1000</f>
        <v>69713937</v>
      </c>
      <c r="BC4" s="22">
        <f>DriversCGE!W35*1000</f>
        <v>70160652</v>
      </c>
      <c r="BD4" s="22">
        <f>DriversCGE!X35*1000</f>
        <v>70595132</v>
      </c>
      <c r="BE4" s="22">
        <f>DriversCGE!Y35*1000</f>
        <v>71016168</v>
      </c>
      <c r="BF4" s="22">
        <f>DriversCGE!Z35*1000</f>
        <v>71423671</v>
      </c>
      <c r="BG4" s="22">
        <f>DriversCGE!AA35*1000</f>
        <v>71816201</v>
      </c>
      <c r="BH4" s="22">
        <f>DriversCGE!AB35*1000</f>
        <v>72192155</v>
      </c>
      <c r="BI4" s="22">
        <f>DriversCGE!AC35*1000</f>
        <v>72551393</v>
      </c>
      <c r="BJ4" s="22">
        <f>DriversCGE!AD35*1000</f>
        <v>72894219</v>
      </c>
      <c r="BK4" s="22">
        <f>DriversCGE!AE35*1000</f>
        <v>73220860</v>
      </c>
      <c r="BL4" s="22">
        <f>DriversCGE!AF35*1000</f>
        <v>73529753</v>
      </c>
    </row>
    <row r="5" spans="1:68" x14ac:dyDescent="0.25">
      <c r="A5" t="s">
        <v>809</v>
      </c>
      <c r="B5" t="s">
        <v>747</v>
      </c>
      <c r="C5" t="s">
        <v>810</v>
      </c>
      <c r="D5" s="21">
        <f t="shared" ref="D5:Y5" si="0">E5/(1+E7)</f>
        <v>1957.4438169132061</v>
      </c>
      <c r="E5" s="21">
        <f t="shared" si="0"/>
        <v>2016.1671314206023</v>
      </c>
      <c r="F5" s="21">
        <f t="shared" si="0"/>
        <v>2076.6521453632204</v>
      </c>
      <c r="G5" s="21">
        <f t="shared" si="0"/>
        <v>2138.9517097241169</v>
      </c>
      <c r="H5" s="21">
        <f t="shared" si="0"/>
        <v>2203.1202610158402</v>
      </c>
      <c r="I5" s="21">
        <f t="shared" si="0"/>
        <v>2269.2138688463156</v>
      </c>
      <c r="J5" s="21">
        <f t="shared" si="0"/>
        <v>2364.5208513378611</v>
      </c>
      <c r="K5" s="21">
        <f t="shared" si="0"/>
        <v>2425.9983934726456</v>
      </c>
      <c r="L5" s="21">
        <f t="shared" si="0"/>
        <v>2442.9803822269537</v>
      </c>
      <c r="M5" s="21">
        <f t="shared" si="0"/>
        <v>2508.9408525470812</v>
      </c>
      <c r="N5" s="21">
        <f t="shared" si="0"/>
        <v>2619.334250059153</v>
      </c>
      <c r="O5" s="21">
        <f t="shared" si="0"/>
        <v>2695.2949433108683</v>
      </c>
      <c r="P5" s="21">
        <f t="shared" si="0"/>
        <v>2797.7274791006062</v>
      </c>
      <c r="Q5" s="21">
        <f t="shared" si="0"/>
        <v>2881.1408738873174</v>
      </c>
      <c r="R5" s="21">
        <f t="shared" si="0"/>
        <v>3010.7252964196682</v>
      </c>
      <c r="S5" s="21">
        <f t="shared" si="0"/>
        <v>3170.6679525436139</v>
      </c>
      <c r="T5" s="21">
        <f t="shared" si="0"/>
        <v>3345.8845664283886</v>
      </c>
      <c r="U5" s="21">
        <f t="shared" si="0"/>
        <v>3532.7752689171489</v>
      </c>
      <c r="V5" s="21">
        <f t="shared" si="0"/>
        <v>3665.6749144596997</v>
      </c>
      <c r="W5" s="21">
        <f t="shared" si="0"/>
        <v>3616.4719366434542</v>
      </c>
      <c r="X5" s="21">
        <f t="shared" si="0"/>
        <v>3727.848623039321</v>
      </c>
      <c r="Y5" s="21">
        <f t="shared" si="0"/>
        <v>3855.769227997645</v>
      </c>
      <c r="Z5" s="21">
        <f t="shared" ref="Z5" si="1">AA5/(1+AA7)</f>
        <v>3949.8013150985525</v>
      </c>
      <c r="AA5" s="21">
        <f t="shared" ref="AA5" si="2">AB5/(1+AB7)</f>
        <v>4037.2244324128119</v>
      </c>
      <c r="AB5" s="21">
        <f t="shared" ref="AB5" si="3">AC5/(1+AC7)</f>
        <v>4142.7484323742065</v>
      </c>
      <c r="AC5" s="21">
        <f t="shared" ref="AC5" si="4">AD5/(1+AD7)</f>
        <v>4216.7256581051897</v>
      </c>
      <c r="AD5" s="21">
        <f t="shared" ref="AD5" si="5">AE5/(1+AE7)</f>
        <v>4269.7647875997272</v>
      </c>
      <c r="AE5" s="21">
        <f t="shared" ref="AE5" si="6">AF5/(1+AF7)</f>
        <v>4301.345063650173</v>
      </c>
      <c r="AF5" s="21">
        <f t="shared" ref="AF5" si="7">AG5/(1+AG7)</f>
        <v>4349.6841066642864</v>
      </c>
      <c r="AG5" s="22">
        <f>SUM(DriversCGE!B8:B26)</f>
        <v>4400.6460053324172</v>
      </c>
      <c r="AH5" s="22">
        <f>SUM(DriversCGE!C8:C26)</f>
        <v>4137.7404328183138</v>
      </c>
      <c r="AI5" s="22">
        <f>SUM(DriversCGE!D8:D26)</f>
        <v>4366.4844412089742</v>
      </c>
      <c r="AJ5" s="22">
        <f>SUM(DriversCGE!E8:E26)</f>
        <v>4497.5185652651908</v>
      </c>
      <c r="AK5" s="22">
        <f>SUM(DriversCGE!F8:F26)</f>
        <v>4550.9556096715169</v>
      </c>
      <c r="AL5" s="22">
        <f>SUM(DriversCGE!G8:G26)</f>
        <v>4609.3307401156499</v>
      </c>
      <c r="AM5" s="22">
        <f>SUM(DriversCGE!H8:H26)</f>
        <v>4689.9059564833951</v>
      </c>
      <c r="AN5" s="22">
        <f>SUM(DriversCGE!I8:I26)</f>
        <v>4791.8674307343445</v>
      </c>
      <c r="AO5" s="22">
        <f>SUM(DriversCGE!J8:J26)</f>
        <v>4904.7606070948541</v>
      </c>
      <c r="AP5" s="22">
        <f>SUM(DriversCGE!K8:K26)</f>
        <v>5031.8497073886392</v>
      </c>
      <c r="AQ5" s="22">
        <f>SUM(DriversCGE!L8:L26)</f>
        <v>5182.7613450501867</v>
      </c>
      <c r="AR5" s="22">
        <f>SUM(DriversCGE!M8:M26)</f>
        <v>5356.8932038682397</v>
      </c>
      <c r="AS5" s="22">
        <f>SUM(DriversCGE!N8:N26)</f>
        <v>5546.0468902626581</v>
      </c>
      <c r="AT5" s="22">
        <f>SUM(DriversCGE!O8:O26)</f>
        <v>5750.1106471406156</v>
      </c>
      <c r="AU5" s="22">
        <f>SUM(DriversCGE!P8:P26)</f>
        <v>5964.4790166600988</v>
      </c>
      <c r="AV5" s="22">
        <f>SUM(DriversCGE!Q8:Q26)</f>
        <v>6191.5393969680408</v>
      </c>
      <c r="AW5" s="22">
        <f>SUM(DriversCGE!R8:R26)</f>
        <v>6429.2015766034719</v>
      </c>
      <c r="AX5" s="22">
        <f>SUM(DriversCGE!S8:S26)</f>
        <v>6669.0122131522039</v>
      </c>
      <c r="AY5" s="22">
        <f>SUM(DriversCGE!T8:T26)</f>
        <v>6923.4847456000398</v>
      </c>
      <c r="AZ5" s="22">
        <f>SUM(DriversCGE!U8:U26)</f>
        <v>7184.6994268475946</v>
      </c>
      <c r="BA5" s="22">
        <f>SUM(DriversCGE!V8:V26)</f>
        <v>7452.0832488011292</v>
      </c>
      <c r="BB5" s="22">
        <f>SUM(DriversCGE!W8:W26)</f>
        <v>7729.6064415039946</v>
      </c>
      <c r="BC5" s="22">
        <f>SUM(DriversCGE!X8:X26)</f>
        <v>8007.7441452653729</v>
      </c>
      <c r="BD5" s="22">
        <f>SUM(DriversCGE!Y8:Y26)</f>
        <v>8299.8745272688029</v>
      </c>
      <c r="BE5" s="22">
        <f>SUM(DriversCGE!Z8:Z26)</f>
        <v>8611.1527119669172</v>
      </c>
      <c r="BF5" s="22">
        <f>SUM(DriversCGE!AA8:AA26)</f>
        <v>8933.5989822226584</v>
      </c>
      <c r="BG5" s="22">
        <f>SUM(DriversCGE!AB8:AB26)</f>
        <v>9267.9147344475732</v>
      </c>
      <c r="BH5" s="22">
        <f>SUM(DriversCGE!AC8:AC26)</f>
        <v>9623.7613226999183</v>
      </c>
      <c r="BI5" s="22">
        <f>SUM(DriversCGE!AD8:AD26)</f>
        <v>9998.5501503553878</v>
      </c>
      <c r="BJ5" s="22">
        <f>SUM(DriversCGE!AE8:AE26)</f>
        <v>10390.612740322496</v>
      </c>
      <c r="BK5" s="22">
        <f>SUM(DriversCGE!AF8:AF26)</f>
        <v>10806.577832731176</v>
      </c>
      <c r="BL5" s="22">
        <f>SUM(DriversCGE!AG8:AG26)</f>
        <v>11210.669104090992</v>
      </c>
    </row>
    <row r="6" spans="1:68" x14ac:dyDescent="0.25">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5">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5">
      <c r="Y16">
        <v>2830.9069841561718</v>
      </c>
      <c r="Z16">
        <v>2893.5650000000564</v>
      </c>
      <c r="AA16">
        <v>2969.1963051355538</v>
      </c>
      <c r="AB16">
        <v>3022.2173632302474</v>
      </c>
      <c r="AC16">
        <v>3060.2316404410249</v>
      </c>
      <c r="AD16">
        <v>3082.8658989519636</v>
      </c>
      <c r="AE16">
        <v>3117.5115237718705</v>
      </c>
      <c r="AF16">
        <v>3154.0370052724184</v>
      </c>
    </row>
    <row r="18" spans="26:32" x14ac:dyDescent="0.25">
      <c r="Z18">
        <v>52.325432882070082</v>
      </c>
      <c r="AA18">
        <v>53.104386458423342</v>
      </c>
      <c r="AB18">
        <v>53.912365691429272</v>
      </c>
      <c r="AC18">
        <v>54.750491457321111</v>
      </c>
      <c r="AD18">
        <v>55.619940469824826</v>
      </c>
      <c r="AE18">
        <v>56.521948041648095</v>
      </c>
      <c r="AF18">
        <v>57.436000617299655</v>
      </c>
    </row>
    <row r="19" spans="26:32" x14ac:dyDescent="0.25">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t="str">
        <f>'IPCC Categories'!A5</f>
        <v>3A Livestock</v>
      </c>
      <c r="C18" t="str">
        <f>'IPCC Categories'!$D$5</f>
        <v>3A1ai Dairy cattle</v>
      </c>
      <c r="D18" t="str">
        <f>'IPCC Categories'!$F$39</f>
        <v>TMR</v>
      </c>
      <c r="E18" t="s">
        <v>330</v>
      </c>
      <c r="F18" t="s">
        <v>327</v>
      </c>
      <c r="G18" t="s">
        <v>331</v>
      </c>
      <c r="H18" s="48">
        <v>0.35</v>
      </c>
    </row>
    <row r="19" spans="1:10" x14ac:dyDescent="0.25">
      <c r="A19" t="str">
        <f>A18</f>
        <v>3A Livestock</v>
      </c>
      <c r="C19" t="str">
        <f>C18</f>
        <v>3A1ai Dairy cattle</v>
      </c>
      <c r="E19" t="s">
        <v>841</v>
      </c>
      <c r="F19" t="s">
        <v>327</v>
      </c>
      <c r="H19" s="48">
        <v>0.28999999999999998</v>
      </c>
    </row>
    <row r="20" spans="1:10" x14ac:dyDescent="0.25">
      <c r="A20" t="str">
        <f>A19</f>
        <v>3A Livestock</v>
      </c>
      <c r="C20" t="str">
        <f>'IPCC Categories'!D13</f>
        <v>3A2aii Other cattle</v>
      </c>
      <c r="E20" t="s">
        <v>844</v>
      </c>
      <c r="F20" t="s">
        <v>327</v>
      </c>
      <c r="H20" s="48">
        <v>0.53</v>
      </c>
    </row>
    <row r="21" spans="1:10" x14ac:dyDescent="0.25">
      <c r="A21" t="str">
        <f>A20</f>
        <v>3A Livestock</v>
      </c>
      <c r="C21" t="str">
        <f>C20</f>
        <v>3A2aii Other cattle</v>
      </c>
      <c r="E21" t="s">
        <v>907</v>
      </c>
      <c r="F21" t="s">
        <v>908</v>
      </c>
      <c r="H21" s="48">
        <v>460</v>
      </c>
    </row>
    <row r="22" spans="1:10" x14ac:dyDescent="0.25">
      <c r="A22" t="str">
        <f>A18</f>
        <v>3A Livestock</v>
      </c>
      <c r="C22" t="str">
        <f>'IPCC Categories'!C7</f>
        <v>3A1c Sheep</v>
      </c>
      <c r="E22" t="s">
        <v>833</v>
      </c>
      <c r="F22" t="s">
        <v>327</v>
      </c>
      <c r="H22" s="48">
        <v>0.87</v>
      </c>
    </row>
    <row r="23" spans="1:10" x14ac:dyDescent="0.25">
      <c r="A23" t="str">
        <f t="shared" ref="A23:A27" si="0">A22</f>
        <v>3A Livestock</v>
      </c>
      <c r="C23" t="str">
        <f>'IPCC Categories'!C8</f>
        <v>3A1d Goats</v>
      </c>
      <c r="E23" t="s">
        <v>834</v>
      </c>
      <c r="F23" t="s">
        <v>327</v>
      </c>
      <c r="H23" s="48">
        <v>0.34</v>
      </c>
    </row>
    <row r="24" spans="1:10" x14ac:dyDescent="0.25">
      <c r="A24" t="str">
        <f t="shared" si="0"/>
        <v>3A Livestock</v>
      </c>
      <c r="C24" t="str">
        <f>'IPCC Categories'!C11</f>
        <v>3A1h Swine</v>
      </c>
      <c r="E24" t="s">
        <v>835</v>
      </c>
      <c r="F24" t="s">
        <v>327</v>
      </c>
      <c r="H24" s="48">
        <v>0.88</v>
      </c>
    </row>
    <row r="25" spans="1:10" x14ac:dyDescent="0.25">
      <c r="A25" t="str">
        <f t="shared" si="0"/>
        <v>3A Livestock</v>
      </c>
      <c r="C25" t="str">
        <f>'IPCC Categories'!C19</f>
        <v>3A2i Poultry</v>
      </c>
      <c r="E25" t="s">
        <v>837</v>
      </c>
      <c r="F25" t="s">
        <v>327</v>
      </c>
      <c r="H25" s="48">
        <v>0.96</v>
      </c>
    </row>
    <row r="26" spans="1:10" x14ac:dyDescent="0.25">
      <c r="A26" t="str">
        <f t="shared" si="0"/>
        <v>3A Livestock</v>
      </c>
      <c r="C26" t="str">
        <f>C25</f>
        <v>3A2i Poultry</v>
      </c>
      <c r="E26" t="s">
        <v>839</v>
      </c>
      <c r="F26" t="s">
        <v>327</v>
      </c>
      <c r="H26" s="48">
        <v>0.96</v>
      </c>
    </row>
    <row r="27" spans="1:10" x14ac:dyDescent="0.25">
      <c r="A27" t="str">
        <f t="shared" si="0"/>
        <v>3A Livestock</v>
      </c>
      <c r="C27" t="str">
        <f>C23</f>
        <v>3A1d Goats</v>
      </c>
      <c r="E27" t="s">
        <v>342</v>
      </c>
      <c r="F27" t="s">
        <v>327</v>
      </c>
      <c r="G27" t="s">
        <v>343</v>
      </c>
      <c r="H27" s="48">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48">
        <v>1.5</v>
      </c>
    </row>
    <row r="30" spans="1:10" x14ac:dyDescent="0.25">
      <c r="A30" t="str">
        <f>A29</f>
        <v>3C Aggregated and non-CO2 emissions on land</v>
      </c>
      <c r="B30" t="str">
        <f>B29</f>
        <v>3C4 Direct N2O from managed soils (N2O)</v>
      </c>
      <c r="C30" t="str">
        <f>C29</f>
        <v>3C4 Direct N2O from managed soils (N2O)</v>
      </c>
      <c r="E30" t="s">
        <v>853</v>
      </c>
      <c r="H30" s="48">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5">
      <c r="A35" t="str">
        <f>A68</f>
        <v>3C Aggregated and non-CO2 emissions on land</v>
      </c>
      <c r="B35" t="str">
        <f>B68</f>
        <v>3C4 Direct N2O from managed soils (N2O)</v>
      </c>
      <c r="C35" t="str">
        <f>C34</f>
        <v>3C4 Direct N2O from managed soils (N2O)</v>
      </c>
      <c r="E35" t="s">
        <v>864</v>
      </c>
      <c r="F35" t="s">
        <v>327</v>
      </c>
      <c r="H35" s="48">
        <v>0.6</v>
      </c>
    </row>
    <row r="36" spans="1:8" x14ac:dyDescent="0.25">
      <c r="A36" t="str">
        <f>A35</f>
        <v>3C Aggregated and non-CO2 emissions on land</v>
      </c>
      <c r="B36" t="str">
        <f>B35</f>
        <v>3C4 Direct N2O from managed soils (N2O)</v>
      </c>
      <c r="C36" t="str">
        <f>C35</f>
        <v>3C4 Direct N2O from managed soils (N2O)</v>
      </c>
      <c r="E36" t="s">
        <v>865</v>
      </c>
      <c r="F36" t="s">
        <v>327</v>
      </c>
      <c r="H36" s="48">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5">
      <c r="A42" t="str">
        <f>A41</f>
        <v>3C Aggregated and non-CO2 emissions on land</v>
      </c>
      <c r="B42" t="str">
        <f t="shared" ref="B42:C53" si="7">B41</f>
        <v>3C4 Direct N2O from managed soils (N2O)</v>
      </c>
      <c r="C42" t="str">
        <f t="shared" si="7"/>
        <v>Crop residues</v>
      </c>
      <c r="E42" t="s">
        <v>909</v>
      </c>
      <c r="F42" t="s">
        <v>377</v>
      </c>
      <c r="H42" s="48">
        <v>0.48</v>
      </c>
    </row>
    <row r="43" spans="1:8" x14ac:dyDescent="0.25">
      <c r="A43" t="str">
        <f t="shared" ref="A43:A53" si="8">A42</f>
        <v>3C Aggregated and non-CO2 emissions on land</v>
      </c>
      <c r="B43" t="str">
        <f t="shared" si="7"/>
        <v>3C4 Direct N2O from managed soils (N2O)</v>
      </c>
      <c r="C43" t="str">
        <f t="shared" si="7"/>
        <v>Crop residues</v>
      </c>
      <c r="E43" t="s">
        <v>910</v>
      </c>
      <c r="F43" t="s">
        <v>377</v>
      </c>
      <c r="H43" s="48">
        <v>0.12</v>
      </c>
    </row>
    <row r="44" spans="1:8" x14ac:dyDescent="0.25">
      <c r="A44" t="str">
        <f t="shared" si="8"/>
        <v>3C Aggregated and non-CO2 emissions on land</v>
      </c>
      <c r="B44" t="str">
        <f t="shared" si="7"/>
        <v>3C4 Direct N2O from managed soils (N2O)</v>
      </c>
      <c r="C44" t="str">
        <f t="shared" si="7"/>
        <v>Crop residues</v>
      </c>
      <c r="E44" t="s">
        <v>911</v>
      </c>
      <c r="F44" t="s">
        <v>377</v>
      </c>
      <c r="H44" s="48">
        <v>0.48</v>
      </c>
    </row>
    <row r="45" spans="1:8" x14ac:dyDescent="0.25">
      <c r="A45" t="str">
        <f t="shared" si="8"/>
        <v>3C Aggregated and non-CO2 emissions on land</v>
      </c>
      <c r="B45" t="str">
        <f t="shared" si="7"/>
        <v>3C4 Direct N2O from managed soils (N2O)</v>
      </c>
      <c r="C45" t="str">
        <f t="shared" si="7"/>
        <v>Crop residues</v>
      </c>
      <c r="E45" t="s">
        <v>912</v>
      </c>
      <c r="F45" t="s">
        <v>365</v>
      </c>
      <c r="H45" s="48">
        <v>4.2</v>
      </c>
    </row>
    <row r="46" spans="1:8" x14ac:dyDescent="0.25">
      <c r="A46" t="str">
        <f t="shared" si="8"/>
        <v>3C Aggregated and non-CO2 emissions on land</v>
      </c>
      <c r="B46" t="str">
        <f t="shared" si="7"/>
        <v>3C4 Direct N2O from managed soils (N2O)</v>
      </c>
      <c r="C46" t="str">
        <f t="shared" si="7"/>
        <v>Crop residues</v>
      </c>
      <c r="E46" t="s">
        <v>913</v>
      </c>
      <c r="F46" t="s">
        <v>365</v>
      </c>
      <c r="H46" s="48">
        <v>2.8</v>
      </c>
    </row>
    <row r="47" spans="1:8" x14ac:dyDescent="0.25">
      <c r="A47" t="str">
        <f t="shared" si="8"/>
        <v>3C Aggregated and non-CO2 emissions on land</v>
      </c>
      <c r="B47" t="str">
        <f t="shared" si="7"/>
        <v>3C4 Direct N2O from managed soils (N2O)</v>
      </c>
      <c r="C47" t="str">
        <f t="shared" si="7"/>
        <v>Crop residues</v>
      </c>
      <c r="E47" t="s">
        <v>914</v>
      </c>
      <c r="F47" t="s">
        <v>365</v>
      </c>
      <c r="H47" s="48">
        <v>3.7</v>
      </c>
    </row>
    <row r="48" spans="1:8" x14ac:dyDescent="0.25">
      <c r="A48" t="str">
        <f t="shared" si="8"/>
        <v>3C Aggregated and non-CO2 emissions on land</v>
      </c>
      <c r="B48" t="str">
        <f t="shared" si="7"/>
        <v>3C4 Direct N2O from managed soils (N2O)</v>
      </c>
      <c r="C48" t="str">
        <f t="shared" si="7"/>
        <v>Crop residues</v>
      </c>
      <c r="E48" t="s">
        <v>915</v>
      </c>
      <c r="H48" s="48">
        <v>1.5</v>
      </c>
    </row>
    <row r="49" spans="1:8" x14ac:dyDescent="0.25">
      <c r="A49" t="str">
        <f t="shared" si="8"/>
        <v>3C Aggregated and non-CO2 emissions on land</v>
      </c>
      <c r="B49" t="str">
        <f t="shared" si="7"/>
        <v>3C4 Direct N2O from managed soils (N2O)</v>
      </c>
      <c r="C49" t="str">
        <f t="shared" si="7"/>
        <v>Crop residues</v>
      </c>
      <c r="E49" t="s">
        <v>916</v>
      </c>
      <c r="H49" s="48">
        <v>1.4</v>
      </c>
    </row>
    <row r="50" spans="1:8" x14ac:dyDescent="0.25">
      <c r="A50" t="str">
        <f t="shared" si="8"/>
        <v>3C Aggregated and non-CO2 emissions on land</v>
      </c>
      <c r="B50" t="str">
        <f t="shared" si="7"/>
        <v>3C4 Direct N2O from managed soils (N2O)</v>
      </c>
      <c r="C50" t="str">
        <f t="shared" si="7"/>
        <v>Crop residues</v>
      </c>
      <c r="E50" t="s">
        <v>917</v>
      </c>
      <c r="H50" s="48">
        <v>1.3</v>
      </c>
    </row>
    <row r="51" spans="1:8" x14ac:dyDescent="0.25">
      <c r="A51" t="str">
        <f t="shared" si="8"/>
        <v>3C Aggregated and non-CO2 emissions on land</v>
      </c>
      <c r="B51" t="str">
        <f t="shared" si="7"/>
        <v>3C4 Direct N2O from managed soils (N2O)</v>
      </c>
      <c r="C51" t="str">
        <f t="shared" si="7"/>
        <v>Crop residues</v>
      </c>
      <c r="E51" t="s">
        <v>918</v>
      </c>
      <c r="H51" s="48">
        <v>0.45</v>
      </c>
    </row>
    <row r="52" spans="1:8" x14ac:dyDescent="0.25">
      <c r="A52" t="str">
        <f t="shared" si="8"/>
        <v>3C Aggregated and non-CO2 emissions on land</v>
      </c>
      <c r="B52" t="str">
        <f t="shared" si="7"/>
        <v>3C4 Direct N2O from managed soils (N2O)</v>
      </c>
      <c r="C52" t="str">
        <f t="shared" si="7"/>
        <v>Crop residues</v>
      </c>
      <c r="E52" t="s">
        <v>919</v>
      </c>
      <c r="H52" s="48">
        <v>0</v>
      </c>
    </row>
    <row r="53" spans="1:8" x14ac:dyDescent="0.25">
      <c r="A53" t="str">
        <f t="shared" si="8"/>
        <v>3C Aggregated and non-CO2 emissions on land</v>
      </c>
      <c r="B53" t="str">
        <f t="shared" si="7"/>
        <v>3C4 Direct N2O from managed soils (N2O)</v>
      </c>
      <c r="C53" t="str">
        <f t="shared" si="7"/>
        <v>Crop residues</v>
      </c>
      <c r="E53" t="s">
        <v>920</v>
      </c>
      <c r="H53" s="48">
        <v>0.6</v>
      </c>
    </row>
    <row r="54" spans="1:8" x14ac:dyDescent="0.25">
      <c r="A54" t="str">
        <f>A47</f>
        <v>3C Aggregated and non-CO2 emissions on land</v>
      </c>
      <c r="B54" t="str">
        <f>B47</f>
        <v>3C4 Direct N2O from managed soils (N2O)</v>
      </c>
      <c r="C54" t="str">
        <f>C47</f>
        <v>Crop residues</v>
      </c>
      <c r="E54" t="s">
        <v>921</v>
      </c>
      <c r="F54" t="s">
        <v>327</v>
      </c>
      <c r="H54" s="48">
        <v>0.87</v>
      </c>
    </row>
    <row r="55" spans="1:8" x14ac:dyDescent="0.25">
      <c r="A55" t="str">
        <f t="shared" ref="A55:C58" si="9">A54</f>
        <v>3C Aggregated and non-CO2 emissions on land</v>
      </c>
      <c r="B55" t="str">
        <f t="shared" si="9"/>
        <v>3C4 Direct N2O from managed soils (N2O)</v>
      </c>
      <c r="C55" t="str">
        <f t="shared" si="9"/>
        <v>Crop residues</v>
      </c>
      <c r="E55" t="s">
        <v>922</v>
      </c>
      <c r="F55" t="s">
        <v>327</v>
      </c>
      <c r="H55" s="48">
        <v>0.89</v>
      </c>
    </row>
    <row r="56" spans="1:8" x14ac:dyDescent="0.25">
      <c r="A56" t="str">
        <f t="shared" si="9"/>
        <v>3C Aggregated and non-CO2 emissions on land</v>
      </c>
      <c r="B56" t="str">
        <f t="shared" si="9"/>
        <v>3C4 Direct N2O from managed soils (N2O)</v>
      </c>
      <c r="C56" t="str">
        <f t="shared" si="9"/>
        <v>Crop residues</v>
      </c>
      <c r="E56" t="s">
        <v>923</v>
      </c>
      <c r="F56" t="s">
        <v>327</v>
      </c>
      <c r="H56" s="48">
        <v>0.89</v>
      </c>
    </row>
    <row r="57" spans="1:8" x14ac:dyDescent="0.25">
      <c r="A57" t="str">
        <f>A56</f>
        <v>3C Aggregated and non-CO2 emissions on land</v>
      </c>
      <c r="B57" t="str">
        <f>B56</f>
        <v>3C4 Direct N2O from managed soils (N2O)</v>
      </c>
      <c r="C57" t="str">
        <f>C56</f>
        <v>Crop residues</v>
      </c>
      <c r="E57" t="s">
        <v>924</v>
      </c>
      <c r="F57" t="s">
        <v>327</v>
      </c>
      <c r="H57" s="48">
        <v>0.5</v>
      </c>
    </row>
    <row r="58" spans="1:8" x14ac:dyDescent="0.25">
      <c r="A58" t="str">
        <f t="shared" si="9"/>
        <v>3C Aggregated and non-CO2 emissions on land</v>
      </c>
      <c r="B58" t="str">
        <f t="shared" si="9"/>
        <v>3C4 Direct N2O from managed soils (N2O)</v>
      </c>
      <c r="C58" t="str">
        <f t="shared" si="9"/>
        <v>Crop residues</v>
      </c>
      <c r="E58" t="s">
        <v>925</v>
      </c>
      <c r="F58" t="s">
        <v>284</v>
      </c>
      <c r="H58" s="48">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48">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48">
        <v>0.63</v>
      </c>
    </row>
    <row r="62" spans="1:8" x14ac:dyDescent="0.25">
      <c r="A62" t="str">
        <f>A41</f>
        <v>3C Aggregated and non-CO2 emissions on land</v>
      </c>
      <c r="B62" t="str">
        <f>B41</f>
        <v>3C4 Direct N2O from managed soils (N2O)</v>
      </c>
      <c r="C62" t="str">
        <f>C61</f>
        <v>3C2 Liming (CO2)</v>
      </c>
      <c r="E62" t="s">
        <v>882</v>
      </c>
      <c r="F62" t="s">
        <v>327</v>
      </c>
      <c r="H62" s="48">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5">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0">
        <v>2012</v>
      </c>
      <c r="H5" s="80">
        <v>2020</v>
      </c>
      <c r="I5" s="80">
        <v>2030</v>
      </c>
      <c r="J5" s="80">
        <v>2040</v>
      </c>
      <c r="K5" s="80">
        <v>2050</v>
      </c>
    </row>
    <row r="6" spans="1:12" x14ac:dyDescent="0.25">
      <c r="A6" t="str">
        <f>'IPCC Categories'!A5</f>
        <v>3A Livestock</v>
      </c>
      <c r="C6" t="str">
        <f>'IPCC Categories'!D6</f>
        <v>3A1aii Other cattle</v>
      </c>
      <c r="E6" t="s">
        <v>848</v>
      </c>
      <c r="F6" t="s">
        <v>327</v>
      </c>
      <c r="G6" s="42">
        <v>0.7</v>
      </c>
      <c r="H6" s="42">
        <v>0.74</v>
      </c>
      <c r="I6" s="42">
        <v>0.76</v>
      </c>
      <c r="J6" s="42">
        <v>0.8</v>
      </c>
      <c r="K6" s="42">
        <v>0.83</v>
      </c>
    </row>
    <row r="7" spans="1:12" x14ac:dyDescent="0.25">
      <c r="A7" t="str">
        <f>A6</f>
        <v>3A Livestock</v>
      </c>
      <c r="C7" t="str">
        <f>C6</f>
        <v>3A1aii Other cattle</v>
      </c>
      <c r="E7" t="s">
        <v>926</v>
      </c>
      <c r="F7" t="s">
        <v>327</v>
      </c>
      <c r="G7" s="42">
        <v>0.57999999999999996</v>
      </c>
      <c r="H7" s="42">
        <v>0.57999999999999996</v>
      </c>
      <c r="I7" s="42">
        <v>0.57999999999999996</v>
      </c>
      <c r="J7" s="42">
        <v>0.57999999999999996</v>
      </c>
      <c r="K7" s="42">
        <v>0.57999999999999996</v>
      </c>
    </row>
    <row r="8" spans="1:12" x14ac:dyDescent="0.25">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Q68"/>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9" ht="18.75" x14ac:dyDescent="0.3">
      <c r="A1" s="1" t="s">
        <v>326</v>
      </c>
      <c r="AF1" s="11"/>
    </row>
    <row r="2" spans="1:69"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9"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c r="BP3" s="19" t="s">
        <v>1470</v>
      </c>
    </row>
    <row r="4" spans="1:69" x14ac:dyDescent="0.25">
      <c r="A4" t="s">
        <v>807</v>
      </c>
      <c r="B4" t="s">
        <v>808</v>
      </c>
      <c r="C4" s="22">
        <f>(Drivers!D5*1000000)/Drivers!D4</f>
        <v>53.190672360352572</v>
      </c>
      <c r="D4" s="22">
        <f>(Drivers!E5*1000000)/Drivers!E4</f>
        <v>53.452366288579142</v>
      </c>
      <c r="E4" s="22">
        <f>(Drivers!F5*1000000)/Drivers!F4</f>
        <v>53.698271372375295</v>
      </c>
      <c r="F4" s="22">
        <f>(Drivers!G5*1000000)/Drivers!G4</f>
        <v>53.967936663175117</v>
      </c>
      <c r="G4" s="22">
        <f>(Drivers!H5*1000000)/Drivers!H4</f>
        <v>54.312125446219277</v>
      </c>
      <c r="H4" s="22">
        <f>(Drivers!I5*1000000)/Drivers!I4</f>
        <v>54.764627905354487</v>
      </c>
      <c r="I4" s="22">
        <f>(Drivers!J5*1000000)/Drivers!J4</f>
        <v>55.976900063728614</v>
      </c>
      <c r="J4" s="22">
        <f>(Drivers!K5*1000000)/Drivers!K4</f>
        <v>56.435024005550034</v>
      </c>
      <c r="K4" s="22">
        <f>(Drivers!L5*1000000)/Drivers!L4</f>
        <v>55.9261444400302</v>
      </c>
      <c r="L4" s="22">
        <f>(Drivers!M5*1000000)/Drivers!M4</f>
        <v>56.586001315990053</v>
      </c>
      <c r="M4" s="22">
        <f>(Drivers!N5*1000000)/Drivers!N4</f>
        <v>58.249227424692251</v>
      </c>
      <c r="N4" s="22">
        <f>(Drivers!O5*1000000)/Drivers!O4</f>
        <v>59.144603754349028</v>
      </c>
      <c r="O4" s="22">
        <f>(Drivers!P5*1000000)/Drivers!P4</f>
        <v>60.621281297308379</v>
      </c>
      <c r="P4" s="22">
        <f>(Drivers!Q5*1000000)/Drivers!Q4</f>
        <v>61.669316267499923</v>
      </c>
      <c r="Q4" s="22">
        <f>(Drivers!R5*1000000)/Drivers!R4</f>
        <v>63.662990040298233</v>
      </c>
      <c r="R4" s="22">
        <f>(Drivers!S5*1000000)/Drivers!S4</f>
        <v>66.22030397119731</v>
      </c>
      <c r="S4" s="22">
        <f>(Drivers!T5*1000000)/Drivers!T4</f>
        <v>69.002307623774243</v>
      </c>
      <c r="T4" s="22">
        <f>(Drivers!U5*1000000)/Drivers!U4</f>
        <v>71.921673494309061</v>
      </c>
      <c r="U4" s="22">
        <f>(Drivers!V5*1000000)/Drivers!V4</f>
        <v>73.63828583995398</v>
      </c>
      <c r="V4" s="22">
        <f>(Drivers!W5*1000000)/Drivers!W4</f>
        <v>71.645920885518635</v>
      </c>
      <c r="W4" s="22">
        <f>(Drivers!X5*1000000)/Drivers!X4</f>
        <v>72.785427559496128</v>
      </c>
      <c r="X4" s="22">
        <f>(Drivers!Y5*1000000)/Drivers!Y4</f>
        <v>74.143459643923279</v>
      </c>
      <c r="Y4" s="22">
        <f>(Drivers!Z5*1000000)/Drivers!Z4</f>
        <v>75.485306046115838</v>
      </c>
      <c r="Z4" s="22">
        <f>(Drivers!AA5*1000000)/Drivers!AA4</f>
        <v>76.024311768927959</v>
      </c>
      <c r="AA4" s="22">
        <f>(Drivers!AB5*1000000)/Drivers!AB4</f>
        <v>76.84226761788716</v>
      </c>
      <c r="AB4" s="22">
        <f>(Drivers!AC5*1000000)/Drivers!AC4</f>
        <v>77.017128903622634</v>
      </c>
      <c r="AC4" s="22">
        <f>(Drivers!AD5*1000000)/Drivers!AD4</f>
        <v>76.766798948952101</v>
      </c>
      <c r="AD4" s="22">
        <f>(Drivers!AE5*1000000)/Drivers!AE4</f>
        <v>76.100439080421197</v>
      </c>
      <c r="AE4" s="22">
        <f>(Drivers!AF5*1000000)/Drivers!AF4</f>
        <v>75.730971166438891</v>
      </c>
      <c r="AF4" s="22">
        <f>(Drivers!AG5*1000000)/Drivers!AG4</f>
        <v>75.398928331197169</v>
      </c>
      <c r="AG4" s="22">
        <f>(Drivers!AH5*1000000)/Drivers!AH4</f>
        <v>70.367429162964569</v>
      </c>
      <c r="AH4" s="22">
        <f>(Drivers!AI5*1000000)/Drivers!AI4</f>
        <v>73.519425069968705</v>
      </c>
      <c r="AI4" s="22">
        <f>(Drivers!AJ5*1000000)/Drivers!AJ4</f>
        <v>75.091448238249882</v>
      </c>
      <c r="AJ4" s="22">
        <f>(Drivers!AK5*1000000)/Drivers!AK4</f>
        <v>75.328869498479065</v>
      </c>
      <c r="AK4" s="22">
        <f>(Drivers!AL5*1000000)/Drivers!AL4</f>
        <v>75.537758870385773</v>
      </c>
      <c r="AL4" s="22">
        <f>(Drivers!AM5*1000000)/Drivers!AM4</f>
        <v>76.04461915050743</v>
      </c>
      <c r="AM4" s="22">
        <f>(Drivers!AN5*1000000)/Drivers!AN4</f>
        <v>76.909789443103378</v>
      </c>
      <c r="AN4" s="22">
        <f>(Drivers!AO5*1000000)/Drivers!AO4</f>
        <v>77.953673059066276</v>
      </c>
      <c r="AO4" s="22">
        <f>(Drivers!AP5*1000000)/Drivers!AP4</f>
        <v>79.223634743898955</v>
      </c>
      <c r="AP4" s="22">
        <f>(Drivers!AQ5*1000000)/Drivers!AQ4</f>
        <v>80.862218243902333</v>
      </c>
      <c r="AQ4" s="22">
        <f>(Drivers!AR5*1000000)/Drivers!AR4</f>
        <v>82.84802072593881</v>
      </c>
      <c r="AR4" s="22">
        <f>(Drivers!AS5*1000000)/Drivers!AS4</f>
        <v>85.047034327377318</v>
      </c>
      <c r="AS4" s="22">
        <f>(Drivers!AT5*1000000)/Drivers!AT4</f>
        <v>87.450265286158455</v>
      </c>
      <c r="AT4" s="22">
        <f>(Drivers!AU5*1000000)/Drivers!AU4</f>
        <v>89.983435064131186</v>
      </c>
      <c r="AU4" s="22">
        <f>(Drivers!AV5*1000000)/Drivers!AV4</f>
        <v>92.68193400223133</v>
      </c>
      <c r="AV4" s="22">
        <f>(Drivers!AW5*1000000)/Drivers!AW4</f>
        <v>95.510426860930849</v>
      </c>
      <c r="AW4" s="22">
        <f>(Drivers!AX5*1000000)/Drivers!AX4</f>
        <v>98.33990211639798</v>
      </c>
      <c r="AX4" s="22">
        <f>(Drivers!AY5*1000000)/Drivers!AY4</f>
        <v>101.35650014494648</v>
      </c>
      <c r="AY4" s="22">
        <f>(Drivers!AZ5*1000000)/Drivers!AZ4</f>
        <v>104.44623663953681</v>
      </c>
      <c r="AZ4" s="22">
        <f>(Drivers!BA5*1000000)/Drivers!BA4</f>
        <v>107.6007088688017</v>
      </c>
      <c r="BA4" s="22">
        <f>(Drivers!BB5*1000000)/Drivers!BB4</f>
        <v>110.8760568421777</v>
      </c>
      <c r="BB4" s="22">
        <f>(Drivers!BC5*1000000)/Drivers!BC4</f>
        <v>114.1344032159988</v>
      </c>
      <c r="BC4" s="22">
        <f>(Drivers!BD5*1000000)/Drivers!BD4</f>
        <v>117.57006881535122</v>
      </c>
      <c r="BD4" s="22">
        <f>(Drivers!BE5*1000000)/Drivers!BE4</f>
        <v>121.25622875014767</v>
      </c>
      <c r="BE4" s="22">
        <f>(Drivers!BF5*1000000)/Drivers!BF4</f>
        <v>125.07896691872163</v>
      </c>
      <c r="BF4" s="22">
        <f>(Drivers!BG5*1000000)/Drivers!BG4</f>
        <v>129.05047336669301</v>
      </c>
      <c r="BG4" s="22">
        <f>(Drivers!BH5*1000000)/Drivers!BH4</f>
        <v>133.30757784831218</v>
      </c>
      <c r="BH4" s="22">
        <f>(Drivers!BI5*1000000)/Drivers!BI4</f>
        <v>137.81334495335449</v>
      </c>
      <c r="BI4" s="22">
        <f>(Drivers!BJ5*1000000)/Drivers!BJ4</f>
        <v>142.54371447923046</v>
      </c>
      <c r="BJ4" s="22">
        <f>(Drivers!BK5*1000000)/Drivers!BK4</f>
        <v>147.58878593793048</v>
      </c>
      <c r="BK4" s="22">
        <f>(Drivers!BL5*1000000)/Drivers!BL4</f>
        <v>152.46439225888591</v>
      </c>
      <c r="BP4" t="e">
        <f>FIND("production",A4,1)+FIND("t",B4,1)</f>
        <v>#VALUE!</v>
      </c>
      <c r="BQ4">
        <f>IF(ISERROR(BP4),0,1)</f>
        <v>0</v>
      </c>
    </row>
    <row r="5" spans="1:69"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920446.26243808516</v>
      </c>
      <c r="Z5" s="27">
        <f>((Data!$AJ$5*'Intermediate calculations'!Z4)+Data!$AK$5)*Drivers!AA4</f>
        <v>941691.58339834877</v>
      </c>
      <c r="AA5" s="27">
        <f>((Data!$AJ$5*'Intermediate calculations'!AA4)+Data!$AK$5)*Drivers!AB4</f>
        <v>967640.07013586524</v>
      </c>
      <c r="AB5" s="27">
        <f>((Data!$AJ$5*'Intermediate calculations'!AB4)+Data!$AK$5)*Drivers!AC4</f>
        <v>985205.9561567097</v>
      </c>
      <c r="AC5" s="27">
        <f>((Data!$AJ$5*'Intermediate calculations'!AC4)+Data!$AK$5)*Drivers!AD4</f>
        <v>997182.1403323469</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955068.7792857571</v>
      </c>
      <c r="AH5" s="27">
        <f>((Data!$AJ$5*'Intermediate calculations'!AH4)+Data!$AK$5)*Drivers!AI4</f>
        <v>1013989.1402052072</v>
      </c>
      <c r="AI5" s="27">
        <f>((Data!$AJ$5*'Intermediate calculations'!AI4)+Data!$AK$5)*Drivers!AJ4</f>
        <v>1047365.0270307051</v>
      </c>
      <c r="AJ5" s="27">
        <f>((Data!$AJ$5*'Intermediate calculations'!AJ4)+Data!$AK$5)*Drivers!AK4</f>
        <v>1060248.7984417316</v>
      </c>
      <c r="AK5" s="27">
        <f>((Data!$AJ$5*'Intermediate calculations'!AK4)+Data!$AK$5)*Drivers!AL4</f>
        <v>1074237.9938555181</v>
      </c>
      <c r="AL5" s="27">
        <f>((Data!$AJ$5*'Intermediate calculations'!AL4)+Data!$AK$5)*Drivers!AM4</f>
        <v>1093968.9102355512</v>
      </c>
      <c r="AM5" s="27">
        <f>((Data!$AJ$5*'Intermediate calculations'!AM4)+Data!$AK$5)*Drivers!AN4</f>
        <v>1119383.6475715768</v>
      </c>
      <c r="AN5" s="27">
        <f>((Data!$AJ$5*'Intermediate calculations'!AN4)+Data!$AK$5)*Drivers!AO4</f>
        <v>1147720.7220830161</v>
      </c>
      <c r="AO5" s="27">
        <f>((Data!$AJ$5*'Intermediate calculations'!AO4)+Data!$AK$5)*Drivers!AP4</f>
        <v>1179840.8071549842</v>
      </c>
      <c r="AP5" s="27">
        <f>((Data!$AJ$5*'Intermediate calculations'!AP4)+Data!$AK$5)*Drivers!AQ4</f>
        <v>1218276.2623560796</v>
      </c>
      <c r="AQ5" s="27">
        <f>((Data!$AJ$5*'Intermediate calculations'!AQ4)+Data!$AK$5)*Drivers!AR4</f>
        <v>1262862.2162198634</v>
      </c>
      <c r="AR5" s="27">
        <f>((Data!$AJ$5*'Intermediate calculations'!AR4)+Data!$AK$5)*Drivers!AS4</f>
        <v>1311437.3337756915</v>
      </c>
      <c r="AS5" s="27">
        <f>((Data!$AJ$5*'Intermediate calculations'!AS4)+Data!$AK$5)*Drivers!AT4</f>
        <v>1363966.531514216</v>
      </c>
      <c r="AT5" s="27">
        <f>((Data!$AJ$5*'Intermediate calculations'!AT4)+Data!$AK$5)*Drivers!AU4</f>
        <v>1419234.5258650507</v>
      </c>
      <c r="AU5" s="27">
        <f>((Data!$AJ$5*'Intermediate calculations'!AU4)+Data!$AK$5)*Drivers!AV4</f>
        <v>1477873.1012694682</v>
      </c>
      <c r="AV5" s="27">
        <f>((Data!$AJ$5*'Intermediate calculations'!AV4)+Data!$AK$5)*Drivers!AW4</f>
        <v>1539328.509702821</v>
      </c>
      <c r="AW5" s="27">
        <f>((Data!$AJ$5*'Intermediate calculations'!AW4)+Data!$AK$5)*Drivers!AX4</f>
        <v>1601368.8722208953</v>
      </c>
      <c r="AX5" s="27">
        <f>((Data!$AJ$5*'Intermediate calculations'!AX4)+Data!$AK$5)*Drivers!AY4</f>
        <v>1667294.7793142151</v>
      </c>
      <c r="AY5" s="27">
        <f>((Data!$AJ$5*'Intermediate calculations'!AY4)+Data!$AK$5)*Drivers!AZ4</f>
        <v>1735025.1434247852</v>
      </c>
      <c r="AZ5" s="27">
        <f>((Data!$AJ$5*'Intermediate calculations'!AZ4)+Data!$AK$5)*Drivers!BA4</f>
        <v>1804408.6359732356</v>
      </c>
      <c r="BA5" s="27">
        <f>((Data!$AJ$5*'Intermediate calculations'!BA4)+Data!$AK$5)*Drivers!BB4</f>
        <v>1876489.8680039942</v>
      </c>
      <c r="BB5" s="27">
        <f>((Data!$AJ$5*'Intermediate calculations'!BB4)+Data!$AK$5)*Drivers!BC4</f>
        <v>1948756.9660272489</v>
      </c>
      <c r="BC5" s="27">
        <f>((Data!$AJ$5*'Intermediate calculations'!BC4)+Data!$AK$5)*Drivers!BD4</f>
        <v>2024739.5794352356</v>
      </c>
      <c r="BD5" s="27">
        <f>((Data!$AJ$5*'Intermediate calculations'!BD4)+Data!$AK$5)*Drivers!BE4</f>
        <v>2105798.9725117055</v>
      </c>
      <c r="BE5" s="27">
        <f>((Data!$AJ$5*'Intermediate calculations'!BE4)+Data!$AK$5)*Drivers!BF4</f>
        <v>2189832.5291066142</v>
      </c>
      <c r="BF5" s="27">
        <f>((Data!$AJ$5*'Intermediate calculations'!BF4)+Data!$AK$5)*Drivers!BG4</f>
        <v>2277028.3953659297</v>
      </c>
      <c r="BG5" s="27">
        <f>((Data!$AJ$5*'Intermediate calculations'!BG4)+Data!$AK$5)*Drivers!BH4</f>
        <v>2369936.2271765275</v>
      </c>
      <c r="BH5" s="27">
        <f>((Data!$AJ$5*'Intermediate calculations'!BH4)+Data!$AK$5)*Drivers!BI4</f>
        <v>2467874.1978046875</v>
      </c>
      <c r="BI5" s="27">
        <f>((Data!$AJ$5*'Intermediate calculations'!BI4)+Data!$AK$5)*Drivers!BJ4</f>
        <v>2570401.9293879163</v>
      </c>
      <c r="BJ5" s="27">
        <f>((Data!$AJ$5*'Intermediate calculations'!BJ4)+Data!$AK$5)*Drivers!BK4</f>
        <v>2679265.7100601355</v>
      </c>
      <c r="BK5" s="27">
        <f>((Data!$AJ$5*'Intermediate calculations'!BK4)+Data!$AK$5)*Drivers!BL4</f>
        <v>2785041.333326092</v>
      </c>
      <c r="BP5" t="e">
        <f t="shared" ref="BP5:BP65" si="0">FIND("production",A5,1)+FIND("t",B5,1)</f>
        <v>#VALUE!</v>
      </c>
      <c r="BQ5">
        <f t="shared" ref="BQ5:BQ65" si="1">IF(ISERROR(BP5),0,1)</f>
        <v>0</v>
      </c>
    </row>
    <row r="6" spans="1:69"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0.16347820299671731</v>
      </c>
      <c r="AP6" s="22"/>
      <c r="AQ6" s="22">
        <f>(AQ8-AD8)/AD8</f>
        <v>0.29211251951912309</v>
      </c>
      <c r="AR6" s="22"/>
      <c r="AS6" s="22"/>
      <c r="AT6" s="22"/>
      <c r="AU6" s="22"/>
      <c r="AV6" s="22"/>
      <c r="AW6" s="22"/>
      <c r="AX6" s="22"/>
      <c r="AY6" s="22"/>
      <c r="AZ6" s="22"/>
      <c r="BA6" s="22"/>
      <c r="BB6" s="22"/>
      <c r="BC6" s="22"/>
      <c r="BD6" s="22"/>
      <c r="BE6" s="22"/>
      <c r="BF6" s="22"/>
      <c r="BG6" s="22"/>
      <c r="BH6" s="22"/>
      <c r="BI6" s="22"/>
      <c r="BJ6" s="22"/>
      <c r="BK6" s="22"/>
      <c r="BP6" t="e">
        <f t="shared" si="0"/>
        <v>#VALUE!</v>
      </c>
      <c r="BQ6">
        <f t="shared" si="1"/>
        <v>0</v>
      </c>
    </row>
    <row r="7" spans="1:69"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v>
      </c>
      <c r="AD7" s="45">
        <f>AD5*ttokg/Drivers!AE4</f>
        <v>17.752901031799592</v>
      </c>
      <c r="AE7" s="45">
        <f>AE5*ttokg/Drivers!AF4</f>
        <v>17.655538574311368</v>
      </c>
      <c r="AF7" s="45">
        <f>AF5*ttokg/Drivers!AG4</f>
        <v>17.568038401205563</v>
      </c>
      <c r="AG7" s="45">
        <f>AG5*ttokg/Drivers!AH4</f>
        <v>16.242134025399491</v>
      </c>
      <c r="AH7" s="45">
        <f>AH5*ttokg/Drivers!AI4</f>
        <v>17.072750314080633</v>
      </c>
      <c r="AI7" s="45">
        <f>AI5*ttokg/Drivers!AJ4</f>
        <v>17.487011020085024</v>
      </c>
      <c r="AJ7" s="45">
        <f>AJ5*ttokg/Drivers!AK4</f>
        <v>17.549576445879943</v>
      </c>
      <c r="AK7" s="45">
        <f>AK5*ttokg/Drivers!AL4</f>
        <v>17.604623127397687</v>
      </c>
      <c r="AL7" s="45">
        <f>AL5*ttokg/Drivers!AM4</f>
        <v>17.738191322654224</v>
      </c>
      <c r="AM7" s="45">
        <f>AM5*ttokg/Drivers!AN4</f>
        <v>17.966181636955188</v>
      </c>
      <c r="AN7" s="45">
        <f>AN5*ttokg/Drivers!AO4</f>
        <v>18.241266618182298</v>
      </c>
      <c r="AO7" s="45">
        <f>AO5*ttokg/Drivers!AP4</f>
        <v>18.575927859042086</v>
      </c>
      <c r="AP7" s="45">
        <f>AP5*ttokg/Drivers!AQ4</f>
        <v>19.00772859280654</v>
      </c>
      <c r="AQ7" s="45">
        <f>AQ5*ttokg/Drivers!AR4</f>
        <v>19.531028729084532</v>
      </c>
      <c r="AR7" s="45">
        <f>AR5*ttokg/Drivers!AS4</f>
        <v>20.110514416971188</v>
      </c>
      <c r="AS7" s="45">
        <f>AS5*ttokg/Drivers!AT4</f>
        <v>20.743815613648085</v>
      </c>
      <c r="AT7" s="45">
        <f>AT5*ttokg/Drivers!AU4</f>
        <v>21.411358383898321</v>
      </c>
      <c r="AU7" s="45">
        <f>AU5*ttokg/Drivers!AV4</f>
        <v>22.122468816495658</v>
      </c>
      <c r="AV7" s="45">
        <f>AV5*ttokg/Drivers!AW4</f>
        <v>22.867835343029984</v>
      </c>
      <c r="AW7" s="45">
        <f>AW5*ttokg/Drivers!AX4</f>
        <v>23.613460751485867</v>
      </c>
      <c r="AX7" s="45">
        <f>AX5*ttokg/Drivers!AY4</f>
        <v>24.408396891265735</v>
      </c>
      <c r="AY7" s="45">
        <f>AY5*ttokg/Drivers!AZ4</f>
        <v>25.222606533618524</v>
      </c>
      <c r="AZ7" s="45">
        <f>AZ5*ttokg/Drivers!BA4</f>
        <v>26.053875384570205</v>
      </c>
      <c r="BA7" s="45">
        <f>BA5*ttokg/Drivers!BB4</f>
        <v>26.916997500858319</v>
      </c>
      <c r="BB7" s="45">
        <f>BB5*ttokg/Drivers!BC4</f>
        <v>27.775639343078637</v>
      </c>
      <c r="BC7" s="45">
        <f>BC5*ttokg/Drivers!BD4</f>
        <v>28.681008478534121</v>
      </c>
      <c r="BD7" s="45">
        <f>BD5*ttokg/Drivers!BE4</f>
        <v>29.652388066217618</v>
      </c>
      <c r="BE7" s="45">
        <f>BE5*ttokg/Drivers!BF4</f>
        <v>30.659758850908322</v>
      </c>
      <c r="BF7" s="45">
        <f>BF5*ttokg/Drivers!BG4</f>
        <v>31.706333162428482</v>
      </c>
      <c r="BG7" s="45">
        <f>BG5*ttokg/Drivers!BH4</f>
        <v>32.82816847864602</v>
      </c>
      <c r="BH7" s="45">
        <f>BH5*ttokg/Drivers!BI4</f>
        <v>34.015531552987376</v>
      </c>
      <c r="BI7" s="45">
        <f>BI5*ttokg/Drivers!BJ4</f>
        <v>35.262082023101399</v>
      </c>
      <c r="BJ7" s="45">
        <f>BJ5*ttokg/Drivers!BK4</f>
        <v>36.591562978912506</v>
      </c>
      <c r="BK7" s="45">
        <f>BK5*ttokg/Drivers!BL4</f>
        <v>37.876386356501044</v>
      </c>
      <c r="BP7" t="e">
        <f t="shared" si="0"/>
        <v>#VALUE!</v>
      </c>
      <c r="BQ7">
        <f t="shared" si="1"/>
        <v>0</v>
      </c>
    </row>
    <row r="8" spans="1:69"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919934.15141939698</v>
      </c>
      <c r="Z8" s="22">
        <f>((Data!$AJ$14*'Intermediate calculations'!Z5)+Data!$AK$14)</f>
        <v>944208.34947610204</v>
      </c>
      <c r="AA8" s="22">
        <f>((Data!$AJ$14*'Intermediate calculations'!AA5)+Data!$AK$14)</f>
        <v>973856.22853221814</v>
      </c>
      <c r="AB8" s="22">
        <f>((Data!$AJ$14*'Intermediate calculations'!AB5)+Data!$AK$14)</f>
        <v>993926.42644116003</v>
      </c>
      <c r="AC8" s="22">
        <f>((Data!$AJ$14*'Intermediate calculations'!AC5)+Data!$AK$14)</f>
        <v>1007610.0166861243</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959492.68916772818</v>
      </c>
      <c r="AH8" s="22">
        <f>((Data!$AJ$14*'Intermediate calculations'!AH5)+Data!$AK$14)</f>
        <v>1026813.1364891101</v>
      </c>
      <c r="AI8" s="22">
        <f>((Data!$AJ$14*'Intermediate calculations'!AI5)+Data!$AK$14)</f>
        <v>1064947.3161814585</v>
      </c>
      <c r="AJ8" s="22">
        <f>((Data!$AJ$14*'Intermediate calculations'!AJ5)+Data!$AK$14)</f>
        <v>1079667.8854556773</v>
      </c>
      <c r="AK8" s="22">
        <f>((Data!$AJ$14*'Intermediate calculations'!AK5)+Data!$AK$14)</f>
        <v>1095651.4754783148</v>
      </c>
      <c r="AL8" s="22">
        <f>((Data!$AJ$14*'Intermediate calculations'!AL5)+Data!$AK$14)</f>
        <v>1118195.3651632494</v>
      </c>
      <c r="AM8" s="22">
        <f>((Data!$AJ$14*'Intermediate calculations'!AM5)+Data!$AK$14)</f>
        <v>1147233.3998819382</v>
      </c>
      <c r="AN8" s="22">
        <f>((Data!$AJ$14*'Intermediate calculations'!AN5)+Data!$AK$14)</f>
        <v>1179610.3999905661</v>
      </c>
      <c r="AO8" s="22">
        <f>((Data!$AJ$14*'Intermediate calculations'!AO5)+Data!$AK$14)</f>
        <v>1216309.7423113277</v>
      </c>
      <c r="AP8" s="22">
        <f>((Data!$AJ$14*'Intermediate calculations'!AP5)+Data!$AK$14)</f>
        <v>1260224.8167738898</v>
      </c>
      <c r="AQ8" s="22">
        <f>((Data!$AJ$14*'Intermediate calculations'!AQ5)+Data!$AK$14)</f>
        <v>1311167.2467169757</v>
      </c>
      <c r="AR8" s="22">
        <f>((Data!$AJ$14*'Intermediate calculations'!AR5)+Data!$AK$14)</f>
        <v>1366667.5625928</v>
      </c>
      <c r="AS8" s="22">
        <f>((Data!$AJ$14*'Intermediate calculations'!AS5)+Data!$AK$14)</f>
        <v>1426685.6791488959</v>
      </c>
      <c r="AT8" s="22">
        <f>((Data!$AJ$14*'Intermediate calculations'!AT5)+Data!$AK$14)</f>
        <v>1489833.0537439075</v>
      </c>
      <c r="AU8" s="22">
        <f>((Data!$AJ$14*'Intermediate calculations'!AU5)+Data!$AK$14)</f>
        <v>1556831.5422954406</v>
      </c>
      <c r="AV8" s="22">
        <f>((Data!$AJ$14*'Intermediate calculations'!AV5)+Data!$AK$14)</f>
        <v>1627048.4507035119</v>
      </c>
      <c r="AW8" s="22">
        <f>((Data!$AJ$14*'Intermediate calculations'!AW5)+Data!$AK$14)</f>
        <v>1697933.708219284</v>
      </c>
      <c r="AX8" s="22">
        <f>((Data!$AJ$14*'Intermediate calculations'!AX5)+Data!$AK$14)</f>
        <v>1773258.459906694</v>
      </c>
      <c r="AY8" s="22">
        <f>((Data!$AJ$14*'Intermediate calculations'!AY5)+Data!$AK$14)</f>
        <v>1850644.9242461966</v>
      </c>
      <c r="AZ8" s="22">
        <f>((Data!$AJ$14*'Intermediate calculations'!AZ5)+Data!$AK$14)</f>
        <v>1929920.1982294477</v>
      </c>
      <c r="BA8" s="22">
        <f>((Data!$AJ$14*'Intermediate calculations'!BA5)+Data!$AK$14)</f>
        <v>2012277.8197386046</v>
      </c>
      <c r="BB8" s="22">
        <f>((Data!$AJ$14*'Intermediate calculations'!BB5)+Data!$AK$14)</f>
        <v>2094847.8055571686</v>
      </c>
      <c r="BC8" s="22">
        <f>((Data!$AJ$14*'Intermediate calculations'!BC5)+Data!$AK$14)</f>
        <v>2181663.0158418822</v>
      </c>
      <c r="BD8" s="22">
        <f>((Data!$AJ$14*'Intermediate calculations'!BD5)+Data!$AK$14)</f>
        <v>2274278.7859483804</v>
      </c>
      <c r="BE8" s="22">
        <f>((Data!$AJ$14*'Intermediate calculations'!BE5)+Data!$AK$14)</f>
        <v>2370292.7365029235</v>
      </c>
      <c r="BF8" s="22">
        <f>((Data!$AJ$14*'Intermediate calculations'!BF5)+Data!$AK$14)</f>
        <v>2469919.8370425394</v>
      </c>
      <c r="BG8" s="22">
        <f>((Data!$AJ$14*'Intermediate calculations'!BG5)+Data!$AK$14)</f>
        <v>2576073.2396956529</v>
      </c>
      <c r="BH8" s="22">
        <f>((Data!$AJ$14*'Intermediate calculations'!BH5)+Data!$AK$14)</f>
        <v>2687973.9118834841</v>
      </c>
      <c r="BI8" s="22">
        <f>((Data!$AJ$14*'Intermediate calculations'!BI5)+Data!$AK$14)</f>
        <v>2805118.6924876887</v>
      </c>
      <c r="BJ8" s="22">
        <f>((Data!$AJ$14*'Intermediate calculations'!BJ5)+Data!$AK$14)</f>
        <v>2929502.8323263726</v>
      </c>
      <c r="BK8" s="22">
        <f>((Data!$AJ$14*'Intermediate calculations'!BK5)+Data!$AK$14)</f>
        <v>3050358.5460871402</v>
      </c>
      <c r="BP8">
        <f t="shared" si="0"/>
        <v>7</v>
      </c>
      <c r="BQ8">
        <f t="shared" si="1"/>
        <v>1</v>
      </c>
    </row>
    <row r="9" spans="1:69" x14ac:dyDescent="0.25">
      <c r="A9" t="s">
        <v>845</v>
      </c>
      <c r="B9" t="s">
        <v>321</v>
      </c>
      <c r="C9" s="22">
        <f>C8*0.65</f>
        <v>396695</v>
      </c>
      <c r="D9" s="22">
        <f t="shared" ref="D9:X9" si="2">D8*0.65</f>
        <v>432185</v>
      </c>
      <c r="E9" s="22">
        <f t="shared" si="2"/>
        <v>457275</v>
      </c>
      <c r="F9" s="22">
        <f t="shared" si="2"/>
        <v>451100</v>
      </c>
      <c r="G9" s="22">
        <f t="shared" si="2"/>
        <v>397280</v>
      </c>
      <c r="H9" s="22">
        <f t="shared" si="2"/>
        <v>329875</v>
      </c>
      <c r="I9" s="22">
        <f t="shared" si="2"/>
        <v>329550</v>
      </c>
      <c r="J9" s="22">
        <f t="shared" si="2"/>
        <v>326560</v>
      </c>
      <c r="K9" s="22">
        <f t="shared" si="2"/>
        <v>322595</v>
      </c>
      <c r="L9" s="22">
        <f t="shared" si="2"/>
        <v>332605</v>
      </c>
      <c r="M9" s="22">
        <f t="shared" si="2"/>
        <v>405990</v>
      </c>
      <c r="N9" s="22">
        <f t="shared" si="2"/>
        <v>340795</v>
      </c>
      <c r="O9" s="22">
        <f t="shared" si="2"/>
        <v>372710</v>
      </c>
      <c r="P9" s="22">
        <f t="shared" si="2"/>
        <v>396305</v>
      </c>
      <c r="Q9" s="22">
        <f t="shared" si="2"/>
        <v>410605</v>
      </c>
      <c r="R9" s="22">
        <f t="shared" si="2"/>
        <v>436995</v>
      </c>
      <c r="S9" s="22">
        <f t="shared" si="2"/>
        <v>525265</v>
      </c>
      <c r="T9" s="22">
        <f t="shared" si="2"/>
        <v>559910</v>
      </c>
      <c r="U9" s="22">
        <f t="shared" si="2"/>
        <v>500630</v>
      </c>
      <c r="V9" s="22">
        <f t="shared" si="2"/>
        <v>517855</v>
      </c>
      <c r="W9" s="22">
        <f t="shared" si="2"/>
        <v>575770</v>
      </c>
      <c r="X9" s="22">
        <f t="shared" si="2"/>
        <v>565175</v>
      </c>
      <c r="Y9" s="22">
        <f t="shared" ref="Y9:BK9" si="3">Y8*Y63</f>
        <v>643953.90599357779</v>
      </c>
      <c r="Z9" s="22">
        <f t="shared" si="3"/>
        <v>665666.88638065185</v>
      </c>
      <c r="AA9" s="22">
        <f t="shared" si="3"/>
        <v>691437.92225787486</v>
      </c>
      <c r="AB9" s="22">
        <f t="shared" si="3"/>
        <v>710657.39490542933</v>
      </c>
      <c r="AC9" s="22">
        <f t="shared" si="3"/>
        <v>725479.21201400948</v>
      </c>
      <c r="AD9" s="22">
        <f t="shared" si="3"/>
        <v>735691.54350705037</v>
      </c>
      <c r="AE9" s="22">
        <f t="shared" si="3"/>
        <v>749635.6315856725</v>
      </c>
      <c r="AF9" s="22">
        <f t="shared" si="3"/>
        <v>764253.10717659467</v>
      </c>
      <c r="AG9" s="22">
        <f t="shared" si="3"/>
        <v>710024.58998411882</v>
      </c>
      <c r="AH9" s="22">
        <f t="shared" si="3"/>
        <v>761895.34727491962</v>
      </c>
      <c r="AI9" s="22">
        <f t="shared" si="3"/>
        <v>792320.80323900515</v>
      </c>
      <c r="AJ9" s="22">
        <f t="shared" si="3"/>
        <v>805432.24254993524</v>
      </c>
      <c r="AK9" s="22">
        <f t="shared" si="3"/>
        <v>819547.30365777947</v>
      </c>
      <c r="AL9" s="22">
        <f t="shared" si="3"/>
        <v>838646.52387243707</v>
      </c>
      <c r="AM9" s="22">
        <f t="shared" si="3"/>
        <v>862719.51671121758</v>
      </c>
      <c r="AN9" s="22">
        <f t="shared" si="3"/>
        <v>889426.24159288686</v>
      </c>
      <c r="AO9" s="22">
        <f t="shared" si="3"/>
        <v>919530.16518736375</v>
      </c>
      <c r="AP9" s="22">
        <f t="shared" si="3"/>
        <v>955250.41111460852</v>
      </c>
      <c r="AQ9" s="22">
        <f t="shared" si="3"/>
        <v>996487.10750490159</v>
      </c>
      <c r="AR9" s="22">
        <f t="shared" si="3"/>
        <v>1044134.0178208993</v>
      </c>
      <c r="AS9" s="22">
        <f t="shared" si="3"/>
        <v>1095694.6015863521</v>
      </c>
      <c r="AT9" s="22">
        <f t="shared" si="3"/>
        <v>1150151.1174902967</v>
      </c>
      <c r="AU9" s="22">
        <f t="shared" si="3"/>
        <v>1208101.276821262</v>
      </c>
      <c r="AV9" s="22">
        <f t="shared" si="3"/>
        <v>1269097.7915487394</v>
      </c>
      <c r="AW9" s="22">
        <f t="shared" si="3"/>
        <v>1331180.0272439187</v>
      </c>
      <c r="AX9" s="22">
        <f t="shared" si="3"/>
        <v>1397327.666406475</v>
      </c>
      <c r="AY9" s="22">
        <f t="shared" si="3"/>
        <v>1465710.7800029877</v>
      </c>
      <c r="AZ9" s="22">
        <f t="shared" si="3"/>
        <v>1536216.4777906404</v>
      </c>
      <c r="BA9" s="22">
        <f t="shared" si="3"/>
        <v>1609822.2557908837</v>
      </c>
      <c r="BB9" s="22">
        <f t="shared" si="3"/>
        <v>1682162.7878624063</v>
      </c>
      <c r="BC9" s="22">
        <f t="shared" si="3"/>
        <v>1758420.3907685571</v>
      </c>
      <c r="BD9" s="22">
        <f t="shared" si="3"/>
        <v>1839891.5378322399</v>
      </c>
      <c r="BE9" s="22">
        <f t="shared" si="3"/>
        <v>1924677.702040374</v>
      </c>
      <c r="BF9" s="22">
        <f t="shared" si="3"/>
        <v>2012984.6671896698</v>
      </c>
      <c r="BG9" s="22">
        <f t="shared" si="3"/>
        <v>2107227.9100710442</v>
      </c>
      <c r="BH9" s="22">
        <f t="shared" si="3"/>
        <v>2206826.5816563405</v>
      </c>
      <c r="BI9" s="22">
        <f t="shared" si="3"/>
        <v>2311417.8026098558</v>
      </c>
      <c r="BJ9" s="22">
        <f t="shared" si="3"/>
        <v>2422698.8423339105</v>
      </c>
      <c r="BK9" s="22">
        <f t="shared" si="3"/>
        <v>2531797.5932523264</v>
      </c>
      <c r="BP9">
        <f t="shared" si="0"/>
        <v>10</v>
      </c>
      <c r="BQ9">
        <f t="shared" si="1"/>
        <v>1</v>
      </c>
    </row>
    <row r="10" spans="1:69" x14ac:dyDescent="0.25">
      <c r="A10" t="s">
        <v>846</v>
      </c>
      <c r="B10" t="s">
        <v>321</v>
      </c>
      <c r="C10" s="22">
        <f t="shared" ref="C10:AH10" si="4">C8-C9</f>
        <v>213605</v>
      </c>
      <c r="D10" s="22">
        <f t="shared" si="4"/>
        <v>232715</v>
      </c>
      <c r="E10" s="22">
        <f t="shared" si="4"/>
        <v>246225</v>
      </c>
      <c r="F10" s="22">
        <f t="shared" si="4"/>
        <v>242900</v>
      </c>
      <c r="G10" s="22">
        <f t="shared" si="4"/>
        <v>213920</v>
      </c>
      <c r="H10" s="22">
        <f t="shared" si="4"/>
        <v>177625</v>
      </c>
      <c r="I10" s="22">
        <f t="shared" si="4"/>
        <v>177450</v>
      </c>
      <c r="J10" s="22">
        <f t="shared" si="4"/>
        <v>175840</v>
      </c>
      <c r="K10" s="22">
        <f t="shared" si="4"/>
        <v>173705</v>
      </c>
      <c r="L10" s="22">
        <f t="shared" si="4"/>
        <v>179095</v>
      </c>
      <c r="M10" s="22">
        <f t="shared" si="4"/>
        <v>218610</v>
      </c>
      <c r="N10" s="22">
        <f t="shared" si="4"/>
        <v>183505</v>
      </c>
      <c r="O10" s="22">
        <f t="shared" si="4"/>
        <v>200690</v>
      </c>
      <c r="P10" s="22">
        <f t="shared" si="4"/>
        <v>213395</v>
      </c>
      <c r="Q10" s="22">
        <f t="shared" si="4"/>
        <v>221095</v>
      </c>
      <c r="R10" s="22">
        <f t="shared" si="4"/>
        <v>235305</v>
      </c>
      <c r="S10" s="22">
        <f t="shared" si="4"/>
        <v>282835</v>
      </c>
      <c r="T10" s="22">
        <f t="shared" si="4"/>
        <v>301490</v>
      </c>
      <c r="U10" s="22">
        <f t="shared" si="4"/>
        <v>269570</v>
      </c>
      <c r="V10" s="22">
        <f t="shared" si="4"/>
        <v>278845</v>
      </c>
      <c r="W10" s="22">
        <f t="shared" si="4"/>
        <v>310030</v>
      </c>
      <c r="X10" s="22">
        <f t="shared" si="4"/>
        <v>304325</v>
      </c>
      <c r="Y10" s="22">
        <f t="shared" si="4"/>
        <v>275980.24542581919</v>
      </c>
      <c r="Z10" s="22">
        <f t="shared" si="4"/>
        <v>278541.46309545019</v>
      </c>
      <c r="AA10" s="22">
        <f t="shared" si="4"/>
        <v>282418.30627434328</v>
      </c>
      <c r="AB10" s="22">
        <f t="shared" si="4"/>
        <v>283269.0315357307</v>
      </c>
      <c r="AC10" s="22">
        <f t="shared" si="4"/>
        <v>282130.80467211478</v>
      </c>
      <c r="AD10" s="22">
        <f t="shared" si="4"/>
        <v>279055.41305439838</v>
      </c>
      <c r="AE10" s="22">
        <f t="shared" si="4"/>
        <v>277262.49387415289</v>
      </c>
      <c r="AF10" s="22">
        <f t="shared" si="4"/>
        <v>275547.03864190145</v>
      </c>
      <c r="AG10" s="22">
        <f t="shared" si="4"/>
        <v>249468.09918360936</v>
      </c>
      <c r="AH10" s="22">
        <f t="shared" si="4"/>
        <v>264917.78921419044</v>
      </c>
      <c r="AI10" s="22">
        <f t="shared" ref="AI10:BK10" si="5">AI8-AI9</f>
        <v>272626.51294245338</v>
      </c>
      <c r="AJ10" s="22">
        <f t="shared" si="5"/>
        <v>274235.64290574205</v>
      </c>
      <c r="AK10" s="22">
        <f t="shared" si="5"/>
        <v>276104.17182053532</v>
      </c>
      <c r="AL10" s="22">
        <f t="shared" si="5"/>
        <v>279548.84129081236</v>
      </c>
      <c r="AM10" s="22">
        <f t="shared" si="5"/>
        <v>284513.88317072066</v>
      </c>
      <c r="AN10" s="22">
        <f t="shared" si="5"/>
        <v>290184.15839767922</v>
      </c>
      <c r="AO10" s="22">
        <f t="shared" si="5"/>
        <v>296779.57712396397</v>
      </c>
      <c r="AP10" s="22">
        <f t="shared" si="5"/>
        <v>304974.4056592813</v>
      </c>
      <c r="AQ10" s="22">
        <f t="shared" si="5"/>
        <v>314680.13921207411</v>
      </c>
      <c r="AR10" s="22">
        <f t="shared" si="5"/>
        <v>322533.54477190075</v>
      </c>
      <c r="AS10" s="22">
        <f t="shared" si="5"/>
        <v>330991.0775625438</v>
      </c>
      <c r="AT10" s="22">
        <f t="shared" si="5"/>
        <v>339681.93625361077</v>
      </c>
      <c r="AU10" s="22">
        <f t="shared" si="5"/>
        <v>348730.2654741786</v>
      </c>
      <c r="AV10" s="22">
        <f t="shared" si="5"/>
        <v>357950.65915477253</v>
      </c>
      <c r="AW10" s="22">
        <f t="shared" si="5"/>
        <v>366753.68097536522</v>
      </c>
      <c r="AX10" s="22">
        <f t="shared" si="5"/>
        <v>375930.79350021901</v>
      </c>
      <c r="AY10" s="22">
        <f t="shared" si="5"/>
        <v>384934.14424320892</v>
      </c>
      <c r="AZ10" s="22">
        <f t="shared" si="5"/>
        <v>393703.72043880727</v>
      </c>
      <c r="BA10" s="22">
        <f t="shared" si="5"/>
        <v>402455.56394772092</v>
      </c>
      <c r="BB10" s="22">
        <f t="shared" si="5"/>
        <v>412685.01769476221</v>
      </c>
      <c r="BC10" s="22">
        <f t="shared" si="5"/>
        <v>423242.62507332512</v>
      </c>
      <c r="BD10" s="22">
        <f t="shared" si="5"/>
        <v>434387.24811614049</v>
      </c>
      <c r="BE10" s="22">
        <f t="shared" si="5"/>
        <v>445615.03446254949</v>
      </c>
      <c r="BF10" s="22">
        <f t="shared" si="5"/>
        <v>456935.16985286959</v>
      </c>
      <c r="BG10" s="22">
        <f t="shared" si="5"/>
        <v>468845.32962460862</v>
      </c>
      <c r="BH10" s="22">
        <f t="shared" si="5"/>
        <v>481147.3302271436</v>
      </c>
      <c r="BI10" s="22">
        <f t="shared" si="5"/>
        <v>493700.88987783296</v>
      </c>
      <c r="BJ10" s="22">
        <f t="shared" si="5"/>
        <v>506803.9899924621</v>
      </c>
      <c r="BK10" s="22">
        <f t="shared" si="5"/>
        <v>518560.95283481386</v>
      </c>
      <c r="BP10">
        <f t="shared" si="0"/>
        <v>15</v>
      </c>
      <c r="BQ10">
        <f t="shared" si="1"/>
        <v>1</v>
      </c>
    </row>
    <row r="11" spans="1:69"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c r="BP11">
        <f t="shared" si="0"/>
        <v>20</v>
      </c>
      <c r="BQ11">
        <f t="shared" si="1"/>
        <v>1</v>
      </c>
    </row>
    <row r="12" spans="1:69"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1989214.0809840125</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2176243.6654550009</v>
      </c>
      <c r="AG12" s="22">
        <f>((Data!$AJ$6*'Intermediate calculations'!AG4)+Data!$AK$6)*Drivers!AH4</f>
        <v>2111328.1822015783</v>
      </c>
      <c r="AH12" s="22">
        <f>((Data!$AJ$6*'Intermediate calculations'!AH4)+Data!$AK$6)*Drivers!AI4</f>
        <v>2183911.4012353132</v>
      </c>
      <c r="AI12" s="22">
        <f>((Data!$AJ$6*'Intermediate calculations'!AI4)+Data!$AK$6)*Drivers!AJ4</f>
        <v>2228202.0084905801</v>
      </c>
      <c r="AJ12" s="22">
        <f>((Data!$AJ$6*'Intermediate calculations'!AJ4)+Data!$AK$6)*Drivers!AK4</f>
        <v>2251507.303441416</v>
      </c>
      <c r="AK12" s="22">
        <f>((Data!$AJ$6*'Intermediate calculations'!AK4)+Data!$AK$6)*Drivers!AL4</f>
        <v>2277580.172229209</v>
      </c>
      <c r="AL12" s="22">
        <f>((Data!$AJ$6*'Intermediate calculations'!AL4)+Data!$AK$6)*Drivers!AM4</f>
        <v>2310528.863071362</v>
      </c>
      <c r="AM12" s="22">
        <f>((Data!$AJ$6*'Intermediate calculations'!AM4)+Data!$AK$6)*Drivers!AN4</f>
        <v>2349001.258781428</v>
      </c>
      <c r="AN12" s="22">
        <f>((Data!$AJ$6*'Intermediate calculations'!AN4)+Data!$AK$6)*Drivers!AO4</f>
        <v>2390174.4122186555</v>
      </c>
      <c r="AO12" s="22">
        <f>((Data!$AJ$6*'Intermediate calculations'!AO4)+Data!$AK$6)*Drivers!AP4</f>
        <v>2434940.8596843588</v>
      </c>
      <c r="AP12" s="22">
        <f>((Data!$AJ$6*'Intermediate calculations'!AP4)+Data!$AK$6)*Drivers!AQ4</f>
        <v>2485975.1828273721</v>
      </c>
      <c r="AQ12" s="22">
        <f>((Data!$AJ$6*'Intermediate calculations'!AQ4)+Data!$AK$6)*Drivers!AR4</f>
        <v>2543156.3761753161</v>
      </c>
      <c r="AR12" s="22">
        <f>((Data!$AJ$6*'Intermediate calculations'!AR4)+Data!$AK$6)*Drivers!AS4</f>
        <v>2604240.4062412931</v>
      </c>
      <c r="AS12" s="22">
        <f>((Data!$AJ$6*'Intermediate calculations'!AS4)+Data!$AK$6)*Drivers!AT4</f>
        <v>2669237.2085472224</v>
      </c>
      <c r="AT12" s="22">
        <f>((Data!$AJ$6*'Intermediate calculations'!AT4)+Data!$AK$6)*Drivers!AU4</f>
        <v>2736894.4922441393</v>
      </c>
      <c r="AU12" s="22">
        <f>((Data!$AJ$6*'Intermediate calculations'!AU4)+Data!$AK$6)*Drivers!AV4</f>
        <v>2807848.4468153706</v>
      </c>
      <c r="AV12" s="22">
        <f>((Data!$AJ$6*'Intermediate calculations'!AV4)+Data!$AK$6)*Drivers!AW4</f>
        <v>2881546.4671347784</v>
      </c>
      <c r="AW12" s="22">
        <f>((Data!$AJ$6*'Intermediate calculations'!AW4)+Data!$AK$6)*Drivers!AX4</f>
        <v>2955698.7584730922</v>
      </c>
      <c r="AX12" s="22">
        <f>((Data!$AJ$6*'Intermediate calculations'!AX4)+Data!$AK$6)*Drivers!AY4</f>
        <v>3033718.3110835161</v>
      </c>
      <c r="AY12" s="22">
        <f>((Data!$AJ$6*'Intermediate calculations'!AY4)+Data!$AK$6)*Drivers!AZ4</f>
        <v>3113388.4227531878</v>
      </c>
      <c r="AZ12" s="22">
        <f>((Data!$AJ$6*'Intermediate calculations'!AZ4)+Data!$AK$6)*Drivers!BA4</f>
        <v>3194554.1766655589</v>
      </c>
      <c r="BA12" s="22">
        <f>((Data!$AJ$6*'Intermediate calculations'!BA4)+Data!$AK$6)*Drivers!BB4</f>
        <v>3278317.119618122</v>
      </c>
      <c r="BB12" s="22">
        <f>((Data!$AJ$6*'Intermediate calculations'!BB4)+Data!$AK$6)*Drivers!BC4</f>
        <v>3362076.2238495052</v>
      </c>
      <c r="BC12" s="22">
        <f>((Data!$AJ$6*'Intermediate calculations'!BC4)+Data!$AK$6)*Drivers!BD4</f>
        <v>3449473.3013086892</v>
      </c>
      <c r="BD12" s="22">
        <f>((Data!$AJ$6*'Intermediate calculations'!BD4)+Data!$AK$6)*Drivers!BE4</f>
        <v>3541903.3625436947</v>
      </c>
      <c r="BE12" s="22">
        <f>((Data!$AJ$6*'Intermediate calculations'!BE4)+Data!$AK$6)*Drivers!BF4</f>
        <v>3637174.5198763842</v>
      </c>
      <c r="BF12" s="22">
        <f>((Data!$AJ$6*'Intermediate calculations'!BF4)+Data!$AK$6)*Drivers!BG4</f>
        <v>3735455.4150252356</v>
      </c>
      <c r="BG12" s="22">
        <f>((Data!$AJ$6*'Intermediate calculations'!BG4)+Data!$AK$6)*Drivers!BH4</f>
        <v>3839371.4700998603</v>
      </c>
      <c r="BH12" s="22">
        <f>((Data!$AJ$6*'Intermediate calculations'!BH4)+Data!$AK$6)*Drivers!BI4</f>
        <v>3948209.7995892474</v>
      </c>
      <c r="BI12" s="22">
        <f>((Data!$AJ$6*'Intermediate calculations'!BI4)+Data!$AK$6)*Drivers!BJ4</f>
        <v>4061517.454351482</v>
      </c>
      <c r="BJ12" s="22">
        <f>((Data!$AJ$6*'Intermediate calculations'!BJ4)+Data!$AK$6)*Drivers!BK4</f>
        <v>4181117.771897261</v>
      </c>
      <c r="BK12" s="22">
        <f>((Data!$AJ$6*'Intermediate calculations'!BK4)+Data!$AK$6)*Drivers!BL4</f>
        <v>4297164.316135888</v>
      </c>
      <c r="BP12" t="e">
        <f t="shared" si="0"/>
        <v>#VALUE!</v>
      </c>
      <c r="BQ12">
        <f t="shared" si="1"/>
        <v>0</v>
      </c>
    </row>
    <row r="13" spans="1:69"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37.479461161920788</v>
      </c>
      <c r="AE13" s="45">
        <f>AE12*ttokg/Drivers!AF4</f>
        <v>37.378043200844516</v>
      </c>
      <c r="AF13" s="45">
        <f>AF12*ttokg/Drivers!AG4</f>
        <v>37.286898324481022</v>
      </c>
      <c r="AG13" s="45">
        <f>AG12*ttokg/Drivers!AH4</f>
        <v>35.905765166532355</v>
      </c>
      <c r="AH13" s="45">
        <f>AH12*ttokg/Drivers!AI4</f>
        <v>36.770979671260385</v>
      </c>
      <c r="AI13" s="45">
        <f>AI12*ttokg/Drivers!AJ4</f>
        <v>37.202495855638354</v>
      </c>
      <c r="AJ13" s="45">
        <f>AJ12*ttokg/Drivers!AK4</f>
        <v>37.267667360977129</v>
      </c>
      <c r="AK13" s="45">
        <f>AK12*ttokg/Drivers!AL4</f>
        <v>37.325006938752466</v>
      </c>
      <c r="AL13" s="45">
        <f>AL12*ttokg/Drivers!AM4</f>
        <v>37.464138739417962</v>
      </c>
      <c r="AM13" s="45">
        <f>AM12*ttokg/Drivers!AN4</f>
        <v>37.701625686831328</v>
      </c>
      <c r="AN13" s="45">
        <f>AN12*ttokg/Drivers!AO4</f>
        <v>37.988168966843858</v>
      </c>
      <c r="AO13" s="45">
        <f>AO12*ttokg/Drivers!AP4</f>
        <v>38.336770076294677</v>
      </c>
      <c r="AP13" s="45">
        <f>AP12*ttokg/Drivers!AQ4</f>
        <v>38.786556894945235</v>
      </c>
      <c r="AQ13" s="45">
        <f>AQ12*ttokg/Drivers!AR4</f>
        <v>39.331654401945471</v>
      </c>
      <c r="AR13" s="45">
        <f>AR12*ttokg/Drivers!AS4</f>
        <v>39.935277794929888</v>
      </c>
      <c r="AS13" s="45">
        <f>AS12*ttokg/Drivers!AT4</f>
        <v>40.594958310100743</v>
      </c>
      <c r="AT13" s="45">
        <f>AT12*ttokg/Drivers!AU4</f>
        <v>41.290306686020394</v>
      </c>
      <c r="AU13" s="45">
        <f>AU12*ttokg/Drivers!AV4</f>
        <v>42.031037477278481</v>
      </c>
      <c r="AV13" s="45">
        <f>AV12*ttokg/Drivers!AW4</f>
        <v>42.807451254475467</v>
      </c>
      <c r="AW13" s="45">
        <f>AW12*ttokg/Drivers!AX4</f>
        <v>43.584134696975887</v>
      </c>
      <c r="AX13" s="45">
        <f>AX12*ttokg/Drivers!AY4</f>
        <v>44.412182843686487</v>
      </c>
      <c r="AY13" s="45">
        <f>AY12*ttokg/Drivers!AZ4</f>
        <v>45.260307305068785</v>
      </c>
      <c r="AZ13" s="45">
        <f>AZ12*ttokg/Drivers!BA4</f>
        <v>46.126201553680261</v>
      </c>
      <c r="BA13" s="45">
        <f>BA12*ttokg/Drivers!BB4</f>
        <v>47.025275873002585</v>
      </c>
      <c r="BB13" s="45">
        <f>BB12*ttokg/Drivers!BC4</f>
        <v>47.919683298403577</v>
      </c>
      <c r="BC13" s="45">
        <f>BC12*ttokg/Drivers!BD4</f>
        <v>48.862764380250596</v>
      </c>
      <c r="BD13" s="45">
        <f>BD12*ttokg/Drivers!BE4</f>
        <v>49.874605491860592</v>
      </c>
      <c r="BE13" s="45">
        <f>BE12*ttokg/Drivers!BF4</f>
        <v>50.923936965888863</v>
      </c>
      <c r="BF13" s="45">
        <f>BF12*ttokg/Drivers!BG4</f>
        <v>52.014104937481108</v>
      </c>
      <c r="BG13" s="45">
        <f>BG12*ttokg/Drivers!BH4</f>
        <v>53.182668810757349</v>
      </c>
      <c r="BH13" s="45">
        <f>BH12*ttokg/Drivers!BI4</f>
        <v>54.419489913711885</v>
      </c>
      <c r="BI13" s="45">
        <f>BI12*ttokg/Drivers!BJ4</f>
        <v>55.717963784638144</v>
      </c>
      <c r="BJ13" s="45">
        <f>BJ12*ttokg/Drivers!BK4</f>
        <v>57.102822500271934</v>
      </c>
      <c r="BK13" s="45">
        <f>BK12*ttokg/Drivers!BL4</f>
        <v>58.44116348569657</v>
      </c>
      <c r="BP13" t="e">
        <f t="shared" si="0"/>
        <v>#VALUE!</v>
      </c>
      <c r="BQ13">
        <f t="shared" si="1"/>
        <v>0</v>
      </c>
    </row>
    <row r="14" spans="1:69"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1.7777002258951357E-2</v>
      </c>
      <c r="Z14" s="22">
        <f>((Data!$AJ$6*LN('Intermediate calculations'!Z4))+Data!$AK$6)</f>
        <v>1.7778955352961274E-2</v>
      </c>
      <c r="AA14" s="22">
        <f>((Data!$AJ$6*LN('Intermediate calculations'!AA4))+Data!$AK$6)</f>
        <v>1.7781892932277481E-2</v>
      </c>
      <c r="AB14" s="22">
        <f>((Data!$AJ$6*LN('Intermediate calculations'!AB4))+Data!$AK$6)</f>
        <v>1.7782516865300114E-2</v>
      </c>
      <c r="AC14" s="22">
        <f>((Data!$AJ$6*LN('Intermediate calculations'!AC4))+Data!$AK$6)</f>
        <v>1.7781623209255179E-2</v>
      </c>
      <c r="AD14" s="22">
        <f>((Data!$AJ$6*LN('Intermediate calculations'!AD4))+Data!$AK$6)</f>
        <v>1.7779230084672418E-2</v>
      </c>
      <c r="AE14" s="22">
        <f>((Data!$AJ$6*LN('Intermediate calculations'!AE4))+Data!$AK$6)</f>
        <v>1.7777894153443254E-2</v>
      </c>
      <c r="AF14" s="22">
        <f>((Data!$AJ$6*LN('Intermediate calculations'!AF4))+Data!$AK$6)</f>
        <v>1.7776687972226667E-2</v>
      </c>
      <c r="AG14" s="22">
        <f>((Data!$AJ$6*LN('Intermediate calculations'!AG4))+Data!$AK$6)</f>
        <v>1.7757730483040076E-2</v>
      </c>
      <c r="AH14" s="22">
        <f>((Data!$AJ$6*LN('Intermediate calculations'!AH4))+Data!$AK$6)</f>
        <v>1.7769758724921793E-2</v>
      </c>
      <c r="AI14" s="22">
        <f>((Data!$AJ$6*LN('Intermediate calculations'!AI4))+Data!$AK$6)</f>
        <v>1.7775566271447968E-2</v>
      </c>
      <c r="AJ14" s="22">
        <f>((Data!$AJ$6*LN('Intermediate calculations'!AJ4))+Data!$AK$6)</f>
        <v>1.7776432797465731E-2</v>
      </c>
      <c r="AK14" s="22">
        <f>((Data!$AJ$6*LN('Intermediate calculations'!AK4))+Data!$AK$6)</f>
        <v>1.777719293395234E-2</v>
      </c>
      <c r="AL14" s="22">
        <f>((Data!$AJ$6*LN('Intermediate calculations'!AL4))+Data!$AK$6)</f>
        <v>1.7779028666060886E-2</v>
      </c>
      <c r="AM14" s="22">
        <f>((Data!$AJ$6*LN('Intermediate calculations'!AM4))+Data!$AK$6)</f>
        <v>1.7782134029056654E-2</v>
      </c>
      <c r="AN14" s="22">
        <f>((Data!$AJ$6*LN('Intermediate calculations'!AN4))+Data!$AK$6)</f>
        <v>1.7785834677555092E-2</v>
      </c>
      <c r="AO14" s="22">
        <f>((Data!$AJ$6*LN('Intermediate calculations'!AO4))+Data!$AK$6)</f>
        <v>1.7790270543018814E-2</v>
      </c>
      <c r="AP14" s="22">
        <f>((Data!$AJ$6*LN('Intermediate calculations'!AP4))+Data!$AK$6)</f>
        <v>1.7795890059285766E-2</v>
      </c>
      <c r="AQ14" s="22">
        <f>((Data!$AJ$6*LN('Intermediate calculations'!AQ4))+Data!$AK$6)</f>
        <v>1.7802549682378006E-2</v>
      </c>
      <c r="AR14" s="22">
        <f>((Data!$AJ$6*LN('Intermediate calculations'!AR4))+Data!$AK$6)</f>
        <v>1.780974057805618E-2</v>
      </c>
      <c r="AS14" s="22">
        <f>((Data!$AJ$6*LN('Intermediate calculations'!AS4))+Data!$AK$6)</f>
        <v>1.7817389662453866E-2</v>
      </c>
      <c r="AT14" s="22">
        <f>((Data!$AJ$6*LN('Intermediate calculations'!AT4))+Data!$AK$6)</f>
        <v>1.7825228033894417E-2</v>
      </c>
      <c r="AU14" s="22">
        <f>((Data!$AJ$6*LN('Intermediate calculations'!AU4))+Data!$AK$6)</f>
        <v>1.7833338872719682E-2</v>
      </c>
      <c r="AV14" s="22">
        <f>((Data!$AJ$6*LN('Intermediate calculations'!AV4))+Data!$AK$6)</f>
        <v>1.7841590772469138E-2</v>
      </c>
      <c r="AW14" s="22">
        <f>((Data!$AJ$6*LN('Intermediate calculations'!AW4))+Data!$AK$6)</f>
        <v>1.7849604569616252E-2</v>
      </c>
      <c r="AX14" s="22">
        <f>((Data!$AJ$6*LN('Intermediate calculations'!AX4))+Data!$AK$6)</f>
        <v>1.785789827075198E-2</v>
      </c>
      <c r="AY14" s="22">
        <f>((Data!$AJ$6*LN('Intermediate calculations'!AY4))+Data!$AK$6)</f>
        <v>1.7866141000695394E-2</v>
      </c>
      <c r="AZ14" s="22">
        <f>((Data!$AJ$6*LN('Intermediate calculations'!AZ4))+Data!$AK$6)</f>
        <v>1.787430860839492E-2</v>
      </c>
      <c r="BA14" s="22">
        <f>((Data!$AJ$6*LN('Intermediate calculations'!BA4))+Data!$AK$6)</f>
        <v>1.7882539613480127E-2</v>
      </c>
      <c r="BB14" s="22">
        <f>((Data!$AJ$6*LN('Intermediate calculations'!BB4))+Data!$AK$6)</f>
        <v>1.7890490087878252E-2</v>
      </c>
      <c r="BC14" s="22">
        <f>((Data!$AJ$6*LN('Intermediate calculations'!BC4))+Data!$AK$6)</f>
        <v>1.7898631063311618E-2</v>
      </c>
      <c r="BD14" s="22">
        <f>((Data!$AJ$6*LN('Intermediate calculations'!BD4))+Data!$AK$6)</f>
        <v>1.7907105184306008E-2</v>
      </c>
      <c r="BE14" s="22">
        <f>((Data!$AJ$6*LN('Intermediate calculations'!BE4))+Data!$AK$6)</f>
        <v>1.7915625409906651E-2</v>
      </c>
      <c r="BF14" s="22">
        <f>((Data!$AJ$6*LN('Intermediate calculations'!BF4))+Data!$AK$6)</f>
        <v>1.7924205736013471E-2</v>
      </c>
      <c r="BG14" s="22">
        <f>((Data!$AJ$6*LN('Intermediate calculations'!BG4))+Data!$AK$6)</f>
        <v>1.7933114678905973E-2</v>
      </c>
      <c r="BH14" s="22">
        <f>((Data!$AJ$6*LN('Intermediate calculations'!BH4))+Data!$AK$6)</f>
        <v>1.7942239278924497E-2</v>
      </c>
      <c r="BI14" s="22">
        <f>((Data!$AJ$6*LN('Intermediate calculations'!BI4))+Data!$AK$6)</f>
        <v>1.7951503159163575E-2</v>
      </c>
      <c r="BJ14" s="22">
        <f>((Data!$AJ$6*LN('Intermediate calculations'!BJ4))+Data!$AK$6)</f>
        <v>1.7961050509563162E-2</v>
      </c>
      <c r="BK14" s="22">
        <f>((Data!$AJ$6*LN('Intermediate calculations'!BK4))+Data!$AK$6)</f>
        <v>1.7969971986759724E-2</v>
      </c>
      <c r="BP14" t="e">
        <f t="shared" si="0"/>
        <v>#VALUE!</v>
      </c>
      <c r="BQ14">
        <f t="shared" si="1"/>
        <v>0</v>
      </c>
    </row>
    <row r="15" spans="1:69"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2896085.5151347183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3100724.3936023349</v>
      </c>
      <c r="AG15" s="22">
        <f>((Data!$AJ$17*'Intermediate calculations'!AG12)+Data!$AK$17)</f>
        <v>3029696.9584201518</v>
      </c>
      <c r="AH15" s="22">
        <f>((Data!$AJ$17*'Intermediate calculations'!AH12)+Data!$AK$17)</f>
        <v>3109114.0655085593</v>
      </c>
      <c r="AI15" s="22">
        <f>((Data!$AJ$17*'Intermediate calculations'!AI12)+Data!$AK$17)</f>
        <v>3157574.7420427222</v>
      </c>
      <c r="AJ15" s="22">
        <f>((Data!$AJ$17*'Intermediate calculations'!AJ12)+Data!$AK$17)</f>
        <v>3183074.2876605215</v>
      </c>
      <c r="AK15" s="22">
        <f>((Data!$AJ$17*'Intermediate calculations'!AK12)+Data!$AK$17)</f>
        <v>3211601.980978447</v>
      </c>
      <c r="AL15" s="22">
        <f>((Data!$AJ$17*'Intermediate calculations'!AL12)+Data!$AK$17)</f>
        <v>3247652.8718574792</v>
      </c>
      <c r="AM15" s="22">
        <f>((Data!$AJ$17*'Intermediate calculations'!AM12)+Data!$AK$17)</f>
        <v>3289747.5379625168</v>
      </c>
      <c r="AN15" s="22">
        <f>((Data!$AJ$17*'Intermediate calculations'!AN12)+Data!$AK$17)</f>
        <v>3334797.2447573068</v>
      </c>
      <c r="AO15" s="22">
        <f>((Data!$AJ$17*'Intermediate calculations'!AO12)+Data!$AK$17)</f>
        <v>3383778.5630245348</v>
      </c>
      <c r="AP15" s="22">
        <f>((Data!$AJ$17*'Intermediate calculations'!AP12)+Data!$AK$17)</f>
        <v>3439617.8928336659</v>
      </c>
      <c r="AQ15" s="22">
        <f>((Data!$AJ$17*'Intermediate calculations'!AQ12)+Data!$AK$17)</f>
        <v>3502182.8357503749</v>
      </c>
      <c r="AR15" s="22">
        <f>((Data!$AJ$17*'Intermediate calculations'!AR12)+Data!$AK$17)</f>
        <v>3569018.077032337</v>
      </c>
      <c r="AS15" s="22">
        <f>((Data!$AJ$17*'Intermediate calculations'!AS12)+Data!$AK$17)</f>
        <v>3640134.4876552243</v>
      </c>
      <c r="AT15" s="22">
        <f>((Data!$AJ$17*'Intermediate calculations'!AT12)+Data!$AK$17)</f>
        <v>3714161.8705158764</v>
      </c>
      <c r="AU15" s="22">
        <f>((Data!$AJ$17*'Intermediate calculations'!AU12)+Data!$AK$17)</f>
        <v>3791796.3138974858</v>
      </c>
      <c r="AV15" s="22">
        <f>((Data!$AJ$17*'Intermediate calculations'!AV12)+Data!$AK$17)</f>
        <v>3872433.1835462376</v>
      </c>
      <c r="AW15" s="22">
        <f>((Data!$AJ$17*'Intermediate calculations'!AW12)+Data!$AK$17)</f>
        <v>3953567.0949442508</v>
      </c>
      <c r="AX15" s="22">
        <f>((Data!$AJ$17*'Intermediate calculations'!AX12)+Data!$AK$17)</f>
        <v>4038932.3797461269</v>
      </c>
      <c r="AY15" s="22">
        <f>((Data!$AJ$17*'Intermediate calculations'!AY12)+Data!$AK$17)</f>
        <v>4126103.6277900441</v>
      </c>
      <c r="AZ15" s="22">
        <f>((Data!$AJ$17*'Intermediate calculations'!AZ12)+Data!$AK$17)</f>
        <v>4214911.3364613038</v>
      </c>
      <c r="BA15" s="22">
        <f>((Data!$AJ$17*'Intermediate calculations'!BA12)+Data!$AK$17)</f>
        <v>4306560.765889504</v>
      </c>
      <c r="BB15" s="22">
        <f>((Data!$AJ$17*'Intermediate calculations'!BB12)+Data!$AK$17)</f>
        <v>4398205.9951715115</v>
      </c>
      <c r="BC15" s="22">
        <f>((Data!$AJ$17*'Intermediate calculations'!BC12)+Data!$AK$17)</f>
        <v>4493831.7217814596</v>
      </c>
      <c r="BD15" s="22">
        <f>((Data!$AJ$17*'Intermediate calculations'!BD12)+Data!$AK$17)</f>
        <v>4594964.2999311937</v>
      </c>
      <c r="BE15" s="22">
        <f>((Data!$AJ$17*'Intermediate calculations'!BE12)+Data!$AK$17)</f>
        <v>4699205.4703429136</v>
      </c>
      <c r="BF15" s="22">
        <f>((Data!$AJ$17*'Intermediate calculations'!BF12)+Data!$AK$17)</f>
        <v>4806739.7527664201</v>
      </c>
      <c r="BG15" s="22">
        <f>((Data!$AJ$17*'Intermediate calculations'!BG12)+Data!$AK$17)</f>
        <v>4920439.7592407912</v>
      </c>
      <c r="BH15" s="22">
        <f>((Data!$AJ$17*'Intermediate calculations'!BH12)+Data!$AK$17)</f>
        <v>5039525.4843360744</v>
      </c>
      <c r="BI15" s="22">
        <f>((Data!$AJ$17*'Intermediate calculations'!BI12)+Data!$AK$17)</f>
        <v>5163501.3326379573</v>
      </c>
      <c r="BJ15" s="22">
        <f>((Data!$AJ$17*'Intermediate calculations'!BJ12)+Data!$AK$17)</f>
        <v>5294362.3133548107</v>
      </c>
      <c r="BK15" s="22">
        <f>((Data!$AJ$17*'Intermediate calculations'!BK12)+Data!$AK$17)</f>
        <v>5421334.92429337</v>
      </c>
      <c r="BP15">
        <f t="shared" si="0"/>
        <v>7</v>
      </c>
      <c r="BQ15">
        <f t="shared" si="1"/>
        <v>1</v>
      </c>
    </row>
    <row r="16" spans="1:69"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c r="BP16">
        <f t="shared" si="0"/>
        <v>12</v>
      </c>
      <c r="BQ16">
        <f t="shared" si="1"/>
        <v>1</v>
      </c>
    </row>
    <row r="17" spans="1:69"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P17" t="e">
        <f t="shared" si="0"/>
        <v>#VALUE!</v>
      </c>
      <c r="BQ17">
        <f t="shared" si="1"/>
        <v>0</v>
      </c>
    </row>
    <row r="18" spans="1:69" x14ac:dyDescent="0.25">
      <c r="A18" t="s">
        <v>870</v>
      </c>
      <c r="B18" t="s">
        <v>321</v>
      </c>
      <c r="C18" s="22">
        <f>C27+C22</f>
        <v>168200</v>
      </c>
      <c r="D18" s="22">
        <f t="shared" ref="D18:BK18" si="6">D27+D22</f>
        <v>191200</v>
      </c>
      <c r="E18" s="22">
        <f t="shared" si="6"/>
        <v>176100</v>
      </c>
      <c r="F18" s="22">
        <f t="shared" si="6"/>
        <v>167400</v>
      </c>
      <c r="G18" s="22">
        <f t="shared" si="6"/>
        <v>135300</v>
      </c>
      <c r="H18" s="22">
        <f t="shared" si="6"/>
        <v>94800</v>
      </c>
      <c r="I18" s="22">
        <f t="shared" si="6"/>
        <v>106300</v>
      </c>
      <c r="J18" s="22">
        <f t="shared" si="6"/>
        <v>102600</v>
      </c>
      <c r="K18" s="22">
        <f t="shared" si="6"/>
        <v>96900</v>
      </c>
      <c r="L18" s="22">
        <f t="shared" si="6"/>
        <v>104900</v>
      </c>
      <c r="M18" s="22">
        <f t="shared" si="6"/>
        <v>108300</v>
      </c>
      <c r="N18" s="22">
        <f t="shared" si="6"/>
        <v>105400</v>
      </c>
      <c r="O18" s="22">
        <f t="shared" si="6"/>
        <v>105100</v>
      </c>
      <c r="P18" s="22">
        <f t="shared" si="6"/>
        <v>114400</v>
      </c>
      <c r="Q18" s="22">
        <f t="shared" si="6"/>
        <v>120300</v>
      </c>
      <c r="R18" s="22">
        <f t="shared" si="6"/>
        <v>134600</v>
      </c>
      <c r="S18" s="22">
        <f t="shared" si="6"/>
        <v>135300</v>
      </c>
      <c r="T18" s="22">
        <f t="shared" si="6"/>
        <v>160700</v>
      </c>
      <c r="U18" s="22">
        <f t="shared" si="6"/>
        <v>160600</v>
      </c>
      <c r="V18" s="22">
        <f t="shared" si="6"/>
        <v>162100</v>
      </c>
      <c r="W18" s="22">
        <f t="shared" si="6"/>
        <v>163900</v>
      </c>
      <c r="X18" s="22">
        <f t="shared" si="6"/>
        <v>148800</v>
      </c>
      <c r="Y18" s="22">
        <f t="shared" si="6"/>
        <v>163484.42116083094</v>
      </c>
      <c r="Z18" s="22">
        <f t="shared" si="6"/>
        <v>165085.80191754238</v>
      </c>
      <c r="AA18" s="22">
        <f t="shared" si="6"/>
        <v>166751.80150266935</v>
      </c>
      <c r="AB18" s="22">
        <f t="shared" si="6"/>
        <v>168468.13366972576</v>
      </c>
      <c r="AC18" s="22">
        <f t="shared" si="6"/>
        <v>170240.70959794082</v>
      </c>
      <c r="AD18" s="22">
        <f t="shared" si="6"/>
        <v>172071.84906435863</v>
      </c>
      <c r="AE18" s="22">
        <f t="shared" si="6"/>
        <v>173932.88623482941</v>
      </c>
      <c r="AF18" s="22">
        <f t="shared" si="6"/>
        <v>175824.63311708838</v>
      </c>
      <c r="AG18" s="22">
        <f t="shared" si="6"/>
        <v>176619.22821174483</v>
      </c>
      <c r="AH18" s="22">
        <f t="shared" si="6"/>
        <v>177886.9921664685</v>
      </c>
      <c r="AI18" s="22">
        <f t="shared" si="6"/>
        <v>178943.15918820386</v>
      </c>
      <c r="AJ18" s="22">
        <f t="shared" si="6"/>
        <v>180011.77069921987</v>
      </c>
      <c r="AK18" s="22">
        <f t="shared" si="6"/>
        <v>181253.82640881767</v>
      </c>
      <c r="AL18" s="22">
        <f t="shared" si="6"/>
        <v>182598.41719917455</v>
      </c>
      <c r="AM18" s="22">
        <f t="shared" si="6"/>
        <v>183907.94786597023</v>
      </c>
      <c r="AN18" s="22">
        <f t="shared" si="6"/>
        <v>185184.62759203286</v>
      </c>
      <c r="AO18" s="22">
        <f t="shared" si="6"/>
        <v>186429.12054797405</v>
      </c>
      <c r="AP18" s="22">
        <f t="shared" si="6"/>
        <v>187648.54109579092</v>
      </c>
      <c r="AQ18" s="22">
        <f t="shared" si="6"/>
        <v>188848.0816383982</v>
      </c>
      <c r="AR18" s="22">
        <f t="shared" si="6"/>
        <v>190025.78857895857</v>
      </c>
      <c r="AS18" s="22">
        <f t="shared" si="6"/>
        <v>191186.56571236832</v>
      </c>
      <c r="AT18" s="22">
        <f t="shared" si="6"/>
        <v>192330.32513477103</v>
      </c>
      <c r="AU18" s="22">
        <f t="shared" si="6"/>
        <v>193455.53338207159</v>
      </c>
      <c r="AV18" s="22">
        <f t="shared" si="6"/>
        <v>194564.06720356885</v>
      </c>
      <c r="AW18" s="22">
        <f t="shared" si="6"/>
        <v>195656.83488815778</v>
      </c>
      <c r="AX18" s="22">
        <f t="shared" si="6"/>
        <v>196735.34112442267</v>
      </c>
      <c r="AY18" s="22">
        <f t="shared" si="6"/>
        <v>197791.74467185425</v>
      </c>
      <c r="AZ18" s="22">
        <f t="shared" si="6"/>
        <v>198826.14316597657</v>
      </c>
      <c r="BA18" s="22">
        <f t="shared" si="6"/>
        <v>199841.28697883818</v>
      </c>
      <c r="BB18" s="22">
        <f t="shared" si="6"/>
        <v>200835.64626819582</v>
      </c>
      <c r="BC18" s="22">
        <f t="shared" si="6"/>
        <v>201809.97447843666</v>
      </c>
      <c r="BD18" s="22">
        <f t="shared" si="6"/>
        <v>202763.54967569027</v>
      </c>
      <c r="BE18" s="22">
        <f t="shared" si="6"/>
        <v>203693.53241211953</v>
      </c>
      <c r="BF18" s="22">
        <f t="shared" si="6"/>
        <v>204597.24998052631</v>
      </c>
      <c r="BG18" s="22">
        <f t="shared" si="6"/>
        <v>205474.68721956544</v>
      </c>
      <c r="BH18" s="22">
        <f t="shared" si="6"/>
        <v>206324.69871854375</v>
      </c>
      <c r="BI18" s="22">
        <f t="shared" si="6"/>
        <v>207147.34193235237</v>
      </c>
      <c r="BJ18" s="22">
        <f t="shared" si="6"/>
        <v>207945.28453869367</v>
      </c>
      <c r="BK18" s="22">
        <f t="shared" si="6"/>
        <v>208703.44676396463</v>
      </c>
      <c r="BP18">
        <f t="shared" si="0"/>
        <v>18</v>
      </c>
      <c r="BQ18">
        <f t="shared" si="1"/>
        <v>1</v>
      </c>
    </row>
    <row r="19" spans="1:69" x14ac:dyDescent="0.25">
      <c r="A19" t="s">
        <v>332</v>
      </c>
      <c r="B19" t="s">
        <v>321</v>
      </c>
      <c r="C19" s="22">
        <f>C17-C22</f>
        <v>172960</v>
      </c>
      <c r="D19" s="22">
        <f t="shared" ref="D19:X19" si="7">D17-D22</f>
        <v>193640</v>
      </c>
      <c r="E19" s="22">
        <f t="shared" si="7"/>
        <v>187060</v>
      </c>
      <c r="F19" s="22">
        <f t="shared" si="7"/>
        <v>177660</v>
      </c>
      <c r="G19" s="22">
        <f t="shared" si="7"/>
        <v>146640</v>
      </c>
      <c r="H19" s="22">
        <f t="shared" si="7"/>
        <v>110920</v>
      </c>
      <c r="I19" s="22">
        <f t="shared" si="7"/>
        <v>134420</v>
      </c>
      <c r="J19" s="22">
        <f t="shared" si="7"/>
        <v>133480</v>
      </c>
      <c r="K19" s="22">
        <f t="shared" si="7"/>
        <v>136300</v>
      </c>
      <c r="L19" s="22">
        <f t="shared" si="7"/>
        <v>144760</v>
      </c>
      <c r="M19" s="22">
        <f t="shared" si="7"/>
        <v>153220</v>
      </c>
      <c r="N19" s="22">
        <f t="shared" si="7"/>
        <v>149460</v>
      </c>
      <c r="O19" s="22">
        <f t="shared" si="7"/>
        <v>137240</v>
      </c>
      <c r="P19" s="22">
        <f t="shared" si="7"/>
        <v>137240</v>
      </c>
      <c r="Q19" s="22">
        <f t="shared" si="7"/>
        <v>143820</v>
      </c>
      <c r="R19" s="22">
        <f t="shared" si="7"/>
        <v>157920</v>
      </c>
      <c r="S19" s="22">
        <f t="shared" si="7"/>
        <v>165440</v>
      </c>
      <c r="T19" s="22">
        <f t="shared" si="7"/>
        <v>190820</v>
      </c>
      <c r="U19" s="22">
        <f t="shared" si="7"/>
        <v>177660</v>
      </c>
      <c r="V19" s="22">
        <f t="shared" si="7"/>
        <v>169200</v>
      </c>
      <c r="W19" s="22">
        <f t="shared" si="7"/>
        <v>163560</v>
      </c>
      <c r="X19" s="22">
        <f t="shared" si="7"/>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189190.28187789526</v>
      </c>
      <c r="AH19" s="22">
        <f>(((Data!$AJ$7*'Intermediate calculations'!AH4)+Data!$AK$7)*Drivers!AI4)</f>
        <v>191187.93711403207</v>
      </c>
      <c r="AI19" s="22">
        <f>(((Data!$AJ$7*'Intermediate calculations'!AI4)+Data!$AK$7)*Drivers!AJ4)</f>
        <v>192852.17245795659</v>
      </c>
      <c r="AJ19" s="22">
        <f>(((Data!$AJ$7*'Intermediate calculations'!AJ4)+Data!$AK$7)*Drivers!AK4)</f>
        <v>194536.01697208977</v>
      </c>
      <c r="AK19" s="22">
        <f>(((Data!$AJ$7*'Intermediate calculations'!AK4)+Data!$AK$7)*Drivers!AL4)</f>
        <v>196493.16292391051</v>
      </c>
      <c r="AL19" s="22">
        <f>(((Data!$AJ$7*'Intermediate calculations'!AL4)+Data!$AK$7)*Drivers!AM4)</f>
        <v>198611.87660306951</v>
      </c>
      <c r="AM19" s="22">
        <f>(((Data!$AJ$7*'Intermediate calculations'!AM4)+Data!$AK$7)*Drivers!AN4)</f>
        <v>200675.34495114727</v>
      </c>
      <c r="AN19" s="22">
        <f>(((Data!$AJ$7*'Intermediate calculations'!AN4)+Data!$AK$7)*Drivers!AO4)</f>
        <v>202687.04904648467</v>
      </c>
      <c r="AO19" s="22">
        <f>(((Data!$AJ$7*'Intermediate calculations'!AO4)+Data!$AK$7)*Drivers!AP4)</f>
        <v>204648.03544344622</v>
      </c>
      <c r="AP19" s="22">
        <f>(((Data!$AJ$7*'Intermediate calculations'!AP4)+Data!$AK$7)*Drivers!AQ4)</f>
        <v>206569.5144643024</v>
      </c>
      <c r="AQ19" s="22">
        <f>(((Data!$AJ$7*'Intermediate calculations'!AQ4)+Data!$AK$7)*Drivers!AR4)</f>
        <v>208459.66794040447</v>
      </c>
      <c r="AR19" s="22">
        <f>(((Data!$AJ$7*'Intermediate calculations'!AR4)+Data!$AK$7)*Drivers!AS4)</f>
        <v>210315.41752823515</v>
      </c>
      <c r="AS19" s="22">
        <f>(((Data!$AJ$7*'Intermediate calculations'!AS4)+Data!$AK$7)*Drivers!AT4)</f>
        <v>212144.49029048238</v>
      </c>
      <c r="AT19" s="22">
        <f>(((Data!$AJ$7*'Intermediate calculations'!AT4)+Data!$AK$7)*Drivers!AU4)</f>
        <v>213946.74771429566</v>
      </c>
      <c r="AU19" s="22">
        <f>(((Data!$AJ$7*'Intermediate calculations'!AU4)+Data!$AK$7)*Drivers!AV4)</f>
        <v>215719.77347243391</v>
      </c>
      <c r="AV19" s="22">
        <f>(((Data!$AJ$7*'Intermediate calculations'!AV4)+Data!$AK$7)*Drivers!AW4)</f>
        <v>217466.52481734924</v>
      </c>
      <c r="AW19" s="22">
        <f>(((Data!$AJ$7*'Intermediate calculations'!AW4)+Data!$AK$7)*Drivers!AX4)</f>
        <v>219188.43296820531</v>
      </c>
      <c r="AX19" s="22">
        <f>(((Data!$AJ$7*'Intermediate calculations'!AX4)+Data!$AK$7)*Drivers!AY4)</f>
        <v>220887.86890977251</v>
      </c>
      <c r="AY19" s="22">
        <f>(((Data!$AJ$7*'Intermediate calculations'!AY4)+Data!$AK$7)*Drivers!AZ4)</f>
        <v>222552.4769546196</v>
      </c>
      <c r="AZ19" s="22">
        <f>(((Data!$AJ$7*'Intermediate calculations'!AZ4)+Data!$AK$7)*Drivers!BA4)</f>
        <v>224182.41095008951</v>
      </c>
      <c r="BA19" s="22">
        <f>(((Data!$AJ$7*'Intermediate calculations'!BA4)+Data!$AK$7)*Drivers!BB4)</f>
        <v>225782.00474327078</v>
      </c>
      <c r="BB19" s="22">
        <f>(((Data!$AJ$7*'Intermediate calculations'!BB4)+Data!$AK$7)*Drivers!BC4)</f>
        <v>227348.84771398731</v>
      </c>
      <c r="BC19" s="22">
        <f>(((Data!$AJ$7*'Intermediate calculations'!BC4)+Data!$AK$7)*Drivers!BD4)</f>
        <v>228884.12708807847</v>
      </c>
      <c r="BD19" s="22">
        <f>(((Data!$AJ$7*'Intermediate calculations'!BD4)+Data!$AK$7)*Drivers!BE4)</f>
        <v>230386.70529180963</v>
      </c>
      <c r="BE19" s="22">
        <f>(((Data!$AJ$7*'Intermediate calculations'!BE4)+Data!$AK$7)*Drivers!BF4)</f>
        <v>231852.10811859192</v>
      </c>
      <c r="BF19" s="22">
        <f>(((Data!$AJ$7*'Intermediate calculations'!BF4)+Data!$AK$7)*Drivers!BG4)</f>
        <v>233276.12410026588</v>
      </c>
      <c r="BG19" s="22">
        <f>(((Data!$AJ$7*'Intermediate calculations'!BG4)+Data!$AK$7)*Drivers!BH4)</f>
        <v>234658.72934662655</v>
      </c>
      <c r="BH19" s="22">
        <f>(((Data!$AJ$7*'Intermediate calculations'!BH4)+Data!$AK$7)*Drivers!BI4)</f>
        <v>235998.11899829135</v>
      </c>
      <c r="BI19" s="22">
        <f>(((Data!$AJ$7*'Intermediate calculations'!BI4)+Data!$AK$7)*Drivers!BJ4)</f>
        <v>237294.38358872567</v>
      </c>
      <c r="BJ19" s="22">
        <f>(((Data!$AJ$7*'Intermediate calculations'!BJ4)+Data!$AK$7)*Drivers!BK4)</f>
        <v>238551.72666095538</v>
      </c>
      <c r="BK19" s="22">
        <f>(((Data!$AJ$7*'Intermediate calculations'!BK4)+Data!$AK$7)*Drivers!BL4)</f>
        <v>239746.38654500595</v>
      </c>
      <c r="BP19" t="e">
        <f t="shared" si="0"/>
        <v>#VALUE!</v>
      </c>
      <c r="BQ19">
        <f t="shared" si="1"/>
        <v>0</v>
      </c>
    </row>
    <row r="20" spans="1:69"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3.2174163591253612E-3</v>
      </c>
      <c r="AH20" s="22">
        <f>AH19/Drivers!AI4</f>
        <v>3.2190718657513859E-3</v>
      </c>
      <c r="AI20" s="22">
        <f>AI19/Drivers!AJ4</f>
        <v>3.2198975314083663E-3</v>
      </c>
      <c r="AJ20" s="22">
        <f>AJ19/Drivers!AK4</f>
        <v>3.2200222309578153E-3</v>
      </c>
      <c r="AK20" s="22">
        <f>AK19/Drivers!AL4</f>
        <v>3.2201319448500608E-3</v>
      </c>
      <c r="AL20" s="22">
        <f>AL19/Drivers!AM4</f>
        <v>3.220398160472468E-3</v>
      </c>
      <c r="AM20" s="22">
        <f>AM19/Drivers!AN4</f>
        <v>3.2208525694229525E-3</v>
      </c>
      <c r="AN20" s="22">
        <f>AN19/Drivers!AO4</f>
        <v>3.2214008430546492E-3</v>
      </c>
      <c r="AO20" s="22">
        <f>AO19/Drivers!AP4</f>
        <v>3.2220678585096396E-3</v>
      </c>
      <c r="AP20" s="22">
        <f>AP19/Drivers!AQ4</f>
        <v>3.2229284833078901E-3</v>
      </c>
      <c r="AQ20" s="22">
        <f>AQ19/Drivers!AR4</f>
        <v>3.2239714761492459E-3</v>
      </c>
      <c r="AR20" s="22">
        <f>AR19/Drivers!AS4</f>
        <v>3.2251264527720937E-3</v>
      </c>
      <c r="AS20" s="22">
        <f>AS19/Drivers!AT4</f>
        <v>3.2263886894289655E-3</v>
      </c>
      <c r="AT20" s="22">
        <f>AT19/Drivers!AU4</f>
        <v>3.2277191731846589E-3</v>
      </c>
      <c r="AU20" s="22">
        <f>AU19/Drivers!AV4</f>
        <v>3.2291364919262286E-3</v>
      </c>
      <c r="AV20" s="22">
        <f>AV19/Drivers!AW4</f>
        <v>3.2306220867072484E-3</v>
      </c>
      <c r="AW20" s="22">
        <f>AW19/Drivers!AX4</f>
        <v>3.2321081974674786E-3</v>
      </c>
      <c r="AX20" s="22">
        <f>AX19/Drivers!AY4</f>
        <v>3.2336925897610154E-3</v>
      </c>
      <c r="AY20" s="22">
        <f>AY19/Drivers!AZ4</f>
        <v>3.2353153961955355E-3</v>
      </c>
      <c r="AZ20" s="22">
        <f>AZ19/Drivers!BA4</f>
        <v>3.2369722034475868E-3</v>
      </c>
      <c r="BA20" s="22">
        <f>BA19/Drivers!BB4</f>
        <v>3.2386924976460702E-3</v>
      </c>
      <c r="BB20" s="22">
        <f>BB19/Drivers!BC4</f>
        <v>3.2404038621817156E-3</v>
      </c>
      <c r="BC20" s="22">
        <f>BC19/Drivers!BD4</f>
        <v>3.2422083591837248E-3</v>
      </c>
      <c r="BD20" s="22">
        <f>BD19/Drivers!BE4</f>
        <v>3.2441444220393536E-3</v>
      </c>
      <c r="BE20" s="22">
        <f>BE19/Drivers!BF4</f>
        <v>3.2461522191794359E-3</v>
      </c>
      <c r="BF20" s="22">
        <f>BF19/Drivers!BG4</f>
        <v>3.2482381531190418E-3</v>
      </c>
      <c r="BG20" s="22">
        <f>BG19/Drivers!BH4</f>
        <v>3.2504740902474312E-3</v>
      </c>
      <c r="BH20" s="22">
        <f>BH19/Drivers!BI4</f>
        <v>3.2528406311687404E-3</v>
      </c>
      <c r="BI20" s="22">
        <f>BI19/Drivers!BJ4</f>
        <v>3.2553251388663025E-3</v>
      </c>
      <c r="BJ20" s="22">
        <f>BJ19/Drivers!BK4</f>
        <v>3.2579749358441759E-3</v>
      </c>
      <c r="BK20" s="22">
        <f>BK19/Drivers!BL4</f>
        <v>3.260535725517886E-3</v>
      </c>
      <c r="BP20" t="e">
        <f t="shared" si="0"/>
        <v>#VALUE!</v>
      </c>
      <c r="BQ20">
        <f t="shared" si="1"/>
        <v>0</v>
      </c>
    </row>
    <row r="21" spans="1:69" x14ac:dyDescent="0.25">
      <c r="A21" t="s">
        <v>332</v>
      </c>
      <c r="B21" t="s">
        <v>663</v>
      </c>
      <c r="C21" s="22">
        <f>C20*1000</f>
        <v>4.6999349927469751</v>
      </c>
      <c r="D21" s="22">
        <f t="shared" ref="D21:X21" si="8">D20*1000</f>
        <v>5.1337590256356549</v>
      </c>
      <c r="E21" s="22">
        <f t="shared" si="8"/>
        <v>4.8370155133322141</v>
      </c>
      <c r="F21" s="22">
        <f t="shared" si="8"/>
        <v>4.4825432869713318</v>
      </c>
      <c r="G21" s="22">
        <f t="shared" si="8"/>
        <v>3.6150228457166969</v>
      </c>
      <c r="H21" s="22">
        <f t="shared" si="8"/>
        <v>2.6769149486779025</v>
      </c>
      <c r="I21" s="22">
        <f t="shared" si="8"/>
        <v>3.1822155014234865</v>
      </c>
      <c r="J21" s="22">
        <f t="shared" si="8"/>
        <v>3.1050915056369575</v>
      </c>
      <c r="K21" s="22">
        <f t="shared" si="8"/>
        <v>3.1202598034076074</v>
      </c>
      <c r="L21" s="22">
        <f t="shared" si="8"/>
        <v>3.2648794977318043</v>
      </c>
      <c r="M21" s="22">
        <f t="shared" si="8"/>
        <v>3.407333991761377</v>
      </c>
      <c r="N21" s="22">
        <f t="shared" si="8"/>
        <v>3.2796976446170891</v>
      </c>
      <c r="O21" s="22">
        <f t="shared" si="8"/>
        <v>2.973722318342868</v>
      </c>
      <c r="P21" s="22">
        <f t="shared" si="8"/>
        <v>2.9375505520257668</v>
      </c>
      <c r="Q21" s="22">
        <f t="shared" si="8"/>
        <v>3.04113139730282</v>
      </c>
      <c r="R21" s="22">
        <f t="shared" si="8"/>
        <v>3.29820421427041</v>
      </c>
      <c r="S21" s="22">
        <f t="shared" si="8"/>
        <v>3.4118755583558893</v>
      </c>
      <c r="T21" s="22">
        <f t="shared" si="8"/>
        <v>3.884791047122198</v>
      </c>
      <c r="U21" s="22">
        <f t="shared" si="8"/>
        <v>3.5689411002378875</v>
      </c>
      <c r="V21" s="22">
        <f t="shared" si="8"/>
        <v>3.3520209823834457</v>
      </c>
      <c r="W21" s="22">
        <f t="shared" si="8"/>
        <v>3.1934731625248225</v>
      </c>
      <c r="X21" s="22">
        <f t="shared" si="8"/>
        <v>2.8016982945137556</v>
      </c>
      <c r="Y21" s="22">
        <f>Y20*1000</f>
        <v>3.2201043953224926</v>
      </c>
      <c r="Z21" s="22">
        <f t="shared" ref="Z21:BK21" si="9">Z20*1000</f>
        <v>3.2203874945307116</v>
      </c>
      <c r="AA21" s="22">
        <f t="shared" si="9"/>
        <v>3.220817105281391</v>
      </c>
      <c r="AB21" s="22">
        <f t="shared" si="9"/>
        <v>3.2209089467766567</v>
      </c>
      <c r="AC21" s="22">
        <f t="shared" si="9"/>
        <v>3.2207774672599072</v>
      </c>
      <c r="AD21" s="22">
        <f t="shared" si="9"/>
        <v>3.2204274784876441</v>
      </c>
      <c r="AE21" s="22">
        <f t="shared" si="9"/>
        <v>3.2202334247522502</v>
      </c>
      <c r="AF21" s="22">
        <f t="shared" si="9"/>
        <v>3.2200590275988001</v>
      </c>
      <c r="AG21" s="22">
        <f t="shared" si="9"/>
        <v>3.2174163591253611</v>
      </c>
      <c r="AH21" s="22">
        <f t="shared" si="9"/>
        <v>3.2190718657513862</v>
      </c>
      <c r="AI21" s="22">
        <f t="shared" si="9"/>
        <v>3.2198975314083662</v>
      </c>
      <c r="AJ21" s="22">
        <f t="shared" si="9"/>
        <v>3.2200222309578153</v>
      </c>
      <c r="AK21" s="22">
        <f t="shared" si="9"/>
        <v>3.2201319448500607</v>
      </c>
      <c r="AL21" s="22">
        <f t="shared" si="9"/>
        <v>3.2203981604724681</v>
      </c>
      <c r="AM21" s="22">
        <f t="shared" si="9"/>
        <v>3.2208525694229526</v>
      </c>
      <c r="AN21" s="22">
        <f t="shared" si="9"/>
        <v>3.2214008430546492</v>
      </c>
      <c r="AO21" s="22">
        <f t="shared" si="9"/>
        <v>3.2220678585096394</v>
      </c>
      <c r="AP21" s="22">
        <f t="shared" si="9"/>
        <v>3.2229284833078902</v>
      </c>
      <c r="AQ21" s="22">
        <f t="shared" si="9"/>
        <v>3.223971476149246</v>
      </c>
      <c r="AR21" s="22">
        <f t="shared" si="9"/>
        <v>3.2251264527720935</v>
      </c>
      <c r="AS21" s="22">
        <f t="shared" si="9"/>
        <v>3.2263886894289655</v>
      </c>
      <c r="AT21" s="22">
        <f t="shared" si="9"/>
        <v>3.2277191731846591</v>
      </c>
      <c r="AU21" s="22">
        <f t="shared" si="9"/>
        <v>3.2291364919262286</v>
      </c>
      <c r="AV21" s="22">
        <f t="shared" si="9"/>
        <v>3.2306220867072484</v>
      </c>
      <c r="AW21" s="22">
        <f t="shared" si="9"/>
        <v>3.2321081974674786</v>
      </c>
      <c r="AX21" s="22">
        <f t="shared" si="9"/>
        <v>3.2336925897610156</v>
      </c>
      <c r="AY21" s="22">
        <f t="shared" si="9"/>
        <v>3.2353153961955354</v>
      </c>
      <c r="AZ21" s="22">
        <f t="shared" si="9"/>
        <v>3.236972203447587</v>
      </c>
      <c r="BA21" s="22">
        <f t="shared" si="9"/>
        <v>3.23869249764607</v>
      </c>
      <c r="BB21" s="22">
        <f t="shared" si="9"/>
        <v>3.2404038621817155</v>
      </c>
      <c r="BC21" s="22">
        <f t="shared" si="9"/>
        <v>3.2422083591837247</v>
      </c>
      <c r="BD21" s="22">
        <f t="shared" si="9"/>
        <v>3.2441444220393536</v>
      </c>
      <c r="BE21" s="22">
        <f t="shared" si="9"/>
        <v>3.2461522191794359</v>
      </c>
      <c r="BF21" s="22">
        <f t="shared" si="9"/>
        <v>3.2482381531190416</v>
      </c>
      <c r="BG21" s="22">
        <f t="shared" si="9"/>
        <v>3.2504740902474314</v>
      </c>
      <c r="BH21" s="22">
        <f t="shared" si="9"/>
        <v>3.2528406311687403</v>
      </c>
      <c r="BI21" s="22">
        <f t="shared" si="9"/>
        <v>3.2553251388663025</v>
      </c>
      <c r="BJ21" s="22">
        <f t="shared" si="9"/>
        <v>3.2579749358441759</v>
      </c>
      <c r="BK21" s="22">
        <f t="shared" si="9"/>
        <v>3.2605357255178862</v>
      </c>
      <c r="BP21" t="e">
        <f t="shared" si="0"/>
        <v>#VALUE!</v>
      </c>
      <c r="BQ21">
        <f t="shared" si="1"/>
        <v>0</v>
      </c>
    </row>
    <row r="22" spans="1:69"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10754.895090045062</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11434.433042269102</v>
      </c>
      <c r="AD22" s="22">
        <f>((Data!$AJ$8*'Intermediate calculations'!AD4)+Data!$AK$8)*Drivers!AE4</f>
        <v>11618.606464530285</v>
      </c>
      <c r="AE22" s="22">
        <f>((Data!$AJ$8*'Intermediate calculations'!AE4)+Data!$AK$8)*Drivers!AF4</f>
        <v>11805.786955654419</v>
      </c>
      <c r="AF22" s="22">
        <f>((Data!$AJ$8*'Intermediate calculations'!AF4)+Data!$AK$8)*Drivers!AG4</f>
        <v>11996.056186233092</v>
      </c>
      <c r="AG22" s="22">
        <f>((Data!$AJ$8*'Intermediate calculations'!AG4)+Data!$AK$8)*Drivers!AH4</f>
        <v>12075.975439014592</v>
      </c>
      <c r="AH22" s="22">
        <f>((Data!$AJ$8*'Intermediate calculations'!AH4)+Data!$AK$8)*Drivers!AI4</f>
        <v>12203.48534770418</v>
      </c>
      <c r="AI22" s="22">
        <f>((Data!$AJ$8*'Intermediate calculations'!AI4)+Data!$AK$8)*Drivers!AJ4</f>
        <v>12309.713135614251</v>
      </c>
      <c r="AJ22" s="22">
        <f>((Data!$AJ$8*'Intermediate calculations'!AJ4)+Data!$AK$8)*Drivers!AK4</f>
        <v>12417.192572686583</v>
      </c>
      <c r="AK22" s="22">
        <f>((Data!$AJ$8*'Intermediate calculations'!AK4)+Data!$AK$8)*Drivers!AL4</f>
        <v>12542.116782377268</v>
      </c>
      <c r="AL22" s="22">
        <f>((Data!$AJ$8*'Intermediate calculations'!AL4)+Data!$AK$8)*Drivers!AM4</f>
        <v>12677.353825727845</v>
      </c>
      <c r="AM22" s="22">
        <f>((Data!$AJ$8*'Intermediate calculations'!AM4)+Data!$AK$8)*Drivers!AN4</f>
        <v>12809.064571349827</v>
      </c>
      <c r="AN22" s="22">
        <f>((Data!$AJ$8*'Intermediate calculations'!AN4)+Data!$AK$8)*Drivers!AO4</f>
        <v>12937.471215733065</v>
      </c>
      <c r="AO22" s="22">
        <f>((Data!$AJ$8*'Intermediate calculations'!AO4)+Data!$AK$8)*Drivers!AP4</f>
        <v>13062.640560219976</v>
      </c>
      <c r="AP22" s="22">
        <f>((Data!$AJ$8*'Intermediate calculations'!AP4)+Data!$AK$8)*Drivers!AQ4</f>
        <v>13185.2881572959</v>
      </c>
      <c r="AQ22" s="22">
        <f>((Data!$AJ$8*'Intermediate calculations'!AQ4)+Data!$AK$8)*Drivers!AR4</f>
        <v>13305.936251515182</v>
      </c>
      <c r="AR22" s="22">
        <f>((Data!$AJ$8*'Intermediate calculations'!AR4)+Data!$AK$8)*Drivers!AS4</f>
        <v>13424.388352866077</v>
      </c>
      <c r="AS22" s="22">
        <f>((Data!$AJ$8*'Intermediate calculations'!AS4)+Data!$AK$8)*Drivers!AT4</f>
        <v>13541.137678115902</v>
      </c>
      <c r="AT22" s="22">
        <f>((Data!$AJ$8*'Intermediate calculations'!AT4)+Data!$AK$8)*Drivers!AU4</f>
        <v>13656.175386018875</v>
      </c>
      <c r="AU22" s="22">
        <f>((Data!$AJ$8*'Intermediate calculations'!AU4)+Data!$AK$8)*Drivers!AV4</f>
        <v>13769.347242921318</v>
      </c>
      <c r="AV22" s="22">
        <f>((Data!$AJ$8*'Intermediate calculations'!AV4)+Data!$AK$8)*Drivers!AW4</f>
        <v>13880.842009618042</v>
      </c>
      <c r="AW22" s="22">
        <f>((Data!$AJ$8*'Intermediate calculations'!AW4)+Data!$AK$8)*Drivers!AX4</f>
        <v>13990.751040523748</v>
      </c>
      <c r="AX22" s="22">
        <f>((Data!$AJ$8*'Intermediate calculations'!AX4)+Data!$AK$8)*Drivers!AY4</f>
        <v>14099.225675091868</v>
      </c>
      <c r="AY22" s="22">
        <f>((Data!$AJ$8*'Intermediate calculations'!AY4)+Data!$AK$8)*Drivers!AZ4</f>
        <v>14205.477252422534</v>
      </c>
      <c r="AZ22" s="22">
        <f>((Data!$AJ$8*'Intermediate calculations'!AZ4)+Data!$AK$8)*Drivers!BA4</f>
        <v>14309.515592558908</v>
      </c>
      <c r="BA22" s="22">
        <f>((Data!$AJ$8*'Intermediate calculations'!BA4)+Data!$AK$8)*Drivers!BB4</f>
        <v>14411.617324038565</v>
      </c>
      <c r="BB22" s="22">
        <f>((Data!$AJ$8*'Intermediate calculations'!BB4)+Data!$AK$8)*Drivers!BC4</f>
        <v>14511.628577488556</v>
      </c>
      <c r="BC22" s="22">
        <f>((Data!$AJ$8*'Intermediate calculations'!BC4)+Data!$AK$8)*Drivers!BD4</f>
        <v>14609.625133281608</v>
      </c>
      <c r="BD22" s="22">
        <f>((Data!$AJ$8*'Intermediate calculations'!BD4)+Data!$AK$8)*Drivers!BE4</f>
        <v>14705.534380328279</v>
      </c>
      <c r="BE22" s="22">
        <f>((Data!$AJ$8*'Intermediate calculations'!BE4)+Data!$AK$8)*Drivers!BF4</f>
        <v>14799.070730973957</v>
      </c>
      <c r="BF22" s="22">
        <f>((Data!$AJ$8*'Intermediate calculations'!BF4)+Data!$AK$8)*Drivers!BG4</f>
        <v>14889.965368102083</v>
      </c>
      <c r="BG22" s="22">
        <f>((Data!$AJ$8*'Intermediate calculations'!BG4)+Data!$AK$8)*Drivers!BH4</f>
        <v>14978.216766805956</v>
      </c>
      <c r="BH22" s="22">
        <f>((Data!$AJ$8*'Intermediate calculations'!BH4)+Data!$AK$8)*Drivers!BI4</f>
        <v>15063.709723295198</v>
      </c>
      <c r="BI22" s="22">
        <f>((Data!$AJ$8*'Intermediate calculations'!BI4)+Data!$AK$8)*Drivers!BJ4</f>
        <v>15146.450016301644</v>
      </c>
      <c r="BJ22" s="22">
        <f>((Data!$AJ$8*'Intermediate calculations'!BJ4)+Data!$AK$8)*Drivers!BK4</f>
        <v>15226.705957082264</v>
      </c>
      <c r="BK22" s="22">
        <f>((Data!$AJ$8*'Intermediate calculations'!BK4)+Data!$AK$8)*Drivers!BL4</f>
        <v>15302.960843298259</v>
      </c>
      <c r="BP22" t="e">
        <f t="shared" si="0"/>
        <v>#VALUE!</v>
      </c>
      <c r="BQ22">
        <f t="shared" si="1"/>
        <v>0</v>
      </c>
    </row>
    <row r="23" spans="1:69"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2.0554681434588833E-4</v>
      </c>
      <c r="AF23" s="22">
        <f>AF22/Drivers!AG4</f>
        <v>2.0553568261268943E-4</v>
      </c>
      <c r="AG23" s="22">
        <f>AG22/Drivers!AH4</f>
        <v>2.0536700164629966E-4</v>
      </c>
      <c r="AH23" s="22">
        <f>AH22/Drivers!AI4</f>
        <v>2.0547267228200342E-4</v>
      </c>
      <c r="AI23" s="22">
        <f>AI22/Drivers!AJ4</f>
        <v>2.055253743452149E-4</v>
      </c>
      <c r="AJ23" s="22">
        <f>AJ22/Drivers!AK4</f>
        <v>2.0553333389092442E-4</v>
      </c>
      <c r="AK23" s="22">
        <f>AK22/Drivers!AL4</f>
        <v>2.0554033690532304E-4</v>
      </c>
      <c r="AL23" s="22">
        <f>AL22/Drivers!AM4</f>
        <v>2.0555732939185972E-4</v>
      </c>
      <c r="AM23" s="22">
        <f>AM22/Drivers!AN4</f>
        <v>2.0558633421848636E-4</v>
      </c>
      <c r="AN23" s="22">
        <f>AN22/Drivers!AO4</f>
        <v>2.0562133040774361E-4</v>
      </c>
      <c r="AO23" s="22">
        <f>AO22/Drivers!AP4</f>
        <v>2.0566390586231748E-4</v>
      </c>
      <c r="AP23" s="22">
        <f>AP22/Drivers!AQ4</f>
        <v>2.0571883936007813E-4</v>
      </c>
      <c r="AQ23" s="22">
        <f>AQ22/Drivers!AR4</f>
        <v>2.0578541337122852E-4</v>
      </c>
      <c r="AR23" s="22">
        <f>AR22/Drivers!AS4</f>
        <v>2.0585913528332517E-4</v>
      </c>
      <c r="AS23" s="22">
        <f>AS22/Drivers!AT4</f>
        <v>2.0593970358057234E-4</v>
      </c>
      <c r="AT23" s="22">
        <f>AT22/Drivers!AU4</f>
        <v>2.0602462807561657E-4</v>
      </c>
      <c r="AU23" s="22">
        <f>AU22/Drivers!AV4</f>
        <v>2.0611509522933379E-4</v>
      </c>
      <c r="AV23" s="22">
        <f>AV22/Drivers!AW4</f>
        <v>2.0620992042812231E-4</v>
      </c>
      <c r="AW23" s="22">
        <f>AW22/Drivers!AX4</f>
        <v>2.0630477856175403E-4</v>
      </c>
      <c r="AX23" s="22">
        <f>AX22/Drivers!AY4</f>
        <v>2.0640590998474573E-4</v>
      </c>
      <c r="AY23" s="22">
        <f>AY22/Drivers!AZ4</f>
        <v>2.0650949337418318E-4</v>
      </c>
      <c r="AZ23" s="22">
        <f>AZ22/Drivers!BA4</f>
        <v>2.0661524702856942E-4</v>
      </c>
      <c r="BA23" s="22">
        <f>BA22/Drivers!BB4</f>
        <v>2.0672505304123858E-4</v>
      </c>
      <c r="BB23" s="22">
        <f>BB22/Drivers!BC4</f>
        <v>2.0683428907542872E-4</v>
      </c>
      <c r="BC23" s="22">
        <f>BC22/Drivers!BD4</f>
        <v>2.0694946973513143E-4</v>
      </c>
      <c r="BD23" s="22">
        <f>BD22/Drivers!BE4</f>
        <v>2.0707304821527796E-4</v>
      </c>
      <c r="BE23" s="22">
        <f>BE22/Drivers!BF4</f>
        <v>2.0720120547953853E-4</v>
      </c>
      <c r="BF23" s="22">
        <f>BF22/Drivers!BG4</f>
        <v>2.0733435019908785E-4</v>
      </c>
      <c r="BG23" s="22">
        <f>BG22/Drivers!BH4</f>
        <v>2.0747706959026166E-4</v>
      </c>
      <c r="BH23" s="22">
        <f>BH22/Drivers!BI4</f>
        <v>2.0762812539374949E-4</v>
      </c>
      <c r="BI23" s="22">
        <f>BI22/Drivers!BJ4</f>
        <v>2.077867109914662E-4</v>
      </c>
      <c r="BJ23" s="22">
        <f>BJ22/Drivers!BK4</f>
        <v>2.0795584696877727E-4</v>
      </c>
      <c r="BK23" s="22">
        <f>BK22/Drivers!BL4</f>
        <v>2.0811930162880133E-4</v>
      </c>
      <c r="BP23" t="e">
        <f t="shared" si="0"/>
        <v>#VALUE!</v>
      </c>
      <c r="BQ23">
        <f t="shared" si="1"/>
        <v>0</v>
      </c>
    </row>
    <row r="24" spans="1:69" x14ac:dyDescent="0.25">
      <c r="A24" t="s">
        <v>340</v>
      </c>
      <c r="B24" t="s">
        <v>663</v>
      </c>
      <c r="C24" s="22">
        <f>C23*1000</f>
        <v>0.29999585060087075</v>
      </c>
      <c r="D24" s="22">
        <f t="shared" ref="D24:X24" si="10">D23*1000</f>
        <v>0.32768674631716949</v>
      </c>
      <c r="E24" s="22">
        <f t="shared" si="10"/>
        <v>0.30874567106375839</v>
      </c>
      <c r="F24" s="22">
        <f t="shared" si="10"/>
        <v>0.28611978427476581</v>
      </c>
      <c r="G24" s="22">
        <f t="shared" si="10"/>
        <v>0.2307461390882998</v>
      </c>
      <c r="H24" s="22">
        <f t="shared" si="10"/>
        <v>0.17086691161773848</v>
      </c>
      <c r="I24" s="22">
        <f t="shared" si="10"/>
        <v>0.20312013838873316</v>
      </c>
      <c r="J24" s="22">
        <f t="shared" si="10"/>
        <v>0.19819733014703986</v>
      </c>
      <c r="K24" s="22">
        <f t="shared" si="10"/>
        <v>0.19916551936644303</v>
      </c>
      <c r="L24" s="22">
        <f t="shared" si="10"/>
        <v>0.20839656368500878</v>
      </c>
      <c r="M24" s="22">
        <f t="shared" si="10"/>
        <v>0.21748940372944958</v>
      </c>
      <c r="N24" s="22">
        <f t="shared" si="10"/>
        <v>0.20934240284789929</v>
      </c>
      <c r="O24" s="22">
        <f t="shared" si="10"/>
        <v>0.18981206287294902</v>
      </c>
      <c r="P24" s="22">
        <f t="shared" si="10"/>
        <v>0.18750322672504893</v>
      </c>
      <c r="Q24" s="22">
        <f t="shared" si="10"/>
        <v>0.19411477004060551</v>
      </c>
      <c r="R24" s="22">
        <f t="shared" si="10"/>
        <v>0.21052367325130275</v>
      </c>
      <c r="S24" s="22">
        <f t="shared" si="10"/>
        <v>0.21777929095888654</v>
      </c>
      <c r="T24" s="22">
        <f t="shared" si="10"/>
        <v>0.24796538598652329</v>
      </c>
      <c r="U24" s="22">
        <f t="shared" si="10"/>
        <v>0.22780475107901407</v>
      </c>
      <c r="V24" s="22">
        <f t="shared" si="10"/>
        <v>0.21395878610958166</v>
      </c>
      <c r="W24" s="22">
        <f t="shared" si="10"/>
        <v>0.20383871250158445</v>
      </c>
      <c r="X24" s="22">
        <f t="shared" si="10"/>
        <v>0.17883180603279289</v>
      </c>
      <c r="Y24" s="22">
        <f t="shared" ref="Y24" si="11">Y23*1000</f>
        <v>0.20553857842484</v>
      </c>
      <c r="Z24" s="22">
        <f t="shared" ref="Z24" si="12">Z23*1000</f>
        <v>0.20555664858706674</v>
      </c>
      <c r="AA24" s="22">
        <f t="shared" ref="AA24" si="13">AA23*1000</f>
        <v>0.2055840705498761</v>
      </c>
      <c r="AB24" s="22">
        <f t="shared" ref="AB24" si="14">AB23*1000</f>
        <v>0.20558993277297813</v>
      </c>
      <c r="AC24" s="22">
        <f t="shared" ref="AC24" si="15">AC23*1000</f>
        <v>0.20558154046339838</v>
      </c>
      <c r="AD24" s="22">
        <f t="shared" ref="AD24" si="16">AD23*1000</f>
        <v>0.20555920075453052</v>
      </c>
      <c r="AE24" s="22">
        <f t="shared" ref="AE24" si="17">AE23*1000</f>
        <v>0.20554681434588834</v>
      </c>
      <c r="AF24" s="22">
        <f t="shared" ref="AF24" si="18">AF23*1000</f>
        <v>0.20553568261268942</v>
      </c>
      <c r="AG24" s="22">
        <f t="shared" ref="AG24" si="19">AG23*1000</f>
        <v>0.20536700164629967</v>
      </c>
      <c r="AH24" s="22">
        <f t="shared" ref="AH24" si="20">AH23*1000</f>
        <v>0.20547267228200342</v>
      </c>
      <c r="AI24" s="22">
        <f t="shared" ref="AI24" si="21">AI23*1000</f>
        <v>0.2055253743452149</v>
      </c>
      <c r="AJ24" s="22">
        <f t="shared" ref="AJ24" si="22">AJ23*1000</f>
        <v>0.2055333338909244</v>
      </c>
      <c r="AK24" s="22">
        <f t="shared" ref="AK24" si="23">AK23*1000</f>
        <v>0.20554033690532306</v>
      </c>
      <c r="AL24" s="22">
        <f t="shared" ref="AL24" si="24">AL23*1000</f>
        <v>0.20555732939185972</v>
      </c>
      <c r="AM24" s="22">
        <f t="shared" ref="AM24" si="25">AM23*1000</f>
        <v>0.20558633421848635</v>
      </c>
      <c r="AN24" s="22">
        <f t="shared" ref="AN24" si="26">AN23*1000</f>
        <v>0.20562133040774361</v>
      </c>
      <c r="AO24" s="22">
        <f t="shared" ref="AO24" si="27">AO23*1000</f>
        <v>0.20566390586231748</v>
      </c>
      <c r="AP24" s="22">
        <f t="shared" ref="AP24" si="28">AP23*1000</f>
        <v>0.20571883936007812</v>
      </c>
      <c r="AQ24" s="22">
        <f t="shared" ref="AQ24" si="29">AQ23*1000</f>
        <v>0.20578541337122852</v>
      </c>
      <c r="AR24" s="22">
        <f t="shared" ref="AR24" si="30">AR23*1000</f>
        <v>0.20585913528332517</v>
      </c>
      <c r="AS24" s="22">
        <f t="shared" ref="AS24" si="31">AS23*1000</f>
        <v>0.20593970358057234</v>
      </c>
      <c r="AT24" s="22">
        <f t="shared" ref="AT24" si="32">AT23*1000</f>
        <v>0.20602462807561658</v>
      </c>
      <c r="AU24" s="22">
        <f t="shared" ref="AU24" si="33">AU23*1000</f>
        <v>0.2061150952293338</v>
      </c>
      <c r="AV24" s="22">
        <f t="shared" ref="AV24" si="34">AV23*1000</f>
        <v>0.20620992042812231</v>
      </c>
      <c r="AW24" s="22">
        <f t="shared" ref="AW24" si="35">AW23*1000</f>
        <v>0.20630477856175403</v>
      </c>
      <c r="AX24" s="22">
        <f t="shared" ref="AX24" si="36">AX23*1000</f>
        <v>0.20640590998474573</v>
      </c>
      <c r="AY24" s="22">
        <f t="shared" ref="AY24" si="37">AY23*1000</f>
        <v>0.20650949337418317</v>
      </c>
      <c r="AZ24" s="22">
        <f t="shared" ref="AZ24" si="38">AZ23*1000</f>
        <v>0.20661524702856943</v>
      </c>
      <c r="BA24" s="22">
        <f t="shared" ref="BA24" si="39">BA23*1000</f>
        <v>0.20672505304123859</v>
      </c>
      <c r="BB24" s="22">
        <f t="shared" ref="BB24" si="40">BB23*1000</f>
        <v>0.20683428907542872</v>
      </c>
      <c r="BC24" s="22">
        <f t="shared" ref="BC24" si="41">BC23*1000</f>
        <v>0.20694946973513142</v>
      </c>
      <c r="BD24" s="22">
        <f t="shared" ref="BD24" si="42">BD23*1000</f>
        <v>0.20707304821527797</v>
      </c>
      <c r="BE24" s="22">
        <f t="shared" ref="BE24" si="43">BE23*1000</f>
        <v>0.20720120547953852</v>
      </c>
      <c r="BF24" s="22">
        <f t="shared" ref="BF24" si="44">BF23*1000</f>
        <v>0.20733435019908786</v>
      </c>
      <c r="BG24" s="22">
        <f t="shared" ref="BG24" si="45">BG23*1000</f>
        <v>0.20747706959026166</v>
      </c>
      <c r="BH24" s="22">
        <f t="shared" ref="BH24" si="46">BH23*1000</f>
        <v>0.20762812539374947</v>
      </c>
      <c r="BI24" s="22">
        <f t="shared" ref="BI24" si="47">BI23*1000</f>
        <v>0.2077867109914662</v>
      </c>
      <c r="BJ24" s="22">
        <f t="shared" ref="BJ24" si="48">BJ23*1000</f>
        <v>0.20795584696877728</v>
      </c>
      <c r="BK24" s="22">
        <f t="shared" ref="BK24" si="49">BK23*1000</f>
        <v>0.20811930162880132</v>
      </c>
      <c r="BP24" t="e">
        <f t="shared" si="0"/>
        <v>#VALUE!</v>
      </c>
      <c r="BQ24">
        <f t="shared" si="1"/>
        <v>0</v>
      </c>
    </row>
    <row r="25" spans="1:69"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c r="BP25" t="e">
        <f t="shared" si="0"/>
        <v>#VALUE!</v>
      </c>
      <c r="BQ25">
        <f t="shared" si="1"/>
        <v>0</v>
      </c>
    </row>
    <row r="26" spans="1:69"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3.4227833607716605</v>
      </c>
      <c r="AH26" s="45">
        <f>(AH19+AH22)*ttokg/Drivers!AI4</f>
        <v>3.4245445380333894</v>
      </c>
      <c r="AI26" s="45">
        <f>(AI19+AI22)*ttokg/Drivers!AJ4</f>
        <v>3.4254229057535817</v>
      </c>
      <c r="AJ26" s="45">
        <f>(AJ19+AJ22)*ttokg/Drivers!AK4</f>
        <v>3.4255555648487395</v>
      </c>
      <c r="AK26" s="45">
        <f>(AK19+AK22)*ttokg/Drivers!AL4</f>
        <v>3.4256722817553835</v>
      </c>
      <c r="AL26" s="45">
        <f>(AL19+AL22)*ttokg/Drivers!AM4</f>
        <v>3.4259554898643279</v>
      </c>
      <c r="AM26" s="45">
        <f>(AM19+AM22)*ttokg/Drivers!AN4</f>
        <v>3.4264389036414387</v>
      </c>
      <c r="AN26" s="45">
        <f>(AN19+AN22)*ttokg/Drivers!AO4</f>
        <v>3.4270221734623929</v>
      </c>
      <c r="AO26" s="45">
        <f>(AO19+AO22)*ttokg/Drivers!AP4</f>
        <v>3.4277317643719569</v>
      </c>
      <c r="AP26" s="45">
        <f>(AP19+AP22)*ttokg/Drivers!AQ4</f>
        <v>3.4286473226679686</v>
      </c>
      <c r="AQ26" s="45">
        <f>(AQ19+AQ22)*ttokg/Drivers!AR4</f>
        <v>3.4297568895204744</v>
      </c>
      <c r="AR26" s="45">
        <f>(AR19+AR22)*ttokg/Drivers!AS4</f>
        <v>3.4309855880554188</v>
      </c>
      <c r="AS26" s="45">
        <f>(AS19+AS22)*ttokg/Drivers!AT4</f>
        <v>3.4323283930095378</v>
      </c>
      <c r="AT26" s="45">
        <f>(AT19+AT22)*ttokg/Drivers!AU4</f>
        <v>3.4337438012602752</v>
      </c>
      <c r="AU26" s="45">
        <f>(AU19+AU22)*ttokg/Drivers!AV4</f>
        <v>3.4352515871555624</v>
      </c>
      <c r="AV26" s="45">
        <f>(AV19+AV22)*ttokg/Drivers!AW4</f>
        <v>3.4368320071353704</v>
      </c>
      <c r="AW26" s="45">
        <f>(AW19+AW22)*ttokg/Drivers!AX4</f>
        <v>3.438412976029233</v>
      </c>
      <c r="AX26" s="45">
        <f>(AX19+AX22)*ttokg/Drivers!AY4</f>
        <v>3.4400984997457611</v>
      </c>
      <c r="AY26" s="45">
        <f>(AY19+AY22)*ttokg/Drivers!AZ4</f>
        <v>3.4418248895697188</v>
      </c>
      <c r="AZ26" s="45">
        <f>(AZ19+AZ22)*ttokg/Drivers!BA4</f>
        <v>3.4435874504761563</v>
      </c>
      <c r="BA26" s="45">
        <f>(BA19+BA22)*ttokg/Drivers!BB4</f>
        <v>3.4454175506873082</v>
      </c>
      <c r="BB26" s="45">
        <f>(BB19+BB22)*ttokg/Drivers!BC4</f>
        <v>3.4472381512571442</v>
      </c>
      <c r="BC26" s="45">
        <f>(BC19+BC22)*ttokg/Drivers!BD4</f>
        <v>3.4491578289188563</v>
      </c>
      <c r="BD26" s="45">
        <f>(BD19+BD22)*ttokg/Drivers!BE4</f>
        <v>3.4512174702546314</v>
      </c>
      <c r="BE26" s="45">
        <f>(BE19+BE22)*ttokg/Drivers!BF4</f>
        <v>3.4533534246589745</v>
      </c>
      <c r="BF26" s="45">
        <f>(BF19+BF22)*ttokg/Drivers!BG4</f>
        <v>3.4555725033181295</v>
      </c>
      <c r="BG26" s="45">
        <f>(BG19+BG22)*ttokg/Drivers!BH4</f>
        <v>3.4579511598376933</v>
      </c>
      <c r="BH26" s="45">
        <f>(BH19+BH22)*ttokg/Drivers!BI4</f>
        <v>3.4604687565624901</v>
      </c>
      <c r="BI26" s="45">
        <f>(BI19+BI22)*ttokg/Drivers!BJ4</f>
        <v>3.4631118498577687</v>
      </c>
      <c r="BJ26" s="45">
        <f>(BJ19+BJ22)*ttokg/Drivers!BK4</f>
        <v>3.4659307828129529</v>
      </c>
      <c r="BK26" s="45">
        <f>(BK19+BK22)*ttokg/Drivers!BL4</f>
        <v>3.4686550271466872</v>
      </c>
      <c r="BP26" t="e">
        <f t="shared" si="0"/>
        <v>#VALUE!</v>
      </c>
      <c r="BQ26">
        <f t="shared" si="1"/>
        <v>0</v>
      </c>
    </row>
    <row r="27" spans="1:69"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164543.25277273025</v>
      </c>
      <c r="AH27" s="22">
        <f>((Data!$AJ$23*'Intermediate calculations'!AH19)+Data!$AK$23)</f>
        <v>165683.50681876432</v>
      </c>
      <c r="AI27" s="22">
        <f>((Data!$AJ$23*'Intermediate calculations'!AI19)+Data!$AK$23)</f>
        <v>166633.4460525896</v>
      </c>
      <c r="AJ27" s="22">
        <f>((Data!$AJ$23*'Intermediate calculations'!AJ19)+Data!$AK$23)</f>
        <v>167594.57812653328</v>
      </c>
      <c r="AK27" s="22">
        <f>((Data!$AJ$23*'Intermediate calculations'!AK19)+Data!$AK$23)</f>
        <v>168711.7096264404</v>
      </c>
      <c r="AL27" s="22">
        <f>((Data!$AJ$23*'Intermediate calculations'!AL19)+Data!$AK$23)</f>
        <v>169921.0633734467</v>
      </c>
      <c r="AM27" s="22">
        <f>((Data!$AJ$23*'Intermediate calculations'!AM19)+Data!$AK$23)</f>
        <v>171098.88329462041</v>
      </c>
      <c r="AN27" s="22">
        <f>((Data!$AJ$23*'Intermediate calculations'!AN19)+Data!$AK$23)</f>
        <v>172247.1563762998</v>
      </c>
      <c r="AO27" s="22">
        <f>((Data!$AJ$23*'Intermediate calculations'!AO19)+Data!$AK$23)</f>
        <v>173366.47998775408</v>
      </c>
      <c r="AP27" s="22">
        <f>((Data!$AJ$23*'Intermediate calculations'!AP19)+Data!$AK$23)</f>
        <v>174463.25293849502</v>
      </c>
      <c r="AQ27" s="22">
        <f>((Data!$AJ$23*'Intermediate calculations'!AQ19)+Data!$AK$23)</f>
        <v>175542.14538688303</v>
      </c>
      <c r="AR27" s="22">
        <f>((Data!$AJ$23*'Intermediate calculations'!AR19)+Data!$AK$23)</f>
        <v>176601.40022609249</v>
      </c>
      <c r="AS27" s="22">
        <f>((Data!$AJ$23*'Intermediate calculations'!AS19)+Data!$AK$23)</f>
        <v>177645.42803425243</v>
      </c>
      <c r="AT27" s="22">
        <f>((Data!$AJ$23*'Intermediate calculations'!AT19)+Data!$AK$23)</f>
        <v>178674.14974875216</v>
      </c>
      <c r="AU27" s="22">
        <f>((Data!$AJ$23*'Intermediate calculations'!AU19)+Data!$AK$23)</f>
        <v>179686.18613915026</v>
      </c>
      <c r="AV27" s="22">
        <f>((Data!$AJ$23*'Intermediate calculations'!AV19)+Data!$AK$23)</f>
        <v>180683.22519395081</v>
      </c>
      <c r="AW27" s="22">
        <f>((Data!$AJ$23*'Intermediate calculations'!AW19)+Data!$AK$23)</f>
        <v>181666.08384763403</v>
      </c>
      <c r="AX27" s="22">
        <f>((Data!$AJ$23*'Intermediate calculations'!AX19)+Data!$AK$23)</f>
        <v>182636.1154493308</v>
      </c>
      <c r="AY27" s="22">
        <f>((Data!$AJ$23*'Intermediate calculations'!AY19)+Data!$AK$23)</f>
        <v>183586.26741943171</v>
      </c>
      <c r="AZ27" s="22">
        <f>((Data!$AJ$23*'Intermediate calculations'!AZ19)+Data!$AK$23)</f>
        <v>184516.62757341765</v>
      </c>
      <c r="BA27" s="22">
        <f>((Data!$AJ$23*'Intermediate calculations'!BA19)+Data!$AK$23)</f>
        <v>185429.66965479963</v>
      </c>
      <c r="BB27" s="22">
        <f>((Data!$AJ$23*'Intermediate calculations'!BB19)+Data!$AK$23)</f>
        <v>186324.01769070726</v>
      </c>
      <c r="BC27" s="22">
        <f>((Data!$AJ$23*'Intermediate calculations'!BC19)+Data!$AK$23)</f>
        <v>187200.34934515506</v>
      </c>
      <c r="BD27" s="22">
        <f>((Data!$AJ$23*'Intermediate calculations'!BD19)+Data!$AK$23)</f>
        <v>188058.01529536198</v>
      </c>
      <c r="BE27" s="22">
        <f>((Data!$AJ$23*'Intermediate calculations'!BE19)+Data!$AK$23)</f>
        <v>188894.46168114556</v>
      </c>
      <c r="BF27" s="22">
        <f>((Data!$AJ$23*'Intermediate calculations'!BF19)+Data!$AK$23)</f>
        <v>189707.28461242424</v>
      </c>
      <c r="BG27" s="22">
        <f>((Data!$AJ$23*'Intermediate calculations'!BG19)+Data!$AK$23)</f>
        <v>190496.47045275947</v>
      </c>
      <c r="BH27" s="22">
        <f>((Data!$AJ$23*'Intermediate calculations'!BH19)+Data!$AK$23)</f>
        <v>191260.98899524854</v>
      </c>
      <c r="BI27" s="22">
        <f>((Data!$AJ$23*'Intermediate calculations'!BI19)+Data!$AK$23)</f>
        <v>192000.89191605072</v>
      </c>
      <c r="BJ27" s="22">
        <f>((Data!$AJ$23*'Intermediate calculations'!BJ19)+Data!$AK$23)</f>
        <v>192718.57858161139</v>
      </c>
      <c r="BK27" s="22">
        <f>((Data!$AJ$23*'Intermediate calculations'!BK19)+Data!$AK$23)</f>
        <v>193400.48592066637</v>
      </c>
      <c r="BP27">
        <f t="shared" si="0"/>
        <v>7</v>
      </c>
      <c r="BQ27">
        <f t="shared" si="1"/>
        <v>1</v>
      </c>
    </row>
    <row r="28" spans="1:69"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c r="BP28">
        <f t="shared" si="0"/>
        <v>12</v>
      </c>
      <c r="BQ28">
        <f t="shared" si="1"/>
        <v>1</v>
      </c>
    </row>
    <row r="29" spans="1:69"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238588.45125065104</v>
      </c>
      <c r="AA29" s="22">
        <f>((Data!$AJ$9*'Intermediate calculations'!AA4)+Data!$AK$9)*Drivers!AB4</f>
        <v>245792.32692559357</v>
      </c>
      <c r="AB29" s="22">
        <f>((Data!$AJ$9*'Intermediate calculations'!AB4)+Data!$AK$9)*Drivers!AC4</f>
        <v>250389.30527292372</v>
      </c>
      <c r="AC29" s="22">
        <f>((Data!$AJ$9*'Intermediate calculations'!AC4)+Data!$AK$9)*Drivers!AD4</f>
        <v>253237.16816783993</v>
      </c>
      <c r="AD29" s="22">
        <f>((Data!$AJ$9*'Intermediate calculations'!AD4)+Data!$AK$9)*Drivers!AE4</f>
        <v>254291.65168168265</v>
      </c>
      <c r="AE29" s="22">
        <f>((Data!$AJ$9*'Intermediate calculations'!AE4)+Data!$AK$9)*Drivers!AF4</f>
        <v>256684.1988097</v>
      </c>
      <c r="AF29" s="22">
        <f>((Data!$AJ$9*'Intermediate calculations'!AF4)+Data!$AK$9)*Drivers!AG4</f>
        <v>259264.6459319139</v>
      </c>
      <c r="AG29" s="22">
        <f>((Data!$AJ$9*'Intermediate calculations'!AG4)+Data!$AK$9)*Drivers!AH4</f>
        <v>237229.13034537897</v>
      </c>
      <c r="AH29" s="22">
        <f>((Data!$AJ$9*'Intermediate calculations'!AH4)+Data!$AK$9)*Drivers!AI4</f>
        <v>254782.07290900993</v>
      </c>
      <c r="AI29" s="22">
        <f>((Data!$AJ$9*'Intermediate calculations'!AI4)+Data!$AK$9)*Drivers!AJ4</f>
        <v>264564.41944280121</v>
      </c>
      <c r="AJ29" s="22">
        <f>((Data!$AJ$9*'Intermediate calculations'!AJ4)+Data!$AK$9)*Drivers!AK4</f>
        <v>268026.50420141057</v>
      </c>
      <c r="AK29" s="22">
        <f>((Data!$AJ$9*'Intermediate calculations'!AK4)+Data!$AK$9)*Drivers!AL4</f>
        <v>271746.77921243547</v>
      </c>
      <c r="AL29" s="22">
        <f>((Data!$AJ$9*'Intermediate calculations'!AL4)+Data!$AK$9)*Drivers!AM4</f>
        <v>277187.55184569338</v>
      </c>
      <c r="AM29" s="22">
        <f>((Data!$AJ$9*'Intermediate calculations'!AM4)+Data!$AK$9)*Drivers!AN4</f>
        <v>284396.37375430966</v>
      </c>
      <c r="AN29" s="22">
        <f>((Data!$AJ$9*'Intermediate calculations'!AN4)+Data!$AK$9)*Drivers!AO4</f>
        <v>292521.2839304494</v>
      </c>
      <c r="AO29" s="22">
        <f>((Data!$AJ$9*'Intermediate calculations'!AO4)+Data!$AK$9)*Drivers!AP4</f>
        <v>301827.17071659549</v>
      </c>
      <c r="AP29" s="22">
        <f>((Data!$AJ$9*'Intermediate calculations'!AP4)+Data!$AK$9)*Drivers!AQ4</f>
        <v>313090.96277145197</v>
      </c>
      <c r="AQ29" s="22">
        <f>((Data!$AJ$9*'Intermediate calculations'!AQ4)+Data!$AK$9)*Drivers!AR4</f>
        <v>326259.3896379802</v>
      </c>
      <c r="AR29" s="22">
        <f>((Data!$AJ$9*'Intermediate calculations'!AR4)+Data!$AK$9)*Drivers!AS4</f>
        <v>340667.39581854997</v>
      </c>
      <c r="AS29" s="22">
        <f>((Data!$AJ$9*'Intermediate calculations'!AS4)+Data!$AK$9)*Drivers!AT4</f>
        <v>356301.84029059968</v>
      </c>
      <c r="AT29" s="22">
        <f>((Data!$AJ$9*'Intermediate calculations'!AT4)+Data!$AK$9)*Drivers!AU4</f>
        <v>372788.29286468209</v>
      </c>
      <c r="AU29" s="22">
        <f>((Data!$AJ$9*'Intermediate calculations'!AU4)+Data!$AK$9)*Drivers!AV4</f>
        <v>390322.15751763969</v>
      </c>
      <c r="AV29" s="22">
        <f>((Data!$AJ$9*'Intermediate calculations'!AV4)+Data!$AK$9)*Drivers!AW4</f>
        <v>408731.91291229194</v>
      </c>
      <c r="AW29" s="22">
        <f>((Data!$AJ$9*'Intermediate calculations'!AW4)+Data!$AK$9)*Drivers!AX4</f>
        <v>427329.40632779052</v>
      </c>
      <c r="AX29" s="22">
        <f>((Data!$AJ$9*'Intermediate calculations'!AX4)+Data!$AK$9)*Drivers!AY4</f>
        <v>447130.95163485134</v>
      </c>
      <c r="AY29" s="22">
        <f>((Data!$AJ$9*'Intermediate calculations'!AY4)+Data!$AK$9)*Drivers!AZ4</f>
        <v>467499.01853694796</v>
      </c>
      <c r="AZ29" s="22">
        <f>((Data!$AJ$9*'Intermediate calculations'!AZ4)+Data!$AK$9)*Drivers!BA4</f>
        <v>488386.93093045685</v>
      </c>
      <c r="BA29" s="22">
        <f>((Data!$AJ$9*'Intermediate calculations'!BA4)+Data!$AK$9)*Drivers!BB4</f>
        <v>510115.26339774142</v>
      </c>
      <c r="BB29" s="22">
        <f>((Data!$AJ$9*'Intermediate calculations'!BB4)+Data!$AK$9)*Drivers!BC4</f>
        <v>531910.74570097507</v>
      </c>
      <c r="BC29" s="22">
        <f>((Data!$AJ$9*'Intermediate calculations'!BC4)+Data!$AK$9)*Drivers!BD4</f>
        <v>554860.62991366349</v>
      </c>
      <c r="BD29" s="22">
        <f>((Data!$AJ$9*'Intermediate calculations'!BD4)+Data!$AK$9)*Drivers!BE4</f>
        <v>579384.71293879999</v>
      </c>
      <c r="BE29" s="22">
        <f>((Data!$AJ$9*'Intermediate calculations'!BE4)+Data!$AK$9)*Drivers!BF4</f>
        <v>604836.45363416418</v>
      </c>
      <c r="BF29" s="22">
        <f>((Data!$AJ$9*'Intermediate calculations'!BF4)+Data!$AK$9)*Drivers!BG4</f>
        <v>631275.09671496914</v>
      </c>
      <c r="BG29" s="22">
        <f>((Data!$AJ$9*'Intermediate calculations'!BG4)+Data!$AK$9)*Drivers!BH4</f>
        <v>659486.28878492385</v>
      </c>
      <c r="BH29" s="22">
        <f>((Data!$AJ$9*'Intermediate calculations'!BH4)+Data!$AK$9)*Drivers!BI4</f>
        <v>689260.47920872376</v>
      </c>
      <c r="BI29" s="22">
        <f>((Data!$AJ$9*'Intermediate calculations'!BI4)+Data!$AK$9)*Drivers!BJ4</f>
        <v>720461.94464395905</v>
      </c>
      <c r="BJ29" s="22">
        <f>((Data!$AJ$9*'Intermediate calculations'!BJ4)+Data!$AK$9)*Drivers!BK4</f>
        <v>753627.51056895894</v>
      </c>
      <c r="BK29" s="22">
        <f>((Data!$AJ$9*'Intermediate calculations'!BK4)+Data!$AK$9)*Drivers!BL4</f>
        <v>785860.41147395526</v>
      </c>
      <c r="BP29" t="e">
        <f t="shared" si="0"/>
        <v>#VALUE!</v>
      </c>
      <c r="BQ29">
        <f t="shared" si="1"/>
        <v>0</v>
      </c>
    </row>
    <row r="30" spans="1:69"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4.5591085416729999</v>
      </c>
      <c r="AB30" s="45">
        <f>AB29*ttokg/Drivers!AC4</f>
        <v>4.5732795927157337</v>
      </c>
      <c r="AC30" s="45">
        <f>AC29*ttokg/Drivers!AD4</f>
        <v>4.5529924345249393</v>
      </c>
      <c r="AD30" s="45">
        <f>AD29*ttokg/Drivers!AE4</f>
        <v>4.4989895163257341</v>
      </c>
      <c r="AE30" s="45">
        <f>AE29*ttokg/Drivers!AF4</f>
        <v>4.4690472186600516</v>
      </c>
      <c r="AF30" s="45">
        <f>AF29*ttokg/Drivers!AG4</f>
        <v>4.4421379119670723</v>
      </c>
      <c r="AG30" s="45">
        <f>AG29*ttokg/Drivers!AH4</f>
        <v>4.0343768044434833</v>
      </c>
      <c r="AH30" s="45">
        <f>AH29*ttokg/Drivers!AI4</f>
        <v>4.2898198243021746</v>
      </c>
      <c r="AI30" s="45">
        <f>AI29*ttokg/Drivers!AJ4</f>
        <v>4.4172192109895896</v>
      </c>
      <c r="AJ30" s="45">
        <f>AJ29*ttokg/Drivers!AK4</f>
        <v>4.436460226993713</v>
      </c>
      <c r="AK30" s="45">
        <f>AK29*ttokg/Drivers!AL4</f>
        <v>4.453388971050031</v>
      </c>
      <c r="AL30" s="45">
        <f>AL29*ttokg/Drivers!AM4</f>
        <v>4.4944657758494886</v>
      </c>
      <c r="AM30" s="45">
        <f>AM29*ttokg/Drivers!AN4</f>
        <v>4.5645806233153898</v>
      </c>
      <c r="AN30" s="45">
        <f>AN29*ttokg/Drivers!AO4</f>
        <v>4.6491786973960174</v>
      </c>
      <c r="AO30" s="45">
        <f>AO29*ttokg/Drivers!AP4</f>
        <v>4.7520985162820839</v>
      </c>
      <c r="AP30" s="45">
        <f>AP29*ttokg/Drivers!AQ4</f>
        <v>4.8848920635710833</v>
      </c>
      <c r="AQ30" s="45">
        <f>AQ29*ttokg/Drivers!AR4</f>
        <v>5.0458248178703791</v>
      </c>
      <c r="AR30" s="45">
        <f>AR29*ttokg/Drivers!AS4</f>
        <v>5.22403655787092</v>
      </c>
      <c r="AS30" s="45">
        <f>AS29*ttokg/Drivers!AT4</f>
        <v>5.4187984140537946</v>
      </c>
      <c r="AT30" s="45">
        <f>AT29*ttokg/Drivers!AU4</f>
        <v>5.6240907294601143</v>
      </c>
      <c r="AU30" s="45">
        <f>AU29*ttokg/Drivers!AV4</f>
        <v>5.8427815965078898</v>
      </c>
      <c r="AV30" s="45">
        <f>AV29*ttokg/Drivers!AW4</f>
        <v>6.0720073882893502</v>
      </c>
      <c r="AW30" s="45">
        <f>AW29*ttokg/Drivers!AX4</f>
        <v>6.3013127951478678</v>
      </c>
      <c r="AX30" s="45">
        <f>AX29*ttokg/Drivers!AY4</f>
        <v>6.5457829444903526</v>
      </c>
      <c r="AY30" s="45">
        <f>AY29*ttokg/Drivers!AZ4</f>
        <v>6.7961803574412842</v>
      </c>
      <c r="AZ30" s="45">
        <f>AZ29*ttokg/Drivers!BA4</f>
        <v>7.0518240625975119</v>
      </c>
      <c r="BA30" s="45">
        <f>BA29*ttokg/Drivers!BB4</f>
        <v>7.3172637402151226</v>
      </c>
      <c r="BB30" s="45">
        <f>BB29*ttokg/Drivers!BC4</f>
        <v>7.5813255797704828</v>
      </c>
      <c r="BC30" s="45">
        <f>BC29*ttokg/Drivers!BD4</f>
        <v>7.859757665920414</v>
      </c>
      <c r="BD30" s="45">
        <f>BD29*ttokg/Drivers!BE4</f>
        <v>8.158490231953941</v>
      </c>
      <c r="BE30" s="45">
        <f>BE29*ttokg/Drivers!BF4</f>
        <v>8.4682913264730431</v>
      </c>
      <c r="BF30" s="45">
        <f>BF29*ttokg/Drivers!BG4</f>
        <v>8.7901488511619981</v>
      </c>
      <c r="BG30" s="45">
        <f>BG29*ttokg/Drivers!BH4</f>
        <v>9.1351517181461581</v>
      </c>
      <c r="BH30" s="45">
        <f>BH29*ttokg/Drivers!BI4</f>
        <v>9.5003066200082991</v>
      </c>
      <c r="BI30" s="45">
        <f>BI29*ttokg/Drivers!BJ4</f>
        <v>9.8836636776910805</v>
      </c>
      <c r="BJ30" s="45">
        <f>BJ29*ttokg/Drivers!BK4</f>
        <v>10.292524706333127</v>
      </c>
      <c r="BK30" s="45">
        <f>BK29*ttokg/Drivers!BL4</f>
        <v>10.687651996790406</v>
      </c>
      <c r="BP30" t="e">
        <f t="shared" si="0"/>
        <v>#VALUE!</v>
      </c>
      <c r="BQ30">
        <f t="shared" si="1"/>
        <v>0</v>
      </c>
    </row>
    <row r="31" spans="1:69"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0.1764340573864332</v>
      </c>
      <c r="AP31" s="45"/>
      <c r="AQ31" s="45">
        <f>(AQ32-AE32)/AE32</f>
        <v>0.25596404907405873</v>
      </c>
      <c r="AR31" s="45"/>
      <c r="AS31" s="45"/>
      <c r="AT31" s="45"/>
      <c r="AU31" s="45"/>
      <c r="AV31" s="45"/>
      <c r="AW31" s="45"/>
      <c r="AX31" s="45"/>
      <c r="AY31" s="45"/>
      <c r="AZ31" s="45"/>
      <c r="BA31" s="45"/>
      <c r="BB31" s="45"/>
      <c r="BC31" s="45"/>
      <c r="BD31" s="45"/>
      <c r="BE31" s="45"/>
      <c r="BF31" s="45"/>
      <c r="BG31" s="45"/>
      <c r="BH31" s="45"/>
      <c r="BI31" s="45"/>
      <c r="BJ31" s="45"/>
      <c r="BK31" s="45"/>
      <c r="BP31" t="e">
        <f t="shared" si="0"/>
        <v>#VALUE!</v>
      </c>
      <c r="BQ31">
        <f t="shared" si="1"/>
        <v>0</v>
      </c>
    </row>
    <row r="32" spans="1:69"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215157.29984140495</v>
      </c>
      <c r="AA32" s="22">
        <f>((Data!$AJ$26*'Intermediate calculations'!AA29)+Data!$AK$26)</f>
        <v>221266.25183821376</v>
      </c>
      <c r="AB32" s="22">
        <f>((Data!$AJ$26*'Intermediate calculations'!AB29)+Data!$AK$26)</f>
        <v>225164.53122577877</v>
      </c>
      <c r="AC32" s="22">
        <f>((Data!$AJ$26*'Intermediate calculations'!AC29)+Data!$AK$26)</f>
        <v>227579.54482450732</v>
      </c>
      <c r="AD32" s="22">
        <f>((Data!$AJ$26*'Intermediate calculations'!AD29)+Data!$AK$26)</f>
        <v>228473.75642089816</v>
      </c>
      <c r="AE32" s="22">
        <f>((Data!$AJ$26*'Intermediate calculations'!AE29)+Data!$AK$26)</f>
        <v>230502.65811419082</v>
      </c>
      <c r="AF32" s="22">
        <f>((Data!$AJ$26*'Intermediate calculations'!AF29)+Data!$AK$26)</f>
        <v>232690.90070904014</v>
      </c>
      <c r="AG32" s="22">
        <f>((Data!$AJ$26*'Intermediate calculations'!AG29)+Data!$AK$26)</f>
        <v>214004.58336859714</v>
      </c>
      <c r="AH32" s="22">
        <f>((Data!$AJ$26*'Intermediate calculations'!AH29)+Data!$AK$26)</f>
        <v>228889.63807559959</v>
      </c>
      <c r="AI32" s="22">
        <f>((Data!$AJ$26*'Intermediate calculations'!AI29)+Data!$AK$26)</f>
        <v>237185.15677797596</v>
      </c>
      <c r="AJ32" s="22">
        <f>((Data!$AJ$26*'Intermediate calculations'!AJ29)+Data!$AK$26)</f>
        <v>240121.03609538198</v>
      </c>
      <c r="AK32" s="22">
        <f>((Data!$AJ$26*'Intermediate calculations'!AK29)+Data!$AK$26)</f>
        <v>243275.86309167932</v>
      </c>
      <c r="AL32" s="22">
        <f>((Data!$AJ$26*'Intermediate calculations'!AL29)+Data!$AK$26)</f>
        <v>247889.68769691707</v>
      </c>
      <c r="AM32" s="22">
        <f>((Data!$AJ$26*'Intermediate calculations'!AM29)+Data!$AK$26)</f>
        <v>254002.83414480215</v>
      </c>
      <c r="AN32" s="22">
        <f>((Data!$AJ$26*'Intermediate calculations'!AN29)+Data!$AK$26)</f>
        <v>260892.8317633156</v>
      </c>
      <c r="AO32" s="22">
        <f>((Data!$AJ$26*'Intermediate calculations'!AO29)+Data!$AK$26)</f>
        <v>268784.30827255687</v>
      </c>
      <c r="AP32" s="22">
        <f>((Data!$AJ$26*'Intermediate calculations'!AP29)+Data!$AK$26)</f>
        <v>278336.1062310501</v>
      </c>
      <c r="AQ32" s="22">
        <f>((Data!$AJ$26*'Intermediate calculations'!AQ29)+Data!$AK$26)</f>
        <v>289503.05180743255</v>
      </c>
      <c r="AR32" s="22">
        <f>((Data!$AJ$26*'Intermediate calculations'!AR29)+Data!$AK$26)</f>
        <v>301721.17189978505</v>
      </c>
      <c r="AS32" s="22">
        <f>((Data!$AJ$26*'Intermediate calculations'!AS29)+Data!$AK$26)</f>
        <v>314979.32280163094</v>
      </c>
      <c r="AT32" s="22">
        <f>((Data!$AJ$26*'Intermediate calculations'!AT29)+Data!$AK$26)</f>
        <v>328959.98431180313</v>
      </c>
      <c r="AU32" s="22">
        <f>((Data!$AJ$26*'Intermediate calculations'!AU29)+Data!$AK$26)</f>
        <v>343828.86077729193</v>
      </c>
      <c r="AV32" s="22">
        <f>((Data!$AJ$26*'Intermediate calculations'!AV29)+Data!$AK$26)</f>
        <v>359440.50054643885</v>
      </c>
      <c r="AW32" s="22">
        <f>((Data!$AJ$26*'Intermediate calculations'!AW29)+Data!$AK$26)</f>
        <v>375211.34386227035</v>
      </c>
      <c r="AX32" s="22">
        <f>((Data!$AJ$26*'Intermediate calculations'!AX29)+Data!$AK$26)</f>
        <v>392003.2341171552</v>
      </c>
      <c r="AY32" s="22">
        <f>((Data!$AJ$26*'Intermediate calculations'!AY29)+Data!$AK$26)</f>
        <v>409275.53982968978</v>
      </c>
      <c r="AZ32" s="22">
        <f>((Data!$AJ$26*'Intermediate calculations'!AZ29)+Data!$AK$26)</f>
        <v>426988.67924009624</v>
      </c>
      <c r="BA32" s="22">
        <f>((Data!$AJ$26*'Intermediate calculations'!BA29)+Data!$AK$26)</f>
        <v>445414.50250562653</v>
      </c>
      <c r="BB32" s="22">
        <f>((Data!$AJ$26*'Intermediate calculations'!BB29)+Data!$AK$26)</f>
        <v>463897.26944188587</v>
      </c>
      <c r="BC32" s="22">
        <f>((Data!$AJ$26*'Intermediate calculations'!BC29)+Data!$AK$26)</f>
        <v>483358.97968145809</v>
      </c>
      <c r="BD32" s="22">
        <f>((Data!$AJ$26*'Intermediate calculations'!BD29)+Data!$AK$26)</f>
        <v>504155.62481061043</v>
      </c>
      <c r="BE32" s="22">
        <f>((Data!$AJ$26*'Intermediate calculations'!BE29)+Data!$AK$26)</f>
        <v>525738.93206895585</v>
      </c>
      <c r="BF32" s="22">
        <f>((Data!$AJ$26*'Intermediate calculations'!BF29)+Data!$AK$26)</f>
        <v>548159.14151304611</v>
      </c>
      <c r="BG32" s="22">
        <f>((Data!$AJ$26*'Intermediate calculations'!BG29)+Data!$AK$26)</f>
        <v>572082.4885979445</v>
      </c>
      <c r="BH32" s="22">
        <f>((Data!$AJ$26*'Intermediate calculations'!BH29)+Data!$AK$26)</f>
        <v>597331.27248180693</v>
      </c>
      <c r="BI32" s="22">
        <f>((Data!$AJ$26*'Intermediate calculations'!BI29)+Data!$AK$26)</f>
        <v>623790.39853765222</v>
      </c>
      <c r="BJ32" s="22">
        <f>((Data!$AJ$26*'Intermediate calculations'!BJ29)+Data!$AK$26)</f>
        <v>651915.09964646737</v>
      </c>
      <c r="BK32" s="22">
        <f>((Data!$AJ$26*'Intermediate calculations'!BK29)+Data!$AK$26)</f>
        <v>679248.89234800346</v>
      </c>
      <c r="BP32">
        <f t="shared" si="0"/>
        <v>7</v>
      </c>
      <c r="BQ32">
        <f t="shared" si="1"/>
        <v>1</v>
      </c>
    </row>
    <row r="33" spans="1:69"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c r="BP33">
        <f t="shared" si="0"/>
        <v>12</v>
      </c>
      <c r="BQ33">
        <f t="shared" si="1"/>
        <v>1</v>
      </c>
    </row>
    <row r="34" spans="1:69"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450995.02687358484</v>
      </c>
      <c r="AD34" s="22">
        <f>((Data!$AJ$10*'Intermediate calculations'!AD4)+Data!$AK$10)*Drivers!AE4</f>
        <v>455503.05642644467</v>
      </c>
      <c r="AE34" s="22">
        <f>((Data!$AJ$10*'Intermediate calculations'!AE4)+Data!$AK$10)*Drivers!AF4</f>
        <v>461288.37157907069</v>
      </c>
      <c r="AF34" s="22">
        <f>((Data!$AJ$10*'Intermediate calculations'!AF4)+Data!$AK$10)*Drivers!AG4</f>
        <v>467304.40661090257</v>
      </c>
      <c r="AG34" s="22">
        <f>((Data!$AJ$10*'Intermediate calculations'!AG4)+Data!$AK$10)*Drivers!AH4</f>
        <v>448762.74872100045</v>
      </c>
      <c r="AH34" s="22">
        <f>((Data!$AJ$10*'Intermediate calculations'!AH4)+Data!$AK$10)*Drivers!AI4</f>
        <v>467214.43616205576</v>
      </c>
      <c r="AI34" s="22">
        <f>((Data!$AJ$10*'Intermediate calculations'!AI4)+Data!$AK$10)*Drivers!AJ4</f>
        <v>478174.93377689586</v>
      </c>
      <c r="AJ34" s="22">
        <f>((Data!$AJ$10*'Intermediate calculations'!AJ4)+Data!$AK$10)*Drivers!AK4</f>
        <v>483399.91291120608</v>
      </c>
      <c r="AK34" s="22">
        <f>((Data!$AJ$10*'Intermediate calculations'!AK4)+Data!$AK$10)*Drivers!AL4</f>
        <v>489196.15678933391</v>
      </c>
      <c r="AL34" s="22">
        <f>((Data!$AJ$10*'Intermediate calculations'!AL4)+Data!$AK$10)*Drivers!AM4</f>
        <v>496758.90177202277</v>
      </c>
      <c r="AM34" s="22">
        <f>((Data!$AJ$10*'Intermediate calculations'!AM4)+Data!$AK$10)*Drivers!AN4</f>
        <v>505864.94702739932</v>
      </c>
      <c r="AN34" s="22">
        <f>((Data!$AJ$10*'Intermediate calculations'!AN4)+Data!$AK$10)*Drivers!AO4</f>
        <v>515742.18391668564</v>
      </c>
      <c r="AO34" s="22">
        <f>((Data!$AJ$10*'Intermediate calculations'!AO4)+Data!$AK$10)*Drivers!AP4</f>
        <v>526633.2904893196</v>
      </c>
      <c r="AP34" s="22">
        <f>((Data!$AJ$10*'Intermediate calculations'!AP4)+Data!$AK$10)*Drivers!AQ4</f>
        <v>539260.05931457574</v>
      </c>
      <c r="AQ34" s="22">
        <f>((Data!$AJ$10*'Intermediate calculations'!AQ4)+Data!$AK$10)*Drivers!AR4</f>
        <v>553584.00343433814</v>
      </c>
      <c r="AR34" s="22">
        <f>((Data!$AJ$10*'Intermediate calculations'!AR4)+Data!$AK$10)*Drivers!AS4</f>
        <v>568995.27663216717</v>
      </c>
      <c r="AS34" s="22">
        <f>((Data!$AJ$10*'Intermediate calculations'!AS4)+Data!$AK$10)*Drivers!AT4</f>
        <v>585491.4026533264</v>
      </c>
      <c r="AT34" s="22">
        <f>((Data!$AJ$10*'Intermediate calculations'!AT4)+Data!$AK$10)*Drivers!AU4</f>
        <v>602730.99476375768</v>
      </c>
      <c r="AU34" s="22">
        <f>((Data!$AJ$10*'Intermediate calculations'!AU4)+Data!$AK$10)*Drivers!AV4</f>
        <v>620889.15322160162</v>
      </c>
      <c r="AV34" s="22">
        <f>((Data!$AJ$10*'Intermediate calculations'!AV4)+Data!$AK$10)*Drivers!AW4</f>
        <v>639813.20687967143</v>
      </c>
      <c r="AW34" s="22">
        <f>((Data!$AJ$10*'Intermediate calculations'!AW4)+Data!$AK$10)*Drivers!AX4</f>
        <v>658877.80486453488</v>
      </c>
      <c r="AX34" s="22">
        <f>((Data!$AJ$10*'Intermediate calculations'!AX4)+Data!$AK$10)*Drivers!AY4</f>
        <v>679012.02390641766</v>
      </c>
      <c r="AY34" s="22">
        <f>((Data!$AJ$10*'Intermediate calculations'!AY4)+Data!$AK$10)*Drivers!AZ4</f>
        <v>699619.69647274015</v>
      </c>
      <c r="AZ34" s="22">
        <f>((Data!$AJ$10*'Intermediate calculations'!AZ4)+Data!$AK$10)*Drivers!BA4</f>
        <v>720658.47598047613</v>
      </c>
      <c r="BA34" s="22">
        <f>((Data!$AJ$10*'Intermediate calculations'!BA4)+Data!$AK$10)*Drivers!BB4</f>
        <v>742425.82824739814</v>
      </c>
      <c r="BB34" s="22">
        <f>((Data!$AJ$10*'Intermediate calculations'!BB4)+Data!$AK$10)*Drivers!BC4</f>
        <v>764214.11232862098</v>
      </c>
      <c r="BC34" s="22">
        <f>((Data!$AJ$10*'Intermediate calculations'!BC4)+Data!$AK$10)*Drivers!BD4</f>
        <v>787015.59537386976</v>
      </c>
      <c r="BD34" s="22">
        <f>((Data!$AJ$10*'Intermediate calculations'!BD4)+Data!$AK$10)*Drivers!BE4</f>
        <v>811211.4378588032</v>
      </c>
      <c r="BE34" s="22">
        <f>((Data!$AJ$10*'Intermediate calculations'!BE4)+Data!$AK$10)*Drivers!BF4</f>
        <v>836206.94963730848</v>
      </c>
      <c r="BF34" s="22">
        <f>((Data!$AJ$10*'Intermediate calculations'!BF4)+Data!$AK$10)*Drivers!BG4</f>
        <v>862050.94286047108</v>
      </c>
      <c r="BG34" s="22">
        <f>((Data!$AJ$10*'Intermediate calculations'!BG4)+Data!$AK$10)*Drivers!BH4</f>
        <v>889459.344184221</v>
      </c>
      <c r="BH34" s="22">
        <f>((Data!$AJ$10*'Intermediate calculations'!BH4)+Data!$AK$10)*Drivers!BI4</f>
        <v>918238.97234347323</v>
      </c>
      <c r="BI34" s="22">
        <f>((Data!$AJ$10*'Intermediate calculations'!BI4)+Data!$AK$10)*Drivers!BJ4</f>
        <v>948266.25459516991</v>
      </c>
      <c r="BJ34" s="22">
        <f>((Data!$AJ$10*'Intermediate calculations'!BJ4)+Data!$AK$10)*Drivers!BK4</f>
        <v>980035.56498675642</v>
      </c>
      <c r="BK34" s="22">
        <f>((Data!$AJ$10*'Intermediate calculations'!BK4)+Data!$AK$10)*Drivers!BL4</f>
        <v>1010877.8839508404</v>
      </c>
      <c r="BP34" t="e">
        <f t="shared" si="0"/>
        <v>#VALUE!</v>
      </c>
      <c r="BQ34">
        <f t="shared" si="1"/>
        <v>0</v>
      </c>
    </row>
    <row r="35" spans="1:69"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7.6317694268931087</v>
      </c>
      <c r="AH35" s="45">
        <f>AH34*ttokg/Drivers!AI4</f>
        <v>7.8665886008547039</v>
      </c>
      <c r="AI35" s="45">
        <f>AI34*ttokg/Drivers!AJ4</f>
        <v>7.9837020720378362</v>
      </c>
      <c r="AJ35" s="45">
        <f>AJ34*ttokg/Drivers!AK4</f>
        <v>8.0013896153763433</v>
      </c>
      <c r="AK35" s="45">
        <f>AK34*ttokg/Drivers!AL4</f>
        <v>8.0169515739599486</v>
      </c>
      <c r="AL35" s="45">
        <f>AL34*ttokg/Drivers!AM4</f>
        <v>8.0547119378067524</v>
      </c>
      <c r="AM35" s="45">
        <f>AM34*ttokg/Drivers!AN4</f>
        <v>8.1191658836358211</v>
      </c>
      <c r="AN35" s="45">
        <f>AN34*ttokg/Drivers!AO4</f>
        <v>8.1969337157157263</v>
      </c>
      <c r="AO35" s="45">
        <f>AO34*ttokg/Drivers!AP4</f>
        <v>8.2915440396481355</v>
      </c>
      <c r="AP35" s="45">
        <f>AP34*ttokg/Drivers!AQ4</f>
        <v>8.4136161600728094</v>
      </c>
      <c r="AQ35" s="45">
        <f>AQ34*ttokg/Drivers!AR4</f>
        <v>8.5615555966204582</v>
      </c>
      <c r="AR35" s="45">
        <f>AR34*ttokg/Drivers!AS4</f>
        <v>8.7253789557411565</v>
      </c>
      <c r="AS35" s="45">
        <f>AS34*ttokg/Drivers!AT4</f>
        <v>8.9044162150618025</v>
      </c>
      <c r="AT35" s="45">
        <f>AT34*ttokg/Drivers!AU4</f>
        <v>9.093133730032628</v>
      </c>
      <c r="AU35" s="45">
        <f>AU34*ttokg/Drivers!AV4</f>
        <v>9.2941680302907095</v>
      </c>
      <c r="AV35" s="45">
        <f>AV34*ttokg/Drivers!AW4</f>
        <v>9.504886691174816</v>
      </c>
      <c r="AW35" s="45">
        <f>AW34*ttokg/Drivers!AX4</f>
        <v>9.7156785392089908</v>
      </c>
      <c r="AX35" s="45">
        <f>AX34*ttokg/Drivers!AY4</f>
        <v>9.9404107654355176</v>
      </c>
      <c r="AY35" s="45">
        <f>AY34*ttokg/Drivers!AZ4</f>
        <v>10.170591702474958</v>
      </c>
      <c r="AZ35" s="45">
        <f>AZ34*ttokg/Drivers!BA4</f>
        <v>10.405595358893031</v>
      </c>
      <c r="BA35" s="45">
        <f>BA34*ttokg/Drivers!BB4</f>
        <v>10.649604084867537</v>
      </c>
      <c r="BB35" s="45">
        <f>BB34*ttokg/Drivers!BC4</f>
        <v>10.892346216061689</v>
      </c>
      <c r="BC35" s="45">
        <f>BC34*ttokg/Drivers!BD4</f>
        <v>11.148298375217568</v>
      </c>
      <c r="BD35" s="45">
        <f>BD34*ttokg/Drivers!BE4</f>
        <v>11.42291200306391</v>
      </c>
      <c r="BE35" s="45">
        <f>BE34*ttokg/Drivers!BF4</f>
        <v>11.707700513423744</v>
      </c>
      <c r="BF35" s="45">
        <f>BF34*ttokg/Drivers!BG4</f>
        <v>12.003572047210783</v>
      </c>
      <c r="BG35" s="45">
        <f>BG34*ttokg/Drivers!BH4</f>
        <v>12.320720224852979</v>
      </c>
      <c r="BH35" s="45">
        <f>BH34*ttokg/Drivers!BI4</f>
        <v>12.65639341126742</v>
      </c>
      <c r="BI35" s="45">
        <f>BI34*ttokg/Drivers!BJ4</f>
        <v>13.008799155872291</v>
      </c>
      <c r="BJ35" s="45">
        <f>BJ34*ttokg/Drivers!BK4</f>
        <v>13.384649743075354</v>
      </c>
      <c r="BK35" s="45">
        <f>BK34*ttokg/Drivers!BL4</f>
        <v>13.747875420591178</v>
      </c>
      <c r="BP35" t="e">
        <f t="shared" si="0"/>
        <v>#VALUE!</v>
      </c>
      <c r="BQ35">
        <f t="shared" si="1"/>
        <v>0</v>
      </c>
    </row>
    <row r="36" spans="1:69"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0.15842028247558293</v>
      </c>
      <c r="AP36" s="45"/>
      <c r="AQ36" s="45">
        <f>(AQ37-AE37)/AE37</f>
        <v>0.20294462996361959</v>
      </c>
      <c r="AR36" s="45"/>
      <c r="AS36" s="45"/>
      <c r="AT36" s="45"/>
      <c r="AU36" s="45"/>
      <c r="AV36" s="45"/>
      <c r="AW36" s="45"/>
      <c r="AX36" s="45"/>
      <c r="AY36" s="45"/>
      <c r="AZ36" s="45"/>
      <c r="BA36" s="45"/>
      <c r="BB36" s="45"/>
      <c r="BC36" s="45"/>
      <c r="BD36" s="45"/>
      <c r="BE36" s="45"/>
      <c r="BF36" s="45"/>
      <c r="BG36" s="45"/>
      <c r="BH36" s="45"/>
      <c r="BI36" s="45"/>
      <c r="BJ36" s="45"/>
      <c r="BK36" s="45"/>
      <c r="BP36" t="e">
        <f t="shared" si="0"/>
        <v>#VALUE!</v>
      </c>
      <c r="BQ36">
        <f t="shared" si="1"/>
        <v>0</v>
      </c>
    </row>
    <row r="37" spans="1:69"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483472.06766951055</v>
      </c>
      <c r="AD37" s="22">
        <f>((Data!$AJ$29*'Intermediate calculations'!AD34)+Data!$AK$29)</f>
        <v>488375.46558668761</v>
      </c>
      <c r="AE37" s="22">
        <f>((Data!$AJ$29*'Intermediate calculations'!AE34)+Data!$AK$29)</f>
        <v>494668.17106631416</v>
      </c>
      <c r="AF37" s="22">
        <f>((Data!$AJ$29*'Intermediate calculations'!AF34)+Data!$AK$29)</f>
        <v>501211.83128389966</v>
      </c>
      <c r="AG37" s="22">
        <f>((Data!$AJ$29*'Intermediate calculations'!AG34)+Data!$AK$29)</f>
        <v>481044.01170501526</v>
      </c>
      <c r="AH37" s="22">
        <f>((Data!$AJ$29*'Intermediate calculations'!AH34)+Data!$AK$29)</f>
        <v>501113.97014383617</v>
      </c>
      <c r="AI37" s="22">
        <f>((Data!$AJ$29*'Intermediate calculations'!AI34)+Data!$AK$29)</f>
        <v>513035.73785756755</v>
      </c>
      <c r="AJ37" s="22">
        <f>((Data!$AJ$29*'Intermediate calculations'!AJ34)+Data!$AK$29)</f>
        <v>518718.96408846421</v>
      </c>
      <c r="AK37" s="22">
        <f>((Data!$AJ$29*'Intermediate calculations'!AK34)+Data!$AK$29)</f>
        <v>525023.55677717738</v>
      </c>
      <c r="AL37" s="22">
        <f>((Data!$AJ$29*'Intermediate calculations'!AL34)+Data!$AK$29)</f>
        <v>533249.57827092125</v>
      </c>
      <c r="AM37" s="22">
        <f>((Data!$AJ$29*'Intermediate calculations'!AM34)+Data!$AK$29)</f>
        <v>543154.25232315948</v>
      </c>
      <c r="AN37" s="22">
        <f>((Data!$AJ$29*'Intermediate calculations'!AN34)+Data!$AK$29)</f>
        <v>553897.75394010567</v>
      </c>
      <c r="AO37" s="22">
        <f>((Data!$AJ$29*'Intermediate calculations'!AO34)+Data!$AK$29)</f>
        <v>565744.044799075</v>
      </c>
      <c r="AP37" s="22">
        <f>((Data!$AJ$29*'Intermediate calculations'!AP34)+Data!$AK$29)</f>
        <v>579478.22094686888</v>
      </c>
      <c r="AQ37" s="22">
        <f>((Data!$AJ$29*'Intermediate calculations'!AQ34)+Data!$AK$29)</f>
        <v>595058.41999814776</v>
      </c>
      <c r="AR37" s="22">
        <f>((Data!$AJ$29*'Intermediate calculations'!AR34)+Data!$AK$29)</f>
        <v>611821.31030603033</v>
      </c>
      <c r="AS37" s="22">
        <f>((Data!$AJ$29*'Intermediate calculations'!AS34)+Data!$AK$29)</f>
        <v>629764.19844045443</v>
      </c>
      <c r="AT37" s="22">
        <f>((Data!$AJ$29*'Intermediate calculations'!AT34)+Data!$AK$29)</f>
        <v>648515.75697751972</v>
      </c>
      <c r="AU37" s="22">
        <f>((Data!$AJ$29*'Intermediate calculations'!AU34)+Data!$AK$29)</f>
        <v>668266.44301849301</v>
      </c>
      <c r="AV37" s="22">
        <f>((Data!$AJ$29*'Intermediate calculations'!AV34)+Data!$AK$29)</f>
        <v>688850.19567660522</v>
      </c>
      <c r="AW37" s="22">
        <f>((Data!$AJ$29*'Intermediate calculations'!AW34)+Data!$AK$29)</f>
        <v>709586.81884081988</v>
      </c>
      <c r="AX37" s="22">
        <f>((Data!$AJ$29*'Intermediate calculations'!AX34)+Data!$AK$29)</f>
        <v>731486.87219147384</v>
      </c>
      <c r="AY37" s="22">
        <f>((Data!$AJ$29*'Intermediate calculations'!AY34)+Data!$AK$29)</f>
        <v>753901.90242912387</v>
      </c>
      <c r="AZ37" s="22">
        <f>((Data!$AJ$29*'Intermediate calculations'!AZ34)+Data!$AK$29)</f>
        <v>776785.84904228128</v>
      </c>
      <c r="BA37" s="22">
        <f>((Data!$AJ$29*'Intermediate calculations'!BA34)+Data!$AK$29)</f>
        <v>800462.26653612289</v>
      </c>
      <c r="BB37" s="22">
        <f>((Data!$AJ$29*'Intermediate calculations'!BB34)+Data!$AK$29)</f>
        <v>824161.45163018582</v>
      </c>
      <c r="BC37" s="22">
        <f>((Data!$AJ$29*'Intermediate calculations'!BC34)+Data!$AK$29)</f>
        <v>848962.69642275688</v>
      </c>
      <c r="BD37" s="22">
        <f>((Data!$AJ$29*'Intermediate calculations'!BD34)+Data!$AK$29)</f>
        <v>875280.59036151832</v>
      </c>
      <c r="BE37" s="22">
        <f>((Data!$AJ$29*'Intermediate calculations'!BE34)+Data!$AK$29)</f>
        <v>902468.28710493166</v>
      </c>
      <c r="BF37" s="22">
        <f>((Data!$AJ$29*'Intermediate calculations'!BF34)+Data!$AK$29)</f>
        <v>930578.87978319009</v>
      </c>
      <c r="BG37" s="22">
        <f>((Data!$AJ$29*'Intermediate calculations'!BG34)+Data!$AK$29)</f>
        <v>960391.0840707086</v>
      </c>
      <c r="BH37" s="22">
        <f>((Data!$AJ$29*'Intermediate calculations'!BH34)+Data!$AK$29)</f>
        <v>991694.77609812352</v>
      </c>
      <c r="BI37" s="22">
        <f>((Data!$AJ$29*'Intermediate calculations'!BI34)+Data!$AK$29)</f>
        <v>1024355.5454043171</v>
      </c>
      <c r="BJ37" s="22">
        <f>((Data!$AJ$29*'Intermediate calculations'!BJ34)+Data!$AK$29)</f>
        <v>1058911.1241949294</v>
      </c>
      <c r="BK37" s="22">
        <f>((Data!$AJ$29*'Intermediate calculations'!BK34)+Data!$AK$29)</f>
        <v>1092458.4114955331</v>
      </c>
      <c r="BP37">
        <f t="shared" si="0"/>
        <v>6</v>
      </c>
      <c r="BQ37">
        <f t="shared" si="1"/>
        <v>1</v>
      </c>
    </row>
    <row r="38" spans="1:69"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c r="BP38">
        <f t="shared" si="0"/>
        <v>11</v>
      </c>
      <c r="BQ38">
        <f t="shared" si="1"/>
        <v>1</v>
      </c>
    </row>
    <row r="39" spans="1:69"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v>
      </c>
      <c r="AB39" s="22">
        <f>((Data!$AJ$11*'Intermediate calculations'!AB4)+Data!$AK$11)*Drivers!AC4</f>
        <v>1943924.6182197316</v>
      </c>
      <c r="AC39" s="22">
        <f>((Data!$AJ$11*'Intermediate calculations'!AC4)+Data!$AK$11)*Drivers!AD4</f>
        <v>1961369.2810630368</v>
      </c>
      <c r="AD39" s="22">
        <f>((Data!$AJ$11*'Intermediate calculations'!AD4)+Data!$AK$11)*Drivers!AE4</f>
        <v>1956860.8704089574</v>
      </c>
      <c r="AE39" s="22">
        <f>((Data!$AJ$11*'Intermediate calculations'!AE4)+Data!$AK$11)*Drivers!AF4</f>
        <v>1968044.8895064972</v>
      </c>
      <c r="AF39" s="22">
        <f>((Data!$AJ$11*'Intermediate calculations'!AF4)+Data!$AK$11)*Drivers!AG4</f>
        <v>1981185.0437649265</v>
      </c>
      <c r="AG39" s="22">
        <f>((Data!$AJ$11*'Intermediate calculations'!AG4)+Data!$AK$11)*Drivers!AH4</f>
        <v>1710744.0753111076</v>
      </c>
      <c r="AH39" s="22">
        <f>((Data!$AJ$11*'Intermediate calculations'!AH4)+Data!$AK$11)*Drivers!AI4</f>
        <v>1908425.9809721664</v>
      </c>
      <c r="AI39" s="22">
        <f>((Data!$AJ$11*'Intermediate calculations'!AI4)+Data!$AK$11)*Drivers!AJ4</f>
        <v>2015331.0296594924</v>
      </c>
      <c r="AJ39" s="22">
        <f>((Data!$AJ$11*'Intermediate calculations'!AJ4)+Data!$AK$11)*Drivers!AK4</f>
        <v>2046679.2718739307</v>
      </c>
      <c r="AK39" s="22">
        <f>((Data!$AJ$11*'Intermediate calculations'!AK4)+Data!$AK$11)*Drivers!AL4</f>
        <v>2079490.1226162701</v>
      </c>
      <c r="AL39" s="22">
        <f>((Data!$AJ$11*'Intermediate calculations'!AL4)+Data!$AK$11)*Drivers!AM4</f>
        <v>2131880.1311880052</v>
      </c>
      <c r="AM39" s="22">
        <f>((Data!$AJ$11*'Intermediate calculations'!AM4)+Data!$AK$11)*Drivers!AN4</f>
        <v>2205701.4432083676</v>
      </c>
      <c r="AN39" s="22">
        <f>((Data!$AJ$11*'Intermediate calculations'!AN4)+Data!$AK$11)*Drivers!AO4</f>
        <v>2290764.1603668779</v>
      </c>
      <c r="AO39" s="22">
        <f>((Data!$AJ$11*'Intermediate calculations'!AO4)+Data!$AK$11)*Drivers!AP4</f>
        <v>2390223.8725122362</v>
      </c>
      <c r="AP39" s="22">
        <f>((Data!$AJ$11*'Intermediate calculations'!AP4)+Data!$AK$11)*Drivers!AQ4</f>
        <v>2513287.8260246566</v>
      </c>
      <c r="AQ39" s="22">
        <f>((Data!$AJ$11*'Intermediate calculations'!AQ4)+Data!$AK$11)*Drivers!AR4</f>
        <v>2659271.6930469922</v>
      </c>
      <c r="AR39" s="22">
        <f>((Data!$AJ$11*'Intermediate calculations'!AR4)+Data!$AK$11)*Drivers!AS4</f>
        <v>2820255.4007520904</v>
      </c>
      <c r="AS39" s="22">
        <f>((Data!$AJ$11*'Intermediate calculations'!AS4)+Data!$AK$11)*Drivers!AT4</f>
        <v>2996036.3131771544</v>
      </c>
      <c r="AT39" s="22">
        <f>((Data!$AJ$11*'Intermediate calculations'!AT4)+Data!$AK$11)*Drivers!AU4</f>
        <v>3182145.9347324651</v>
      </c>
      <c r="AU39" s="22">
        <f>((Data!$AJ$11*'Intermediate calculations'!AU4)+Data!$AK$11)*Drivers!AV4</f>
        <v>3380930.9846381601</v>
      </c>
      <c r="AV39" s="22">
        <f>((Data!$AJ$11*'Intermediate calculations'!AV4)+Data!$AK$11)*Drivers!AW4</f>
        <v>3590326.6095313295</v>
      </c>
      <c r="AW39" s="22">
        <f>((Data!$AJ$11*'Intermediate calculations'!AW4)+Data!$AK$11)*Drivers!AX4</f>
        <v>3802110.3230362916</v>
      </c>
      <c r="AX39" s="22">
        <f>((Data!$AJ$11*'Intermediate calculations'!AX4)+Data!$AK$11)*Drivers!AY4</f>
        <v>4028399.1190411011</v>
      </c>
      <c r="AY39" s="22">
        <f>((Data!$AJ$11*'Intermediate calculations'!AY4)+Data!$AK$11)*Drivers!AZ4</f>
        <v>4261656.4397145864</v>
      </c>
      <c r="AZ39" s="22">
        <f>((Data!$AJ$11*'Intermediate calculations'!AZ4)+Data!$AK$11)*Drivers!BA4</f>
        <v>4501324.23293621</v>
      </c>
      <c r="BA39" s="22">
        <f>((Data!$AJ$11*'Intermediate calculations'!BA4)+Data!$AK$11)*Drivers!BB4</f>
        <v>4751203.3007372348</v>
      </c>
      <c r="BB39" s="22">
        <f>((Data!$AJ$11*'Intermediate calculations'!BB4)+Data!$AK$11)*Drivers!BC4</f>
        <v>5002077.9291274399</v>
      </c>
      <c r="BC39" s="22">
        <f>((Data!$AJ$11*'Intermediate calculations'!BC4)+Data!$AK$11)*Drivers!BD4</f>
        <v>5266918.8660704661</v>
      </c>
      <c r="BD39" s="22">
        <f>((Data!$AJ$11*'Intermediate calculations'!BD4)+Data!$AK$11)*Drivers!BE4</f>
        <v>5550743.6789260749</v>
      </c>
      <c r="BE39" s="22">
        <f>((Data!$AJ$11*'Intermediate calculations'!BE4)+Data!$AK$11)*Drivers!BF4</f>
        <v>5845861.5581048885</v>
      </c>
      <c r="BF39" s="22">
        <f>((Data!$AJ$11*'Intermediate calculations'!BF4)+Data!$AK$11)*Drivers!BG4</f>
        <v>6153004.6188398851</v>
      </c>
      <c r="BG39" s="22">
        <f>((Data!$AJ$11*'Intermediate calculations'!BG4)+Data!$AK$11)*Drivers!BH4</f>
        <v>6481550.7270724792</v>
      </c>
      <c r="BH39" s="22">
        <f>((Data!$AJ$11*'Intermediate calculations'!BH4)+Data!$AK$11)*Drivers!BI4</f>
        <v>6829009.3139280705</v>
      </c>
      <c r="BI39" s="22">
        <f>((Data!$AJ$11*'Intermediate calculations'!BI4)+Data!$AK$11)*Drivers!BJ4</f>
        <v>7193759.8066170849</v>
      </c>
      <c r="BJ39" s="22">
        <f>((Data!$AJ$11*'Intermediate calculations'!BJ4)+Data!$AK$11)*Drivers!BK4</f>
        <v>7582185.0177384587</v>
      </c>
      <c r="BK39" s="22">
        <f>((Data!$AJ$11*'Intermediate calculations'!BK4)+Data!$AK$11)*Drivers!BL4</f>
        <v>7959849.0261259824</v>
      </c>
      <c r="BP39" t="e">
        <f t="shared" si="0"/>
        <v>#VALUE!</v>
      </c>
      <c r="BQ39">
        <f t="shared" si="1"/>
        <v>0</v>
      </c>
    </row>
    <row r="40" spans="1:69"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35.336547792755695</v>
      </c>
      <c r="AB40" s="45">
        <f>AB39*ttokg/Drivers!AC4</f>
        <v>35.505153770812306</v>
      </c>
      <c r="AC40" s="45">
        <f>AC39*ttokg/Drivers!AD4</f>
        <v>35.263778862315164</v>
      </c>
      <c r="AD40" s="45">
        <f>AD39*ttokg/Drivers!AE4</f>
        <v>34.621256665942369</v>
      </c>
      <c r="AE40" s="45">
        <f>AE39*ttokg/Drivers!AF4</f>
        <v>34.265005716880026</v>
      </c>
      <c r="AF40" s="45">
        <f>AF39*ttokg/Drivers!AG4</f>
        <v>33.944841040307118</v>
      </c>
      <c r="AG40" s="45">
        <f>AG39*ttokg/Drivers!AH4</f>
        <v>29.0933335451933</v>
      </c>
      <c r="AH40" s="45">
        <f>AH39*ttokg/Drivers!AI4</f>
        <v>32.132573194470666</v>
      </c>
      <c r="AI40" s="45">
        <f>AI39*ttokg/Drivers!AJ4</f>
        <v>33.648360423764338</v>
      </c>
      <c r="AJ40" s="45">
        <f>AJ39*ttokg/Drivers!AK4</f>
        <v>33.877288420170203</v>
      </c>
      <c r="AK40" s="45">
        <f>AK39*ttokg/Drivers!AL4</f>
        <v>34.07870519866308</v>
      </c>
      <c r="AL40" s="45">
        <f>AL39*ttokg/Drivers!AM4</f>
        <v>34.56743358075471</v>
      </c>
      <c r="AM40" s="45">
        <f>AM39*ttokg/Drivers!AN4</f>
        <v>35.401654161686139</v>
      </c>
      <c r="AN40" s="45">
        <f>AN39*ttokg/Drivers!AO4</f>
        <v>36.40819495947575</v>
      </c>
      <c r="AO40" s="45">
        <f>AO39*ttokg/Drivers!AP4</f>
        <v>37.63272634196575</v>
      </c>
      <c r="AP40" s="45">
        <f>AP39*ttokg/Drivers!AQ4</f>
        <v>39.212692842174597</v>
      </c>
      <c r="AQ40" s="45">
        <f>AQ39*ttokg/Drivers!AR4</f>
        <v>41.127457269890833</v>
      </c>
      <c r="AR40" s="45">
        <f>AR39*ttokg/Drivers!AS4</f>
        <v>43.247805621848052</v>
      </c>
      <c r="AS40" s="45">
        <f>AS39*ttokg/Drivers!AT4</f>
        <v>45.565065869574937</v>
      </c>
      <c r="AT40" s="45">
        <f>AT39*ttokg/Drivers!AU4</f>
        <v>48.007616638901098</v>
      </c>
      <c r="AU40" s="45">
        <f>AU39*ttokg/Drivers!AV4</f>
        <v>50.609582253127414</v>
      </c>
      <c r="AV40" s="45">
        <f>AV39*ttokg/Drivers!AW4</f>
        <v>53.336891519219741</v>
      </c>
      <c r="AW40" s="45">
        <f>AW39*ttokg/Drivers!AX4</f>
        <v>56.065148038828745</v>
      </c>
      <c r="AX40" s="45">
        <f>AX39*ttokg/Drivers!AY4</f>
        <v>58.973833394010747</v>
      </c>
      <c r="AY40" s="45">
        <f>AY39*ttokg/Drivers!AZ4</f>
        <v>61.953040835020246</v>
      </c>
      <c r="AZ40" s="45">
        <f>AZ39*ttokg/Drivers!BA4</f>
        <v>64.994668221154328</v>
      </c>
      <c r="BA40" s="45">
        <f>BA39*ttokg/Drivers!BB4</f>
        <v>68.152847266927921</v>
      </c>
      <c r="BB40" s="45">
        <f>BB39*ttokg/Drivers!BC4</f>
        <v>71.294632910872025</v>
      </c>
      <c r="BC40" s="45">
        <f>BC39*ttokg/Drivers!BD4</f>
        <v>74.607394544859915</v>
      </c>
      <c r="BD40" s="45">
        <f>BD39*ttokg/Drivers!BE4</f>
        <v>78.161689587729867</v>
      </c>
      <c r="BE40" s="45">
        <f>BE39*ttokg/Drivers!BF4</f>
        <v>81.847677055200492</v>
      </c>
      <c r="BF40" s="45">
        <f>BF39*ttokg/Drivers!BG4</f>
        <v>85.677110918744987</v>
      </c>
      <c r="BG40" s="45">
        <f>BG39*ttokg/Drivers!BH4</f>
        <v>89.781926125802443</v>
      </c>
      <c r="BH40" s="45">
        <f>BH39*ttokg/Drivers!BI4</f>
        <v>94.126508555501758</v>
      </c>
      <c r="BI40" s="45">
        <f>BI39*ttokg/Drivers!BJ4</f>
        <v>98.687658710179534</v>
      </c>
      <c r="BJ40" s="45">
        <f>BJ39*ttokg/Drivers!BK4</f>
        <v>103.5522529746094</v>
      </c>
      <c r="BK40" s="45">
        <f>BK39*ttokg/Drivers!BL4</f>
        <v>108.25344437272871</v>
      </c>
      <c r="BP40" t="e">
        <f t="shared" si="0"/>
        <v>#VALUE!</v>
      </c>
      <c r="BQ40">
        <f t="shared" si="1"/>
        <v>0</v>
      </c>
    </row>
    <row r="41" spans="1:69"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0.19657765583518833</v>
      </c>
      <c r="AP41" s="45"/>
      <c r="AQ41" s="45">
        <f>(AQ42-AE42)/AE42</f>
        <v>0.31196452216072262</v>
      </c>
      <c r="AR41" s="45"/>
      <c r="AS41" s="45"/>
      <c r="AT41" s="45"/>
      <c r="AU41" s="45"/>
      <c r="AV41" s="45"/>
      <c r="AW41" s="45"/>
      <c r="AX41" s="45"/>
      <c r="AY41" s="45"/>
      <c r="AZ41" s="45"/>
      <c r="BA41" s="45"/>
      <c r="BB41" s="45"/>
      <c r="BC41" s="45"/>
      <c r="BD41" s="45"/>
      <c r="BE41" s="45"/>
      <c r="BF41" s="45"/>
      <c r="BG41" s="45"/>
      <c r="BH41" s="45"/>
      <c r="BI41" s="45"/>
      <c r="BJ41" s="45"/>
      <c r="BK41" s="45"/>
      <c r="BP41" t="e">
        <f t="shared" si="0"/>
        <v>#VALUE!</v>
      </c>
      <c r="BQ41">
        <f t="shared" si="1"/>
        <v>0</v>
      </c>
    </row>
    <row r="42" spans="1:69"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1551697.8906253506</v>
      </c>
      <c r="AB42" s="22">
        <f>((Data!$AJ$33*'Intermediate calculations'!AB39)+Data!$AK$33)</f>
        <v>1579699.1994235043</v>
      </c>
      <c r="AC42" s="22">
        <f>((Data!$AJ$33*'Intermediate calculations'!AC39)+Data!$AK$33)</f>
        <v>1592273.2513502268</v>
      </c>
      <c r="AD42" s="22">
        <f>((Data!$AJ$33*'Intermediate calculations'!AD39)+Data!$AK$33)</f>
        <v>1589023.6047287595</v>
      </c>
      <c r="AE42" s="22">
        <f>((Data!$AJ$33*'Intermediate calculations'!AE39)+Data!$AK$33)</f>
        <v>1597085.0065537822</v>
      </c>
      <c r="AF42" s="22">
        <f>((Data!$AJ$33*'Intermediate calculations'!AF39)+Data!$AK$33)</f>
        <v>1606556.3837569274</v>
      </c>
      <c r="AG42" s="22">
        <f>((Data!$AJ$33*'Intermediate calculations'!AG39)+Data!$AK$33)</f>
        <v>1411623.4801521706</v>
      </c>
      <c r="AH42" s="22">
        <f>((Data!$AJ$33*'Intermediate calculations'!AH39)+Data!$AK$33)</f>
        <v>1554111.9059293179</v>
      </c>
      <c r="AI42" s="22">
        <f>((Data!$AJ$33*'Intermediate calculations'!AI39)+Data!$AK$33)</f>
        <v>1631168.6908897182</v>
      </c>
      <c r="AJ42" s="22">
        <f>((Data!$AJ$33*'Intermediate calculations'!AJ39)+Data!$AK$33)</f>
        <v>1653764.3941690798</v>
      </c>
      <c r="AK42" s="22">
        <f>((Data!$AJ$33*'Intermediate calculations'!AK39)+Data!$AK$33)</f>
        <v>1677414.3405566912</v>
      </c>
      <c r="AL42" s="22">
        <f>((Data!$AJ$33*'Intermediate calculations'!AL39)+Data!$AK$33)</f>
        <v>1715176.8753869506</v>
      </c>
      <c r="AM42" s="22">
        <f>((Data!$AJ$33*'Intermediate calculations'!AM39)+Data!$AK$33)</f>
        <v>1768387.0187402836</v>
      </c>
      <c r="AN42" s="22">
        <f>((Data!$AJ$33*'Intermediate calculations'!AN39)+Data!$AK$33)</f>
        <v>1829699.9275758769</v>
      </c>
      <c r="AO42" s="22">
        <f>((Data!$AJ$33*'Intermediate calculations'!AO39)+Data!$AK$33)</f>
        <v>1901390.1400131199</v>
      </c>
      <c r="AP42" s="22">
        <f>((Data!$AJ$33*'Intermediate calculations'!AP39)+Data!$AK$33)</f>
        <v>1990094.2070204578</v>
      </c>
      <c r="AQ42" s="22">
        <f>((Data!$AJ$33*'Intermediate calculations'!AQ39)+Data!$AK$33)</f>
        <v>2095318.8674733874</v>
      </c>
      <c r="AR42" s="22">
        <f>((Data!$AJ$33*'Intermediate calculations'!AR39)+Data!$AK$33)</f>
        <v>2211355.3605958149</v>
      </c>
      <c r="AS42" s="22">
        <f>((Data!$AJ$33*'Intermediate calculations'!AS39)+Data!$AK$33)</f>
        <v>2338057.6270949175</v>
      </c>
      <c r="AT42" s="22">
        <f>((Data!$AJ$33*'Intermediate calculations'!AT39)+Data!$AK$33)</f>
        <v>2472204.7909879289</v>
      </c>
      <c r="AU42" s="22">
        <f>((Data!$AJ$33*'Intermediate calculations'!AU39)+Data!$AK$33)</f>
        <v>2615488.3592759585</v>
      </c>
      <c r="AV42" s="22">
        <f>((Data!$AJ$33*'Intermediate calculations'!AV39)+Data!$AK$33)</f>
        <v>2766419.992881346</v>
      </c>
      <c r="AW42" s="22">
        <f>((Data!$AJ$33*'Intermediate calculations'!AW39)+Data!$AK$33)</f>
        <v>2919072.9524005684</v>
      </c>
      <c r="AX42" s="22">
        <f>((Data!$AJ$33*'Intermediate calculations'!AX39)+Data!$AK$33)</f>
        <v>3082181.1246225392</v>
      </c>
      <c r="AY42" s="22">
        <f>((Data!$AJ$33*'Intermediate calculations'!AY39)+Data!$AK$33)</f>
        <v>3250312.185038087</v>
      </c>
      <c r="AZ42" s="22">
        <f>((Data!$AJ$33*'Intermediate calculations'!AZ39)+Data!$AK$33)</f>
        <v>3423063.8916317327</v>
      </c>
      <c r="BA42" s="22">
        <f>((Data!$AJ$33*'Intermediate calculations'!BA39)+Data!$AK$33)</f>
        <v>3603175.8492060206</v>
      </c>
      <c r="BB42" s="22">
        <f>((Data!$AJ$33*'Intermediate calculations'!BB39)+Data!$AK$33)</f>
        <v>3784005.403368847</v>
      </c>
      <c r="BC42" s="22">
        <f>((Data!$AJ$33*'Intermediate calculations'!BC39)+Data!$AK$33)</f>
        <v>3974901.8238589405</v>
      </c>
      <c r="BD42" s="22">
        <f>((Data!$AJ$33*'Intermediate calculations'!BD39)+Data!$AK$33)</f>
        <v>4179481.7556693391</v>
      </c>
      <c r="BE42" s="22">
        <f>((Data!$AJ$33*'Intermediate calculations'!BE39)+Data!$AK$33)</f>
        <v>4392201.6901633898</v>
      </c>
      <c r="BF42" s="22">
        <f>((Data!$AJ$33*'Intermediate calculations'!BF39)+Data!$AK$33)</f>
        <v>4613589.3334388537</v>
      </c>
      <c r="BG42" s="22">
        <f>((Data!$AJ$33*'Intermediate calculations'!BG39)+Data!$AK$33)</f>
        <v>4850404.2184467753</v>
      </c>
      <c r="BH42" s="22">
        <f>((Data!$AJ$33*'Intermediate calculations'!BH39)+Data!$AK$33)</f>
        <v>5100851.1518585375</v>
      </c>
      <c r="BI42" s="22">
        <f>((Data!$AJ$33*'Intermediate calculations'!BI39)+Data!$AK$33)</f>
        <v>5363762.0304788994</v>
      </c>
      <c r="BJ42" s="22">
        <f>((Data!$AJ$33*'Intermediate calculations'!BJ39)+Data!$AK$33)</f>
        <v>5643737.5632913755</v>
      </c>
      <c r="BK42" s="22">
        <f>((Data!$AJ$33*'Intermediate calculations'!BK39)+Data!$AK$33)</f>
        <v>5915956.4588340549</v>
      </c>
      <c r="BP42">
        <f t="shared" si="0"/>
        <v>10</v>
      </c>
      <c r="BQ42">
        <f t="shared" si="1"/>
        <v>1</v>
      </c>
    </row>
    <row r="43" spans="1:69"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c r="BP43">
        <f t="shared" si="0"/>
        <v>15</v>
      </c>
      <c r="BQ43">
        <f t="shared" si="1"/>
        <v>1</v>
      </c>
    </row>
    <row r="44" spans="1:69"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10766680.924446385</v>
      </c>
      <c r="AH44" s="22">
        <f>((Data!$AJ$40*'Intermediate calculations'!AH45)+Data!$AK$40)</f>
        <v>10942516.332853321</v>
      </c>
      <c r="AI44" s="22">
        <f>((Data!$AJ$40*'Intermediate calculations'!AI45)+Data!$AK$40)</f>
        <v>11091932.108352993</v>
      </c>
      <c r="AJ44" s="22">
        <f>((Data!$AJ$40*'Intermediate calculations'!AJ45)+Data!$AK$40)</f>
        <v>11247001.276630178</v>
      </c>
      <c r="AK44" s="22">
        <f>((Data!$AJ$40*'Intermediate calculations'!AK45)+Data!$AK$40)</f>
        <v>11427423.141411617</v>
      </c>
      <c r="AL44" s="22">
        <f>((Data!$AJ$40*'Intermediate calculations'!AL45)+Data!$AK$40)</f>
        <v>11621884.364210725</v>
      </c>
      <c r="AM44" s="22">
        <f>((Data!$AJ$40*'Intermediate calculations'!AM45)+Data!$AK$40)</f>
        <v>11810119.706301954</v>
      </c>
      <c r="AN44" s="22">
        <f>((Data!$AJ$40*'Intermediate calculations'!AN45)+Data!$AK$40)</f>
        <v>11992969.432228256</v>
      </c>
      <c r="AO44" s="22">
        <f>((Data!$AJ$40*'Intermediate calculations'!AO45)+Data!$AK$40)</f>
        <v>12170370.991279248</v>
      </c>
      <c r="AP44" s="22">
        <f>((Data!$AJ$40*'Intermediate calculations'!AP45)+Data!$AK$40)</f>
        <v>12342900.74357212</v>
      </c>
      <c r="AQ44" s="22">
        <f>((Data!$AJ$40*'Intermediate calculations'!AQ45)+Data!$AK$40)</f>
        <v>12511354.572431516</v>
      </c>
      <c r="AR44" s="22">
        <f>((Data!$AJ$40*'Intermediate calculations'!AR45)+Data!$AK$40)</f>
        <v>12675847.45202034</v>
      </c>
      <c r="AS44" s="22">
        <f>((Data!$AJ$40*'Intermediate calculations'!AS45)+Data!$AK$40)</f>
        <v>12837108.54490548</v>
      </c>
      <c r="AT44" s="22">
        <f>((Data!$AJ$40*'Intermediate calculations'!AT45)+Data!$AK$40)</f>
        <v>12995351.417083845</v>
      </c>
      <c r="AU44" s="22">
        <f>((Data!$AJ$40*'Intermediate calculations'!AU45)+Data!$AK$40)</f>
        <v>13150232.337508798</v>
      </c>
      <c r="AV44" s="22">
        <f>((Data!$AJ$40*'Intermediate calculations'!AV45)+Data!$AK$40)</f>
        <v>13302131.078350581</v>
      </c>
      <c r="AW44" s="22">
        <f>((Data!$AJ$40*'Intermediate calculations'!AW45)+Data!$AK$40)</f>
        <v>13451597.490139622</v>
      </c>
      <c r="AX44" s="22">
        <f>((Data!$AJ$40*'Intermediate calculations'!AX45)+Data!$AK$40)</f>
        <v>13598238.099121481</v>
      </c>
      <c r="AY44" s="22">
        <f>((Data!$AJ$40*'Intermediate calculations'!AY45)+Data!$AK$40)</f>
        <v>13741285.318721469</v>
      </c>
      <c r="AZ44" s="22">
        <f>((Data!$AJ$40*'Intermediate calculations'!AZ45)+Data!$AK$40)</f>
        <v>13880781.742994759</v>
      </c>
      <c r="BA44" s="22">
        <f>((Data!$AJ$40*'Intermediate calculations'!BA45)+Data!$AK$40)</f>
        <v>14016937.95933301</v>
      </c>
      <c r="BB44" s="22">
        <f>((Data!$AJ$40*'Intermediate calculations'!BB45)+Data!$AK$40)</f>
        <v>14149996.724064659</v>
      </c>
      <c r="BC44" s="22">
        <f>((Data!$AJ$40*'Intermediate calculations'!BC45)+Data!$AK$40)</f>
        <v>14279411.165264543</v>
      </c>
      <c r="BD44" s="22">
        <f>((Data!$AJ$40*'Intermediate calculations'!BD45)+Data!$AK$40)</f>
        <v>14404821.169557109</v>
      </c>
      <c r="BE44" s="22">
        <f>((Data!$AJ$40*'Intermediate calculations'!BE45)+Data!$AK$40)</f>
        <v>14526200.227355573</v>
      </c>
      <c r="BF44" s="22">
        <f>((Data!$AJ$40*'Intermediate calculations'!BF45)+Data!$AK$40)</f>
        <v>14643119.419502944</v>
      </c>
      <c r="BG44" s="22">
        <f>((Data!$AJ$40*'Intermediate calculations'!BG45)+Data!$AK$40)</f>
        <v>14755101.275576554</v>
      </c>
      <c r="BH44" s="22">
        <f>((Data!$AJ$40*'Intermediate calculations'!BH45)+Data!$AK$40)</f>
        <v>14862104.095102798</v>
      </c>
      <c r="BI44" s="22">
        <f>((Data!$AJ$40*'Intermediate calculations'!BI45)+Data!$AK$40)</f>
        <v>14964218.427681491</v>
      </c>
      <c r="BJ44" s="22">
        <f>((Data!$AJ$40*'Intermediate calculations'!BJ45)+Data!$AK$40)</f>
        <v>15061511.887651965</v>
      </c>
      <c r="BK44" s="22">
        <f>((Data!$AJ$40*'Intermediate calculations'!BK45)+Data!$AK$40)</f>
        <v>15153518.919012573</v>
      </c>
      <c r="BP44" t="e">
        <f t="shared" si="0"/>
        <v>#VALUE!</v>
      </c>
      <c r="BQ44">
        <f t="shared" si="1"/>
        <v>0</v>
      </c>
    </row>
    <row r="45" spans="1:69"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c r="BP45" t="e">
        <f t="shared" si="0"/>
        <v>#VALUE!</v>
      </c>
      <c r="BQ45">
        <f t="shared" si="1"/>
        <v>0</v>
      </c>
    </row>
    <row r="46" spans="1:69"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13493748.723775022</v>
      </c>
      <c r="AH46" s="22">
        <f>((Data!$AJ$41*'Intermediate calculations'!AH44)+Data!$AK$41)</f>
        <v>13660021.741671048</v>
      </c>
      <c r="AI46" s="22">
        <f>((Data!$AJ$41*'Intermediate calculations'!AI44)+Data!$AK$41)</f>
        <v>13801311.895563768</v>
      </c>
      <c r="AJ46" s="22">
        <f>((Data!$AJ$41*'Intermediate calculations'!AJ44)+Data!$AK$41)</f>
        <v>13947947.995912811</v>
      </c>
      <c r="AK46" s="22">
        <f>((Data!$AJ$41*'Intermediate calculations'!AK44)+Data!$AK$41)</f>
        <v>14118558.046661016</v>
      </c>
      <c r="AL46" s="22">
        <f>((Data!$AJ$41*'Intermediate calculations'!AL44)+Data!$AK$41)</f>
        <v>14302443.958329782</v>
      </c>
      <c r="AM46" s="22">
        <f>((Data!$AJ$41*'Intermediate calculations'!AM44)+Data!$AK$41)</f>
        <v>14480442.56900645</v>
      </c>
      <c r="AN46" s="22">
        <f>((Data!$AJ$41*'Intermediate calculations'!AN44)+Data!$AK$41)</f>
        <v>14653348.447445143</v>
      </c>
      <c r="AO46" s="22">
        <f>((Data!$AJ$41*'Intermediate calculations'!AO44)+Data!$AK$41)</f>
        <v>14821102.4446071</v>
      </c>
      <c r="AP46" s="22">
        <f>((Data!$AJ$41*'Intermediate calculations'!AP44)+Data!$AK$41)</f>
        <v>14984249.576635247</v>
      </c>
      <c r="AQ46" s="22">
        <f>((Data!$AJ$41*'Intermediate calculations'!AQ44)+Data!$AK$41)</f>
        <v>15143542.444632405</v>
      </c>
      <c r="AR46" s="22">
        <f>((Data!$AJ$41*'Intermediate calculations'!AR44)+Data!$AK$41)</f>
        <v>15299089.770165062</v>
      </c>
      <c r="AS46" s="22">
        <f>((Data!$AJ$41*'Intermediate calculations'!AS44)+Data!$AK$41)</f>
        <v>15451581.062028015</v>
      </c>
      <c r="AT46" s="22">
        <f>((Data!$AJ$41*'Intermediate calculations'!AT44)+Data!$AK$41)</f>
        <v>15601218.271939337</v>
      </c>
      <c r="AU46" s="22">
        <f>((Data!$AJ$41*'Intermediate calculations'!AU44)+Data!$AK$41)</f>
        <v>15747676.361847896</v>
      </c>
      <c r="AV46" s="22">
        <f>((Data!$AJ$41*'Intermediate calculations'!AV44)+Data!$AK$41)</f>
        <v>15891314.450917635</v>
      </c>
      <c r="AW46" s="22">
        <f>((Data!$AJ$41*'Intermediate calculations'!AW44)+Data!$AK$41)</f>
        <v>16032652.487365553</v>
      </c>
      <c r="AX46" s="22">
        <f>((Data!$AJ$41*'Intermediate calculations'!AX44)+Data!$AK$41)</f>
        <v>16171318.395571576</v>
      </c>
      <c r="AY46" s="22">
        <f>((Data!$AJ$41*'Intermediate calculations'!AY44)+Data!$AK$41)</f>
        <v>16306586.332331391</v>
      </c>
      <c r="AZ46" s="22">
        <f>((Data!$AJ$41*'Intermediate calculations'!AZ44)+Data!$AK$41)</f>
        <v>16438496.575323777</v>
      </c>
      <c r="BA46" s="22">
        <f>((Data!$AJ$41*'Intermediate calculations'!BA44)+Data!$AK$41)</f>
        <v>16567248.259645922</v>
      </c>
      <c r="BB46" s="22">
        <f>((Data!$AJ$41*'Intermediate calculations'!BB44)+Data!$AK$41)</f>
        <v>16693070.939900668</v>
      </c>
      <c r="BC46" s="22">
        <f>((Data!$AJ$41*'Intermediate calculations'!BC44)+Data!$AK$41)</f>
        <v>16815447.484491922</v>
      </c>
      <c r="BD46" s="22">
        <f>((Data!$AJ$41*'Intermediate calculations'!BD44)+Data!$AK$41)</f>
        <v>16934037.363953628</v>
      </c>
      <c r="BE46" s="22">
        <f>((Data!$AJ$41*'Intermediate calculations'!BE44)+Data!$AK$41)</f>
        <v>17048815.510359835</v>
      </c>
      <c r="BF46" s="22">
        <f>((Data!$AJ$41*'Intermediate calculations'!BF44)+Data!$AK$41)</f>
        <v>17159376.330301844</v>
      </c>
      <c r="BG46" s="22">
        <f>((Data!$AJ$41*'Intermediate calculations'!BG44)+Data!$AK$41)</f>
        <v>17265268.31945039</v>
      </c>
      <c r="BH46" s="22">
        <f>((Data!$AJ$41*'Intermediate calculations'!BH44)+Data!$AK$41)</f>
        <v>17366452.045112953</v>
      </c>
      <c r="BI46" s="22">
        <f>((Data!$AJ$41*'Intermediate calculations'!BI44)+Data!$AK$41)</f>
        <v>17463013.132564712</v>
      </c>
      <c r="BJ46" s="22">
        <f>((Data!$AJ$41*'Intermediate calculations'!BJ44)+Data!$AK$41)</f>
        <v>17555015.519099955</v>
      </c>
      <c r="BK46" s="22">
        <f>((Data!$AJ$41*'Intermediate calculations'!BK44)+Data!$AK$41)</f>
        <v>17642018.966872983</v>
      </c>
      <c r="BP46">
        <f t="shared" si="0"/>
        <v>8</v>
      </c>
      <c r="BQ46">
        <f t="shared" si="1"/>
        <v>1</v>
      </c>
    </row>
    <row r="47" spans="1:69"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169755.46939787219</v>
      </c>
      <c r="AB47" s="22">
        <f>((Data!$AJ$12*((Drivers!AC5*1000000)/Drivers!AC4))+Data!$AK$12)*Drivers!AC4</f>
        <v>171589.57169404576</v>
      </c>
      <c r="AC47" s="22">
        <f>((Data!$AJ$12*((Drivers!AD5*1000000)/Drivers!AD4))+Data!$AK$12)*Drivers!AD4</f>
        <v>175485.07841312472</v>
      </c>
      <c r="AD47" s="22">
        <f>((Data!$AJ$12*((Drivers!AE5*1000000)/Drivers!AE4))+Data!$AK$12)*Drivers!AE4</f>
        <v>181497.64372653194</v>
      </c>
      <c r="AE47" s="22">
        <f>((Data!$AJ$12*((Drivers!AF5*1000000)/Drivers!AF4))+Data!$AK$12)*Drivers!AF4</f>
        <v>186216.931082936</v>
      </c>
      <c r="AF47" s="22">
        <f>((Data!$AJ$12*((Drivers!AG5*1000000)/Drivers!AG4))+Data!$AK$12)*Drivers!AG4</f>
        <v>190857.74045123524</v>
      </c>
      <c r="AG47" s="22">
        <f>((Data!$AJ$12*((Drivers!AH5*1000000)/Drivers!AH4))+Data!$AK$12)*Drivers!AH4</f>
        <v>217162.17491575936</v>
      </c>
      <c r="AH47" s="22">
        <f>((Data!$AJ$12*((Drivers!AI5*1000000)/Drivers!AI4))+Data!$AK$12)*Drivers!AI4</f>
        <v>203602.80356849992</v>
      </c>
      <c r="AI47" s="22">
        <f>((Data!$AJ$12*((Drivers!AJ5*1000000)/Drivers!AJ4))+Data!$AK$12)*Drivers!AJ4</f>
        <v>197406.23080505771</v>
      </c>
      <c r="AJ47" s="22">
        <f>((Data!$AJ$12*((Drivers!AK5*1000000)/Drivers!AK4))+Data!$AK$12)*Drivers!AK4</f>
        <v>197916.15574743281</v>
      </c>
      <c r="AK47" s="22">
        <f>((Data!$AJ$12*((Drivers!AL5*1000000)/Drivers!AL4))+Data!$AK$12)*Drivers!AL4</f>
        <v>198828.81430043711</v>
      </c>
      <c r="AL47" s="22">
        <f>((Data!$AJ$12*((Drivers!AM5*1000000)/Drivers!AM4))+Data!$AK$12)*Drivers!AM4</f>
        <v>198327.8898555192</v>
      </c>
      <c r="AM47" s="22">
        <f>((Data!$AJ$12*((Drivers!AN5*1000000)/Drivers!AN4))+Data!$AK$12)*Drivers!AN4</f>
        <v>195828.02271596226</v>
      </c>
      <c r="AN47" s="22">
        <f>((Data!$AJ$12*((Drivers!AO5*1000000)/Drivers!AO4))+Data!$AK$12)*Drivers!AO4</f>
        <v>192235.30620425468</v>
      </c>
      <c r="AO47" s="22">
        <f>((Data!$AJ$12*((Drivers!AP5*1000000)/Drivers!AP4))+Data!$AK$12)*Drivers!AP4</f>
        <v>187273.27712876687</v>
      </c>
      <c r="AP47" s="22">
        <f>((Data!$AJ$12*((Drivers!AQ5*1000000)/Drivers!AQ4))+Data!$AK$12)*Drivers!AQ4</f>
        <v>180151.1550910619</v>
      </c>
      <c r="AQ47" s="22">
        <f>((Data!$AJ$12*((Drivers!AR5*1000000)/Drivers!AR4))+Data!$AK$12)*Drivers!AR4</f>
        <v>170945.25715310374</v>
      </c>
      <c r="AR47" s="22">
        <f>((Data!$AJ$12*((Drivers!AS5*1000000)/Drivers!AS4))+Data!$AK$12)*Drivers!AS4</f>
        <v>160348.58697283655</v>
      </c>
      <c r="AS47" s="22">
        <f>((Data!$AJ$12*((Drivers!AT5*1000000)/Drivers!AT4))+Data!$AK$12)*Drivers!AT4</f>
        <v>148394.06448592493</v>
      </c>
      <c r="AT47" s="22">
        <f>((Data!$AJ$12*((Drivers!AU5*1000000)/Drivers!AU4))+Data!$AK$12)*Drivers!AU4</f>
        <v>135475.79162924865</v>
      </c>
      <c r="AU47" s="22">
        <f>((Data!$AJ$12*((Drivers!AV5*1000000)/Drivers!AV4))+Data!$AK$12)*Drivers!AV4</f>
        <v>121381.95445826398</v>
      </c>
      <c r="AV47" s="22">
        <f>((Data!$AJ$12*((Drivers!AW5*1000000)/Drivers!AW4))+Data!$AK$12)*Drivers!AW4</f>
        <v>106300.54315626674</v>
      </c>
      <c r="AW47" s="22">
        <f>((Data!$AJ$12*((Drivers!AX5*1000000)/Drivers!AX4))+Data!$AK$12)*Drivers!AX4</f>
        <v>90960.026348992833</v>
      </c>
      <c r="AX47" s="22">
        <f>((Data!$AJ$12*((Drivers!AY5*1000000)/Drivers!AY4))+Data!$AK$12)*Drivers!AY4</f>
        <v>74295.620536061164</v>
      </c>
      <c r="AY47" s="22">
        <f>((Data!$AJ$12*((Drivers!AZ5*1000000)/Drivers!AZ4))+Data!$AK$12)*Drivers!AZ4</f>
        <v>56948.429089023324</v>
      </c>
      <c r="AZ47" s="22">
        <f>((Data!$AJ$12*((Drivers!BA5*1000000)/Drivers!BA4))+Data!$AK$12)*Drivers!BA4</f>
        <v>38968.002817852139</v>
      </c>
      <c r="BA47" s="22">
        <f>((Data!$AJ$12*((Drivers!BB5*1000000)/Drivers!BB4))+Data!$AK$12)*Drivers!BB4</f>
        <v>20027.331442205963</v>
      </c>
      <c r="BB47" s="22">
        <f>((Data!$AJ$12*((Drivers!BC5*1000000)/Drivers!BC4))+Data!$AK$12)*Drivers!BC4</f>
        <v>935.06602759530142</v>
      </c>
      <c r="BC47" s="22">
        <f>((Data!$AJ$12*((Drivers!BD5*1000000)/Drivers!BD4))+Data!$AK$12)*Drivers!BD4</f>
        <v>-19451.229309019178</v>
      </c>
      <c r="BD47" s="22">
        <f>((Data!$AJ$12*((Drivers!BE5*1000000)/Drivers!BE4))+Data!$AK$12)*Drivers!BE4</f>
        <v>-41576.598511388482</v>
      </c>
      <c r="BE47" s="22">
        <f>((Data!$AJ$12*((Drivers!BF5*1000000)/Drivers!BF4))+Data!$AK$12)*Drivers!BF4</f>
        <v>-64770.987985363507</v>
      </c>
      <c r="BF47" s="22">
        <f>((Data!$AJ$12*((Drivers!BG5*1000000)/Drivers!BG4))+Data!$AK$12)*Drivers!BG4</f>
        <v>-89107.206380685951</v>
      </c>
      <c r="BG47" s="22">
        <f>((Data!$AJ$12*((Drivers!BH5*1000000)/Drivers!BH4))+Data!$AK$12)*Drivers!BH4</f>
        <v>-115412.95295904137</v>
      </c>
      <c r="BH47" s="22">
        <f>((Data!$AJ$12*((Drivers!BI5*1000000)/Drivers!BI4))+Data!$AK$12)*Drivers!BI4</f>
        <v>-143471.93219490003</v>
      </c>
      <c r="BI47" s="22">
        <f>((Data!$AJ$12*((Drivers!BJ5*1000000)/Drivers!BJ4))+Data!$AK$12)*Drivers!BJ4</f>
        <v>-173140.94267511289</v>
      </c>
      <c r="BJ47" s="22">
        <f>((Data!$AJ$12*((Drivers!BK5*1000000)/Drivers!BK4))+Data!$AK$12)*Drivers!BK4</f>
        <v>-204975.12611867065</v>
      </c>
      <c r="BK47" s="22">
        <f>((Data!$AJ$12*((Drivers!BL5*1000000)/Drivers!BL4))+Data!$AK$12)*Drivers!BL4</f>
        <v>-235981.54432432121</v>
      </c>
      <c r="BP47" t="e">
        <f t="shared" si="0"/>
        <v>#VALUE!</v>
      </c>
      <c r="BQ47">
        <f t="shared" si="1"/>
        <v>0</v>
      </c>
    </row>
    <row r="48" spans="1:69"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P48" t="e">
        <f t="shared" si="0"/>
        <v>#VALUE!</v>
      </c>
      <c r="BQ48">
        <f t="shared" si="1"/>
        <v>0</v>
      </c>
    </row>
    <row r="49" spans="1:69"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178577.37849101156</v>
      </c>
      <c r="AA49" s="22">
        <f>((Data!$AJ$44*'Intermediate calculations'!AA47)+Data!$AK$44)</f>
        <v>177479.7727679064</v>
      </c>
      <c r="AB49" s="22">
        <f>((Data!$AJ$44*'Intermediate calculations'!AB47)+Data!$AK$44)</f>
        <v>179296.7708102419</v>
      </c>
      <c r="AC49" s="22">
        <f>((Data!$AJ$44*'Intermediate calculations'!AC47)+Data!$AK$44)</f>
        <v>183155.94927440837</v>
      </c>
      <c r="AD49" s="22">
        <f>((Data!$AJ$44*'Intermediate calculations'!AD47)+Data!$AK$44)</f>
        <v>189112.44331875225</v>
      </c>
      <c r="AE49" s="22">
        <f>((Data!$AJ$44*'Intermediate calculations'!AE47)+Data!$AK$44)</f>
        <v>193787.72010440074</v>
      </c>
      <c r="AF49" s="22">
        <f>((Data!$AJ$44*'Intermediate calculations'!AF47)+Data!$AK$44)</f>
        <v>198385.25076266562</v>
      </c>
      <c r="AG49" s="22">
        <f>((Data!$AJ$44*'Intermediate calculations'!AG47)+Data!$AK$44)</f>
        <v>224444.37844954355</v>
      </c>
      <c r="AH49" s="22">
        <f>((Data!$AJ$44*'Intermediate calculations'!AH47)+Data!$AK$44)</f>
        <v>211011.45748070188</v>
      </c>
      <c r="AI49" s="22">
        <f>((Data!$AJ$44*'Intermediate calculations'!AI47)+Data!$AK$44)</f>
        <v>204872.6719811942</v>
      </c>
      <c r="AJ49" s="22">
        <f>((Data!$AJ$44*'Intermediate calculations'!AJ47)+Data!$AK$44)</f>
        <v>205377.84152597183</v>
      </c>
      <c r="AK49" s="22">
        <f>((Data!$AJ$44*'Intermediate calculations'!AK47)+Data!$AK$44)</f>
        <v>206281.98891599977</v>
      </c>
      <c r="AL49" s="22">
        <f>((Data!$AJ$44*'Intermediate calculations'!AL47)+Data!$AK$44)</f>
        <v>205785.73593290677</v>
      </c>
      <c r="AM49" s="22">
        <f>((Data!$AJ$44*'Intermediate calculations'!AM47)+Data!$AK$44)</f>
        <v>203309.18175806591</v>
      </c>
      <c r="AN49" s="22">
        <f>((Data!$AJ$44*'Intermediate calculations'!AN47)+Data!$AK$44)</f>
        <v>199749.96977623797</v>
      </c>
      <c r="AO49" s="22">
        <f>((Data!$AJ$44*'Intermediate calculations'!AO47)+Data!$AK$44)</f>
        <v>194834.21500346274</v>
      </c>
      <c r="AP49" s="22">
        <f>((Data!$AJ$44*'Intermediate calculations'!AP47)+Data!$AK$44)</f>
        <v>187778.51160742933</v>
      </c>
      <c r="AQ49" s="22">
        <f>((Data!$AJ$44*'Intermediate calculations'!AQ47)+Data!$AK$44)</f>
        <v>178658.46494148945</v>
      </c>
      <c r="AR49" s="22">
        <f>((Data!$AJ$44*'Intermediate calculations'!AR47)+Data!$AK$44)</f>
        <v>168160.61593220037</v>
      </c>
      <c r="AS49" s="22">
        <f>((Data!$AJ$44*'Intermediate calculations'!AS47)+Data!$AK$44)</f>
        <v>156317.57751439192</v>
      </c>
      <c r="AT49" s="22">
        <f>((Data!$AJ$44*'Intermediate calculations'!AT47)+Data!$AK$44)</f>
        <v>143519.77635580517</v>
      </c>
      <c r="AU49" s="22">
        <f>((Data!$AJ$44*'Intermediate calculations'!AU47)+Data!$AK$44)</f>
        <v>129557.37382127874</v>
      </c>
      <c r="AV49" s="22">
        <f>((Data!$AJ$44*'Intermediate calculations'!AV47)+Data!$AK$44)</f>
        <v>114616.60695753542</v>
      </c>
      <c r="AW49" s="22">
        <f>((Data!$AJ$44*'Intermediate calculations'!AW47)+Data!$AK$44)</f>
        <v>99419.150923930501</v>
      </c>
      <c r="AX49" s="22">
        <f>((Data!$AJ$44*'Intermediate calculations'!AX47)+Data!$AK$44)</f>
        <v>82910.152051865487</v>
      </c>
      <c r="AY49" s="22">
        <f>((Data!$AJ$44*'Intermediate calculations'!AY47)+Data!$AK$44)</f>
        <v>65724.734987045347</v>
      </c>
      <c r="AZ49" s="22">
        <f>((Data!$AJ$44*'Intermediate calculations'!AZ47)+Data!$AK$44)</f>
        <v>47911.988444371462</v>
      </c>
      <c r="BA49" s="22">
        <f>((Data!$AJ$44*'Intermediate calculations'!BA47)+Data!$AK$44)</f>
        <v>29147.951737221265</v>
      </c>
      <c r="BB49" s="22">
        <f>((Data!$AJ$44*'Intermediate calculations'!BB47)+Data!$AK$44)</f>
        <v>10233.734708830072</v>
      </c>
      <c r="BC49" s="22">
        <f>((Data!$AJ$44*'Intermediate calculations'!BC47)+Data!$AK$44)</f>
        <v>-9962.4445306710732</v>
      </c>
      <c r="BD49" s="22">
        <f>((Data!$AJ$44*'Intermediate calculations'!BD47)+Data!$AK$44)</f>
        <v>-31881.479586963767</v>
      </c>
      <c r="BE49" s="22">
        <f>((Data!$AJ$44*'Intermediate calculations'!BE47)+Data!$AK$44)</f>
        <v>-54859.565572300569</v>
      </c>
      <c r="BF49" s="22">
        <f>((Data!$AJ$44*'Intermediate calculations'!BF47)+Data!$AK$44)</f>
        <v>-78968.83214614584</v>
      </c>
      <c r="BG49" s="22">
        <f>((Data!$AJ$44*'Intermediate calculations'!BG47)+Data!$AK$44)</f>
        <v>-105029.25971049938</v>
      </c>
      <c r="BH49" s="22">
        <f>((Data!$AJ$44*'Intermediate calculations'!BH47)+Data!$AK$44)</f>
        <v>-132826.56984301071</v>
      </c>
      <c r="BI49" s="22">
        <f>((Data!$AJ$44*'Intermediate calculations'!BI47)+Data!$AK$44)</f>
        <v>-162218.89658129908</v>
      </c>
      <c r="BJ49" s="22">
        <f>((Data!$AJ$44*'Intermediate calculations'!BJ47)+Data!$AK$44)</f>
        <v>-193756.20456950084</v>
      </c>
      <c r="BK49" s="22">
        <f>((Data!$AJ$44*'Intermediate calculations'!BK47)+Data!$AK$44)</f>
        <v>-224473.46679475438</v>
      </c>
      <c r="BP49" t="e">
        <f t="shared" si="0"/>
        <v>#VALUE!</v>
      </c>
      <c r="BQ49">
        <f t="shared" si="1"/>
        <v>0</v>
      </c>
    </row>
    <row r="50" spans="1:69"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2726727.2625781368</v>
      </c>
      <c r="AH50" s="22">
        <f>AH15*Constants!$H$29*Constants!$H$35</f>
        <v>2798202.6589577035</v>
      </c>
      <c r="AI50" s="22">
        <f>AI15*Constants!$H$29*Constants!$H$35</f>
        <v>2841817.2678384497</v>
      </c>
      <c r="AJ50" s="22">
        <f>AJ15*Constants!$H$29*Constants!$H$35</f>
        <v>2864766.8588944697</v>
      </c>
      <c r="AK50" s="22">
        <f>AK15*Constants!$H$29*Constants!$H$35</f>
        <v>2890441.7828806019</v>
      </c>
      <c r="AL50" s="22">
        <f>AL15*Constants!$H$29*Constants!$H$35</f>
        <v>2922887.5846717311</v>
      </c>
      <c r="AM50" s="22">
        <f>AM15*Constants!$H$29*Constants!$H$35</f>
        <v>2960772.7841662648</v>
      </c>
      <c r="AN50" s="22">
        <f>AN15*Constants!$H$29*Constants!$H$35</f>
        <v>3001317.5202815761</v>
      </c>
      <c r="AO50" s="22">
        <f>AO15*Constants!$H$29*Constants!$H$35</f>
        <v>3045400.7067220812</v>
      </c>
      <c r="AP50" s="22">
        <f>AP15*Constants!$H$29*Constants!$H$35</f>
        <v>3095656.1035502995</v>
      </c>
      <c r="AQ50" s="22">
        <f>AQ15*Constants!$H$29*Constants!$H$35</f>
        <v>3151964.5521753374</v>
      </c>
      <c r="AR50" s="22">
        <f>AR15*Constants!$H$29*Constants!$H$35</f>
        <v>3212116.2693291032</v>
      </c>
      <c r="AS50" s="22">
        <f>AS15*Constants!$H$29*Constants!$H$35</f>
        <v>3276121.0388897019</v>
      </c>
      <c r="AT50" s="22">
        <f>AT15*Constants!$H$29*Constants!$H$35</f>
        <v>3342745.6834642892</v>
      </c>
      <c r="AU50" s="22">
        <f>AU15*Constants!$H$29*Constants!$H$35</f>
        <v>3412616.6825077371</v>
      </c>
      <c r="AV50" s="22">
        <f>AV15*Constants!$H$29*Constants!$H$35</f>
        <v>3485189.8651916138</v>
      </c>
      <c r="AW50" s="22">
        <f>AW15*Constants!$H$29*Constants!$H$35</f>
        <v>3558210.3854498258</v>
      </c>
      <c r="AX50" s="22">
        <f>AX15*Constants!$H$29*Constants!$H$35</f>
        <v>3635039.141771514</v>
      </c>
      <c r="AY50" s="22">
        <f>AY15*Constants!$H$29*Constants!$H$35</f>
        <v>3713493.2650110391</v>
      </c>
      <c r="AZ50" s="22">
        <f>AZ15*Constants!$H$29*Constants!$H$35</f>
        <v>3793420.2028151732</v>
      </c>
      <c r="BA50" s="22">
        <f>BA15*Constants!$H$29*Constants!$H$35</f>
        <v>3875904.6893005539</v>
      </c>
      <c r="BB50" s="22">
        <f>BB15*Constants!$H$29*Constants!$H$35</f>
        <v>3958385.3956543603</v>
      </c>
      <c r="BC50" s="22">
        <f>BC15*Constants!$H$29*Constants!$H$35</f>
        <v>4044448.5496033137</v>
      </c>
      <c r="BD50" s="22">
        <f>BD15*Constants!$H$29*Constants!$H$35</f>
        <v>4135467.8699380737</v>
      </c>
      <c r="BE50" s="22">
        <f>BE15*Constants!$H$29*Constants!$H$35</f>
        <v>4229284.9233086221</v>
      </c>
      <c r="BF50" s="22">
        <f>BF15*Constants!$H$29*Constants!$H$35</f>
        <v>4326065.7774897786</v>
      </c>
      <c r="BG50" s="22">
        <f>BG15*Constants!$H$29*Constants!$H$35</f>
        <v>4428395.7833167119</v>
      </c>
      <c r="BH50" s="22">
        <f>BH15*Constants!$H$29*Constants!$H$35</f>
        <v>4535572.935902467</v>
      </c>
      <c r="BI50" s="22">
        <f>BI15*Constants!$H$29*Constants!$H$35</f>
        <v>4647151.1993741607</v>
      </c>
      <c r="BJ50" s="22">
        <f>BJ15*Constants!$H$29*Constants!$H$35</f>
        <v>4764926.0820193291</v>
      </c>
      <c r="BK50" s="22">
        <f>BK15*Constants!$H$29*Constants!$H$35</f>
        <v>4879201.4318640335</v>
      </c>
      <c r="BP50" t="e">
        <f t="shared" si="0"/>
        <v>#VALUE!</v>
      </c>
      <c r="BQ50">
        <f t="shared" si="1"/>
        <v>0</v>
      </c>
    </row>
    <row r="51" spans="1:69"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3879298.5642415779</v>
      </c>
      <c r="AD51" s="22">
        <f>AD8*Constants!$H$30*Constants!$H$36</f>
        <v>3906775.7827615775</v>
      </c>
      <c r="AE51" s="22">
        <f>AE8*Constants!$H$30*Constants!$H$36</f>
        <v>3953557.7830203278</v>
      </c>
      <c r="AF51" s="22">
        <f>AF8*Constants!$H$30*Constants!$H$36</f>
        <v>4003230.5614012098</v>
      </c>
      <c r="AG51" s="22">
        <f>AG8*Constants!$H$30*Constants!$H$36</f>
        <v>3694046.8532957532</v>
      </c>
      <c r="AH51" s="22">
        <f>AH8*Constants!$H$30*Constants!$H$36</f>
        <v>3953230.5754830735</v>
      </c>
      <c r="AI51" s="22">
        <f>AI8*Constants!$H$30*Constants!$H$36</f>
        <v>4100047.167298615</v>
      </c>
      <c r="AJ51" s="22">
        <f>AJ8*Constants!$H$30*Constants!$H$36</f>
        <v>4156721.3590043574</v>
      </c>
      <c r="AK51" s="22">
        <f>AK8*Constants!$H$30*Constants!$H$36</f>
        <v>4218258.1805915125</v>
      </c>
      <c r="AL51" s="22">
        <f>AL8*Constants!$H$30*Constants!$H$36</f>
        <v>4305052.1558785103</v>
      </c>
      <c r="AM51" s="22">
        <f>AM8*Constants!$H$30*Constants!$H$36</f>
        <v>4416848.5895454623</v>
      </c>
      <c r="AN51" s="22">
        <f>AN8*Constants!$H$30*Constants!$H$36</f>
        <v>4541500.0399636794</v>
      </c>
      <c r="AO51" s="22">
        <f>AO8*Constants!$H$30*Constants!$H$36</f>
        <v>4682792.507898611</v>
      </c>
      <c r="AP51" s="22">
        <f>AP8*Constants!$H$30*Constants!$H$36</f>
        <v>4851865.5445794752</v>
      </c>
      <c r="AQ51" s="22">
        <f>AQ8*Constants!$H$30*Constants!$H$36</f>
        <v>5047993.899860356</v>
      </c>
      <c r="AR51" s="22">
        <f>AR8*Constants!$H$30*Constants!$H$36</f>
        <v>5261670.1159822801</v>
      </c>
      <c r="AS51" s="22">
        <f>AS8*Constants!$H$30*Constants!$H$36</f>
        <v>5492739.8647232484</v>
      </c>
      <c r="AT51" s="22">
        <f>AT8*Constants!$H$30*Constants!$H$36</f>
        <v>5735857.2569140438</v>
      </c>
      <c r="AU51" s="22">
        <f>AU8*Constants!$H$30*Constants!$H$36</f>
        <v>5993801.4378374461</v>
      </c>
      <c r="AV51" s="22">
        <f>AV8*Constants!$H$30*Constants!$H$36</f>
        <v>6264136.5352085205</v>
      </c>
      <c r="AW51" s="22">
        <f>AW8*Constants!$H$30*Constants!$H$36</f>
        <v>6537044.7766442429</v>
      </c>
      <c r="AX51" s="22">
        <f>AX8*Constants!$H$30*Constants!$H$36</f>
        <v>6827045.0706407707</v>
      </c>
      <c r="AY51" s="22">
        <f>AY8*Constants!$H$30*Constants!$H$36</f>
        <v>7124982.958347857</v>
      </c>
      <c r="AZ51" s="22">
        <f>AZ8*Constants!$H$30*Constants!$H$36</f>
        <v>7430192.763183373</v>
      </c>
      <c r="BA51" s="22">
        <f>BA8*Constants!$H$30*Constants!$H$36</f>
        <v>7747269.6059936266</v>
      </c>
      <c r="BB51" s="22">
        <f>BB8*Constants!$H$30*Constants!$H$36</f>
        <v>8065164.0513950987</v>
      </c>
      <c r="BC51" s="22">
        <f>BC8*Constants!$H$30*Constants!$H$36</f>
        <v>8399402.610991247</v>
      </c>
      <c r="BD51" s="22">
        <f>BD8*Constants!$H$30*Constants!$H$36</f>
        <v>8755973.3259012643</v>
      </c>
      <c r="BE51" s="22">
        <f>BE8*Constants!$H$30*Constants!$H$36</f>
        <v>9125627.0355362538</v>
      </c>
      <c r="BF51" s="22">
        <f>BF8*Constants!$H$30*Constants!$H$36</f>
        <v>9509191.3726137765</v>
      </c>
      <c r="BG51" s="22">
        <f>BG8*Constants!$H$30*Constants!$H$36</f>
        <v>9917881.9728282634</v>
      </c>
      <c r="BH51" s="22">
        <f>BH8*Constants!$H$30*Constants!$H$36</f>
        <v>10348699.560751414</v>
      </c>
      <c r="BI51" s="22">
        <f>BI8*Constants!$H$30*Constants!$H$36</f>
        <v>10799706.966077602</v>
      </c>
      <c r="BJ51" s="22">
        <f>BJ8*Constants!$H$30*Constants!$H$36</f>
        <v>11278585.904456533</v>
      </c>
      <c r="BK51" s="22">
        <f>BK8*Constants!$H$30*Constants!$H$36</f>
        <v>11743880.402435489</v>
      </c>
      <c r="BP51" t="e">
        <f t="shared" si="0"/>
        <v>#VALUE!</v>
      </c>
      <c r="BQ51">
        <f t="shared" si="1"/>
        <v>0</v>
      </c>
    </row>
    <row r="52" spans="1:69"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679984.02861521754</v>
      </c>
      <c r="AH52" s="22">
        <f>AH18*Constants!$H$31*Constants!$H$37</f>
        <v>684864.9198409036</v>
      </c>
      <c r="AI52" s="22">
        <f>AI18*Constants!$H$31*Constants!$H$37</f>
        <v>688931.16287458478</v>
      </c>
      <c r="AJ52" s="22">
        <f>AJ18*Constants!$H$31*Constants!$H$37</f>
        <v>693045.31719199638</v>
      </c>
      <c r="AK52" s="22">
        <f>AK18*Constants!$H$31*Constants!$H$37</f>
        <v>697827.231673948</v>
      </c>
      <c r="AL52" s="22">
        <f>AL18*Constants!$H$31*Constants!$H$37</f>
        <v>703003.90621682198</v>
      </c>
      <c r="AM52" s="22">
        <f>AM18*Constants!$H$31*Constants!$H$37</f>
        <v>708045.59928398533</v>
      </c>
      <c r="AN52" s="22">
        <f>AN18*Constants!$H$31*Constants!$H$37</f>
        <v>712960.81622932642</v>
      </c>
      <c r="AO52" s="22">
        <f>AO18*Constants!$H$31*Constants!$H$37</f>
        <v>717752.11410969996</v>
      </c>
      <c r="AP52" s="22">
        <f>AP18*Constants!$H$31*Constants!$H$37</f>
        <v>722446.88321879494</v>
      </c>
      <c r="AQ52" s="22">
        <f>AQ18*Constants!$H$31*Constants!$H$37</f>
        <v>727065.11430783302</v>
      </c>
      <c r="AR52" s="22">
        <f>AR18*Constants!$H$31*Constants!$H$37</f>
        <v>731599.28602899041</v>
      </c>
      <c r="AS52" s="22">
        <f>AS18*Constants!$H$31*Constants!$H$37</f>
        <v>736068.27799261804</v>
      </c>
      <c r="AT52" s="22">
        <f>AT18*Constants!$H$31*Constants!$H$37</f>
        <v>740471.75176886842</v>
      </c>
      <c r="AU52" s="22">
        <f>AU18*Constants!$H$31*Constants!$H$37</f>
        <v>744803.80352097563</v>
      </c>
      <c r="AV52" s="22">
        <f>AV18*Constants!$H$31*Constants!$H$37</f>
        <v>749071.65873373998</v>
      </c>
      <c r="AW52" s="22">
        <f>AW18*Constants!$H$31*Constants!$H$37</f>
        <v>753278.81431940733</v>
      </c>
      <c r="AX52" s="22">
        <f>AX18*Constants!$H$31*Constants!$H$37</f>
        <v>757431.06332902727</v>
      </c>
      <c r="AY52" s="22">
        <f>AY18*Constants!$H$31*Constants!$H$37</f>
        <v>761498.21698663873</v>
      </c>
      <c r="AZ52" s="22">
        <f>AZ18*Constants!$H$31*Constants!$H$37</f>
        <v>765480.65118900978</v>
      </c>
      <c r="BA52" s="22">
        <f>BA18*Constants!$H$31*Constants!$H$37</f>
        <v>769388.9548685269</v>
      </c>
      <c r="BB52" s="22">
        <f>BB18*Constants!$H$31*Constants!$H$37</f>
        <v>773217.23813255387</v>
      </c>
      <c r="BC52" s="22">
        <f>BC18*Constants!$H$31*Constants!$H$37</f>
        <v>776968.40174198116</v>
      </c>
      <c r="BD52" s="22">
        <f>BD18*Constants!$H$31*Constants!$H$37</f>
        <v>780639.66625140747</v>
      </c>
      <c r="BE52" s="22">
        <f>BE18*Constants!$H$31*Constants!$H$37</f>
        <v>784220.09978666017</v>
      </c>
      <c r="BF52" s="22">
        <f>BF18*Constants!$H$31*Constants!$H$37</f>
        <v>787699.41242502618</v>
      </c>
      <c r="BG52" s="22">
        <f>BG18*Constants!$H$31*Constants!$H$37</f>
        <v>791077.54579532694</v>
      </c>
      <c r="BH52" s="22">
        <f>BH18*Constants!$H$31*Constants!$H$37</f>
        <v>794350.09006639337</v>
      </c>
      <c r="BI52" s="22">
        <f>BI18*Constants!$H$31*Constants!$H$37</f>
        <v>797517.26643955661</v>
      </c>
      <c r="BJ52" s="22">
        <f>BJ18*Constants!$H$31*Constants!$H$37</f>
        <v>800589.34547397064</v>
      </c>
      <c r="BK52" s="22">
        <f>BK18*Constants!$H$31*Constants!$H$37</f>
        <v>803508.27004126378</v>
      </c>
      <c r="BP52" t="e">
        <f t="shared" si="0"/>
        <v>#VALUE!</v>
      </c>
      <c r="BQ52">
        <f t="shared" si="1"/>
        <v>0</v>
      </c>
    </row>
    <row r="53" spans="1:69"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107578.64992070248</v>
      </c>
      <c r="AA53" s="22">
        <f>AA32*Constants!$H$32*Constants!$H$38</f>
        <v>110633.12591910688</v>
      </c>
      <c r="AB53" s="22">
        <f>AB32*Constants!$H$32*Constants!$H$38</f>
        <v>112582.26561288939</v>
      </c>
      <c r="AC53" s="22">
        <f>AC32*Constants!$H$32*Constants!$H$38</f>
        <v>113789.77241225366</v>
      </c>
      <c r="AD53" s="22">
        <f>AD32*Constants!$H$32*Constants!$H$38</f>
        <v>114236.87821044908</v>
      </c>
      <c r="AE53" s="22">
        <f>AE32*Constants!$H$32*Constants!$H$38</f>
        <v>115251.32905709541</v>
      </c>
      <c r="AF53" s="22">
        <f>AF32*Constants!$H$32*Constants!$H$38</f>
        <v>116345.45035452007</v>
      </c>
      <c r="AG53" s="22">
        <f>AG32*Constants!$H$32*Constants!$H$38</f>
        <v>107002.29168429857</v>
      </c>
      <c r="AH53" s="22">
        <f>AH32*Constants!$H$32*Constants!$H$38</f>
        <v>114444.8190377998</v>
      </c>
      <c r="AI53" s="22">
        <f>AI32*Constants!$H$32*Constants!$H$38</f>
        <v>118592.57838898798</v>
      </c>
      <c r="AJ53" s="22">
        <f>AJ32*Constants!$H$32*Constants!$H$38</f>
        <v>120060.51804769099</v>
      </c>
      <c r="AK53" s="22">
        <f>AK32*Constants!$H$32*Constants!$H$38</f>
        <v>121637.93154583966</v>
      </c>
      <c r="AL53" s="22">
        <f>AL32*Constants!$H$32*Constants!$H$38</f>
        <v>123944.84384845853</v>
      </c>
      <c r="AM53" s="22">
        <f>AM32*Constants!$H$32*Constants!$H$38</f>
        <v>127001.41707240108</v>
      </c>
      <c r="AN53" s="22">
        <f>AN32*Constants!$H$32*Constants!$H$38</f>
        <v>130446.4158816578</v>
      </c>
      <c r="AO53" s="22">
        <f>AO32*Constants!$H$32*Constants!$H$38</f>
        <v>134392.15413627843</v>
      </c>
      <c r="AP53" s="22">
        <f>AP32*Constants!$H$32*Constants!$H$38</f>
        <v>139168.05311552505</v>
      </c>
      <c r="AQ53" s="22">
        <f>AQ32*Constants!$H$32*Constants!$H$38</f>
        <v>144751.52590371628</v>
      </c>
      <c r="AR53" s="22">
        <f>AR32*Constants!$H$32*Constants!$H$38</f>
        <v>150860.58594989253</v>
      </c>
      <c r="AS53" s="22">
        <f>AS32*Constants!$H$32*Constants!$H$38</f>
        <v>157489.66140081547</v>
      </c>
      <c r="AT53" s="22">
        <f>AT32*Constants!$H$32*Constants!$H$38</f>
        <v>164479.99215590156</v>
      </c>
      <c r="AU53" s="22">
        <f>AU32*Constants!$H$32*Constants!$H$38</f>
        <v>171914.43038864597</v>
      </c>
      <c r="AV53" s="22">
        <f>AV32*Constants!$H$32*Constants!$H$38</f>
        <v>179720.25027321943</v>
      </c>
      <c r="AW53" s="22">
        <f>AW32*Constants!$H$32*Constants!$H$38</f>
        <v>187605.67193113518</v>
      </c>
      <c r="AX53" s="22">
        <f>AX32*Constants!$H$32*Constants!$H$38</f>
        <v>196001.6170585776</v>
      </c>
      <c r="AY53" s="22">
        <f>AY32*Constants!$H$32*Constants!$H$38</f>
        <v>204637.76991484489</v>
      </c>
      <c r="AZ53" s="22">
        <f>AZ32*Constants!$H$32*Constants!$H$38</f>
        <v>213494.33962004812</v>
      </c>
      <c r="BA53" s="22">
        <f>BA32*Constants!$H$32*Constants!$H$38</f>
        <v>222707.25125281326</v>
      </c>
      <c r="BB53" s="22">
        <f>BB32*Constants!$H$32*Constants!$H$38</f>
        <v>231948.63472094294</v>
      </c>
      <c r="BC53" s="22">
        <f>BC32*Constants!$H$32*Constants!$H$38</f>
        <v>241679.48984072905</v>
      </c>
      <c r="BD53" s="22">
        <f>BD32*Constants!$H$32*Constants!$H$38</f>
        <v>252077.81240530522</v>
      </c>
      <c r="BE53" s="22">
        <f>BE32*Constants!$H$32*Constants!$H$38</f>
        <v>262869.46603447793</v>
      </c>
      <c r="BF53" s="22">
        <f>BF32*Constants!$H$32*Constants!$H$38</f>
        <v>274079.57075652306</v>
      </c>
      <c r="BG53" s="22">
        <f>BG32*Constants!$H$32*Constants!$H$38</f>
        <v>286041.24429897225</v>
      </c>
      <c r="BH53" s="22">
        <f>BH32*Constants!$H$32*Constants!$H$38</f>
        <v>298665.63624090346</v>
      </c>
      <c r="BI53" s="22">
        <f>BI32*Constants!$H$32*Constants!$H$38</f>
        <v>311895.19926882611</v>
      </c>
      <c r="BJ53" s="22">
        <f>BJ32*Constants!$H$32*Constants!$H$38</f>
        <v>325957.54982323368</v>
      </c>
      <c r="BK53" s="22">
        <f>BK32*Constants!$H$32*Constants!$H$38</f>
        <v>339624.44617400173</v>
      </c>
      <c r="BP53" t="e">
        <f t="shared" si="0"/>
        <v>#VALUE!</v>
      </c>
      <c r="BQ53">
        <f t="shared" si="1"/>
        <v>0</v>
      </c>
    </row>
    <row r="54" spans="1:69"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580166.48120341264</v>
      </c>
      <c r="AD54" s="22">
        <f>AD37*Constants!$H$33*Constants!$H$39</f>
        <v>586050.55870402511</v>
      </c>
      <c r="AE54" s="22">
        <f>AE37*Constants!$H$33*Constants!$H$39</f>
        <v>593601.80527957692</v>
      </c>
      <c r="AF54" s="22">
        <f>AF37*Constants!$H$33*Constants!$H$39</f>
        <v>601454.1975406796</v>
      </c>
      <c r="AG54" s="22">
        <f>AG37*Constants!$H$33*Constants!$H$39</f>
        <v>577252.81404601829</v>
      </c>
      <c r="AH54" s="22">
        <f>AH37*Constants!$H$33*Constants!$H$39</f>
        <v>601336.76417260338</v>
      </c>
      <c r="AI54" s="22">
        <f>AI37*Constants!$H$33*Constants!$H$39</f>
        <v>615642.88542908104</v>
      </c>
      <c r="AJ54" s="22">
        <f>AJ37*Constants!$H$33*Constants!$H$39</f>
        <v>622462.75690615701</v>
      </c>
      <c r="AK54" s="22">
        <f>AK37*Constants!$H$33*Constants!$H$39</f>
        <v>630028.26813261281</v>
      </c>
      <c r="AL54" s="22">
        <f>AL37*Constants!$H$33*Constants!$H$39</f>
        <v>639899.49392510543</v>
      </c>
      <c r="AM54" s="22">
        <f>AM37*Constants!$H$33*Constants!$H$39</f>
        <v>651785.1027877914</v>
      </c>
      <c r="AN54" s="22">
        <f>AN37*Constants!$H$33*Constants!$H$39</f>
        <v>664677.30472812674</v>
      </c>
      <c r="AO54" s="22">
        <f>AO37*Constants!$H$33*Constants!$H$39</f>
        <v>678892.85375888995</v>
      </c>
      <c r="AP54" s="22">
        <f>AP37*Constants!$H$33*Constants!$H$39</f>
        <v>695373.86513624259</v>
      </c>
      <c r="AQ54" s="22">
        <f>AQ37*Constants!$H$33*Constants!$H$39</f>
        <v>714070.10399777733</v>
      </c>
      <c r="AR54" s="22">
        <f>AR37*Constants!$H$33*Constants!$H$39</f>
        <v>734185.57236723637</v>
      </c>
      <c r="AS54" s="22">
        <f>AS37*Constants!$H$33*Constants!$H$39</f>
        <v>755717.03812854527</v>
      </c>
      <c r="AT54" s="22">
        <f>AT37*Constants!$H$33*Constants!$H$39</f>
        <v>778218.90837302362</v>
      </c>
      <c r="AU54" s="22">
        <f>AU37*Constants!$H$33*Constants!$H$39</f>
        <v>801919.73162219161</v>
      </c>
      <c r="AV54" s="22">
        <f>AV37*Constants!$H$33*Constants!$H$39</f>
        <v>826620.23481192626</v>
      </c>
      <c r="AW54" s="22">
        <f>AW37*Constants!$H$33*Constants!$H$39</f>
        <v>851504.18260898383</v>
      </c>
      <c r="AX54" s="22">
        <f>AX37*Constants!$H$33*Constants!$H$39</f>
        <v>877784.24662976863</v>
      </c>
      <c r="AY54" s="22">
        <f>AY37*Constants!$H$33*Constants!$H$39</f>
        <v>904682.28291494865</v>
      </c>
      <c r="AZ54" s="22">
        <f>AZ37*Constants!$H$33*Constants!$H$39</f>
        <v>932143.01885073748</v>
      </c>
      <c r="BA54" s="22">
        <f>BA37*Constants!$H$33*Constants!$H$39</f>
        <v>960554.71984334744</v>
      </c>
      <c r="BB54" s="22">
        <f>BB37*Constants!$H$33*Constants!$H$39</f>
        <v>988993.74195622292</v>
      </c>
      <c r="BC54" s="22">
        <f>BC37*Constants!$H$33*Constants!$H$39</f>
        <v>1018755.2357073082</v>
      </c>
      <c r="BD54" s="22">
        <f>BD37*Constants!$H$33*Constants!$H$39</f>
        <v>1050336.708433822</v>
      </c>
      <c r="BE54" s="22">
        <f>BE37*Constants!$H$33*Constants!$H$39</f>
        <v>1082961.944525918</v>
      </c>
      <c r="BF54" s="22">
        <f>BF37*Constants!$H$33*Constants!$H$39</f>
        <v>1116694.655739828</v>
      </c>
      <c r="BG54" s="22">
        <f>BG37*Constants!$H$33*Constants!$H$39</f>
        <v>1152469.3008848503</v>
      </c>
      <c r="BH54" s="22">
        <f>BH37*Constants!$H$33*Constants!$H$39</f>
        <v>1190033.7313177481</v>
      </c>
      <c r="BI54" s="22">
        <f>BI37*Constants!$H$33*Constants!$H$39</f>
        <v>1229226.6544851805</v>
      </c>
      <c r="BJ54" s="22">
        <f>BJ37*Constants!$H$33*Constants!$H$39</f>
        <v>1270693.3490339152</v>
      </c>
      <c r="BK54" s="22">
        <f>BK37*Constants!$H$33*Constants!$H$39</f>
        <v>1310950.0937946397</v>
      </c>
      <c r="BP54" t="e">
        <f t="shared" si="0"/>
        <v>#VALUE!</v>
      </c>
      <c r="BQ54">
        <f t="shared" si="1"/>
        <v>0</v>
      </c>
    </row>
    <row r="55" spans="1:69"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1613765.8062503648</v>
      </c>
      <c r="AB55" s="22">
        <f>AB42*Constants!$H$34*Constants!$H$40</f>
        <v>1642887.1674004446</v>
      </c>
      <c r="AC55" s="22">
        <f>AC42*Constants!$H$34*Constants!$H$40</f>
        <v>1655964.181404236</v>
      </c>
      <c r="AD55" s="22">
        <f>AD42*Constants!$H$34*Constants!$H$40</f>
        <v>1652584.5489179101</v>
      </c>
      <c r="AE55" s="22">
        <f>AE42*Constants!$H$34*Constants!$H$40</f>
        <v>1660968.4068159335</v>
      </c>
      <c r="AF55" s="22">
        <f>AF42*Constants!$H$34*Constants!$H$40</f>
        <v>1670818.6391072047</v>
      </c>
      <c r="AG55" s="22">
        <f>AG42*Constants!$H$34*Constants!$H$40</f>
        <v>1468088.4193582577</v>
      </c>
      <c r="AH55" s="22">
        <f>AH42*Constants!$H$34*Constants!$H$40</f>
        <v>1616276.3821664907</v>
      </c>
      <c r="AI55" s="22">
        <f>AI42*Constants!$H$34*Constants!$H$40</f>
        <v>1696415.4385253072</v>
      </c>
      <c r="AJ55" s="22">
        <f>AJ42*Constants!$H$34*Constants!$H$40</f>
        <v>1719914.9699358433</v>
      </c>
      <c r="AK55" s="22">
        <f>AK42*Constants!$H$34*Constants!$H$40</f>
        <v>1744510.9141789589</v>
      </c>
      <c r="AL55" s="22">
        <f>AL42*Constants!$H$34*Constants!$H$40</f>
        <v>1783783.9504024286</v>
      </c>
      <c r="AM55" s="22">
        <f>AM42*Constants!$H$34*Constants!$H$40</f>
        <v>1839122.4994898951</v>
      </c>
      <c r="AN55" s="22">
        <f>AN42*Constants!$H$34*Constants!$H$40</f>
        <v>1902887.9246789122</v>
      </c>
      <c r="AO55" s="22">
        <f>AO42*Constants!$H$34*Constants!$H$40</f>
        <v>1977445.7456136448</v>
      </c>
      <c r="AP55" s="22">
        <f>AP42*Constants!$H$34*Constants!$H$40</f>
        <v>2069697.9753012762</v>
      </c>
      <c r="AQ55" s="22">
        <f>AQ42*Constants!$H$34*Constants!$H$40</f>
        <v>2179131.6221723231</v>
      </c>
      <c r="AR55" s="22">
        <f>AR42*Constants!$H$34*Constants!$H$40</f>
        <v>2299809.5750196478</v>
      </c>
      <c r="AS55" s="22">
        <f>AS42*Constants!$H$34*Constants!$H$40</f>
        <v>2431579.9321787143</v>
      </c>
      <c r="AT55" s="22">
        <f>AT42*Constants!$H$34*Constants!$H$40</f>
        <v>2571092.9826274463</v>
      </c>
      <c r="AU55" s="22">
        <f>AU42*Constants!$H$34*Constants!$H$40</f>
        <v>2720107.8936469969</v>
      </c>
      <c r="AV55" s="22">
        <f>AV42*Constants!$H$34*Constants!$H$40</f>
        <v>2877076.7925966</v>
      </c>
      <c r="AW55" s="22">
        <f>AW42*Constants!$H$34*Constants!$H$40</f>
        <v>3035835.8704965916</v>
      </c>
      <c r="AX55" s="22">
        <f>AX42*Constants!$H$34*Constants!$H$40</f>
        <v>3205468.3696074411</v>
      </c>
      <c r="AY55" s="22">
        <f>AY42*Constants!$H$34*Constants!$H$40</f>
        <v>3380324.6724396106</v>
      </c>
      <c r="AZ55" s="22">
        <f>AZ42*Constants!$H$34*Constants!$H$40</f>
        <v>3559986.4472970022</v>
      </c>
      <c r="BA55" s="22">
        <f>BA42*Constants!$H$34*Constants!$H$40</f>
        <v>3747302.883174262</v>
      </c>
      <c r="BB55" s="22">
        <f>BB42*Constants!$H$34*Constants!$H$40</f>
        <v>3935365.6195036015</v>
      </c>
      <c r="BC55" s="22">
        <f>BC42*Constants!$H$34*Constants!$H$40</f>
        <v>4133897.8968132986</v>
      </c>
      <c r="BD55" s="22">
        <f>BD42*Constants!$H$34*Constants!$H$40</f>
        <v>4346661.0258961134</v>
      </c>
      <c r="BE55" s="22">
        <f>BE42*Constants!$H$34*Constants!$H$40</f>
        <v>4567889.7577699255</v>
      </c>
      <c r="BF55" s="22">
        <f>BF42*Constants!$H$34*Constants!$H$40</f>
        <v>4798132.9067764087</v>
      </c>
      <c r="BG55" s="22">
        <f>BG42*Constants!$H$34*Constants!$H$40</f>
        <v>5044420.3871846469</v>
      </c>
      <c r="BH55" s="22">
        <f>BH42*Constants!$H$34*Constants!$H$40</f>
        <v>5304885.1979328794</v>
      </c>
      <c r="BI55" s="22">
        <f>BI42*Constants!$H$34*Constants!$H$40</f>
        <v>5578312.511698056</v>
      </c>
      <c r="BJ55" s="22">
        <f>BJ42*Constants!$H$34*Constants!$H$40</f>
        <v>5869487.0658230316</v>
      </c>
      <c r="BK55" s="22">
        <f>BK42*Constants!$H$34*Constants!$H$40</f>
        <v>6152594.7171874167</v>
      </c>
      <c r="BP55" t="e">
        <f t="shared" si="0"/>
        <v>#VALUE!</v>
      </c>
      <c r="BQ55">
        <f t="shared" si="1"/>
        <v>0</v>
      </c>
    </row>
    <row r="56" spans="1:69" x14ac:dyDescent="0.25">
      <c r="A56" t="s">
        <v>873</v>
      </c>
      <c r="B56" t="s">
        <v>321</v>
      </c>
      <c r="C56" s="22">
        <f>SUM(C50:C55)</f>
        <v>5869585</v>
      </c>
      <c r="D56" s="22">
        <f t="shared" ref="D56:BK56" si="50">SUM(D50:D55)</f>
        <v>6203205</v>
      </c>
      <c r="E56" s="22">
        <f t="shared" si="50"/>
        <v>6211270</v>
      </c>
      <c r="F56" s="22">
        <f t="shared" si="50"/>
        <v>6065070</v>
      </c>
      <c r="G56" s="22">
        <f t="shared" si="50"/>
        <v>5671705</v>
      </c>
      <c r="H56" s="22">
        <f t="shared" si="50"/>
        <v>5466535</v>
      </c>
      <c r="I56" s="22">
        <f t="shared" si="50"/>
        <v>5694815</v>
      </c>
      <c r="J56" s="22">
        <f t="shared" si="50"/>
        <v>5746420</v>
      </c>
      <c r="K56" s="22">
        <f t="shared" si="50"/>
        <v>5792900</v>
      </c>
      <c r="L56" s="22">
        <f t="shared" si="50"/>
        <v>5938930</v>
      </c>
      <c r="M56" s="22">
        <f t="shared" si="50"/>
        <v>6294965</v>
      </c>
      <c r="N56" s="22">
        <f t="shared" si="50"/>
        <v>5899755</v>
      </c>
      <c r="O56" s="22">
        <f t="shared" si="50"/>
        <v>6221665</v>
      </c>
      <c r="P56" s="22">
        <f t="shared" si="50"/>
        <v>6329485</v>
      </c>
      <c r="Q56" s="22">
        <f t="shared" si="50"/>
        <v>6730420</v>
      </c>
      <c r="R56" s="22">
        <f t="shared" si="50"/>
        <v>7351635</v>
      </c>
      <c r="S56" s="22">
        <f t="shared" si="50"/>
        <v>7957970</v>
      </c>
      <c r="T56" s="22">
        <f t="shared" si="50"/>
        <v>8416295</v>
      </c>
      <c r="U56" s="22">
        <f t="shared" si="50"/>
        <v>8195490</v>
      </c>
      <c r="V56" s="22">
        <f t="shared" si="50"/>
        <v>8304590</v>
      </c>
      <c r="W56" s="22">
        <f t="shared" si="50"/>
        <v>8821035</v>
      </c>
      <c r="X56" s="22">
        <f t="shared" si="50"/>
        <v>8803245</v>
      </c>
      <c r="Y56" s="22">
        <f t="shared" si="50"/>
        <v>8905592.5862857644</v>
      </c>
      <c r="Z56" s="22">
        <f t="shared" si="50"/>
        <v>9095513.140556192</v>
      </c>
      <c r="AA56" s="22">
        <f t="shared" si="50"/>
        <v>9326430.4780428447</v>
      </c>
      <c r="AB56" s="22">
        <f t="shared" si="50"/>
        <v>9484875.5644762404</v>
      </c>
      <c r="AC56" s="22">
        <f t="shared" si="50"/>
        <v>9595076.4625779223</v>
      </c>
      <c r="AD56" s="22">
        <f t="shared" si="50"/>
        <v>9655827.5030585341</v>
      </c>
      <c r="AE56" s="22">
        <f t="shared" si="50"/>
        <v>9754723.2383019067</v>
      </c>
      <c r="AF56" s="22">
        <f t="shared" si="50"/>
        <v>9859425.640146507</v>
      </c>
      <c r="AG56" s="22">
        <f t="shared" si="50"/>
        <v>9253101.6695776824</v>
      </c>
      <c r="AH56" s="22">
        <f t="shared" si="50"/>
        <v>9768356.1196585745</v>
      </c>
      <c r="AI56" s="22">
        <f t="shared" si="50"/>
        <v>10061446.500355028</v>
      </c>
      <c r="AJ56" s="22">
        <f t="shared" si="50"/>
        <v>10176971.779980516</v>
      </c>
      <c r="AK56" s="22">
        <f t="shared" si="50"/>
        <v>10302704.309003474</v>
      </c>
      <c r="AL56" s="22">
        <f t="shared" si="50"/>
        <v>10478571.934943056</v>
      </c>
      <c r="AM56" s="22">
        <f t="shared" si="50"/>
        <v>10703575.992345802</v>
      </c>
      <c r="AN56" s="22">
        <f t="shared" si="50"/>
        <v>10953790.021763278</v>
      </c>
      <c r="AO56" s="22">
        <f t="shared" si="50"/>
        <v>11236676.082239207</v>
      </c>
      <c r="AP56" s="22">
        <f t="shared" si="50"/>
        <v>11574208.424901614</v>
      </c>
      <c r="AQ56" s="22">
        <f t="shared" si="50"/>
        <v>11964976.818417344</v>
      </c>
      <c r="AR56" s="22">
        <f t="shared" si="50"/>
        <v>12390241.404677151</v>
      </c>
      <c r="AS56" s="22">
        <f t="shared" si="50"/>
        <v>12849715.813313644</v>
      </c>
      <c r="AT56" s="22">
        <f t="shared" si="50"/>
        <v>13332866.575303573</v>
      </c>
      <c r="AU56" s="22">
        <f t="shared" si="50"/>
        <v>13845163.979523992</v>
      </c>
      <c r="AV56" s="22">
        <f t="shared" si="50"/>
        <v>14381815.336815622</v>
      </c>
      <c r="AW56" s="22">
        <f t="shared" si="50"/>
        <v>14923479.701450186</v>
      </c>
      <c r="AX56" s="22">
        <f t="shared" si="50"/>
        <v>15498769.5090371</v>
      </c>
      <c r="AY56" s="22">
        <f t="shared" si="50"/>
        <v>16089619.165614938</v>
      </c>
      <c r="AZ56" s="22">
        <f t="shared" si="50"/>
        <v>16694717.422955345</v>
      </c>
      <c r="BA56" s="22">
        <f t="shared" si="50"/>
        <v>17323128.10443313</v>
      </c>
      <c r="BB56" s="22">
        <f t="shared" si="50"/>
        <v>17953074.681362782</v>
      </c>
      <c r="BC56" s="22">
        <f t="shared" si="50"/>
        <v>18615152.184697878</v>
      </c>
      <c r="BD56" s="22">
        <f t="shared" si="50"/>
        <v>19321156.408825986</v>
      </c>
      <c r="BE56" s="22">
        <f t="shared" si="50"/>
        <v>20052853.226961859</v>
      </c>
      <c r="BF56" s="22">
        <f t="shared" si="50"/>
        <v>20811863.69580134</v>
      </c>
      <c r="BG56" s="22">
        <f t="shared" si="50"/>
        <v>21620286.234308772</v>
      </c>
      <c r="BH56" s="22">
        <f t="shared" si="50"/>
        <v>22472207.152211808</v>
      </c>
      <c r="BI56" s="22">
        <f t="shared" si="50"/>
        <v>23363809.797343381</v>
      </c>
      <c r="BJ56" s="22">
        <f t="shared" si="50"/>
        <v>24310239.29663001</v>
      </c>
      <c r="BK56" s="22">
        <f t="shared" si="50"/>
        <v>25229759.361496847</v>
      </c>
      <c r="BP56" t="e">
        <f t="shared" si="0"/>
        <v>#VALUE!</v>
      </c>
      <c r="BQ56">
        <f t="shared" si="1"/>
        <v>0</v>
      </c>
    </row>
    <row r="57" spans="1:69"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P57" t="e">
        <f t="shared" si="0"/>
        <v>#VALUE!</v>
      </c>
      <c r="BQ57">
        <f t="shared" si="1"/>
        <v>0</v>
      </c>
    </row>
    <row r="58" spans="1:69"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7114861.6064857468</v>
      </c>
      <c r="Z58" s="22">
        <f>((Data!$AJ$37*'Intermediate calculations'!Z56)+Data!$AK$37)</f>
        <v>7231399.0528125465</v>
      </c>
      <c r="AA58" s="22">
        <f>((Data!$AJ$37*'Intermediate calculations'!AA56)+Data!$AK$37)</f>
        <v>7373092.5989726968</v>
      </c>
      <c r="AB58" s="22">
        <f>((Data!$AJ$37*'Intermediate calculations'!AB56)+Data!$AK$37)</f>
        <v>7470316.3345863</v>
      </c>
      <c r="AC58" s="22">
        <f>((Data!$AJ$37*'Intermediate calculations'!AC56)+Data!$AK$37)</f>
        <v>7537936.8788555805</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7328097.1949020606</v>
      </c>
      <c r="AH58" s="22">
        <f>((Data!$AJ$37*'Intermediate calculations'!AH56)+Data!$AK$37)</f>
        <v>7644263.2784079388</v>
      </c>
      <c r="AI58" s="22">
        <f>((Data!$AJ$37*'Intermediate calculations'!AI56)+Data!$AK$37)</f>
        <v>7824106.9221911132</v>
      </c>
      <c r="AJ58" s="22">
        <f>((Data!$AJ$37*'Intermediate calculations'!AJ56)+Data!$AK$37)</f>
        <v>7894994.5684780646</v>
      </c>
      <c r="AK58" s="22">
        <f>((Data!$AJ$37*'Intermediate calculations'!AK56)+Data!$AK$37)</f>
        <v>7972145.5009236503</v>
      </c>
      <c r="AL58" s="22">
        <f>((Data!$AJ$37*'Intermediate calculations'!AL56)+Data!$AK$37)</f>
        <v>8080059.9080676623</v>
      </c>
      <c r="AM58" s="22">
        <f>((Data!$AJ$37*'Intermediate calculations'!AM56)+Data!$AK$37)</f>
        <v>8218124.9972498901</v>
      </c>
      <c r="AN58" s="22">
        <f>((Data!$AJ$37*'Intermediate calculations'!AN56)+Data!$AK$37)</f>
        <v>8371659.2165210247</v>
      </c>
      <c r="AO58" s="22">
        <f>((Data!$AJ$37*'Intermediate calculations'!AO56)+Data!$AK$37)</f>
        <v>8545241.3715223838</v>
      </c>
      <c r="AP58" s="22">
        <f>((Data!$AJ$37*'Intermediate calculations'!AP56)+Data!$AK$37)</f>
        <v>8752355.1166232415</v>
      </c>
      <c r="AQ58" s="22">
        <f>((Data!$AJ$37*'Intermediate calculations'!AQ56)+Data!$AK$37)</f>
        <v>8992135.1175846234</v>
      </c>
      <c r="AR58" s="22">
        <f>((Data!$AJ$37*'Intermediate calculations'!AR56)+Data!$AK$37)</f>
        <v>9253082.3809617795</v>
      </c>
      <c r="AS58" s="22">
        <f>((Data!$AJ$37*'Intermediate calculations'!AS56)+Data!$AK$37)</f>
        <v>9535021.1865887307</v>
      </c>
      <c r="AT58" s="22">
        <f>((Data!$AJ$37*'Intermediate calculations'!AT56)+Data!$AK$37)</f>
        <v>9831488.0761755258</v>
      </c>
      <c r="AU58" s="22">
        <f>((Data!$AJ$37*'Intermediate calculations'!AU56)+Data!$AK$37)</f>
        <v>10145839.682177508</v>
      </c>
      <c r="AV58" s="22">
        <f>((Data!$AJ$37*'Intermediate calculations'!AV56)+Data!$AK$37)</f>
        <v>10475135.155154733</v>
      </c>
      <c r="AW58" s="22">
        <f>((Data!$AJ$37*'Intermediate calculations'!AW56)+Data!$AK$37)</f>
        <v>10807506.667354818</v>
      </c>
      <c r="AX58" s="22">
        <f>((Data!$AJ$37*'Intermediate calculations'!AX56)+Data!$AK$37)</f>
        <v>11160511.139838364</v>
      </c>
      <c r="AY58" s="22">
        <f>((Data!$AJ$37*'Intermediate calculations'!AY56)+Data!$AK$37)</f>
        <v>11523063.315431762</v>
      </c>
      <c r="AZ58" s="22">
        <f>((Data!$AJ$37*'Intermediate calculations'!AZ56)+Data!$AK$37)</f>
        <v>11894358.597072732</v>
      </c>
      <c r="BA58" s="22">
        <f>((Data!$AJ$37*'Intermediate calculations'!BA56)+Data!$AK$37)</f>
        <v>12279958.651501954</v>
      </c>
      <c r="BB58" s="22">
        <f>((Data!$AJ$37*'Intermediate calculations'!BB56)+Data!$AK$37)</f>
        <v>12666501.149125241</v>
      </c>
      <c r="BC58" s="22">
        <f>((Data!$AJ$37*'Intermediate calculations'!BC56)+Data!$AK$37)</f>
        <v>13072759.554412073</v>
      </c>
      <c r="BD58" s="22">
        <f>((Data!$AJ$37*'Intermediate calculations'!BD56)+Data!$AK$37)</f>
        <v>13505971.903080087</v>
      </c>
      <c r="BE58" s="22">
        <f>((Data!$AJ$37*'Intermediate calculations'!BE56)+Data!$AK$37)</f>
        <v>13954949.524267856</v>
      </c>
      <c r="BF58" s="22">
        <f>((Data!$AJ$37*'Intermediate calculations'!BF56)+Data!$AK$37)</f>
        <v>14420687.11709265</v>
      </c>
      <c r="BG58" s="22">
        <f>((Data!$AJ$37*'Intermediate calculations'!BG56)+Data!$AK$37)</f>
        <v>14916744.526742673</v>
      </c>
      <c r="BH58" s="22">
        <f>((Data!$AJ$37*'Intermediate calculations'!BH56)+Data!$AK$37)</f>
        <v>15439493.044543631</v>
      </c>
      <c r="BI58" s="22">
        <f>((Data!$AJ$37*'Intermediate calculations'!BI56)+Data!$AK$37)</f>
        <v>15986590.728630541</v>
      </c>
      <c r="BJ58" s="22">
        <f>((Data!$AJ$37*'Intermediate calculations'!BJ56)+Data!$AK$37)</f>
        <v>16567330.803863088</v>
      </c>
      <c r="BK58" s="22">
        <f>((Data!$AJ$37*'Intermediate calculations'!BK56)+Data!$AK$37)</f>
        <v>17131558.939240426</v>
      </c>
      <c r="BP58" t="e">
        <f t="shared" si="0"/>
        <v>#VALUE!</v>
      </c>
      <c r="BQ58">
        <f t="shared" si="1"/>
        <v>0</v>
      </c>
    </row>
    <row r="59" spans="1:69" x14ac:dyDescent="0.25">
      <c r="A59" t="s">
        <v>345</v>
      </c>
      <c r="B59" t="s">
        <v>321</v>
      </c>
      <c r="C59" s="22">
        <f>C58+C56</f>
        <v>11121517.275357399</v>
      </c>
      <c r="D59" s="22">
        <f t="shared" ref="D59:BK59" si="51">D58+D56</f>
        <v>11659850.361799778</v>
      </c>
      <c r="E59" s="22">
        <f t="shared" si="51"/>
        <v>11672864.138977878</v>
      </c>
      <c r="F59" s="22">
        <f t="shared" si="51"/>
        <v>11436954.129872082</v>
      </c>
      <c r="G59" s="22">
        <f t="shared" si="51"/>
        <v>10802215.821172344</v>
      </c>
      <c r="H59" s="22">
        <f t="shared" si="51"/>
        <v>10471151.138763066</v>
      </c>
      <c r="I59" s="22">
        <f t="shared" si="51"/>
        <v>10839506.384171214</v>
      </c>
      <c r="J59" s="22">
        <f t="shared" si="51"/>
        <v>10922776.808383968</v>
      </c>
      <c r="K59" s="22">
        <f t="shared" si="51"/>
        <v>10997777.473385593</v>
      </c>
      <c r="L59" s="22">
        <f t="shared" si="51"/>
        <v>11233413.168527313</v>
      </c>
      <c r="M59" s="22">
        <f t="shared" si="51"/>
        <v>11807915.357938956</v>
      </c>
      <c r="N59" s="22">
        <f t="shared" si="51"/>
        <v>11170199.935923211</v>
      </c>
      <c r="O59" s="22">
        <f t="shared" si="51"/>
        <v>11689637.63107538</v>
      </c>
      <c r="P59" s="22">
        <f t="shared" si="51"/>
        <v>11863617.228762023</v>
      </c>
      <c r="Q59" s="22">
        <f t="shared" si="51"/>
        <v>12510570.576920934</v>
      </c>
      <c r="R59" s="22">
        <f t="shared" si="51"/>
        <v>13512970.278060863</v>
      </c>
      <c r="S59" s="22">
        <f t="shared" si="51"/>
        <v>14491359.439286331</v>
      </c>
      <c r="T59" s="22">
        <f t="shared" si="51"/>
        <v>15230917.954494363</v>
      </c>
      <c r="U59" s="22">
        <f t="shared" si="51"/>
        <v>14874624.455447813</v>
      </c>
      <c r="V59" s="22">
        <f t="shared" si="51"/>
        <v>15050669.475922795</v>
      </c>
      <c r="W59" s="22">
        <f t="shared" si="51"/>
        <v>15884011.094613926</v>
      </c>
      <c r="X59" s="22">
        <f t="shared" si="51"/>
        <v>15855304.945079098</v>
      </c>
      <c r="Y59" s="22">
        <f t="shared" si="51"/>
        <v>16020454.192771511</v>
      </c>
      <c r="Z59" s="22">
        <f t="shared" si="51"/>
        <v>16326912.193368739</v>
      </c>
      <c r="AA59" s="22">
        <f t="shared" si="51"/>
        <v>16699523.077015541</v>
      </c>
      <c r="AB59" s="22">
        <f t="shared" si="51"/>
        <v>16955191.89906254</v>
      </c>
      <c r="AC59" s="22">
        <f t="shared" si="51"/>
        <v>17133013.341433503</v>
      </c>
      <c r="AD59" s="22">
        <f t="shared" si="51"/>
        <v>17231041.922233555</v>
      </c>
      <c r="AE59" s="22">
        <f t="shared" si="51"/>
        <v>17390621.223203383</v>
      </c>
      <c r="AF59" s="22">
        <f t="shared" si="51"/>
        <v>17559570.228487641</v>
      </c>
      <c r="AG59" s="22">
        <f t="shared" si="51"/>
        <v>16581198.864479743</v>
      </c>
      <c r="AH59" s="22">
        <f t="shared" si="51"/>
        <v>17412619.398066513</v>
      </c>
      <c r="AI59" s="22">
        <f t="shared" si="51"/>
        <v>17885553.422546141</v>
      </c>
      <c r="AJ59" s="22">
        <f t="shared" si="51"/>
        <v>18071966.348458581</v>
      </c>
      <c r="AK59" s="22">
        <f t="shared" si="51"/>
        <v>18274849.809927125</v>
      </c>
      <c r="AL59" s="22">
        <f t="shared" si="51"/>
        <v>18558631.843010716</v>
      </c>
      <c r="AM59" s="22">
        <f t="shared" si="51"/>
        <v>18921700.989595693</v>
      </c>
      <c r="AN59" s="22">
        <f t="shared" si="51"/>
        <v>19325449.238284305</v>
      </c>
      <c r="AO59" s="22">
        <f t="shared" si="51"/>
        <v>19781917.453761593</v>
      </c>
      <c r="AP59" s="22">
        <f t="shared" si="51"/>
        <v>20326563.541524857</v>
      </c>
      <c r="AQ59" s="22">
        <f t="shared" si="51"/>
        <v>20957111.936001968</v>
      </c>
      <c r="AR59" s="22">
        <f t="shared" si="51"/>
        <v>21643323.785638928</v>
      </c>
      <c r="AS59" s="22">
        <f t="shared" si="51"/>
        <v>22384736.999902375</v>
      </c>
      <c r="AT59" s="22">
        <f t="shared" si="51"/>
        <v>23164354.651479099</v>
      </c>
      <c r="AU59" s="22">
        <f t="shared" si="51"/>
        <v>23991003.6617015</v>
      </c>
      <c r="AV59" s="22">
        <f t="shared" si="51"/>
        <v>24856950.491970353</v>
      </c>
      <c r="AW59" s="22">
        <f t="shared" si="51"/>
        <v>25730986.368805006</v>
      </c>
      <c r="AX59" s="22">
        <f t="shared" si="51"/>
        <v>26659280.648875464</v>
      </c>
      <c r="AY59" s="22">
        <f t="shared" si="51"/>
        <v>27612682.481046699</v>
      </c>
      <c r="AZ59" s="22">
        <f t="shared" si="51"/>
        <v>28589076.020028077</v>
      </c>
      <c r="BA59" s="22">
        <f t="shared" si="51"/>
        <v>29603086.755935084</v>
      </c>
      <c r="BB59" s="22">
        <f t="shared" si="51"/>
        <v>30619575.830488022</v>
      </c>
      <c r="BC59" s="22">
        <f t="shared" si="51"/>
        <v>31687911.739109948</v>
      </c>
      <c r="BD59" s="22">
        <f t="shared" si="51"/>
        <v>32827128.311906073</v>
      </c>
      <c r="BE59" s="22">
        <f t="shared" si="51"/>
        <v>34007802.751229718</v>
      </c>
      <c r="BF59" s="22">
        <f t="shared" si="51"/>
        <v>35232550.812893987</v>
      </c>
      <c r="BG59" s="22">
        <f t="shared" si="51"/>
        <v>36537030.761051446</v>
      </c>
      <c r="BH59" s="22">
        <f t="shared" si="51"/>
        <v>37911700.196755439</v>
      </c>
      <c r="BI59" s="22">
        <f t="shared" si="51"/>
        <v>39350400.525973924</v>
      </c>
      <c r="BJ59" s="22">
        <f t="shared" si="51"/>
        <v>40877570.100493096</v>
      </c>
      <c r="BK59" s="22">
        <f t="shared" si="51"/>
        <v>42361318.300737277</v>
      </c>
      <c r="BP59" t="e">
        <f t="shared" si="0"/>
        <v>#VALUE!</v>
      </c>
      <c r="BQ59">
        <f t="shared" si="1"/>
        <v>0</v>
      </c>
    </row>
    <row r="60" spans="1:69"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v>
      </c>
      <c r="Z60" s="22">
        <f>((Data!$AJ$41*'Intermediate calculations'!Z59)+Data!$AK$41)</f>
        <v>18751600.038590752</v>
      </c>
      <c r="AA60" s="22">
        <f>((Data!$AJ$41*'Intermediate calculations'!AA59)+Data!$AK$41)</f>
        <v>19103947.365481112</v>
      </c>
      <c r="AB60" s="22">
        <f>((Data!$AJ$41*'Intermediate calculations'!AB59)+Data!$AK$41)</f>
        <v>19345712.246677816</v>
      </c>
      <c r="AC60" s="22">
        <f>((Data!$AJ$41*'Intermediate calculations'!AC59)+Data!$AK$41)</f>
        <v>19513863.292803958</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18992057.933843054</v>
      </c>
      <c r="AH60" s="22">
        <f>((Data!$AJ$41*'Intermediate calculations'!AH59)+Data!$AK$41)</f>
        <v>19778263.639011726</v>
      </c>
      <c r="AI60" s="22">
        <f>((Data!$AJ$41*'Intermediate calculations'!AI59)+Data!$AK$41)</f>
        <v>20225478.271311231</v>
      </c>
      <c r="AJ60" s="22">
        <f>((Data!$AJ$41*'Intermediate calculations'!AJ59)+Data!$AK$41)</f>
        <v>20401753.573578887</v>
      </c>
      <c r="AK60" s="22">
        <f>((Data!$AJ$41*'Intermediate calculations'!AK59)+Data!$AK$41)</f>
        <v>20593603.700496987</v>
      </c>
      <c r="AL60" s="22">
        <f>((Data!$AJ$41*'Intermediate calculations'!AL59)+Data!$AK$41)</f>
        <v>20861952.922607459</v>
      </c>
      <c r="AM60" s="22">
        <f>((Data!$AJ$41*'Intermediate calculations'!AM59)+Data!$AK$41)</f>
        <v>21205277.417113751</v>
      </c>
      <c r="AN60" s="22">
        <f>((Data!$AJ$41*'Intermediate calculations'!AN59)+Data!$AK$41)</f>
        <v>21587068.777499631</v>
      </c>
      <c r="AO60" s="22">
        <f>((Data!$AJ$41*'Intermediate calculations'!AO59)+Data!$AK$41)</f>
        <v>22018713.054660067</v>
      </c>
      <c r="AP60" s="22">
        <f>((Data!$AJ$41*'Intermediate calculations'!AP59)+Data!$AK$41)</f>
        <v>22533739.860228598</v>
      </c>
      <c r="AQ60" s="22">
        <f>((Data!$AJ$41*'Intermediate calculations'!AQ59)+Data!$AK$41)</f>
        <v>23129997.379854932</v>
      </c>
      <c r="AR60" s="22">
        <f>((Data!$AJ$41*'Intermediate calculations'!AR59)+Data!$AK$41)</f>
        <v>23778891.230012193</v>
      </c>
      <c r="AS60" s="22">
        <f>((Data!$AJ$41*'Intermediate calculations'!AS59)+Data!$AK$41)</f>
        <v>24479984.44986172</v>
      </c>
      <c r="AT60" s="22">
        <f>((Data!$AJ$41*'Intermediate calculations'!AT59)+Data!$AK$41)</f>
        <v>25217204.449559808</v>
      </c>
      <c r="AU60" s="22">
        <f>((Data!$AJ$41*'Intermediate calculations'!AU59)+Data!$AK$41)</f>
        <v>25998898.119314551</v>
      </c>
      <c r="AV60" s="22">
        <f>((Data!$AJ$41*'Intermediate calculations'!AV59)+Data!$AK$41)</f>
        <v>26817752.490631379</v>
      </c>
      <c r="AW60" s="22">
        <f>((Data!$AJ$41*'Intermediate calculations'!AW59)+Data!$AK$41)</f>
        <v>27644256.004954062</v>
      </c>
      <c r="AX60" s="22">
        <f>((Data!$AJ$41*'Intermediate calculations'!AX59)+Data!$AK$41)</f>
        <v>28522067.208291002</v>
      </c>
      <c r="AY60" s="22">
        <f>((Data!$AJ$41*'Intermediate calculations'!AY59)+Data!$AK$41)</f>
        <v>29423620.549218997</v>
      </c>
      <c r="AZ60" s="22">
        <f>((Data!$AJ$41*'Intermediate calculations'!AZ59)+Data!$AK$41)</f>
        <v>30346915.247661605</v>
      </c>
      <c r="BA60" s="22">
        <f>((Data!$AJ$41*'Intermediate calculations'!BA59)+Data!$AK$41)</f>
        <v>31305781.421237014</v>
      </c>
      <c r="BB60" s="22">
        <f>((Data!$AJ$41*'Intermediate calculations'!BB59)+Data!$AK$41)</f>
        <v>32266991.154905133</v>
      </c>
      <c r="BC60" s="22">
        <f>((Data!$AJ$41*'Intermediate calculations'!BC59)+Data!$AK$41)</f>
        <v>33277228.155874573</v>
      </c>
      <c r="BD60" s="22">
        <f>((Data!$AJ$41*'Intermediate calculations'!BD59)+Data!$AK$41)</f>
        <v>34354491.144666925</v>
      </c>
      <c r="BE60" s="22">
        <f>((Data!$AJ$41*'Intermediate calculations'!BE59)+Data!$AK$41)</f>
        <v>35470957.412511624</v>
      </c>
      <c r="BF60" s="22">
        <f>((Data!$AJ$41*'Intermediate calculations'!BF59)+Data!$AK$41)</f>
        <v>36629100.463562734</v>
      </c>
      <c r="BG60" s="22">
        <f>((Data!$AJ$41*'Intermediate calculations'!BG59)+Data!$AK$41)</f>
        <v>37862639.372080073</v>
      </c>
      <c r="BH60" s="22">
        <f>((Data!$AJ$41*'Intermediate calculations'!BH59)+Data!$AK$41)</f>
        <v>39162550.679789774</v>
      </c>
      <c r="BI60" s="22">
        <f>((Data!$AJ$41*'Intermediate calculations'!BI59)+Data!$AK$41)</f>
        <v>40523010.713149741</v>
      </c>
      <c r="BJ60" s="22">
        <f>((Data!$AJ$41*'Intermediate calculations'!BJ59)+Data!$AK$41)</f>
        <v>41967128.802304052</v>
      </c>
      <c r="BK60" s="22">
        <f>((Data!$AJ$41*'Intermediate calculations'!BK59)+Data!$AK$41)</f>
        <v>43370186.885357738</v>
      </c>
      <c r="BP60">
        <f t="shared" si="0"/>
        <v>8</v>
      </c>
      <c r="BQ60">
        <f t="shared" si="1"/>
        <v>1</v>
      </c>
    </row>
    <row r="61" spans="1:69"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3535652.0338740144</v>
      </c>
      <c r="AH61" s="22">
        <f>((Data!$AJ$42*LN('Intermediate calculations'!AH60))+Data!$AK$42)</f>
        <v>3566906.5495402925</v>
      </c>
      <c r="AI61" s="22">
        <f>((Data!$AJ$42*LN('Intermediate calculations'!AI60))+Data!$AK$42)</f>
        <v>3584135.1470810454</v>
      </c>
      <c r="AJ61" s="22">
        <f>((Data!$AJ$42*LN('Intermediate calculations'!AJ60))+Data!$AK$42)</f>
        <v>3590821.5632752273</v>
      </c>
      <c r="AK61" s="22">
        <f>((Data!$AJ$42*LN('Intermediate calculations'!AK60))+Data!$AK$42)</f>
        <v>3598033.4190078359</v>
      </c>
      <c r="AL61" s="22">
        <f>((Data!$AJ$42*LN('Intermediate calculations'!AL60))+Data!$AK$42)</f>
        <v>3608009.0436812602</v>
      </c>
      <c r="AM61" s="22">
        <f>((Data!$AJ$42*LN('Intermediate calculations'!AM60))+Data!$AK$42)</f>
        <v>3620586.3302782923</v>
      </c>
      <c r="AN61" s="22">
        <f>((Data!$AJ$42*LN('Intermediate calculations'!AN60))+Data!$AK$42)</f>
        <v>3634335.8638795521</v>
      </c>
      <c r="AO61" s="22">
        <f>((Data!$AJ$42*LN('Intermediate calculations'!AO60))+Data!$AK$42)</f>
        <v>3649590.8754012957</v>
      </c>
      <c r="AP61" s="22">
        <f>((Data!$AJ$42*LN('Intermediate calculations'!AP60))+Data!$AK$42)</f>
        <v>3667406.2108751237</v>
      </c>
      <c r="AQ61" s="22">
        <f>((Data!$AJ$42*LN('Intermediate calculations'!AQ60))+Data!$AK$42)</f>
        <v>3687529.7121576853</v>
      </c>
      <c r="AR61" s="22">
        <f>((Data!$AJ$42*LN('Intermediate calculations'!AR60))+Data!$AK$42)</f>
        <v>3708848.5076258685</v>
      </c>
      <c r="AS61" s="22">
        <f>((Data!$AJ$42*LN('Intermediate calculations'!AS60))+Data!$AK$42)</f>
        <v>3731238.0681214519</v>
      </c>
      <c r="AT61" s="22">
        <f>((Data!$AJ$42*LN('Intermediate calculations'!AT60))+Data!$AK$42)</f>
        <v>3754100.0348674972</v>
      </c>
      <c r="AU61" s="22">
        <f>((Data!$AJ$42*LN('Intermediate calculations'!AU60))+Data!$AK$42)</f>
        <v>3777622.3594997562</v>
      </c>
      <c r="AV61" s="22">
        <f>((Data!$AJ$42*LN('Intermediate calculations'!AV60))+Data!$AK$42)</f>
        <v>3801516.2604928315</v>
      </c>
      <c r="AW61" s="22">
        <f>((Data!$AJ$42*LN('Intermediate calculations'!AW60))+Data!$AK$42)</f>
        <v>3824904.678064242</v>
      </c>
      <c r="AX61" s="22">
        <f>((Data!$AJ$42*LN('Intermediate calculations'!AX60))+Data!$AK$42)</f>
        <v>3848991.3575218432</v>
      </c>
      <c r="AY61" s="22">
        <f>((Data!$AJ$42*LN('Intermediate calculations'!AY60))+Data!$AK$42)</f>
        <v>3872969.8456507195</v>
      </c>
      <c r="AZ61" s="22">
        <f>((Data!$AJ$42*LN('Intermediate calculations'!AZ60))+Data!$AK$42)</f>
        <v>3896776.8189554252</v>
      </c>
      <c r="BA61" s="22">
        <f>((Data!$AJ$42*LN('Intermediate calculations'!BA60))+Data!$AK$42)</f>
        <v>3920746.231261909</v>
      </c>
      <c r="BB61" s="22">
        <f>((Data!$AJ$42*LN('Intermediate calculations'!BB60))+Data!$AK$42)</f>
        <v>3944048.4111227449</v>
      </c>
      <c r="BC61" s="22">
        <f>((Data!$AJ$42*LN('Intermediate calculations'!BC60))+Data!$AK$42)</f>
        <v>3967802.573175339</v>
      </c>
      <c r="BD61" s="22">
        <f>((Data!$AJ$42*LN('Intermediate calculations'!BD60))+Data!$AK$42)</f>
        <v>3992351.0465155113</v>
      </c>
      <c r="BE61" s="22">
        <f>((Data!$AJ$42*LN('Intermediate calculations'!BE60))+Data!$AK$42)</f>
        <v>4016993.5786391217</v>
      </c>
      <c r="BF61" s="22">
        <f>((Data!$AJ$42*LN('Intermediate calculations'!BF60))+Data!$AK$42)</f>
        <v>4041749.5740506127</v>
      </c>
      <c r="BG61" s="22">
        <f>((Data!$AJ$42*LN('Intermediate calculations'!BG60))+Data!$AK$42)</f>
        <v>4067270.761703888</v>
      </c>
      <c r="BH61" s="22">
        <f>((Data!$AJ$42*LN('Intermediate calculations'!BH60))+Data!$AK$42)</f>
        <v>4093280.6582026538</v>
      </c>
      <c r="BI61" s="22">
        <f>((Data!$AJ$42*LN('Intermediate calculations'!BI60))+Data!$AK$42)</f>
        <v>4119593.3208530731</v>
      </c>
      <c r="BJ61" s="22">
        <f>((Data!$AJ$42*LN('Intermediate calculations'!BJ60))+Data!$AK$42)</f>
        <v>4146574.5349442121</v>
      </c>
      <c r="BK61" s="22">
        <f>((Data!$AJ$42*LN('Intermediate calculations'!BK60))+Data!$AK$42)</f>
        <v>4171913.6972872373</v>
      </c>
      <c r="BP61" t="e">
        <f t="shared" si="0"/>
        <v>#VALUE!</v>
      </c>
      <c r="BQ61">
        <f t="shared" si="1"/>
        <v>0</v>
      </c>
    </row>
    <row r="62" spans="1:69" s="44" customFormat="1" x14ac:dyDescent="0.25">
      <c r="A62" s="36" t="s">
        <v>875</v>
      </c>
      <c r="BP62" t="e">
        <f t="shared" si="0"/>
        <v>#VALUE!</v>
      </c>
      <c r="BQ62">
        <f t="shared" si="1"/>
        <v>0</v>
      </c>
    </row>
    <row r="63" spans="1:69" x14ac:dyDescent="0.25">
      <c r="A63" t="s">
        <v>848</v>
      </c>
      <c r="B63" t="s">
        <v>327</v>
      </c>
      <c r="Y63" s="22">
        <f>'Levers &amp; variables'!G6</f>
        <v>0.7</v>
      </c>
      <c r="Z63" s="22">
        <f t="shared" ref="Z63:AF63" si="52">Y63+(($AG63-$Y63)/8)</f>
        <v>0.70499999999999996</v>
      </c>
      <c r="AA63" s="22">
        <f t="shared" si="52"/>
        <v>0.71</v>
      </c>
      <c r="AB63" s="22">
        <f t="shared" si="52"/>
        <v>0.71499999999999997</v>
      </c>
      <c r="AC63" s="22">
        <f t="shared" si="52"/>
        <v>0.72</v>
      </c>
      <c r="AD63" s="22">
        <f t="shared" si="52"/>
        <v>0.72499999999999998</v>
      </c>
      <c r="AE63" s="22">
        <f t="shared" si="52"/>
        <v>0.73</v>
      </c>
      <c r="AF63" s="22">
        <f t="shared" si="52"/>
        <v>0.73499999999999999</v>
      </c>
      <c r="AG63" s="22">
        <f>'Levers &amp; variables'!H6</f>
        <v>0.74</v>
      </c>
      <c r="AH63" s="22">
        <f t="shared" ref="AH63:AP63" si="53">AG63+(($AQ63-$AG63)/10)</f>
        <v>0.74199999999999999</v>
      </c>
      <c r="AI63" s="22">
        <f t="shared" si="53"/>
        <v>0.74399999999999999</v>
      </c>
      <c r="AJ63" s="22">
        <f t="shared" si="53"/>
        <v>0.746</v>
      </c>
      <c r="AK63" s="22">
        <f t="shared" si="53"/>
        <v>0.748</v>
      </c>
      <c r="AL63" s="22">
        <f t="shared" si="53"/>
        <v>0.75</v>
      </c>
      <c r="AM63" s="22">
        <f t="shared" si="53"/>
        <v>0.752</v>
      </c>
      <c r="AN63" s="22">
        <f t="shared" si="53"/>
        <v>0.754</v>
      </c>
      <c r="AO63" s="22">
        <f t="shared" si="53"/>
        <v>0.75600000000000001</v>
      </c>
      <c r="AP63" s="22">
        <f t="shared" si="53"/>
        <v>0.75800000000000001</v>
      </c>
      <c r="AQ63" s="22">
        <f>'Levers &amp; variables'!I6</f>
        <v>0.76</v>
      </c>
      <c r="AR63" s="22">
        <f t="shared" ref="AR63:AZ63" si="54">AQ63+(($BA63-$AQ63)/10)</f>
        <v>0.76400000000000001</v>
      </c>
      <c r="AS63" s="22">
        <f t="shared" si="54"/>
        <v>0.76800000000000002</v>
      </c>
      <c r="AT63" s="22">
        <f t="shared" si="54"/>
        <v>0.77200000000000002</v>
      </c>
      <c r="AU63" s="22">
        <f t="shared" si="54"/>
        <v>0.77600000000000002</v>
      </c>
      <c r="AV63" s="22">
        <f t="shared" si="54"/>
        <v>0.78</v>
      </c>
      <c r="AW63" s="22">
        <f t="shared" si="54"/>
        <v>0.78400000000000003</v>
      </c>
      <c r="AX63" s="22">
        <f t="shared" si="54"/>
        <v>0.78800000000000003</v>
      </c>
      <c r="AY63" s="22">
        <f t="shared" si="54"/>
        <v>0.79200000000000004</v>
      </c>
      <c r="AZ63" s="22">
        <f t="shared" si="54"/>
        <v>0.79600000000000004</v>
      </c>
      <c r="BA63" s="22">
        <f>'Levers &amp; variables'!J6</f>
        <v>0.8</v>
      </c>
      <c r="BB63" s="22">
        <f t="shared" ref="BB63:BJ63" si="55">BA63+(($BK63-$BA63)/10)</f>
        <v>0.80300000000000005</v>
      </c>
      <c r="BC63" s="22">
        <f t="shared" si="55"/>
        <v>0.80600000000000005</v>
      </c>
      <c r="BD63" s="22">
        <f t="shared" si="55"/>
        <v>0.80900000000000005</v>
      </c>
      <c r="BE63" s="22">
        <f t="shared" si="55"/>
        <v>0.81200000000000006</v>
      </c>
      <c r="BF63" s="22">
        <f t="shared" si="55"/>
        <v>0.81500000000000006</v>
      </c>
      <c r="BG63" s="22">
        <f t="shared" si="55"/>
        <v>0.81800000000000006</v>
      </c>
      <c r="BH63" s="22">
        <f t="shared" si="55"/>
        <v>0.82100000000000006</v>
      </c>
      <c r="BI63" s="22">
        <f t="shared" si="55"/>
        <v>0.82400000000000007</v>
      </c>
      <c r="BJ63" s="22">
        <f t="shared" si="55"/>
        <v>0.82700000000000007</v>
      </c>
      <c r="BK63" s="22">
        <f>'Levers &amp; variables'!K6</f>
        <v>0.83</v>
      </c>
      <c r="BP63">
        <f t="shared" si="0"/>
        <v>26</v>
      </c>
      <c r="BQ63">
        <f t="shared" si="1"/>
        <v>1</v>
      </c>
    </row>
    <row r="64" spans="1:69" x14ac:dyDescent="0.25">
      <c r="A64" t="s">
        <v>849</v>
      </c>
      <c r="B64" t="s">
        <v>815</v>
      </c>
      <c r="Y64" s="22">
        <f>'Levers &amp; variables'!G7</f>
        <v>0.57999999999999996</v>
      </c>
      <c r="Z64" s="22">
        <f t="shared" ref="Z64:AF64" si="56">Y64+(($AG64-$Y64)/8)</f>
        <v>0.57999999999999996</v>
      </c>
      <c r="AA64" s="22">
        <f t="shared" si="56"/>
        <v>0.57999999999999996</v>
      </c>
      <c r="AB64" s="22">
        <f t="shared" si="56"/>
        <v>0.57999999999999996</v>
      </c>
      <c r="AC64" s="22">
        <f t="shared" si="56"/>
        <v>0.57999999999999996</v>
      </c>
      <c r="AD64" s="22">
        <f t="shared" si="56"/>
        <v>0.57999999999999996</v>
      </c>
      <c r="AE64" s="22">
        <f t="shared" si="56"/>
        <v>0.57999999999999996</v>
      </c>
      <c r="AF64" s="22">
        <f t="shared" si="56"/>
        <v>0.57999999999999996</v>
      </c>
      <c r="AG64" s="22">
        <f>'Levers &amp; variables'!H7</f>
        <v>0.57999999999999996</v>
      </c>
      <c r="AH64" s="22">
        <f t="shared" ref="AH64:AP64" si="57">AG64+(($AQ64-$AG64)/10)</f>
        <v>0.57999999999999996</v>
      </c>
      <c r="AI64" s="22">
        <f t="shared" si="57"/>
        <v>0.57999999999999996</v>
      </c>
      <c r="AJ64" s="22">
        <f t="shared" si="57"/>
        <v>0.57999999999999996</v>
      </c>
      <c r="AK64" s="22">
        <f t="shared" si="57"/>
        <v>0.57999999999999996</v>
      </c>
      <c r="AL64" s="22">
        <f t="shared" si="57"/>
        <v>0.57999999999999996</v>
      </c>
      <c r="AM64" s="22">
        <f t="shared" si="57"/>
        <v>0.57999999999999996</v>
      </c>
      <c r="AN64" s="22">
        <f t="shared" si="57"/>
        <v>0.57999999999999996</v>
      </c>
      <c r="AO64" s="22">
        <f t="shared" si="57"/>
        <v>0.57999999999999996</v>
      </c>
      <c r="AP64" s="22">
        <f t="shared" si="57"/>
        <v>0.57999999999999996</v>
      </c>
      <c r="AQ64" s="22">
        <f>'Levers &amp; variables'!I7</f>
        <v>0.57999999999999996</v>
      </c>
      <c r="AR64" s="22">
        <f t="shared" ref="AR64:AZ64" si="58">AQ64+(($BA64-$AQ64)/10)</f>
        <v>0.57999999999999996</v>
      </c>
      <c r="AS64" s="22">
        <f t="shared" si="58"/>
        <v>0.57999999999999996</v>
      </c>
      <c r="AT64" s="22">
        <f t="shared" si="58"/>
        <v>0.57999999999999996</v>
      </c>
      <c r="AU64" s="22">
        <f t="shared" si="58"/>
        <v>0.57999999999999996</v>
      </c>
      <c r="AV64" s="22">
        <f t="shared" si="58"/>
        <v>0.57999999999999996</v>
      </c>
      <c r="AW64" s="22">
        <f t="shared" si="58"/>
        <v>0.57999999999999996</v>
      </c>
      <c r="AX64" s="22">
        <f t="shared" si="58"/>
        <v>0.57999999999999996</v>
      </c>
      <c r="AY64" s="22">
        <f t="shared" si="58"/>
        <v>0.57999999999999996</v>
      </c>
      <c r="AZ64" s="22">
        <f t="shared" si="58"/>
        <v>0.57999999999999996</v>
      </c>
      <c r="BA64" s="22">
        <f>'Levers &amp; variables'!J7</f>
        <v>0.57999999999999996</v>
      </c>
      <c r="BB64" s="22">
        <f t="shared" ref="BB64:BJ64" si="59">BA64+(($BK64-$BA64)/10)</f>
        <v>0.57999999999999996</v>
      </c>
      <c r="BC64" s="22">
        <f t="shared" si="59"/>
        <v>0.57999999999999996</v>
      </c>
      <c r="BD64" s="22">
        <f t="shared" si="59"/>
        <v>0.57999999999999996</v>
      </c>
      <c r="BE64" s="22">
        <f t="shared" si="59"/>
        <v>0.57999999999999996</v>
      </c>
      <c r="BF64" s="22">
        <f t="shared" si="59"/>
        <v>0.57999999999999996</v>
      </c>
      <c r="BG64" s="22">
        <f t="shared" si="59"/>
        <v>0.57999999999999996</v>
      </c>
      <c r="BH64" s="22">
        <f t="shared" si="59"/>
        <v>0.57999999999999996</v>
      </c>
      <c r="BI64" s="22">
        <f t="shared" si="59"/>
        <v>0.57999999999999996</v>
      </c>
      <c r="BJ64" s="22">
        <f t="shared" si="59"/>
        <v>0.57999999999999996</v>
      </c>
      <c r="BK64" s="22">
        <f>'Levers &amp; variables'!K7</f>
        <v>0.57999999999999996</v>
      </c>
      <c r="BP64">
        <f t="shared" si="0"/>
        <v>15</v>
      </c>
      <c r="BQ64">
        <f t="shared" si="1"/>
        <v>1</v>
      </c>
    </row>
    <row r="65" spans="1:69" x14ac:dyDescent="0.25">
      <c r="A65" t="s">
        <v>850</v>
      </c>
      <c r="B65" t="s">
        <v>851</v>
      </c>
      <c r="Y65" s="22">
        <f>'Levers &amp; variables'!G8</f>
        <v>120</v>
      </c>
      <c r="Z65" s="22">
        <f t="shared" ref="Z65:AF65" si="60">Y65+(($AG65-$Y65)/8)</f>
        <v>120</v>
      </c>
      <c r="AA65" s="22">
        <f t="shared" si="60"/>
        <v>120</v>
      </c>
      <c r="AB65" s="22">
        <f t="shared" si="60"/>
        <v>120</v>
      </c>
      <c r="AC65" s="22">
        <f t="shared" si="60"/>
        <v>120</v>
      </c>
      <c r="AD65" s="22">
        <f t="shared" si="60"/>
        <v>120</v>
      </c>
      <c r="AE65" s="22">
        <f t="shared" si="60"/>
        <v>120</v>
      </c>
      <c r="AF65" s="22">
        <f t="shared" si="60"/>
        <v>120</v>
      </c>
      <c r="AG65" s="22">
        <f>'Levers &amp; variables'!H8</f>
        <v>120</v>
      </c>
      <c r="AH65" s="22">
        <f t="shared" ref="AH65:AP65" si="61">AG65+(($AQ65-$AG65)/10)</f>
        <v>120</v>
      </c>
      <c r="AI65" s="22">
        <f t="shared" si="61"/>
        <v>120</v>
      </c>
      <c r="AJ65" s="22">
        <f t="shared" si="61"/>
        <v>120</v>
      </c>
      <c r="AK65" s="22">
        <f t="shared" si="61"/>
        <v>120</v>
      </c>
      <c r="AL65" s="22">
        <f t="shared" si="61"/>
        <v>120</v>
      </c>
      <c r="AM65" s="22">
        <f t="shared" si="61"/>
        <v>120</v>
      </c>
      <c r="AN65" s="22">
        <f t="shared" si="61"/>
        <v>120</v>
      </c>
      <c r="AO65" s="22">
        <f t="shared" si="61"/>
        <v>120</v>
      </c>
      <c r="AP65" s="22">
        <f t="shared" si="61"/>
        <v>120</v>
      </c>
      <c r="AQ65" s="22">
        <f>'Levers &amp; variables'!I8</f>
        <v>120</v>
      </c>
      <c r="AR65" s="22">
        <f t="shared" ref="AR65:AZ65" si="62">AQ65+(($BA65-$AQ65)/10)</f>
        <v>120</v>
      </c>
      <c r="AS65" s="22">
        <f t="shared" si="62"/>
        <v>120</v>
      </c>
      <c r="AT65" s="22">
        <f t="shared" si="62"/>
        <v>120</v>
      </c>
      <c r="AU65" s="22">
        <f t="shared" si="62"/>
        <v>120</v>
      </c>
      <c r="AV65" s="22">
        <f t="shared" si="62"/>
        <v>120</v>
      </c>
      <c r="AW65" s="22">
        <f t="shared" si="62"/>
        <v>120</v>
      </c>
      <c r="AX65" s="22">
        <f t="shared" si="62"/>
        <v>120</v>
      </c>
      <c r="AY65" s="22">
        <f t="shared" si="62"/>
        <v>120</v>
      </c>
      <c r="AZ65" s="22">
        <f t="shared" si="62"/>
        <v>120</v>
      </c>
      <c r="BA65" s="22">
        <f>'Levers &amp; variables'!J8</f>
        <v>120</v>
      </c>
      <c r="BB65" s="22">
        <f t="shared" ref="BB65:BJ65" si="63">BA65+(($BK65-$BA65)/10)</f>
        <v>120</v>
      </c>
      <c r="BC65" s="22">
        <f t="shared" si="63"/>
        <v>120</v>
      </c>
      <c r="BD65" s="22">
        <f t="shared" si="63"/>
        <v>120</v>
      </c>
      <c r="BE65" s="22">
        <f t="shared" si="63"/>
        <v>120</v>
      </c>
      <c r="BF65" s="22">
        <f t="shared" si="63"/>
        <v>120</v>
      </c>
      <c r="BG65" s="22">
        <f t="shared" si="63"/>
        <v>120</v>
      </c>
      <c r="BH65" s="22">
        <f t="shared" si="63"/>
        <v>120</v>
      </c>
      <c r="BI65" s="22">
        <f t="shared" si="63"/>
        <v>120</v>
      </c>
      <c r="BJ65" s="22">
        <f t="shared" si="63"/>
        <v>120</v>
      </c>
      <c r="BK65" s="22">
        <f>'Levers &amp; variables'!K8</f>
        <v>120</v>
      </c>
      <c r="BP65" t="e">
        <f t="shared" si="0"/>
        <v>#VALUE!</v>
      </c>
      <c r="BQ65">
        <f t="shared" si="1"/>
        <v>0</v>
      </c>
    </row>
    <row r="68" spans="1:69" x14ac:dyDescent="0.25">
      <c r="A68" t="s">
        <v>1469</v>
      </c>
      <c r="B68" t="s">
        <v>1472</v>
      </c>
      <c r="C68" s="118">
        <f>SUMPRODUCT(C4:C65,$BQ$4:$BQ$65)/1000000</f>
        <v>27.633888377138422</v>
      </c>
      <c r="D68" s="118">
        <f t="shared" ref="D68:BK68" si="64">SUMPRODUCT(D4:D65,$BQ$4:$BQ$65)/1000000</f>
        <v>27.77138113574318</v>
      </c>
      <c r="E68" s="118">
        <f t="shared" si="64"/>
        <v>22.397008079039967</v>
      </c>
      <c r="F68" s="118">
        <f t="shared" si="64"/>
        <v>28.78003188201464</v>
      </c>
      <c r="G68" s="118">
        <f t="shared" si="64"/>
        <v>31.270028505052885</v>
      </c>
      <c r="H68" s="118">
        <f t="shared" si="64"/>
        <v>22.631357325155758</v>
      </c>
      <c r="I68" s="118">
        <f t="shared" si="64"/>
        <v>28.509660780279937</v>
      </c>
      <c r="J68" s="118">
        <f t="shared" si="64"/>
        <v>28.611258532662308</v>
      </c>
      <c r="K68" s="118">
        <f t="shared" si="64"/>
        <v>26.309534126318734</v>
      </c>
      <c r="L68" s="118">
        <f t="shared" si="64"/>
        <v>26.888786649970022</v>
      </c>
      <c r="M68" s="118">
        <f t="shared" si="64"/>
        <v>31.061869023244046</v>
      </c>
      <c r="N68" s="118">
        <f t="shared" si="64"/>
        <v>26.56158065729506</v>
      </c>
      <c r="O68" s="118">
        <f t="shared" si="64"/>
        <v>29.600843801152742</v>
      </c>
      <c r="P68" s="118">
        <f t="shared" si="64"/>
        <v>29.417928355799905</v>
      </c>
      <c r="Q68" s="118">
        <f t="shared" si="64"/>
        <v>30.427849374709822</v>
      </c>
      <c r="R68" s="118">
        <f t="shared" si="64"/>
        <v>33.908496354672423</v>
      </c>
      <c r="S68" s="118">
        <f t="shared" si="64"/>
        <v>30.033882494346258</v>
      </c>
      <c r="T68" s="118">
        <f t="shared" si="64"/>
        <v>31.769669893497525</v>
      </c>
      <c r="U68" s="118">
        <f t="shared" si="64"/>
        <v>37.209598181628309</v>
      </c>
      <c r="V68" s="118">
        <f t="shared" si="64"/>
        <v>36.834598973706832</v>
      </c>
      <c r="W68" s="118">
        <f t="shared" si="64"/>
        <v>38.839971969101704</v>
      </c>
      <c r="X68" s="118">
        <f t="shared" si="64"/>
        <v>36.355380018291306</v>
      </c>
      <c r="Y68" s="118">
        <f t="shared" si="64"/>
        <v>37.264624704131457</v>
      </c>
      <c r="Z68" s="118">
        <f t="shared" si="64"/>
        <v>37.918815926764417</v>
      </c>
      <c r="AA68" s="118">
        <f t="shared" si="64"/>
        <v>38.67508607723213</v>
      </c>
      <c r="AB68" s="118">
        <f t="shared" si="64"/>
        <v>39.273821563098878</v>
      </c>
      <c r="AC68" s="118">
        <f t="shared" si="64"/>
        <v>39.770853769491715</v>
      </c>
      <c r="AD68" s="118">
        <f t="shared" si="64"/>
        <v>40.163768314038464</v>
      </c>
      <c r="AE68" s="118">
        <f t="shared" si="64"/>
        <v>40.647451326305443</v>
      </c>
      <c r="AF68" s="118">
        <f t="shared" si="64"/>
        <v>41.148594433671477</v>
      </c>
      <c r="AG68" s="118">
        <f t="shared" si="64"/>
        <v>39.882619475081391</v>
      </c>
      <c r="AH68" s="118">
        <f t="shared" si="64"/>
        <v>41.229005600941633</v>
      </c>
      <c r="AI68" s="118">
        <f t="shared" si="64"/>
        <v>42.041517628843529</v>
      </c>
      <c r="AJ68" s="118">
        <f t="shared" si="64"/>
        <v>42.452612373623616</v>
      </c>
      <c r="AK68" s="118">
        <f t="shared" si="64"/>
        <v>42.911034155099948</v>
      </c>
      <c r="AL68" s="118">
        <f t="shared" si="64"/>
        <v>43.497562528131944</v>
      </c>
      <c r="AM68" s="118">
        <f t="shared" si="64"/>
        <v>44.190769988549341</v>
      </c>
      <c r="AN68" s="118">
        <f t="shared" si="64"/>
        <v>44.936640658043487</v>
      </c>
      <c r="AO68" s="118">
        <f t="shared" si="64"/>
        <v>45.752209148180967</v>
      </c>
      <c r="AP68" s="118">
        <f t="shared" si="64"/>
        <v>46.688357265998448</v>
      </c>
      <c r="AQ68" s="118">
        <f t="shared" si="64"/>
        <v>47.742606208612962</v>
      </c>
      <c r="AR68" s="118">
        <f t="shared" si="64"/>
        <v>48.872136283176616</v>
      </c>
      <c r="AS68" s="118">
        <f t="shared" si="64"/>
        <v>50.076980151484243</v>
      </c>
      <c r="AT68" s="118">
        <f t="shared" si="64"/>
        <v>51.333210000092066</v>
      </c>
      <c r="AU68" s="118">
        <f t="shared" si="64"/>
        <v>52.653032234866181</v>
      </c>
      <c r="AV68" s="118">
        <f t="shared" si="64"/>
        <v>54.025826695152922</v>
      </c>
      <c r="AW68" s="118">
        <f t="shared" si="64"/>
        <v>55.407807472713614</v>
      </c>
      <c r="AX68" s="118">
        <f t="shared" si="64"/>
        <v>56.864146805922054</v>
      </c>
      <c r="AY68" s="118">
        <f t="shared" si="64"/>
        <v>58.352736022269056</v>
      </c>
      <c r="AZ68" s="118">
        <f t="shared" si="64"/>
        <v>59.870611610432761</v>
      </c>
      <c r="BA68" s="118">
        <f t="shared" si="64"/>
        <v>61.438735391248791</v>
      </c>
      <c r="BB68" s="118">
        <f t="shared" si="64"/>
        <v>63.007452111010913</v>
      </c>
      <c r="BC68" s="118">
        <f t="shared" si="64"/>
        <v>64.646330755521475</v>
      </c>
      <c r="BD68" s="118">
        <f t="shared" si="64"/>
        <v>66.382052394431213</v>
      </c>
      <c r="BE68" s="118">
        <f t="shared" si="64"/>
        <v>68.172822210944403</v>
      </c>
      <c r="BF68" s="118">
        <f t="shared" si="64"/>
        <v>70.021948536354955</v>
      </c>
      <c r="BG68" s="118">
        <f t="shared" si="64"/>
        <v>71.979602311269204</v>
      </c>
      <c r="BH68" s="118">
        <f t="shared" si="64"/>
        <v>74.032197379627618</v>
      </c>
      <c r="BI68" s="118">
        <f t="shared" si="64"/>
        <v>76.171076275562157</v>
      </c>
      <c r="BJ68" s="118">
        <f t="shared" si="64"/>
        <v>78.430996517718768</v>
      </c>
      <c r="BK68" s="118">
        <f t="shared" si="64"/>
        <v>80.624281214088825</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5546875" defaultRowHeight="15" outlineLevelCol="1" x14ac:dyDescent="0.25"/>
  <cols>
    <col min="1" max="1" width="29.42578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t="str">
        <f>'Intermediate calculations'!A4</f>
        <v>Wealth (GDP)</v>
      </c>
      <c r="B4" t="str">
        <f>'Intermediate calculations'!B4</f>
        <v>GDP/capita</v>
      </c>
      <c r="C4">
        <f>'Intermediate calculations'!C4</f>
        <v>53.190672360352572</v>
      </c>
      <c r="D4">
        <f>'Intermediate calculations'!D4</f>
        <v>53.452366288579142</v>
      </c>
      <c r="E4">
        <f>'Intermediate calculations'!E4</f>
        <v>53.698271372375295</v>
      </c>
      <c r="F4">
        <f>'Intermediate calculations'!F4</f>
        <v>53.967936663175117</v>
      </c>
      <c r="G4">
        <f>'Intermediate calculations'!G4</f>
        <v>54.312125446219277</v>
      </c>
      <c r="H4">
        <f>'Intermediate calculations'!H4</f>
        <v>54.764627905354487</v>
      </c>
      <c r="I4">
        <f>'Intermediate calculations'!I4</f>
        <v>55.976900063728614</v>
      </c>
      <c r="J4">
        <f>'Intermediate calculations'!J4</f>
        <v>56.435024005550034</v>
      </c>
      <c r="K4">
        <f>'Intermediate calculations'!K4</f>
        <v>55.9261444400302</v>
      </c>
      <c r="L4">
        <f>'Intermediate calculations'!L4</f>
        <v>56.586001315990053</v>
      </c>
      <c r="M4">
        <f>'Intermediate calculations'!M4</f>
        <v>58.249227424692251</v>
      </c>
      <c r="N4">
        <f>'Intermediate calculations'!N4</f>
        <v>59.144603754349028</v>
      </c>
      <c r="O4">
        <f>'Intermediate calculations'!O4</f>
        <v>60.621281297308379</v>
      </c>
      <c r="P4">
        <f>'Intermediate calculations'!P4</f>
        <v>61.669316267499923</v>
      </c>
      <c r="Q4">
        <f>'Intermediate calculations'!Q4</f>
        <v>63.662990040298233</v>
      </c>
      <c r="R4">
        <f>'Intermediate calculations'!R4</f>
        <v>66.22030397119731</v>
      </c>
      <c r="S4">
        <f>'Intermediate calculations'!S4</f>
        <v>69.002307623774243</v>
      </c>
      <c r="T4">
        <f>'Intermediate calculations'!T4</f>
        <v>71.921673494309061</v>
      </c>
      <c r="U4">
        <f>'Intermediate calculations'!U4</f>
        <v>73.63828583995398</v>
      </c>
      <c r="V4">
        <f>'Intermediate calculations'!V4</f>
        <v>71.645920885518635</v>
      </c>
      <c r="W4">
        <f>'Intermediate calculations'!W4</f>
        <v>72.785427559496128</v>
      </c>
      <c r="X4">
        <f>'Intermediate calculations'!X4</f>
        <v>74.143459643923279</v>
      </c>
      <c r="Y4">
        <f>'Intermediate calculations'!Y4</f>
        <v>75.485306046115838</v>
      </c>
      <c r="Z4">
        <f>'Intermediate calculations'!Z4</f>
        <v>76.024311768927959</v>
      </c>
      <c r="AA4">
        <f>'Intermediate calculations'!AA4</f>
        <v>76.84226761788716</v>
      </c>
      <c r="AB4">
        <f>'Intermediate calculations'!AB4</f>
        <v>77.017128903622634</v>
      </c>
      <c r="AC4">
        <f>'Intermediate calculations'!AC4</f>
        <v>76.766798948952101</v>
      </c>
      <c r="AD4">
        <f>'Intermediate calculations'!AD4</f>
        <v>76.100439080421197</v>
      </c>
      <c r="AE4">
        <f>'Intermediate calculations'!AG4</f>
        <v>70.367429162964569</v>
      </c>
      <c r="AF4">
        <f>'Intermediate calculations'!AQ4</f>
        <v>82.84802072593881</v>
      </c>
      <c r="AG4">
        <f>'Intermediate calculations'!BA4</f>
        <v>110.8760568421777</v>
      </c>
      <c r="AH4">
        <f>'Intermediate calculations'!BK4</f>
        <v>152.46439225888591</v>
      </c>
    </row>
    <row r="5" spans="1:37" x14ac:dyDescent="0.25">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2.6352073834721865E-4</v>
      </c>
      <c r="AK5">
        <f>INTERCEPT(M5:AD5,$M$4:$AD$4)</f>
        <v>-2.3011428632205358E-3</v>
      </c>
    </row>
    <row r="6" spans="1:37" x14ac:dyDescent="0.25">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2.7449734398620889E-4</v>
      </c>
      <c r="AK6">
        <f>INTERCEPT(M6:AD6,$M$4:$AD$4)</f>
        <v>1.6590092758160882E-2</v>
      </c>
    </row>
    <row r="7" spans="1:37" x14ac:dyDescent="0.25">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5.2522486540878314E-7</v>
      </c>
      <c r="AK7">
        <f>INTERCEPT(M7:AD7,$M$4:$AD$4)</f>
        <v>3.1804576356140807E-3</v>
      </c>
    </row>
    <row r="8" spans="1:37" x14ac:dyDescent="0.25">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3.3524991409071906E-8</v>
      </c>
      <c r="AK8">
        <f>INTERCEPT(M8:AD8,$M$4:$AD$4)</f>
        <v>2.0300793418813281E-4</v>
      </c>
    </row>
    <row r="9" spans="1:37" x14ac:dyDescent="0.25">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8.1041672449848055E-5</v>
      </c>
      <c r="AK9">
        <f>INTERCEPT(R9:AD9,$R$4:$AD$4)</f>
        <v>-1.6683173409193768E-3</v>
      </c>
    </row>
    <row r="10" spans="1:37" x14ac:dyDescent="0.25">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7.4498565635760077E-5</v>
      </c>
      <c r="AK10">
        <f>INTERCEPT(M10:AD10,$M$4:$AD$4)</f>
        <v>2.3894968867762961E-3</v>
      </c>
    </row>
    <row r="11" spans="1:37" x14ac:dyDescent="0.25">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9.6422702914169276E-4</v>
      </c>
      <c r="AK11">
        <f>INTERCEPT(M11:AD11,$M$4:$AD$4)</f>
        <v>-3.8756843624950542E-2</v>
      </c>
    </row>
    <row r="12" spans="1:37" x14ac:dyDescent="0.25">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-8.4076768309129194E-5</v>
      </c>
      <c r="AK12">
        <f>INTERCEPT(R12:AB12,$R$4:$AB$4)</f>
        <v>9.609379274409505E-3</v>
      </c>
    </row>
    <row r="13" spans="1:37" x14ac:dyDescent="0.25">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5">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5">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42.594955719368919</v>
      </c>
      <c r="Z15">
        <f>SUM(Z54:Z55)/'Intermediate calculations'!Z10</f>
        <v>41.560458796157924</v>
      </c>
      <c r="AA15">
        <f>SUM(AA54:AA55)/'Intermediate calculations'!AA10</f>
        <v>41.398998366070728</v>
      </c>
      <c r="AB15">
        <f>SUM(AB54:AB55)/'Intermediate calculations'!AB10</f>
        <v>40.503756933107503</v>
      </c>
      <c r="AC15">
        <f>SUM(AC54:AC55)/'Intermediate calculations'!AC10</f>
        <v>39.312134004260429</v>
      </c>
      <c r="AD15">
        <f>SUM(AD54:AD55)/'Intermediate calculations'!AD10</f>
        <v>37.700128748081923</v>
      </c>
      <c r="AJ15">
        <f>SLOPE(K15:AD15,LN(K2:AD2))</f>
        <v>-11.2209132599653</v>
      </c>
      <c r="AK15">
        <f>INTERCEPT(K15:AD15,LN(K2:AD2))</f>
        <v>71.098489130017754</v>
      </c>
    </row>
    <row r="16" spans="1:37" x14ac:dyDescent="0.25">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5">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5">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5">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5">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5">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5">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5">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5">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5">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5">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5">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5">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5">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5">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5">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5">
      <c r="A32" t="s">
        <v>933</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5">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5">
      <c r="A34" t="s">
        <v>934</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5">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927</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2772.8102776707428</v>
      </c>
      <c r="AK61">
        <f>INTERCEPT(M61:AD61,M4:AD4)</f>
        <v>99172.538697585755</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5546875" defaultRowHeight="15" x14ac:dyDescent="0.25"/>
  <cols>
    <col min="2" max="2" width="26.42578125" customWidth="1"/>
    <col min="3" max="3" width="11" customWidth="1"/>
  </cols>
  <sheetData>
    <row r="1" spans="1:53" x14ac:dyDescent="0.25">
      <c r="A1" s="28" t="s">
        <v>665</v>
      </c>
    </row>
    <row r="3" spans="1:53" x14ac:dyDescent="0.25">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5">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5">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5">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1551.6978906253507</v>
      </c>
      <c r="R6" s="32">
        <f>'Intermediate calculations'!AB42/1000</f>
        <v>1579.6991994235043</v>
      </c>
      <c r="S6" s="32">
        <f>'Intermediate calculations'!AC42/1000</f>
        <v>1592.2732513502267</v>
      </c>
      <c r="T6" s="32">
        <f>'Intermediate calculations'!AD42/1000</f>
        <v>1589.0236047287594</v>
      </c>
      <c r="U6" s="32">
        <f>'Intermediate calculations'!AE42/1000</f>
        <v>1597.0850065537823</v>
      </c>
      <c r="V6" s="32">
        <f>'Intermediate calculations'!AF42/1000</f>
        <v>1606.5563837569275</v>
      </c>
      <c r="W6" s="32">
        <f>'Intermediate calculations'!AG42/1000</f>
        <v>1411.6234801521707</v>
      </c>
      <c r="X6" s="32">
        <f>'Intermediate calculations'!AH42/1000</f>
        <v>1554.111905929318</v>
      </c>
      <c r="Y6" s="32">
        <f>'Intermediate calculations'!AI42/1000</f>
        <v>1631.1686908897182</v>
      </c>
      <c r="Z6" s="32">
        <f>'Intermediate calculations'!AJ42/1000</f>
        <v>1653.7643941690799</v>
      </c>
      <c r="AA6" s="32">
        <f>'Intermediate calculations'!AK42/1000</f>
        <v>1677.4143405566911</v>
      </c>
      <c r="AB6" s="32">
        <f>'Intermediate calculations'!AL42/1000</f>
        <v>1715.1768753869505</v>
      </c>
      <c r="AC6" s="32">
        <f>'Intermediate calculations'!AM42/1000</f>
        <v>1768.3870187402836</v>
      </c>
      <c r="AD6" s="32">
        <f>'Intermediate calculations'!AN42/1000</f>
        <v>1829.6999275758769</v>
      </c>
      <c r="AE6" s="32">
        <f>'Intermediate calculations'!AO42/1000</f>
        <v>1901.3901400131199</v>
      </c>
      <c r="AF6" s="32">
        <f>'Intermediate calculations'!AP42/1000</f>
        <v>1990.0942070204578</v>
      </c>
      <c r="AG6" s="32">
        <f>'Intermediate calculations'!AQ42/1000</f>
        <v>2095.3188674733874</v>
      </c>
      <c r="AH6" s="32">
        <f>'Intermediate calculations'!AR42/1000</f>
        <v>2211.355360595815</v>
      </c>
      <c r="AI6" s="32">
        <f>'Intermediate calculations'!AS42/1000</f>
        <v>2338.0576270949173</v>
      </c>
      <c r="AJ6" s="32">
        <f>'Intermediate calculations'!AT42/1000</f>
        <v>2472.2047909879288</v>
      </c>
      <c r="AK6" s="32">
        <f>'Intermediate calculations'!AU42/1000</f>
        <v>2615.4883592759584</v>
      </c>
      <c r="AL6" s="32">
        <f>'Intermediate calculations'!AV42/1000</f>
        <v>2766.4199928813459</v>
      </c>
      <c r="AM6" s="32">
        <f>'Intermediate calculations'!AW42/1000</f>
        <v>2919.0729524005683</v>
      </c>
      <c r="AN6" s="32">
        <f>'Intermediate calculations'!AX42/1000</f>
        <v>3082.1811246225393</v>
      </c>
      <c r="AO6" s="32">
        <f>'Intermediate calculations'!AY42/1000</f>
        <v>3250.3121850380871</v>
      </c>
      <c r="AP6" s="32">
        <f>'Intermediate calculations'!AZ42/1000</f>
        <v>3423.0638916317325</v>
      </c>
      <c r="AQ6" s="32">
        <f>'Intermediate calculations'!BA42/1000</f>
        <v>3603.1758492060208</v>
      </c>
      <c r="AR6" s="32">
        <f>'Intermediate calculations'!BB42/1000</f>
        <v>3784.0054033688471</v>
      </c>
      <c r="AS6" s="32">
        <f>'Intermediate calculations'!BC42/1000</f>
        <v>3974.9018238589406</v>
      </c>
      <c r="AT6" s="32">
        <f>'Intermediate calculations'!BD42/1000</f>
        <v>4179.4817556693388</v>
      </c>
      <c r="AU6" s="32">
        <f>'Intermediate calculations'!BE42/1000</f>
        <v>4392.2016901633897</v>
      </c>
      <c r="AV6" s="32">
        <f>'Intermediate calculations'!BF42/1000</f>
        <v>4613.5893334388538</v>
      </c>
      <c r="AW6" s="32">
        <f>'Intermediate calculations'!BG42/1000</f>
        <v>4850.4042184467753</v>
      </c>
      <c r="AX6" s="32">
        <f>'Intermediate calculations'!BH42/1000</f>
        <v>5100.8511518585374</v>
      </c>
      <c r="AY6" s="32">
        <f>'Intermediate calculations'!BI42/1000</f>
        <v>5363.7620304788998</v>
      </c>
      <c r="AZ6" s="32">
        <f>'Intermediate calculations'!BJ42/1000</f>
        <v>5643.7375632913754</v>
      </c>
      <c r="BA6" s="32">
        <f>'Intermediate calculations'!BK42/1000</f>
        <v>5915.9564588340545</v>
      </c>
    </row>
    <row r="7" spans="1:53" x14ac:dyDescent="0.25">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1905.0768868757129</v>
      </c>
      <c r="R7" s="32">
        <f>'Intermediate calculations'!AB39/1000</f>
        <v>1943.9246182197317</v>
      </c>
      <c r="S7" s="32">
        <f>'Intermediate calculations'!AC39/1000</f>
        <v>1961.3692810630369</v>
      </c>
      <c r="T7" s="32">
        <f>'Intermediate calculations'!AD39/1000</f>
        <v>1956.8608704089575</v>
      </c>
      <c r="U7" s="32">
        <f>'Intermediate calculations'!AE39/1000</f>
        <v>1968.0448895064972</v>
      </c>
      <c r="V7" s="32">
        <f>'Intermediate calculations'!AF39/1000</f>
        <v>1981.1850437649266</v>
      </c>
      <c r="W7" s="32">
        <f>'Intermediate calculations'!AG39/1000</f>
        <v>1710.7440753111075</v>
      </c>
      <c r="X7" s="32">
        <f>'Intermediate calculations'!AH39/1000</f>
        <v>1908.4259809721664</v>
      </c>
      <c r="Y7" s="32">
        <f>'Intermediate calculations'!AI39/1000</f>
        <v>2015.3310296594925</v>
      </c>
      <c r="Z7" s="32">
        <f>'Intermediate calculations'!AJ39/1000</f>
        <v>2046.6792718739307</v>
      </c>
      <c r="AA7" s="32">
        <f>'Intermediate calculations'!AK39/1000</f>
        <v>2079.4901226162701</v>
      </c>
      <c r="AB7" s="32">
        <f>'Intermediate calculations'!AL39/1000</f>
        <v>2131.8801311880052</v>
      </c>
      <c r="AC7" s="32">
        <f>'Intermediate calculations'!AM39/1000</f>
        <v>2205.7014432083674</v>
      </c>
      <c r="AD7" s="32">
        <f>'Intermediate calculations'!AN39/1000</f>
        <v>2290.7641603668781</v>
      </c>
      <c r="AE7" s="32">
        <f>'Intermediate calculations'!AO39/1000</f>
        <v>2390.2238725122361</v>
      </c>
      <c r="AF7" s="32">
        <f>'Intermediate calculations'!AP39/1000</f>
        <v>2513.2878260246566</v>
      </c>
      <c r="AG7" s="32">
        <f>'Intermediate calculations'!AQ39/1000</f>
        <v>2659.2716930469924</v>
      </c>
      <c r="AH7" s="32">
        <f>'Intermediate calculations'!AR39/1000</f>
        <v>2820.2554007520903</v>
      </c>
      <c r="AI7" s="32">
        <f>'Intermediate calculations'!AS39/1000</f>
        <v>2996.0363131771546</v>
      </c>
      <c r="AJ7" s="32">
        <f>'Intermediate calculations'!AT39/1000</f>
        <v>3182.1459347324649</v>
      </c>
      <c r="AK7" s="32">
        <f>'Intermediate calculations'!AU39/1000</f>
        <v>3380.9309846381602</v>
      </c>
      <c r="AL7" s="32">
        <f>'Intermediate calculations'!AV39/1000</f>
        <v>3590.3266095313293</v>
      </c>
      <c r="AM7" s="32">
        <f>'Intermediate calculations'!AW39/1000</f>
        <v>3802.1103230362914</v>
      </c>
      <c r="AN7" s="32">
        <f>'Intermediate calculations'!AX39/1000</f>
        <v>4028.3991190411011</v>
      </c>
      <c r="AO7" s="32">
        <f>'Intermediate calculations'!AY39/1000</f>
        <v>4261.6564397145867</v>
      </c>
      <c r="AP7" s="32">
        <f>'Intermediate calculations'!AZ39/1000</f>
        <v>4501.3242329362101</v>
      </c>
      <c r="AQ7" s="32">
        <f>'Intermediate calculations'!BA39/1000</f>
        <v>4751.2033007372347</v>
      </c>
      <c r="AR7" s="32">
        <f>'Intermediate calculations'!BB39/1000</f>
        <v>5002.0779291274403</v>
      </c>
      <c r="AS7" s="32">
        <f>'Intermediate calculations'!BC39/1000</f>
        <v>5266.9188660704658</v>
      </c>
      <c r="AT7" s="32">
        <f>'Intermediate calculations'!BD39/1000</f>
        <v>5550.7436789260746</v>
      </c>
      <c r="AU7" s="32">
        <f>'Intermediate calculations'!BE39/1000</f>
        <v>5845.8615581048889</v>
      </c>
      <c r="AV7" s="32">
        <f>'Intermediate calculations'!BF39/1000</f>
        <v>6153.0046188398856</v>
      </c>
      <c r="AW7" s="32">
        <f>'Intermediate calculations'!BG39/1000</f>
        <v>6481.5507270724793</v>
      </c>
      <c r="AX7" s="32">
        <f>'Intermediate calculations'!BH39/1000</f>
        <v>6829.0093139280707</v>
      </c>
      <c r="AY7" s="32">
        <f>'Intermediate calculations'!BI39/1000</f>
        <v>7193.7598066170849</v>
      </c>
      <c r="AZ7" s="32">
        <f>'Intermediate calculations'!BJ39/1000</f>
        <v>7582.1850177384586</v>
      </c>
      <c r="BA7" s="32">
        <f>'Intermediate calculations'!BK39/1000</f>
        <v>7959.8490261259822</v>
      </c>
    </row>
    <row r="8" spans="1:53" x14ac:dyDescent="0.25">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5">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5">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5">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5">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483.47206766951052</v>
      </c>
      <c r="T12" s="32">
        <f>'Intermediate calculations'!AD37/1000</f>
        <v>488.3754655866876</v>
      </c>
      <c r="U12" s="32">
        <f>'Intermediate calculations'!AE37/1000</f>
        <v>494.66817106631413</v>
      </c>
      <c r="V12" s="32">
        <f>'Intermediate calculations'!AF37/1000</f>
        <v>501.21183128389964</v>
      </c>
      <c r="W12" s="32">
        <f>'Intermediate calculations'!AG37/1000</f>
        <v>481.04401170501524</v>
      </c>
      <c r="X12" s="32">
        <f>'Intermediate calculations'!AH37/1000</f>
        <v>501.11397014383618</v>
      </c>
      <c r="Y12" s="32">
        <f>'Intermediate calculations'!AI37/1000</f>
        <v>513.0357378575676</v>
      </c>
      <c r="Z12" s="32">
        <f>'Intermediate calculations'!AJ37/1000</f>
        <v>518.71896408846419</v>
      </c>
      <c r="AA12" s="32">
        <f>'Intermediate calculations'!AK37/1000</f>
        <v>525.02355677717742</v>
      </c>
      <c r="AB12" s="32">
        <f>'Intermediate calculations'!AL37/1000</f>
        <v>533.24957827092123</v>
      </c>
      <c r="AC12" s="32">
        <f>'Intermediate calculations'!AM37/1000</f>
        <v>543.15425232315943</v>
      </c>
      <c r="AD12" s="32">
        <f>'Intermediate calculations'!AN37/1000</f>
        <v>553.89775394010564</v>
      </c>
      <c r="AE12" s="32">
        <f>'Intermediate calculations'!AO37/1000</f>
        <v>565.74404479907503</v>
      </c>
      <c r="AF12" s="32">
        <f>'Intermediate calculations'!AP37/1000</f>
        <v>579.47822094686887</v>
      </c>
      <c r="AG12" s="32">
        <f>'Intermediate calculations'!AQ37/1000</f>
        <v>595.05841999814777</v>
      </c>
      <c r="AH12" s="32">
        <f>'Intermediate calculations'!AR37/1000</f>
        <v>611.82131030603034</v>
      </c>
      <c r="AI12" s="32">
        <f>'Intermediate calculations'!AS37/1000</f>
        <v>629.76419844045438</v>
      </c>
      <c r="AJ12" s="32">
        <f>'Intermediate calculations'!AT37/1000</f>
        <v>648.51575697751969</v>
      </c>
      <c r="AK12" s="32">
        <f>'Intermediate calculations'!AU37/1000</f>
        <v>668.26644301849296</v>
      </c>
      <c r="AL12" s="32">
        <f>'Intermediate calculations'!AV37/1000</f>
        <v>688.85019567660527</v>
      </c>
      <c r="AM12" s="32">
        <f>'Intermediate calculations'!AW37/1000</f>
        <v>709.58681884081989</v>
      </c>
      <c r="AN12" s="32">
        <f>'Intermediate calculations'!AX37/1000</f>
        <v>731.48687219147382</v>
      </c>
      <c r="AO12" s="32">
        <f>'Intermediate calculations'!AY37/1000</f>
        <v>753.90190242912388</v>
      </c>
      <c r="AP12" s="32">
        <f>'Intermediate calculations'!AZ37/1000</f>
        <v>776.78584904228126</v>
      </c>
      <c r="AQ12" s="32">
        <f>'Intermediate calculations'!BA37/1000</f>
        <v>800.46226653612291</v>
      </c>
      <c r="AR12" s="32">
        <f>'Intermediate calculations'!BB37/1000</f>
        <v>824.16145163018587</v>
      </c>
      <c r="AS12" s="32">
        <f>'Intermediate calculations'!BC37/1000</f>
        <v>848.96269642275684</v>
      </c>
      <c r="AT12" s="32">
        <f>'Intermediate calculations'!BD37/1000</f>
        <v>875.28059036151831</v>
      </c>
      <c r="AU12" s="32">
        <f>'Intermediate calculations'!BE37/1000</f>
        <v>902.46828710493162</v>
      </c>
      <c r="AV12" s="32">
        <f>'Intermediate calculations'!BF37/1000</f>
        <v>930.57887978319013</v>
      </c>
      <c r="AW12" s="32">
        <f>'Intermediate calculations'!BG37/1000</f>
        <v>960.39108407070864</v>
      </c>
      <c r="AX12" s="32">
        <f>'Intermediate calculations'!BH37/1000</f>
        <v>991.6947760981235</v>
      </c>
      <c r="AY12" s="32">
        <f>'Intermediate calculations'!BI37/1000</f>
        <v>1024.3555454043171</v>
      </c>
      <c r="AZ12" s="32">
        <f>'Intermediate calculations'!BJ37/1000</f>
        <v>1058.9111241949295</v>
      </c>
      <c r="BA12" s="32">
        <f>'Intermediate calculations'!BK37/1000</f>
        <v>1092.458411495533</v>
      </c>
    </row>
    <row r="13" spans="1:53" x14ac:dyDescent="0.25">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450.99502687358483</v>
      </c>
      <c r="T13" s="32">
        <f>'Intermediate calculations'!AD34/1000</f>
        <v>455.50305642644469</v>
      </c>
      <c r="U13" s="32">
        <f>'Intermediate calculations'!AE34/1000</f>
        <v>461.28837157907071</v>
      </c>
      <c r="V13" s="32">
        <f>'Intermediate calculations'!AF34/1000</f>
        <v>467.30440661090256</v>
      </c>
      <c r="W13" s="32">
        <f>'Intermediate calculations'!AG34/1000</f>
        <v>448.76274872100043</v>
      </c>
      <c r="X13" s="32">
        <f>'Intermediate calculations'!AH34/1000</f>
        <v>467.21443616205573</v>
      </c>
      <c r="Y13" s="32">
        <f>'Intermediate calculations'!AI34/1000</f>
        <v>478.17493377689584</v>
      </c>
      <c r="Z13" s="32">
        <f>'Intermediate calculations'!AJ34/1000</f>
        <v>483.39991291120606</v>
      </c>
      <c r="AA13" s="32">
        <f>'Intermediate calculations'!AK34/1000</f>
        <v>489.19615678933388</v>
      </c>
      <c r="AB13" s="32">
        <f>'Intermediate calculations'!AL34/1000</f>
        <v>496.7589017720228</v>
      </c>
      <c r="AC13" s="32">
        <f>'Intermediate calculations'!AM34/1000</f>
        <v>505.8649470273993</v>
      </c>
      <c r="AD13" s="32">
        <f>'Intermediate calculations'!AN34/1000</f>
        <v>515.74218391668569</v>
      </c>
      <c r="AE13" s="32">
        <f>'Intermediate calculations'!AO34/1000</f>
        <v>526.63329048931962</v>
      </c>
      <c r="AF13" s="32">
        <f>'Intermediate calculations'!AP34/1000</f>
        <v>539.26005931457576</v>
      </c>
      <c r="AG13" s="32">
        <f>'Intermediate calculations'!AQ34/1000</f>
        <v>553.58400343433811</v>
      </c>
      <c r="AH13" s="32">
        <f>'Intermediate calculations'!AR34/1000</f>
        <v>568.99527663216713</v>
      </c>
      <c r="AI13" s="32">
        <f>'Intermediate calculations'!AS34/1000</f>
        <v>585.49140265332642</v>
      </c>
      <c r="AJ13" s="32">
        <f>'Intermediate calculations'!AT34/1000</f>
        <v>602.73099476375774</v>
      </c>
      <c r="AK13" s="32">
        <f>'Intermediate calculations'!AU34/1000</f>
        <v>620.88915322160165</v>
      </c>
      <c r="AL13" s="32">
        <f>'Intermediate calculations'!AV34/1000</f>
        <v>639.81320687967138</v>
      </c>
      <c r="AM13" s="32">
        <f>'Intermediate calculations'!AW34/1000</f>
        <v>658.87780486453482</v>
      </c>
      <c r="AN13" s="32">
        <f>'Intermediate calculations'!AX34/1000</f>
        <v>679.01202390641765</v>
      </c>
      <c r="AO13" s="32">
        <f>'Intermediate calculations'!AY34/1000</f>
        <v>699.6196964727402</v>
      </c>
      <c r="AP13" s="32">
        <f>'Intermediate calculations'!AZ34/1000</f>
        <v>720.65847598047617</v>
      </c>
      <c r="AQ13" s="32">
        <f>'Intermediate calculations'!BA34/1000</f>
        <v>742.42582824739816</v>
      </c>
      <c r="AR13" s="32">
        <f>'Intermediate calculations'!BB34/1000</f>
        <v>764.21411232862101</v>
      </c>
      <c r="AS13" s="32">
        <f>'Intermediate calculations'!BC34/1000</f>
        <v>787.0155953738697</v>
      </c>
      <c r="AT13" s="32">
        <f>'Intermediate calculations'!BD34/1000</f>
        <v>811.21143785880315</v>
      </c>
      <c r="AU13" s="32">
        <f>'Intermediate calculations'!BE34/1000</f>
        <v>836.20694963730853</v>
      </c>
      <c r="AV13" s="32">
        <f>'Intermediate calculations'!BF34/1000</f>
        <v>862.05094286047108</v>
      </c>
      <c r="AW13" s="32">
        <f>'Intermediate calculations'!BG34/1000</f>
        <v>889.45934418422098</v>
      </c>
      <c r="AX13" s="32">
        <f>'Intermediate calculations'!BH34/1000</f>
        <v>918.23897234347328</v>
      </c>
      <c r="AY13" s="32">
        <f>'Intermediate calculations'!BI34/1000</f>
        <v>948.26625459516993</v>
      </c>
      <c r="AZ13" s="32">
        <f>'Intermediate calculations'!BJ34/1000</f>
        <v>980.03556498675641</v>
      </c>
      <c r="BA13" s="32">
        <f>'Intermediate calculations'!BK34/1000</f>
        <v>1010.8778839508404</v>
      </c>
    </row>
    <row r="14" spans="1:53" x14ac:dyDescent="0.25">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5">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5">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5">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5">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919.93415141939693</v>
      </c>
      <c r="P18" s="32">
        <f>'Intermediate calculations'!Z8/1000</f>
        <v>944.20834947610206</v>
      </c>
      <c r="Q18" s="32">
        <f>'Intermediate calculations'!AA8/1000</f>
        <v>973.8562285322181</v>
      </c>
      <c r="R18" s="32">
        <f>'Intermediate calculations'!AB8/1000</f>
        <v>993.92642644116006</v>
      </c>
      <c r="S18" s="32">
        <f>'Intermediate calculations'!AC8/1000</f>
        <v>1007.6100166861243</v>
      </c>
      <c r="T18" s="32">
        <f>'Intermediate calculations'!AD8/1000</f>
        <v>1014.7469565614488</v>
      </c>
      <c r="U18" s="32">
        <f>'Intermediate calculations'!AE8/1000</f>
        <v>1026.8981254598255</v>
      </c>
      <c r="V18" s="32">
        <f>'Intermediate calculations'!AF8/1000</f>
        <v>1039.800145818496</v>
      </c>
      <c r="W18" s="32">
        <f>'Intermediate calculations'!AG8/1000</f>
        <v>959.49268916772814</v>
      </c>
      <c r="X18" s="32">
        <f>'Intermediate calculations'!AH8/1000</f>
        <v>1026.8131364891101</v>
      </c>
      <c r="Y18" s="32">
        <f>'Intermediate calculations'!AI8/1000</f>
        <v>1064.9473161814585</v>
      </c>
      <c r="Z18" s="32">
        <f>'Intermediate calculations'!AJ8/1000</f>
        <v>1079.6678854556774</v>
      </c>
      <c r="AA18" s="32">
        <f>'Intermediate calculations'!AK8/1000</f>
        <v>1095.6514754783148</v>
      </c>
      <c r="AB18" s="32">
        <f>'Intermediate calculations'!AL8/1000</f>
        <v>1118.1953651632493</v>
      </c>
      <c r="AC18" s="32">
        <f>'Intermediate calculations'!AM8/1000</f>
        <v>1147.2333998819383</v>
      </c>
      <c r="AD18" s="32">
        <f>'Intermediate calculations'!AN8/1000</f>
        <v>1179.6103999905661</v>
      </c>
      <c r="AE18" s="32">
        <f>'Intermediate calculations'!AO8/1000</f>
        <v>1216.3097423113277</v>
      </c>
      <c r="AF18" s="32">
        <f>'Intermediate calculations'!AP8/1000</f>
        <v>1260.2248167738899</v>
      </c>
      <c r="AG18" s="32">
        <f>'Intermediate calculations'!AQ8/1000</f>
        <v>1311.1672467169758</v>
      </c>
      <c r="AH18" s="32">
        <f>'Intermediate calculations'!AR8/1000</f>
        <v>1366.6675625928001</v>
      </c>
      <c r="AI18" s="32">
        <f>'Intermediate calculations'!AS8/1000</f>
        <v>1426.6856791488958</v>
      </c>
      <c r="AJ18" s="32">
        <f>'Intermediate calculations'!AT8/1000</f>
        <v>1489.8330537439074</v>
      </c>
      <c r="AK18" s="32">
        <f>'Intermediate calculations'!AU8/1000</f>
        <v>1556.8315422954406</v>
      </c>
      <c r="AL18" s="32">
        <f>'Intermediate calculations'!AV8/1000</f>
        <v>1627.0484507035119</v>
      </c>
      <c r="AM18" s="32">
        <f>'Intermediate calculations'!AW8/1000</f>
        <v>1697.933708219284</v>
      </c>
      <c r="AN18" s="32">
        <f>'Intermediate calculations'!AX8/1000</f>
        <v>1773.258459906694</v>
      </c>
      <c r="AO18" s="32">
        <f>'Intermediate calculations'!AY8/1000</f>
        <v>1850.6449242461965</v>
      </c>
      <c r="AP18" s="32">
        <f>'Intermediate calculations'!AZ8/1000</f>
        <v>1929.9201982294478</v>
      </c>
      <c r="AQ18" s="32">
        <f>'Intermediate calculations'!BA8/1000</f>
        <v>2012.2778197386046</v>
      </c>
      <c r="AR18" s="32">
        <f>'Intermediate calculations'!BB8/1000</f>
        <v>2094.8478055571686</v>
      </c>
      <c r="AS18" s="32">
        <f>'Intermediate calculations'!BC8/1000</f>
        <v>2181.663015841882</v>
      </c>
      <c r="AT18" s="32">
        <f>'Intermediate calculations'!BD8/1000</f>
        <v>2274.2787859483806</v>
      </c>
      <c r="AU18" s="32">
        <f>'Intermediate calculations'!BE8/1000</f>
        <v>2370.2927365029236</v>
      </c>
      <c r="AV18" s="32">
        <f>'Intermediate calculations'!BF8/1000</f>
        <v>2469.9198370425393</v>
      </c>
      <c r="AW18" s="32">
        <f>'Intermediate calculations'!BG8/1000</f>
        <v>2576.0732396956528</v>
      </c>
      <c r="AX18" s="32">
        <f>'Intermediate calculations'!BH8/1000</f>
        <v>2687.9739118834841</v>
      </c>
      <c r="AY18" s="32">
        <f>'Intermediate calculations'!BI8/1000</f>
        <v>2805.1186924876888</v>
      </c>
      <c r="AZ18" s="32">
        <f>'Intermediate calculations'!BJ8/1000</f>
        <v>2929.5028323263728</v>
      </c>
      <c r="BA18" s="32">
        <f>'Intermediate calculations'!BK8/1000</f>
        <v>3050.3585460871404</v>
      </c>
    </row>
    <row r="19" spans="1:53" x14ac:dyDescent="0.25">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920.44626243808511</v>
      </c>
      <c r="P19" s="32">
        <f>'Intermediate calculations'!Z5/1000</f>
        <v>941.69158339834871</v>
      </c>
      <c r="Q19" s="32">
        <f>'Intermediate calculations'!AA5/1000</f>
        <v>967.64007013586524</v>
      </c>
      <c r="R19" s="32">
        <f>'Intermediate calculations'!AB5/1000</f>
        <v>985.2059561567097</v>
      </c>
      <c r="S19" s="32">
        <f>'Intermediate calculations'!AC5/1000</f>
        <v>997.18214033234688</v>
      </c>
      <c r="T19" s="32">
        <f>'Intermediate calculations'!AD5/1000</f>
        <v>1003.4285497078974</v>
      </c>
      <c r="U19" s="32">
        <f>'Intermediate calculations'!AE5/1000</f>
        <v>1014.0635244529055</v>
      </c>
      <c r="V19" s="32">
        <f>'Intermediate calculations'!AF5/1000</f>
        <v>1025.3556611865474</v>
      </c>
      <c r="W19" s="32">
        <f>'Intermediate calculations'!AG5/1000</f>
        <v>955.06877928575716</v>
      </c>
      <c r="X19" s="32">
        <f>'Intermediate calculations'!AH5/1000</f>
        <v>1013.9891402052071</v>
      </c>
      <c r="Y19" s="32">
        <f>'Intermediate calculations'!AI5/1000</f>
        <v>1047.3650270307051</v>
      </c>
      <c r="Z19" s="32">
        <f>'Intermediate calculations'!AJ5/1000</f>
        <v>1060.2487984417317</v>
      </c>
      <c r="AA19" s="32">
        <f>'Intermediate calculations'!AK5/1000</f>
        <v>1074.237993855518</v>
      </c>
      <c r="AB19" s="32">
        <f>'Intermediate calculations'!AL5/1000</f>
        <v>1093.9689102355512</v>
      </c>
      <c r="AC19" s="32">
        <f>'Intermediate calculations'!AM5/1000</f>
        <v>1119.3836475715768</v>
      </c>
      <c r="AD19" s="32">
        <f>'Intermediate calculations'!AN5/1000</f>
        <v>1147.720722083016</v>
      </c>
      <c r="AE19" s="32">
        <f>'Intermediate calculations'!AO5/1000</f>
        <v>1179.8408071549843</v>
      </c>
      <c r="AF19" s="32">
        <f>'Intermediate calculations'!AP5/1000</f>
        <v>1218.2762623560795</v>
      </c>
      <c r="AG19" s="32">
        <f>'Intermediate calculations'!AQ5/1000</f>
        <v>1262.8622162198633</v>
      </c>
      <c r="AH19" s="32">
        <f>'Intermediate calculations'!AR5/1000</f>
        <v>1311.4373337756915</v>
      </c>
      <c r="AI19" s="32">
        <f>'Intermediate calculations'!AS5/1000</f>
        <v>1363.9665315142161</v>
      </c>
      <c r="AJ19" s="32">
        <f>'Intermediate calculations'!AT5/1000</f>
        <v>1419.2345258650507</v>
      </c>
      <c r="AK19" s="32">
        <f>'Intermediate calculations'!AU5/1000</f>
        <v>1477.8731012694682</v>
      </c>
      <c r="AL19" s="32">
        <f>'Intermediate calculations'!AV5/1000</f>
        <v>1539.3285097028211</v>
      </c>
      <c r="AM19" s="32">
        <f>'Intermediate calculations'!AW5/1000</f>
        <v>1601.3688722208954</v>
      </c>
      <c r="AN19" s="32">
        <f>'Intermediate calculations'!AX5/1000</f>
        <v>1667.294779314215</v>
      </c>
      <c r="AO19" s="32">
        <f>'Intermediate calculations'!AY5/1000</f>
        <v>1735.0251434247853</v>
      </c>
      <c r="AP19" s="32">
        <f>'Intermediate calculations'!AZ5/1000</f>
        <v>1804.4086359732355</v>
      </c>
      <c r="AQ19" s="32">
        <f>'Intermediate calculations'!BA5/1000</f>
        <v>1876.4898680039942</v>
      </c>
      <c r="AR19" s="32">
        <f>'Intermediate calculations'!BB5/1000</f>
        <v>1948.7569660272488</v>
      </c>
      <c r="AS19" s="32">
        <f>'Intermediate calculations'!BC5/1000</f>
        <v>2024.7395794352356</v>
      </c>
      <c r="AT19" s="32">
        <f>'Intermediate calculations'!BD5/1000</f>
        <v>2105.7989725117054</v>
      </c>
      <c r="AU19" s="32">
        <f>'Intermediate calculations'!BE5/1000</f>
        <v>2189.8325291066144</v>
      </c>
      <c r="AV19" s="32">
        <f>'Intermediate calculations'!BF5/1000</f>
        <v>2277.0283953659296</v>
      </c>
      <c r="AW19" s="32">
        <f>'Intermediate calculations'!BG5/1000</f>
        <v>2369.9362271765276</v>
      </c>
      <c r="AX19" s="32">
        <f>'Intermediate calculations'!BH5/1000</f>
        <v>2467.8741978046874</v>
      </c>
      <c r="AY19" s="32">
        <f>'Intermediate calculations'!BI5/1000</f>
        <v>2570.4019293879164</v>
      </c>
      <c r="AZ19" s="32">
        <f>'Intermediate calculations'!BJ5/1000</f>
        <v>2679.2657100601355</v>
      </c>
      <c r="BA19" s="32">
        <f>'Intermediate calculations'!BK5/1000</f>
        <v>2785.0413333260922</v>
      </c>
    </row>
    <row r="20" spans="1:53" x14ac:dyDescent="0.25">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5">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5">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5">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5">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215.15729984140495</v>
      </c>
      <c r="Q24" s="32">
        <f>'Intermediate calculations'!AA32/1000</f>
        <v>221.26625183821378</v>
      </c>
      <c r="R24" s="32">
        <f>'Intermediate calculations'!AB32/1000</f>
        <v>225.16453122577877</v>
      </c>
      <c r="S24" s="32">
        <f>'Intermediate calculations'!AC32/1000</f>
        <v>227.57954482450731</v>
      </c>
      <c r="T24" s="32">
        <f>'Intermediate calculations'!AD32/1000</f>
        <v>228.47375642089816</v>
      </c>
      <c r="U24" s="32">
        <f>'Intermediate calculations'!AE32/1000</f>
        <v>230.50265811419084</v>
      </c>
      <c r="V24" s="32">
        <f>'Intermediate calculations'!AF32/1000</f>
        <v>232.69090070904014</v>
      </c>
      <c r="W24" s="32">
        <f>'Intermediate calculations'!AG32/1000</f>
        <v>214.00458336859714</v>
      </c>
      <c r="X24" s="32">
        <f>'Intermediate calculations'!AH32/1000</f>
        <v>228.88963807559961</v>
      </c>
      <c r="Y24" s="32">
        <f>'Intermediate calculations'!AI32/1000</f>
        <v>237.18515677797598</v>
      </c>
      <c r="Z24" s="32">
        <f>'Intermediate calculations'!AJ32/1000</f>
        <v>240.12103609538198</v>
      </c>
      <c r="AA24" s="32">
        <f>'Intermediate calculations'!AK32/1000</f>
        <v>243.27586309167933</v>
      </c>
      <c r="AB24" s="32">
        <f>'Intermediate calculations'!AL32/1000</f>
        <v>247.88968769691706</v>
      </c>
      <c r="AC24" s="32">
        <f>'Intermediate calculations'!AM32/1000</f>
        <v>254.00283414480216</v>
      </c>
      <c r="AD24" s="32">
        <f>'Intermediate calculations'!AN32/1000</f>
        <v>260.8928317633156</v>
      </c>
      <c r="AE24" s="32">
        <f>'Intermediate calculations'!AO32/1000</f>
        <v>268.78430827255687</v>
      </c>
      <c r="AF24" s="32">
        <f>'Intermediate calculations'!AP32/1000</f>
        <v>278.33610623105011</v>
      </c>
      <c r="AG24" s="32">
        <f>'Intermediate calculations'!AQ32/1000</f>
        <v>289.50305180743254</v>
      </c>
      <c r="AH24" s="32">
        <f>'Intermediate calculations'!AR32/1000</f>
        <v>301.72117189978508</v>
      </c>
      <c r="AI24" s="32">
        <f>'Intermediate calculations'!AS32/1000</f>
        <v>314.97932280163093</v>
      </c>
      <c r="AJ24" s="32">
        <f>'Intermediate calculations'!AT32/1000</f>
        <v>328.95998431180311</v>
      </c>
      <c r="AK24" s="32">
        <f>'Intermediate calculations'!AU32/1000</f>
        <v>343.82886077729194</v>
      </c>
      <c r="AL24" s="32">
        <f>'Intermediate calculations'!AV32/1000</f>
        <v>359.44050054643884</v>
      </c>
      <c r="AM24" s="32">
        <f>'Intermediate calculations'!AW32/1000</f>
        <v>375.21134386227038</v>
      </c>
      <c r="AN24" s="32">
        <f>'Intermediate calculations'!AX32/1000</f>
        <v>392.00323411715522</v>
      </c>
      <c r="AO24" s="32">
        <f>'Intermediate calculations'!AY32/1000</f>
        <v>409.27553982968976</v>
      </c>
      <c r="AP24" s="32">
        <f>'Intermediate calculations'!AZ32/1000</f>
        <v>426.98867924009625</v>
      </c>
      <c r="AQ24" s="32">
        <f>'Intermediate calculations'!BA32/1000</f>
        <v>445.4145025056265</v>
      </c>
      <c r="AR24" s="32">
        <f>'Intermediate calculations'!BB32/1000</f>
        <v>463.8972694418859</v>
      </c>
      <c r="AS24" s="32">
        <f>'Intermediate calculations'!BC32/1000</f>
        <v>483.3589796814581</v>
      </c>
      <c r="AT24" s="32">
        <f>'Intermediate calculations'!BD32/1000</f>
        <v>504.15562481061045</v>
      </c>
      <c r="AU24" s="32">
        <f>'Intermediate calculations'!BE32/1000</f>
        <v>525.73893206895582</v>
      </c>
      <c r="AV24" s="32">
        <f>'Intermediate calculations'!BF32/1000</f>
        <v>548.15914151304617</v>
      </c>
      <c r="AW24" s="32">
        <f>'Intermediate calculations'!BG32/1000</f>
        <v>572.08248859794446</v>
      </c>
      <c r="AX24" s="32">
        <f>'Intermediate calculations'!BH32/1000</f>
        <v>597.33127248180688</v>
      </c>
      <c r="AY24" s="32">
        <f>'Intermediate calculations'!BI32/1000</f>
        <v>623.79039853765221</v>
      </c>
      <c r="AZ24" s="32">
        <f>'Intermediate calculations'!BJ32/1000</f>
        <v>651.91509964646741</v>
      </c>
      <c r="BA24" s="32">
        <f>'Intermediate calculations'!BK32/1000</f>
        <v>679.24889234800344</v>
      </c>
    </row>
    <row r="25" spans="1:53" x14ac:dyDescent="0.25">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238.58845125065105</v>
      </c>
      <c r="Q25" s="32">
        <f>'Intermediate calculations'!AA29/1000</f>
        <v>245.79232692559358</v>
      </c>
      <c r="R25" s="32">
        <f>'Intermediate calculations'!AB29/1000</f>
        <v>250.38930527292374</v>
      </c>
      <c r="S25" s="32">
        <f>'Intermediate calculations'!AC29/1000</f>
        <v>253.23716816783994</v>
      </c>
      <c r="T25" s="32">
        <f>'Intermediate calculations'!AD29/1000</f>
        <v>254.29165168168265</v>
      </c>
      <c r="U25" s="32">
        <f>'Intermediate calculations'!AE29/1000</f>
        <v>256.68419880969998</v>
      </c>
      <c r="V25" s="32">
        <f>'Intermediate calculations'!AF29/1000</f>
        <v>259.26464593191389</v>
      </c>
      <c r="W25" s="32">
        <f>'Intermediate calculations'!AG29/1000</f>
        <v>237.22913034537896</v>
      </c>
      <c r="X25" s="32">
        <f>'Intermediate calculations'!AH29/1000</f>
        <v>254.78207290900994</v>
      </c>
      <c r="Y25" s="32">
        <f>'Intermediate calculations'!AI29/1000</f>
        <v>264.56441944280124</v>
      </c>
      <c r="Z25" s="32">
        <f>'Intermediate calculations'!AJ29/1000</f>
        <v>268.02650420141055</v>
      </c>
      <c r="AA25" s="32">
        <f>'Intermediate calculations'!AK29/1000</f>
        <v>271.74677921243546</v>
      </c>
      <c r="AB25" s="32">
        <f>'Intermediate calculations'!AL29/1000</f>
        <v>277.18755184569341</v>
      </c>
      <c r="AC25" s="32">
        <f>'Intermediate calculations'!AM29/1000</f>
        <v>284.39637375430965</v>
      </c>
      <c r="AD25" s="32">
        <f>'Intermediate calculations'!AN29/1000</f>
        <v>292.52128393044939</v>
      </c>
      <c r="AE25" s="32">
        <f>'Intermediate calculations'!AO29/1000</f>
        <v>301.8271707165955</v>
      </c>
      <c r="AF25" s="32">
        <f>'Intermediate calculations'!AP29/1000</f>
        <v>313.09096277145198</v>
      </c>
      <c r="AG25" s="32">
        <f>'Intermediate calculations'!AQ29/1000</f>
        <v>326.25938963798018</v>
      </c>
      <c r="AH25" s="32">
        <f>'Intermediate calculations'!AR29/1000</f>
        <v>340.66739581854995</v>
      </c>
      <c r="AI25" s="32">
        <f>'Intermediate calculations'!AS29/1000</f>
        <v>356.30184029059967</v>
      </c>
      <c r="AJ25" s="32">
        <f>'Intermediate calculations'!AT29/1000</f>
        <v>372.78829286468209</v>
      </c>
      <c r="AK25" s="32">
        <f>'Intermediate calculations'!AU29/1000</f>
        <v>390.32215751763971</v>
      </c>
      <c r="AL25" s="32">
        <f>'Intermediate calculations'!AV29/1000</f>
        <v>408.73191291229193</v>
      </c>
      <c r="AM25" s="32">
        <f>'Intermediate calculations'!AW29/1000</f>
        <v>427.32940632779054</v>
      </c>
      <c r="AN25" s="32">
        <f>'Intermediate calculations'!AX29/1000</f>
        <v>447.13095163485133</v>
      </c>
      <c r="AO25" s="32">
        <f>'Intermediate calculations'!AY29/1000</f>
        <v>467.49901853694797</v>
      </c>
      <c r="AP25" s="32">
        <f>'Intermediate calculations'!AZ29/1000</f>
        <v>488.38693093045686</v>
      </c>
      <c r="AQ25" s="32">
        <f>'Intermediate calculations'!BA29/1000</f>
        <v>510.11526339774144</v>
      </c>
      <c r="AR25" s="32">
        <f>'Intermediate calculations'!BB29/1000</f>
        <v>531.9107457009751</v>
      </c>
      <c r="AS25" s="32">
        <f>'Intermediate calculations'!BC29/1000</f>
        <v>554.8606299136635</v>
      </c>
      <c r="AT25" s="32">
        <f>'Intermediate calculations'!BD29/1000</f>
        <v>579.38471293880002</v>
      </c>
      <c r="AU25" s="32">
        <f>'Intermediate calculations'!BE29/1000</f>
        <v>604.83645363416417</v>
      </c>
      <c r="AV25" s="32">
        <f>'Intermediate calculations'!BF29/1000</f>
        <v>631.2750967149691</v>
      </c>
      <c r="AW25" s="32">
        <f>'Intermediate calculations'!BG29/1000</f>
        <v>659.48628878492389</v>
      </c>
      <c r="AX25" s="32">
        <f>'Intermediate calculations'!BH29/1000</f>
        <v>689.26047920872372</v>
      </c>
      <c r="AY25" s="32">
        <f>'Intermediate calculations'!BI29/1000</f>
        <v>720.4619446439591</v>
      </c>
      <c r="AZ25" s="32">
        <f>'Intermediate calculations'!BJ29/1000</f>
        <v>753.627510568959</v>
      </c>
      <c r="BA25" s="32">
        <f>'Intermediate calculations'!BK29/1000</f>
        <v>785.86041147395531</v>
      </c>
    </row>
    <row r="26" spans="1:53" x14ac:dyDescent="0.25">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5">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5">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5">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5">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5">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2896.0855151347182</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3100.7243936023351</v>
      </c>
      <c r="W31" s="34">
        <f>'Intermediate calculations'!AG15/1000</f>
        <v>3029.696958420152</v>
      </c>
      <c r="X31" s="34">
        <f>'Intermediate calculations'!AH15/1000</f>
        <v>3109.1140655085592</v>
      </c>
      <c r="Y31" s="34">
        <f>'Intermediate calculations'!AI15/1000</f>
        <v>3157.5747420427224</v>
      </c>
      <c r="Z31" s="34">
        <f>'Intermediate calculations'!AJ15/1000</f>
        <v>3183.0742876605213</v>
      </c>
      <c r="AA31" s="34">
        <f>'Intermediate calculations'!AK15/1000</f>
        <v>3211.601980978447</v>
      </c>
      <c r="AB31" s="34">
        <f>'Intermediate calculations'!AL15/1000</f>
        <v>3247.6528718574791</v>
      </c>
      <c r="AC31" s="34">
        <f>'Intermediate calculations'!AM15/1000</f>
        <v>3289.7475379625166</v>
      </c>
      <c r="AD31" s="34">
        <f>'Intermediate calculations'!AN15/1000</f>
        <v>3334.7972447573065</v>
      </c>
      <c r="AE31" s="34">
        <f>'Intermediate calculations'!AO15/1000</f>
        <v>3383.7785630245348</v>
      </c>
      <c r="AF31" s="34">
        <f>'Intermediate calculations'!AP15/1000</f>
        <v>3439.6178928336658</v>
      </c>
      <c r="AG31" s="34">
        <f>'Intermediate calculations'!AQ15/1000</f>
        <v>3502.182835750375</v>
      </c>
      <c r="AH31" s="34">
        <f>'Intermediate calculations'!AR15/1000</f>
        <v>3569.0180770323368</v>
      </c>
      <c r="AI31" s="34">
        <f>'Intermediate calculations'!AS15/1000</f>
        <v>3640.1344876552243</v>
      </c>
      <c r="AJ31" s="34">
        <f>'Intermediate calculations'!AT15/1000</f>
        <v>3714.1618705158767</v>
      </c>
      <c r="AK31" s="34">
        <f>'Intermediate calculations'!AU15/1000</f>
        <v>3791.796313897486</v>
      </c>
      <c r="AL31" s="34">
        <f>'Intermediate calculations'!AV15/1000</f>
        <v>3872.4331835462376</v>
      </c>
      <c r="AM31" s="34">
        <f>'Intermediate calculations'!AW15/1000</f>
        <v>3953.5670949442506</v>
      </c>
      <c r="AN31" s="34">
        <f>'Intermediate calculations'!AX15/1000</f>
        <v>4038.932379746127</v>
      </c>
      <c r="AO31" s="34">
        <f>'Intermediate calculations'!AY15/1000</f>
        <v>4126.1036277900439</v>
      </c>
      <c r="AP31" s="34">
        <f>'Intermediate calculations'!AZ15/1000</f>
        <v>4214.911336461304</v>
      </c>
      <c r="AQ31" s="34">
        <f>'Intermediate calculations'!BA15/1000</f>
        <v>4306.5607658895042</v>
      </c>
      <c r="AR31" s="34">
        <f>'Intermediate calculations'!BB15/1000</f>
        <v>4398.2059951715119</v>
      </c>
      <c r="AS31" s="34">
        <f>'Intermediate calculations'!BC15/1000</f>
        <v>4493.8317217814592</v>
      </c>
      <c r="AT31" s="34">
        <f>'Intermediate calculations'!BD15/1000</f>
        <v>4594.9642999311936</v>
      </c>
      <c r="AU31" s="34">
        <f>'Intermediate calculations'!BE15/1000</f>
        <v>4699.2054703429139</v>
      </c>
      <c r="AV31" s="34">
        <f>'Intermediate calculations'!BF15/1000</f>
        <v>4806.7397527664198</v>
      </c>
      <c r="AW31" s="34">
        <f>'Intermediate calculations'!BG15/1000</f>
        <v>4920.4397592407913</v>
      </c>
      <c r="AX31" s="34">
        <f>'Intermediate calculations'!BH15/1000</f>
        <v>5039.5254843360744</v>
      </c>
      <c r="AY31" s="34">
        <f>'Intermediate calculations'!BI15/1000</f>
        <v>5163.5013326379576</v>
      </c>
      <c r="AZ31" s="34">
        <f>'Intermediate calculations'!BJ15/1000</f>
        <v>5294.3623133548108</v>
      </c>
      <c r="BA31" s="34">
        <f>'Intermediate calculations'!BK15/1000</f>
        <v>5421.33492429337</v>
      </c>
    </row>
    <row r="32" spans="1:53" x14ac:dyDescent="0.25">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1989.2140809840125</v>
      </c>
      <c r="Q32" s="34">
        <f>'Intermediate calculations'!AA12/1000</f>
        <v>2031.5845891224521</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2176.2436654550011</v>
      </c>
      <c r="W32" s="34">
        <f>'Intermediate calculations'!AG12/1000</f>
        <v>2111.3281822015783</v>
      </c>
      <c r="X32" s="34">
        <f>'Intermediate calculations'!AH12/1000</f>
        <v>2183.911401235313</v>
      </c>
      <c r="Y32" s="34">
        <f>'Intermediate calculations'!AI12/1000</f>
        <v>2228.2020084905803</v>
      </c>
      <c r="Z32" s="34">
        <f>'Intermediate calculations'!AJ12/1000</f>
        <v>2251.5073034414158</v>
      </c>
      <c r="AA32" s="34">
        <f>'Intermediate calculations'!AK12/1000</f>
        <v>2277.580172229209</v>
      </c>
      <c r="AB32" s="34">
        <f>'Intermediate calculations'!AL12/1000</f>
        <v>2310.5288630713621</v>
      </c>
      <c r="AC32" s="34">
        <f>'Intermediate calculations'!AM12/1000</f>
        <v>2349.0012587814281</v>
      </c>
      <c r="AD32" s="34">
        <f>'Intermediate calculations'!AN12/1000</f>
        <v>2390.1744122186556</v>
      </c>
      <c r="AE32" s="34">
        <f>'Intermediate calculations'!AO12/1000</f>
        <v>2434.9408596843587</v>
      </c>
      <c r="AF32" s="34">
        <f>'Intermediate calculations'!AP12/1000</f>
        <v>2485.975182827372</v>
      </c>
      <c r="AG32" s="34">
        <f>'Intermediate calculations'!AQ12/1000</f>
        <v>2543.1563761753159</v>
      </c>
      <c r="AH32" s="34">
        <f>'Intermediate calculations'!AR12/1000</f>
        <v>2604.2404062412929</v>
      </c>
      <c r="AI32" s="34">
        <f>'Intermediate calculations'!AS12/1000</f>
        <v>2669.2372085472225</v>
      </c>
      <c r="AJ32" s="34">
        <f>'Intermediate calculations'!AT12/1000</f>
        <v>2736.8944922441392</v>
      </c>
      <c r="AK32" s="34">
        <f>'Intermediate calculations'!AU12/1000</f>
        <v>2807.8484468153706</v>
      </c>
      <c r="AL32" s="34">
        <f>'Intermediate calculations'!AV12/1000</f>
        <v>2881.5464671347786</v>
      </c>
      <c r="AM32" s="34">
        <f>'Intermediate calculations'!AW12/1000</f>
        <v>2955.6987584730923</v>
      </c>
      <c r="AN32" s="34">
        <f>'Intermediate calculations'!AX12/1000</f>
        <v>3033.7183110835163</v>
      </c>
      <c r="AO32" s="34">
        <f>'Intermediate calculations'!AY12/1000</f>
        <v>3113.388422753188</v>
      </c>
      <c r="AP32" s="34">
        <f>'Intermediate calculations'!AZ12/1000</f>
        <v>3194.5541766655588</v>
      </c>
      <c r="AQ32" s="34">
        <f>'Intermediate calculations'!BA12/1000</f>
        <v>3278.317119618122</v>
      </c>
      <c r="AR32" s="34">
        <f>'Intermediate calculations'!BB12/1000</f>
        <v>3362.0762238495054</v>
      </c>
      <c r="AS32" s="34">
        <f>'Intermediate calculations'!BC12/1000</f>
        <v>3449.4733013086893</v>
      </c>
      <c r="AT32" s="34">
        <f>'Intermediate calculations'!BD12/1000</f>
        <v>3541.9033625436946</v>
      </c>
      <c r="AU32" s="34">
        <f>'Intermediate calculations'!BE12/1000</f>
        <v>3637.1745198763842</v>
      </c>
      <c r="AV32" s="34">
        <f>'Intermediate calculations'!BF12/1000</f>
        <v>3735.4554150252357</v>
      </c>
      <c r="AW32" s="34">
        <f>'Intermediate calculations'!BG12/1000</f>
        <v>3839.3714700998603</v>
      </c>
      <c r="AX32" s="34">
        <f>'Intermediate calculations'!BH12/1000</f>
        <v>3948.2097995892473</v>
      </c>
      <c r="AY32" s="34">
        <f>'Intermediate calculations'!BI12/1000</f>
        <v>4061.5174543514818</v>
      </c>
      <c r="AZ32" s="34">
        <f>'Intermediate calculations'!BJ12/1000</f>
        <v>4181.1177718972613</v>
      </c>
      <c r="BA32" s="34">
        <f>'Intermediate calculations'!BK12/1000</f>
        <v>4297.1643161358879</v>
      </c>
    </row>
    <row r="33" spans="1:53" x14ac:dyDescent="0.25">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5">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5">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5">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5">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164.54325277273026</v>
      </c>
      <c r="X37">
        <f>'Intermediate calculations'!AH27/1000</f>
        <v>165.68350681876433</v>
      </c>
      <c r="Y37">
        <f>'Intermediate calculations'!AI27/1000</f>
        <v>166.63344605258959</v>
      </c>
      <c r="Z37">
        <f>'Intermediate calculations'!AJ27/1000</f>
        <v>167.59457812653326</v>
      </c>
      <c r="AA37">
        <f>'Intermediate calculations'!AK27/1000</f>
        <v>168.71170962644038</v>
      </c>
      <c r="AB37">
        <f>'Intermediate calculations'!AL27/1000</f>
        <v>169.92106337344669</v>
      </c>
      <c r="AC37">
        <f>'Intermediate calculations'!AM27/1000</f>
        <v>171.09888329462041</v>
      </c>
      <c r="AD37">
        <f>'Intermediate calculations'!AN27/1000</f>
        <v>172.24715637629978</v>
      </c>
      <c r="AE37">
        <f>'Intermediate calculations'!AO27/1000</f>
        <v>173.36647998775408</v>
      </c>
      <c r="AF37">
        <f>'Intermediate calculations'!AP27/1000</f>
        <v>174.46325293849503</v>
      </c>
      <c r="AG37">
        <f>'Intermediate calculations'!AQ27/1000</f>
        <v>175.54214538688302</v>
      </c>
      <c r="AH37">
        <f>'Intermediate calculations'!AR27/1000</f>
        <v>176.60140022609249</v>
      </c>
      <c r="AI37">
        <f>'Intermediate calculations'!AS27/1000</f>
        <v>177.64542803425243</v>
      </c>
      <c r="AJ37">
        <f>'Intermediate calculations'!AT27/1000</f>
        <v>178.67414974875214</v>
      </c>
      <c r="AK37">
        <f>'Intermediate calculations'!AU27/1000</f>
        <v>179.68618613915027</v>
      </c>
      <c r="AL37">
        <f>'Intermediate calculations'!AV27/1000</f>
        <v>180.68322519395082</v>
      </c>
      <c r="AM37">
        <f>'Intermediate calculations'!AW27/1000</f>
        <v>181.66608384763404</v>
      </c>
      <c r="AN37">
        <f>'Intermediate calculations'!AX27/1000</f>
        <v>182.63611544933079</v>
      </c>
      <c r="AO37">
        <f>'Intermediate calculations'!AY27/1000</f>
        <v>183.58626741943172</v>
      </c>
      <c r="AP37">
        <f>'Intermediate calculations'!AZ27/1000</f>
        <v>184.51662757341765</v>
      </c>
      <c r="AQ37">
        <f>'Intermediate calculations'!BA27/1000</f>
        <v>185.42966965479962</v>
      </c>
      <c r="AR37">
        <f>'Intermediate calculations'!BB27/1000</f>
        <v>186.32401769070725</v>
      </c>
      <c r="AS37">
        <f>'Intermediate calculations'!BC27/1000</f>
        <v>187.20034934515505</v>
      </c>
      <c r="AT37">
        <f>'Intermediate calculations'!BD27/1000</f>
        <v>188.058015295362</v>
      </c>
      <c r="AU37">
        <f>'Intermediate calculations'!BE27/1000</f>
        <v>188.89446168114557</v>
      </c>
      <c r="AV37">
        <f>'Intermediate calculations'!BF27/1000</f>
        <v>189.70728461242425</v>
      </c>
      <c r="AW37">
        <f>'Intermediate calculations'!BG27/1000</f>
        <v>190.49647045275947</v>
      </c>
      <c r="AX37">
        <f>'Intermediate calculations'!BH27/1000</f>
        <v>191.26098899524854</v>
      </c>
      <c r="AY37">
        <f>'Intermediate calculations'!BI27/1000</f>
        <v>192.00089191605073</v>
      </c>
      <c r="AZ37">
        <f>'Intermediate calculations'!BJ27/1000</f>
        <v>192.71857858161138</v>
      </c>
      <c r="BA37">
        <f>'Intermediate calculations'!BK27/1000</f>
        <v>193.40048592066637</v>
      </c>
    </row>
    <row r="38" spans="1:53" x14ac:dyDescent="0.25">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189.19028187789527</v>
      </c>
      <c r="X38">
        <f>'Intermediate calculations'!AH19/1000</f>
        <v>191.18793711403208</v>
      </c>
      <c r="Y38">
        <f>'Intermediate calculations'!AI19/1000</f>
        <v>192.85217245795658</v>
      </c>
      <c r="Z38">
        <f>'Intermediate calculations'!AJ19/1000</f>
        <v>194.53601697208975</v>
      </c>
      <c r="AA38">
        <f>'Intermediate calculations'!AK19/1000</f>
        <v>196.49316292391052</v>
      </c>
      <c r="AB38">
        <f>'Intermediate calculations'!AL19/1000</f>
        <v>198.6118766030695</v>
      </c>
      <c r="AC38">
        <f>'Intermediate calculations'!AM19/1000</f>
        <v>200.67534495114728</v>
      </c>
      <c r="AD38">
        <f>'Intermediate calculations'!AN19/1000</f>
        <v>202.68704904648467</v>
      </c>
      <c r="AE38">
        <f>'Intermediate calculations'!AO19/1000</f>
        <v>204.64803544344622</v>
      </c>
      <c r="AF38">
        <f>'Intermediate calculations'!AP19/1000</f>
        <v>206.56951446430239</v>
      </c>
      <c r="AG38">
        <f>'Intermediate calculations'!AQ19/1000</f>
        <v>208.45966794040447</v>
      </c>
      <c r="AH38">
        <f>'Intermediate calculations'!AR19/1000</f>
        <v>210.31541752823514</v>
      </c>
      <c r="AI38">
        <f>'Intermediate calculations'!AS19/1000</f>
        <v>212.14449029048239</v>
      </c>
      <c r="AJ38">
        <f>'Intermediate calculations'!AT19/1000</f>
        <v>213.94674771429567</v>
      </c>
      <c r="AK38">
        <f>'Intermediate calculations'!AU19/1000</f>
        <v>215.7197734724339</v>
      </c>
      <c r="AL38">
        <f>'Intermediate calculations'!AV19/1000</f>
        <v>217.46652481734924</v>
      </c>
      <c r="AM38">
        <f>'Intermediate calculations'!AW19/1000</f>
        <v>219.18843296820532</v>
      </c>
      <c r="AN38">
        <f>'Intermediate calculations'!AX19/1000</f>
        <v>220.88786890977252</v>
      </c>
      <c r="AO38">
        <f>'Intermediate calculations'!AY19/1000</f>
        <v>222.55247695461961</v>
      </c>
      <c r="AP38">
        <f>'Intermediate calculations'!AZ19/1000</f>
        <v>224.18241095008952</v>
      </c>
      <c r="AQ38">
        <f>'Intermediate calculations'!BA19/1000</f>
        <v>225.78200474327079</v>
      </c>
      <c r="AR38">
        <f>'Intermediate calculations'!BB19/1000</f>
        <v>227.34884771398731</v>
      </c>
      <c r="AS38">
        <f>'Intermediate calculations'!BC19/1000</f>
        <v>228.88412708807849</v>
      </c>
      <c r="AT38">
        <f>'Intermediate calculations'!BD19/1000</f>
        <v>230.38670529180962</v>
      </c>
      <c r="AU38">
        <f>'Intermediate calculations'!BE19/1000</f>
        <v>231.85210811859193</v>
      </c>
      <c r="AV38">
        <f>'Intermediate calculations'!BF19/1000</f>
        <v>233.27612410026589</v>
      </c>
      <c r="AW38">
        <f>'Intermediate calculations'!BG19/1000</f>
        <v>234.65872934662656</v>
      </c>
      <c r="AX38">
        <f>'Intermediate calculations'!BH19/1000</f>
        <v>235.99811899829135</v>
      </c>
      <c r="AY38">
        <f>'Intermediate calculations'!BI19/1000</f>
        <v>237.29438358872568</v>
      </c>
      <c r="AZ38">
        <f>'Intermediate calculations'!BJ19/1000</f>
        <v>238.55172666095538</v>
      </c>
      <c r="BA38">
        <f>'Intermediate calculations'!BK19/1000</f>
        <v>239.74638654500595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5546875"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77"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75" x14ac:dyDescent="0.25">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5">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5">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5">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5">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75" x14ac:dyDescent="0.25">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75" x14ac:dyDescent="0.25">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5">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5">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5">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5">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5">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5">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5">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5">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5">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5">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5">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5">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5">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5">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5">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5">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5">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5">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5">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5">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5">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5">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5">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5">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5">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5">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5">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5">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5">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5">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5">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5">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5">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5">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5">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5">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75" x14ac:dyDescent="0.25">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5">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5">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5">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5">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5">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5">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5">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5">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5">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5">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5">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5">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5">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5">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5">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5">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5">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5">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5">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5">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5">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5">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5">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5">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5">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5">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5">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5">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5">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5">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5">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5">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5">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5">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5">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75" x14ac:dyDescent="0.25">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5">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5">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5">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5">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5">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5">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5">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5">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5">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5">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5">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5">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5">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5">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5">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5">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5">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5">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5">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5">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5">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5">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5">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75" x14ac:dyDescent="0.25">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5">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5">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5">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5">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5">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5">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5">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5">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5">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5">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5">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5">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5">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5">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5">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5">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5">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5">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5">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5">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5">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5">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5">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5">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75" x14ac:dyDescent="0.25">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5">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5">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5">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5">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5">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5">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5">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5">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5">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5">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5">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5">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5">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5">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5">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5">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5">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5">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5">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5">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5">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5">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5">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5">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75" x14ac:dyDescent="0.25">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5">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5">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5">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5">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5">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5">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5">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5">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5">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5">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5">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5">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5">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5">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5">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5">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5">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5">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5">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5">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5">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5">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5">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5">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75" x14ac:dyDescent="0.25">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5">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5">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5">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5">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5">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5">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5">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5">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5">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5">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5">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5">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5">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5">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5">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5">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5">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5">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5">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5">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5">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5">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5">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5">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5">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5">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5">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5">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5">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5">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5">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5">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5">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5">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5">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5">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5">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5">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5">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5">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5">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5">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5">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5">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5">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5">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5">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5">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E34" activePane="bottomRight" state="frozen"/>
      <selection activeCell="C1" sqref="C1"/>
      <selection pane="topRight" activeCell="E1" sqref="E1"/>
      <selection pane="bottomLeft" activeCell="C5" sqref="C5"/>
      <selection pane="bottomRight" activeCell="AE5" sqref="AE5"/>
    </sheetView>
  </sheetViews>
  <sheetFormatPr defaultColWidth="8.85546875" defaultRowHeight="15" outlineLevelCol="1" x14ac:dyDescent="0.25"/>
  <cols>
    <col min="1" max="1" width="45.14062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36" width="10.7109375" customWidth="1"/>
    <col min="37" max="37" width="17" customWidth="1"/>
    <col min="3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29604.633101526648</v>
      </c>
      <c r="AU4" s="81">
        <f t="shared" si="0"/>
        <v>28926.379495885223</v>
      </c>
      <c r="AV4" s="81">
        <f t="shared" si="0"/>
        <v>28670.664413493127</v>
      </c>
      <c r="AW4" s="81">
        <f>AW11-AV11</f>
        <v>28127.276113010943</v>
      </c>
      <c r="AX4" s="81">
        <f t="shared" si="0"/>
        <v>27988.312158547342</v>
      </c>
      <c r="AY4" s="81">
        <f t="shared" si="0"/>
        <v>27761.179611247033</v>
      </c>
      <c r="AZ4" s="81">
        <f t="shared" si="0"/>
        <v>27311.607044387609</v>
      </c>
      <c r="BA4" s="15">
        <f>BA8/'Intermediate calculations'!AV8</f>
        <v>3.5308171115186591</v>
      </c>
      <c r="BB4" s="15">
        <f>BB8/'Intermediate calculations'!AW8</f>
        <v>3.433253102298393</v>
      </c>
      <c r="BC4" s="15">
        <f>BC8/'Intermediate calculations'!AX8</f>
        <v>3.3377541092705756</v>
      </c>
      <c r="BD4" s="15">
        <f>BD8/'Intermediate calculations'!AY8</f>
        <v>3.2442330159192263</v>
      </c>
      <c r="BE4" s="15">
        <f>BE8/'Intermediate calculations'!AZ8</f>
        <v>3.1526086459819278</v>
      </c>
      <c r="BF4" s="15">
        <f>BF8/'Intermediate calculations'!BA8</f>
        <v>3.0628052211155765</v>
      </c>
      <c r="BG4" s="15">
        <f>BG8/'Intermediate calculations'!BB8</f>
        <v>2.9899291852606651</v>
      </c>
      <c r="BH4" s="15">
        <f>BH8/'Intermediate calculations'!BC8</f>
        <v>2.9184695640871481</v>
      </c>
      <c r="BI4" s="15">
        <f>BI8/'Intermediate calculations'!BD8</f>
        <v>2.8483729040734156</v>
      </c>
      <c r="BJ4" s="15">
        <f>BJ8/'Intermediate calculations'!BE8</f>
        <v>2.7795890112494352</v>
      </c>
      <c r="BK4" s="15">
        <f>BK8/'Intermediate calculations'!BF8</f>
        <v>2.7120706846423075</v>
      </c>
      <c r="BL4" s="15">
        <f>BL8/'Intermediate calculations'!BG8</f>
        <v>2.6457734767135377</v>
      </c>
      <c r="BM4" s="15">
        <f>BM8/'Intermediate calculations'!BH8</f>
        <v>2.5806554775554118</v>
      </c>
      <c r="BN4" s="15">
        <f>BN8/'Intermediate calculations'!BI8</f>
        <v>2.5166771200581555</v>
      </c>
      <c r="BO4" s="15">
        <f>BO8/'Intermediate calculations'!BJ8</f>
        <v>2.4538010036352187</v>
      </c>
      <c r="BP4" s="15">
        <f>BP8/'Intermediate calculations'!BK8</f>
        <v>2.3919917344128283</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593358.66490468499</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591037.14961379278</v>
      </c>
      <c r="AM5" s="23">
        <f>'Intermediate calculations'!AH15*'Intermediate calculations'!AH16*Constants!$H$18</f>
        <v>602956.03617813659</v>
      </c>
      <c r="AN5" s="23">
        <f>'Intermediate calculations'!AI15*'Intermediate calculations'!AI16*Constants!$H$18</f>
        <v>608872.68170862389</v>
      </c>
      <c r="AO5" s="23">
        <f>'Intermediate calculations'!AJ15*'Intermediate calculations'!AJ16*Constants!$H$18</f>
        <v>610417.86935989198</v>
      </c>
      <c r="AP5" s="23">
        <f>'Intermediate calculations'!AK15*'Intermediate calculations'!AK16*Constants!$H$18</f>
        <v>612614.94471857976</v>
      </c>
      <c r="AQ5" s="23">
        <f>'Intermediate calculations'!AL15*'Intermediate calculations'!AL16*Constants!$H$18</f>
        <v>616301.6537342408</v>
      </c>
      <c r="AR5" s="23">
        <f>'Intermediate calculations'!AM15*'Intermediate calculations'!AM16*Constants!$H$18</f>
        <v>621171.9260892031</v>
      </c>
      <c r="AS5" s="23">
        <f>'Intermediate calculations'!AN15*'Intermediate calculations'!AN16*Constants!$H$18</f>
        <v>626624.7388894558</v>
      </c>
      <c r="AT5" s="23">
        <f>'Intermediate calculations'!AO15*'Intermediate calculations'!AO16*Constants!$H$18</f>
        <v>632831.82517196704</v>
      </c>
      <c r="AU5" s="23">
        <f>'Intermediate calculations'!AP15*'Intermediate calculations'!AP16*Constants!$H$18</f>
        <v>640325.3816612243</v>
      </c>
      <c r="AV5" s="23">
        <f>'Intermediate calculations'!AQ15*'Intermediate calculations'!AQ16*Constants!$H$18</f>
        <v>649061.87713400729</v>
      </c>
      <c r="AW5" s="23">
        <f>'Intermediate calculations'!AR15*'Intermediate calculations'!AR16*Constants!$H$18</f>
        <v>658570.8020478657</v>
      </c>
      <c r="AX5" s="23">
        <f>'Intermediate calculations'!AS15*'Intermediate calculations'!AS16*Constants!$H$18</f>
        <v>668843.56237672991</v>
      </c>
      <c r="AY5" s="23">
        <f>'Intermediate calculations'!AT15*'Intermediate calculations'!AT16*Constants!$H$18</f>
        <v>679619.47621619399</v>
      </c>
      <c r="AZ5" s="23">
        <f>'Intermediate calculations'!AU15*'Intermediate calculations'!AU16*Constants!$H$18</f>
        <v>691019.0701412101</v>
      </c>
      <c r="BA5" s="23">
        <f>'Intermediate calculations'!AV15*'Intermediate calculations'!AV16*Constants!$H$18</f>
        <v>702925.13128206437</v>
      </c>
      <c r="BB5" s="23">
        <f>'Intermediate calculations'!AW15*'Intermediate calculations'!AW16*Constants!$H$18</f>
        <v>714878.86917754635</v>
      </c>
      <c r="BC5" s="23">
        <f>'Intermediate calculations'!AX15*'Intermediate calculations'!AX16*Constants!$H$18</f>
        <v>727552.6518650424</v>
      </c>
      <c r="BD5" s="23">
        <f>'Intermediate calculations'!AY15*'Intermediate calculations'!AY16*Constants!$H$18</f>
        <v>740503.44254802458</v>
      </c>
      <c r="BE5" s="23">
        <f>'Intermediate calculations'!AZ15*'Intermediate calculations'!AZ16*Constants!$H$18</f>
        <v>753698.30318611918</v>
      </c>
      <c r="BF5" s="23">
        <f>'Intermediate calculations'!BA15*'Intermediate calculations'!BA16*Constants!$H$18</f>
        <v>767349.81888702617</v>
      </c>
      <c r="BG5" s="23">
        <f>'Intermediate calculations'!BB15*'Intermediate calculations'!BB16*Constants!$H$18</f>
        <v>780948.35952281742</v>
      </c>
      <c r="BH5" s="23">
        <f>'Intermediate calculations'!BC15*'Intermediate calculations'!BC16*Constants!$H$18</f>
        <v>795200.10820186988</v>
      </c>
      <c r="BI5" s="23">
        <f>'Intermediate calculations'!BD15*'Intermediate calculations'!BD16*Constants!$H$18</f>
        <v>810368.19006591034</v>
      </c>
      <c r="BJ5" s="23">
        <f>'Intermediate calculations'!BE15*'Intermediate calculations'!BE16*Constants!$H$18</f>
        <v>826022.58345255663</v>
      </c>
      <c r="BK5" s="23">
        <f>'Intermediate calculations'!BF15*'Intermediate calculations'!BF16*Constants!$H$18</f>
        <v>842191.6096591925</v>
      </c>
      <c r="BL5" s="23">
        <f>'Intermediate calculations'!BG15*'Intermediate calculations'!BG16*Constants!$H$18</f>
        <v>859372.82823453296</v>
      </c>
      <c r="BM5" s="23">
        <f>'Intermediate calculations'!BH15*'Intermediate calculations'!BH16*Constants!$H$18</f>
        <v>877421.74418922595</v>
      </c>
      <c r="BN5" s="23">
        <f>'Intermediate calculations'!BI15*'Intermediate calculations'!BI16*Constants!$H$18</f>
        <v>896245.23756638065</v>
      </c>
      <c r="BO5" s="23">
        <f>'Intermediate calculations'!BJ15*'Intermediate calculations'!BJ16*Constants!$H$18</f>
        <v>916182.49352342752</v>
      </c>
      <c r="BP5" s="23">
        <f>'Intermediate calculations'!BK15*'Intermediate calculations'!BK16*Constants!$H$18</f>
        <v>935365.80916547542</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491640.03663531045</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489716.49539428548</v>
      </c>
      <c r="AM6" s="23">
        <f>'Intermediate calculations'!AH15*'Intermediate calculations'!AH16*Constants!$H$19</f>
        <v>499592.14426188462</v>
      </c>
      <c r="AN6" s="23">
        <f>'Intermediate calculations'!AI15*'Intermediate calculations'!AI16*Constants!$H$19</f>
        <v>504494.50770143128</v>
      </c>
      <c r="AO6" s="23">
        <f>'Intermediate calculations'!AJ15*'Intermediate calculations'!AJ16*Constants!$H$19</f>
        <v>505774.80604105332</v>
      </c>
      <c r="AP6" s="23">
        <f>'Intermediate calculations'!AK15*'Intermediate calculations'!AK16*Constants!$H$19</f>
        <v>507595.23990968033</v>
      </c>
      <c r="AQ6" s="23">
        <f>'Intermediate calculations'!AL15*'Intermediate calculations'!AL16*Constants!$H$19</f>
        <v>510649.94166551379</v>
      </c>
      <c r="AR6" s="23">
        <f>'Intermediate calculations'!AM15*'Intermediate calculations'!AM16*Constants!$H$19</f>
        <v>514685.31018819683</v>
      </c>
      <c r="AS6" s="23">
        <f>'Intermediate calculations'!AN15*'Intermediate calculations'!AN16*Constants!$H$19</f>
        <v>519203.35507983482</v>
      </c>
      <c r="AT6" s="23">
        <f>'Intermediate calculations'!AO15*'Intermediate calculations'!AO16*Constants!$H$19</f>
        <v>524346.36942820135</v>
      </c>
      <c r="AU6" s="23">
        <f>'Intermediate calculations'!AP15*'Intermediate calculations'!AP16*Constants!$H$19</f>
        <v>530555.31623358582</v>
      </c>
      <c r="AV6" s="23">
        <f>'Intermediate calculations'!AQ15*'Intermediate calculations'!AQ16*Constants!$H$19</f>
        <v>537794.12676817749</v>
      </c>
      <c r="AW6" s="23">
        <f>'Intermediate calculations'!AR15*'Intermediate calculations'!AR16*Constants!$H$19</f>
        <v>545672.95026823157</v>
      </c>
      <c r="AX6" s="23">
        <f>'Intermediate calculations'!AS15*'Intermediate calculations'!AS16*Constants!$H$19</f>
        <v>554184.66596929042</v>
      </c>
      <c r="AY6" s="23">
        <f>'Intermediate calculations'!AT15*'Intermediate calculations'!AT16*Constants!$H$19</f>
        <v>563113.28029341786</v>
      </c>
      <c r="AZ6" s="23">
        <f>'Intermediate calculations'!AU15*'Intermediate calculations'!AU16*Constants!$H$19</f>
        <v>572558.65811700269</v>
      </c>
      <c r="BA6" s="23">
        <f>'Intermediate calculations'!AV15*'Intermediate calculations'!AV16*Constants!$H$19</f>
        <v>582423.68020513898</v>
      </c>
      <c r="BB6" s="23">
        <f>'Intermediate calculations'!AW15*'Intermediate calculations'!AW16*Constants!$H$19</f>
        <v>592328.20588996704</v>
      </c>
      <c r="BC6" s="23">
        <f>'Intermediate calculations'!AX15*'Intermediate calculations'!AX16*Constants!$H$19</f>
        <v>602829.3401167494</v>
      </c>
      <c r="BD6" s="23">
        <f>'Intermediate calculations'!AY15*'Intermediate calculations'!AY16*Constants!$H$19</f>
        <v>613559.9952540776</v>
      </c>
      <c r="BE6" s="23">
        <f>'Intermediate calculations'!AZ15*'Intermediate calculations'!AZ16*Constants!$H$19</f>
        <v>624492.8797827845</v>
      </c>
      <c r="BF6" s="23">
        <f>'Intermediate calculations'!BA15*'Intermediate calculations'!BA16*Constants!$H$19</f>
        <v>635804.13564925024</v>
      </c>
      <c r="BG6" s="23">
        <f>'Intermediate calculations'!BB15*'Intermediate calculations'!BB16*Constants!$H$19</f>
        <v>647071.49789033434</v>
      </c>
      <c r="BH6" s="23">
        <f>'Intermediate calculations'!BC15*'Intermediate calculations'!BC16*Constants!$H$19</f>
        <v>658880.08965297788</v>
      </c>
      <c r="BI6" s="23">
        <f>'Intermediate calculations'!BD15*'Intermediate calculations'!BD16*Constants!$H$19</f>
        <v>671447.92891175428</v>
      </c>
      <c r="BJ6" s="23">
        <f>'Intermediate calculations'!BE15*'Intermediate calculations'!BE16*Constants!$H$19</f>
        <v>684418.71200354688</v>
      </c>
      <c r="BK6" s="23">
        <f>'Intermediate calculations'!BF15*'Intermediate calculations'!BF16*Constants!$H$19</f>
        <v>697815.9051461881</v>
      </c>
      <c r="BL6" s="23">
        <f>'Intermediate calculations'!BG15*'Intermediate calculations'!BG16*Constants!$H$19</f>
        <v>712051.77196575585</v>
      </c>
      <c r="BM6" s="23">
        <f>'Intermediate calculations'!BH15*'Intermediate calculations'!BH16*Constants!$H$19</f>
        <v>727006.58804250148</v>
      </c>
      <c r="BN6" s="23">
        <f>'Intermediate calculations'!BI15*'Intermediate calculations'!BI16*Constants!$H$19</f>
        <v>742603.19684071536</v>
      </c>
      <c r="BO6" s="23">
        <f>'Intermediate calculations'!BJ15*'Intermediate calculations'!BJ16*Constants!$H$19</f>
        <v>759122.63749083993</v>
      </c>
      <c r="BP6" s="23">
        <f>'Intermediate calculations'!BK15*'Intermediate calculations'!BK16*Constants!$H$19</f>
        <v>775017.38473710825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610311.7696162475</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607923.92531704414</v>
      </c>
      <c r="AM7" s="23">
        <f>'Intermediate calculations'!AH15*'Intermediate calculations'!AH16*(1-Constants!$H$18-Constants!$H$19)</f>
        <v>620183.35149751208</v>
      </c>
      <c r="AN7" s="23">
        <f>'Intermediate calculations'!AI15*'Intermediate calculations'!AI16*(1-Constants!$H$18-Constants!$H$19)</f>
        <v>626269.0440431562</v>
      </c>
      <c r="AO7" s="23">
        <f>'Intermediate calculations'!AJ15*'Intermediate calculations'!AJ16*(1-Constants!$H$18-Constants!$H$19)</f>
        <v>627858.37991303182</v>
      </c>
      <c r="AP7" s="23">
        <f>'Intermediate calculations'!AK15*'Intermediate calculations'!AK16*(1-Constants!$H$18-Constants!$H$19)</f>
        <v>630118.22885339637</v>
      </c>
      <c r="AQ7" s="23">
        <f>'Intermediate calculations'!AL15*'Intermediate calculations'!AL16*(1-Constants!$H$18-Constants!$H$19)</f>
        <v>633910.27241236204</v>
      </c>
      <c r="AR7" s="23">
        <f>'Intermediate calculations'!AM15*'Intermediate calculations'!AM16*(1-Constants!$H$18-Constants!$H$19)</f>
        <v>638919.6954060375</v>
      </c>
      <c r="AS7" s="23">
        <f>'Intermediate calculations'!AN15*'Intermediate calculations'!AN16*(1-Constants!$H$18-Constants!$H$19)</f>
        <v>644528.30285772611</v>
      </c>
      <c r="AT7" s="23">
        <f>'Intermediate calculations'!AO15*'Intermediate calculations'!AO16*(1-Constants!$H$18-Constants!$H$19)</f>
        <v>650912.73446259485</v>
      </c>
      <c r="AU7" s="23">
        <f>'Intermediate calculations'!AP15*'Intermediate calculations'!AP16*(1-Constants!$H$18-Constants!$H$19)</f>
        <v>658620.39256583073</v>
      </c>
      <c r="AV7" s="23">
        <f>'Intermediate calculations'!AQ15*'Intermediate calculations'!AQ16*(1-Constants!$H$18-Constants!$H$19)</f>
        <v>667606.502194979</v>
      </c>
      <c r="AW7" s="23">
        <f>'Intermediate calculations'!AR15*'Intermediate calculations'!AR16*(1-Constants!$H$18-Constants!$H$19)</f>
        <v>677387.1106778048</v>
      </c>
      <c r="AX7" s="23">
        <f>'Intermediate calculations'!AS15*'Intermediate calculations'!AS16*(1-Constants!$H$18-Constants!$H$19)</f>
        <v>687953.37844463659</v>
      </c>
      <c r="AY7" s="23">
        <f>'Intermediate calculations'!AT15*'Intermediate calculations'!AT16*(1-Constants!$H$18-Constants!$H$19)</f>
        <v>699037.17553665675</v>
      </c>
      <c r="AZ7" s="23">
        <f>'Intermediate calculations'!AU15*'Intermediate calculations'!AU16*(1-Constants!$H$18-Constants!$H$19)</f>
        <v>710762.47214524483</v>
      </c>
      <c r="BA7" s="23">
        <f>'Intermediate calculations'!AV15*'Intermediate calculations'!AV16*(1-Constants!$H$18-Constants!$H$19)</f>
        <v>723008.70646155195</v>
      </c>
      <c r="BB7" s="23">
        <f>'Intermediate calculations'!AW15*'Intermediate calculations'!AW16*(1-Constants!$H$18-Constants!$H$19)</f>
        <v>735303.97972547635</v>
      </c>
      <c r="BC7" s="23">
        <f>'Intermediate calculations'!AX15*'Intermediate calculations'!AX16*(1-Constants!$H$18-Constants!$H$19)</f>
        <v>748339.87048975797</v>
      </c>
      <c r="BD7" s="23">
        <f>'Intermediate calculations'!AY15*'Intermediate calculations'!AY16*(1-Constants!$H$18-Constants!$H$19)</f>
        <v>761660.68376368261</v>
      </c>
      <c r="BE7" s="23">
        <f>'Intermediate calculations'!AZ15*'Intermediate calculations'!AZ16*(1-Constants!$H$18-Constants!$H$19)</f>
        <v>775232.54042000847</v>
      </c>
      <c r="BF7" s="23">
        <f>'Intermediate calculations'!BA15*'Intermediate calculations'!BA16*(1-Constants!$H$18-Constants!$H$19)</f>
        <v>789274.09942665556</v>
      </c>
      <c r="BG7" s="23">
        <f>'Intermediate calculations'!BB15*'Intermediate calculations'!BB16*(1-Constants!$H$18-Constants!$H$19)</f>
        <v>803261.16979489801</v>
      </c>
      <c r="BH7" s="23">
        <f>'Intermediate calculations'!BC15*'Intermediate calculations'!BC16*(1-Constants!$H$18-Constants!$H$19)</f>
        <v>817920.11129335209</v>
      </c>
      <c r="BI7" s="23">
        <f>'Intermediate calculations'!BD15*'Intermediate calculations'!BD16*(1-Constants!$H$18-Constants!$H$19)</f>
        <v>833521.56692493649</v>
      </c>
      <c r="BJ7" s="23">
        <f>'Intermediate calculations'!BE15*'Intermediate calculations'!BE16*(1-Constants!$H$18-Constants!$H$19)</f>
        <v>849623.22869405837</v>
      </c>
      <c r="BK7" s="23">
        <f>'Intermediate calculations'!BF15*'Intermediate calculations'!BF16*(1-Constants!$H$18-Constants!$H$19)</f>
        <v>866254.22707802674</v>
      </c>
      <c r="BL7" s="23">
        <f>'Intermediate calculations'!BG15*'Intermediate calculations'!BG16*(1-Constants!$H$18-Constants!$H$19)</f>
        <v>883926.33761266258</v>
      </c>
      <c r="BM7" s="23">
        <f>'Intermediate calculations'!BH15*'Intermediate calculations'!BH16*(1-Constants!$H$18-Constants!$H$19)</f>
        <v>902490.93688034685</v>
      </c>
      <c r="BN7" s="23">
        <f>'Intermediate calculations'!BI15*'Intermediate calculations'!BI16*(1-Constants!$H$18-Constants!$H$19)</f>
        <v>921852.2443539917</v>
      </c>
      <c r="BO7" s="23">
        <f>'Intermediate calculations'!BJ15*'Intermediate calculations'!BJ16*(1-Constants!$H$18-Constants!$H$19)</f>
        <v>942359.13619552553</v>
      </c>
      <c r="BP7" s="23">
        <f>'Intermediate calculations'!BK15*'Intermediate calculations'!BK16*(1-Constants!$H$18-Constants!$H$19)</f>
        <v>962090.5465702035</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5954880.1627134709</v>
      </c>
      <c r="AE8" s="23">
        <f>'Intermediate calculations'!Z10*'Intermediate calculations'!Z11*Constants!$H$20</f>
        <v>5903235.3888004757</v>
      </c>
      <c r="AF8" s="23">
        <f>'Intermediate calculations'!AA10*'Intermediate calculations'!AA11*Constants!$H$20</f>
        <v>5883575.7867908701</v>
      </c>
      <c r="AG8" s="23">
        <f>'Intermediate calculations'!AB10*'Intermediate calculations'!AB11*Constants!$H$20</f>
        <v>5805008.3335930631</v>
      </c>
      <c r="AH8" s="23">
        <f>'Intermediate calculations'!AC10*'Intermediate calculations'!AC11*Constants!$H$20</f>
        <v>5690965.7565264758</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4748663.1043264745</v>
      </c>
      <c r="AM8" s="23">
        <f>'Intermediate calculations'!AH10*'Intermediate calculations'!AH11*Constants!$H$20</f>
        <v>4975698.1204633834</v>
      </c>
      <c r="AN8" s="23">
        <f>'Intermediate calculations'!AI10*'Intermediate calculations'!AI11*Constants!$H$20</f>
        <v>5054297.6867420916</v>
      </c>
      <c r="AO8" s="23">
        <f>'Intermediate calculations'!AJ10*'Intermediate calculations'!AJ11*Constants!$H$20</f>
        <v>5020164.632735569</v>
      </c>
      <c r="AP8" s="23">
        <f>'Intermediate calculations'!AK10*'Intermediate calculations'!AK11*Constants!$H$20</f>
        <v>4992399.7967124144</v>
      </c>
      <c r="AQ8" s="23">
        <f>'Intermediate calculations'!AL10*'Intermediate calculations'!AL11*Constants!$H$20</f>
        <v>4994223.6401157631</v>
      </c>
      <c r="AR8" s="23">
        <f>'Intermediate calculations'!AM10*'Intermediate calculations'!AM11*Constants!$H$20</f>
        <v>5023550.103307955</v>
      </c>
      <c r="AS8" s="23">
        <f>'Intermediate calculations'!AN10*'Intermediate calculations'!AN11*Constants!$H$20</f>
        <v>5065162.3418486938</v>
      </c>
      <c r="AT8" s="23">
        <f>'Intermediate calculations'!AO10*'Intermediate calculations'!AO11*Constants!$H$20</f>
        <v>5122412.1723342743</v>
      </c>
      <c r="AU8" s="23">
        <f>'Intermediate calculations'!AP10*'Intermediate calculations'!AP11*Constants!$H$20</f>
        <v>5206271.9395817183</v>
      </c>
      <c r="AV8" s="23">
        <f>'Intermediate calculations'!AQ10*'Intermediate calculations'!AQ11*Constants!$H$20</f>
        <v>5314373.2496831566</v>
      </c>
      <c r="AW8" s="23">
        <f>'Intermediate calculations'!AR10*'Intermediate calculations'!AR11*Constants!$H$20</f>
        <v>5389740.9504844137</v>
      </c>
      <c r="AX8" s="23">
        <f>'Intermediate calculations'!AS10*'Intermediate calculations'!AS11*Constants!$H$20</f>
        <v>5474011.7219505608</v>
      </c>
      <c r="AY8" s="23">
        <f>'Intermediate calculations'!AT10*'Intermediate calculations'!AT11*Constants!$H$20</f>
        <v>5560834.8092291318</v>
      </c>
      <c r="AZ8" s="23">
        <f>'Intermediate calculations'!AU10*'Intermediate calculations'!AU11*Constants!$H$20</f>
        <v>5652138.8869073428</v>
      </c>
      <c r="BA8" s="23">
        <f>'Intermediate calculations'!AV10*'Intermediate calculations'!AV11*Constants!$H$20</f>
        <v>5744810.5110138832</v>
      </c>
      <c r="BB8" s="23">
        <f>'Intermediate calculations'!AW10*'Intermediate calculations'!AW11*Constants!$H$20</f>
        <v>5829436.1712408708</v>
      </c>
      <c r="BC8" s="23">
        <f>'Intermediate calculations'!AX10*'Intermediate calculations'!AX11*Constants!$H$20</f>
        <v>5918700.71135238</v>
      </c>
      <c r="BD8" s="23">
        <f>'Intermediate calculations'!AY10*'Intermediate calculations'!AY11*Constants!$H$20</f>
        <v>6003923.363982847</v>
      </c>
      <c r="BE8" s="23">
        <f>'Intermediate calculations'!AZ10*'Intermediate calculations'!AZ11*Constants!$H$20</f>
        <v>6084283.1029933132</v>
      </c>
      <c r="BF8" s="23">
        <f>'Intermediate calculations'!BA10*'Intermediate calculations'!BA11*Constants!$H$20</f>
        <v>6163215.0126304673</v>
      </c>
      <c r="BG8" s="23">
        <f>'Intermediate calculations'!BB10*'Intermediate calculations'!BB11*Constants!$H$20</f>
        <v>6263446.5925146369</v>
      </c>
      <c r="BH8" s="23">
        <f>'Intermediate calculations'!BC10*'Intermediate calculations'!BC11*Constants!$H$20</f>
        <v>6367117.1108291112</v>
      </c>
      <c r="BI8" s="23">
        <f>'Intermediate calculations'!BD10*'Intermediate calculations'!BD11*Constants!$H$20</f>
        <v>6477994.0702043502</v>
      </c>
      <c r="BJ8" s="23">
        <f>'Intermediate calculations'!BE10*'Intermediate calculations'!BE11*Constants!$H$20</f>
        <v>6588439.6438278789</v>
      </c>
      <c r="BK8" s="23">
        <f>'Intermediate calculations'!BF10*'Intermediate calculations'!BF11*Constants!$H$20</f>
        <v>6698597.1834595762</v>
      </c>
      <c r="BL8" s="23">
        <f>'Intermediate calculations'!BG10*'Intermediate calculations'!BG11*Constants!$H$20</f>
        <v>6815706.2516582739</v>
      </c>
      <c r="BM8" s="23">
        <f>'Intermediate calculations'!BH10*'Intermediate calculations'!BH11*Constants!$H$20</f>
        <v>6936734.5992281614</v>
      </c>
      <c r="BN8" s="23">
        <f>'Intermediate calculations'!BI10*'Intermediate calculations'!BI11*Constants!$H$20</f>
        <v>7059578.032431215</v>
      </c>
      <c r="BO8" s="23">
        <f>'Intermediate calculations'!BJ10*'Intermediate calculations'!BJ11*Constants!$H$20</f>
        <v>7188416.9901146693</v>
      </c>
      <c r="BP8" s="23">
        <f>'Intermediate calculations'!BK10*'Intermediate calculations'!BK11*Constants!$H$20</f>
        <v>7296432.4292359715</v>
      </c>
    </row>
    <row r="9" spans="1:72" x14ac:dyDescent="0.25">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5280742.7858025106</v>
      </c>
      <c r="AE9" s="23">
        <f>'Intermediate calculations'!Z10*'Intermediate calculations'!Z11*(1-Constants!$H$20)</f>
        <v>5234944.5900683459</v>
      </c>
      <c r="AF9" s="23">
        <f>'Intermediate calculations'!AA10*'Intermediate calculations'!AA11*(1-Constants!$H$20)</f>
        <v>5217510.6033805832</v>
      </c>
      <c r="AG9" s="23">
        <f>'Intermediate calculations'!AB10*'Intermediate calculations'!AB11*(1-Constants!$H$20)</f>
        <v>5147837.5788466781</v>
      </c>
      <c r="AH9" s="23">
        <f>'Intermediate calculations'!AC10*'Intermediate calculations'!AC11*(1-Constants!$H$20)</f>
        <v>5046705.4822027236</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4211078.601949892</v>
      </c>
      <c r="AM9" s="23">
        <f>'Intermediate calculations'!AH10*'Intermediate calculations'!AH11*(1-Constants!$H$20)</f>
        <v>4412411.5407882826</v>
      </c>
      <c r="AN9" s="23">
        <f>'Intermediate calculations'!AI10*'Intermediate calculations'!AI11*(1-Constants!$H$20)</f>
        <v>4482113.0429599676</v>
      </c>
      <c r="AO9" s="23">
        <f>'Intermediate calculations'!AJ10*'Intermediate calculations'!AJ11*(1-Constants!$H$20)</f>
        <v>4451844.1082749385</v>
      </c>
      <c r="AP9" s="23">
        <f>'Intermediate calculations'!AK10*'Intermediate calculations'!AK11*(1-Constants!$H$20)</f>
        <v>4427222.4612355372</v>
      </c>
      <c r="AQ9" s="23">
        <f>'Intermediate calculations'!AL10*'Intermediate calculations'!AL11*(1-Constants!$H$20)</f>
        <v>4428839.8318007709</v>
      </c>
      <c r="AR9" s="23">
        <f>'Intermediate calculations'!AM10*'Intermediate calculations'!AM11*(1-Constants!$H$20)</f>
        <v>4454846.3180278093</v>
      </c>
      <c r="AS9" s="23">
        <f>'Intermediate calculations'!AN10*'Intermediate calculations'!AN11*(1-Constants!$H$20)</f>
        <v>4491747.7371111047</v>
      </c>
      <c r="AT9" s="23">
        <f>'Intermediate calculations'!AO10*'Intermediate calculations'!AO11*(1-Constants!$H$20)</f>
        <v>4542516.4547115266</v>
      </c>
      <c r="AU9" s="23">
        <f>'Intermediate calculations'!AP10*'Intermediate calculations'!AP11*(1-Constants!$H$20)</f>
        <v>4616882.6634026561</v>
      </c>
      <c r="AV9" s="23">
        <f>'Intermediate calculations'!AQ10*'Intermediate calculations'!AQ11*(1-Constants!$H$20)</f>
        <v>4712746.0893416665</v>
      </c>
      <c r="AW9" s="23">
        <f>'Intermediate calculations'!AR10*'Intermediate calculations'!AR11*(1-Constants!$H$20)</f>
        <v>4779581.5975993853</v>
      </c>
      <c r="AX9" s="23">
        <f>'Intermediate calculations'!AS10*'Intermediate calculations'!AS11*(1-Constants!$H$20)</f>
        <v>4854312.2817297429</v>
      </c>
      <c r="AY9" s="23">
        <f>'Intermediate calculations'!AT10*'Intermediate calculations'!AT11*(1-Constants!$H$20)</f>
        <v>4931306.340259796</v>
      </c>
      <c r="AZ9" s="23">
        <f>'Intermediate calculations'!AU10*'Intermediate calculations'!AU11*(1-Constants!$H$20)</f>
        <v>5012274.1072574537</v>
      </c>
      <c r="BA9" s="23">
        <f>'Intermediate calculations'!AV10*'Intermediate calculations'!AV11*(1-Constants!$H$20)</f>
        <v>5094454.6041066507</v>
      </c>
      <c r="BB9" s="23">
        <f>'Intermediate calculations'!AW10*'Intermediate calculations'!AW11*(1-Constants!$H$20)</f>
        <v>5169500.0009117154</v>
      </c>
      <c r="BC9" s="23">
        <f>'Intermediate calculations'!AX10*'Intermediate calculations'!AX11*(1-Constants!$H$20)</f>
        <v>5248659.1213879585</v>
      </c>
      <c r="BD9" s="23">
        <f>'Intermediate calculations'!AY10*'Intermediate calculations'!AY11*(1-Constants!$H$20)</f>
        <v>5324233.9265508261</v>
      </c>
      <c r="BE9" s="23">
        <f>'Intermediate calculations'!AZ10*'Intermediate calculations'!AZ11*(1-Constants!$H$20)</f>
        <v>5395496.3366167117</v>
      </c>
      <c r="BF9" s="23">
        <f>'Intermediate calculations'!BA10*'Intermediate calculations'!BA11*(1-Constants!$H$20)</f>
        <v>5465492.5583704142</v>
      </c>
      <c r="BG9" s="23">
        <f>'Intermediate calculations'!BB10*'Intermediate calculations'!BB11*(1-Constants!$H$20)</f>
        <v>5554377.1669469411</v>
      </c>
      <c r="BH9" s="23">
        <f>'Intermediate calculations'!BC10*'Intermediate calculations'!BC11*(1-Constants!$H$20)</f>
        <v>5646311.4001692105</v>
      </c>
      <c r="BI9" s="23">
        <f>'Intermediate calculations'!BD10*'Intermediate calculations'!BD11*(1-Constants!$H$20)</f>
        <v>5744636.2509359317</v>
      </c>
      <c r="BJ9" s="23">
        <f>'Intermediate calculations'!BE10*'Intermediate calculations'!BE11*(1-Constants!$H$20)</f>
        <v>5842578.5520737795</v>
      </c>
      <c r="BK9" s="23">
        <f>'Intermediate calculations'!BF10*'Intermediate calculations'!BF11*(1-Constants!$H$20)</f>
        <v>5940265.4268415105</v>
      </c>
      <c r="BL9" s="23">
        <f>'Intermediate calculations'!BG10*'Intermediate calculations'!BG11*(1-Constants!$H$20)</f>
        <v>6044116.8646780904</v>
      </c>
      <c r="BM9" s="23">
        <f>'Intermediate calculations'!BH10*'Intermediate calculations'!BH11*(1-Constants!$H$20)</f>
        <v>6151443.8898815764</v>
      </c>
      <c r="BN9" s="23">
        <f>'Intermediate calculations'!BI10*'Intermediate calculations'!BI11*(1-Constants!$H$20)</f>
        <v>6260380.5193257947</v>
      </c>
      <c r="BO9" s="23">
        <f>'Intermediate calculations'!BJ10*'Intermediate calculations'!BJ11*(1-Constants!$H$20)</f>
        <v>6374633.9346299889</v>
      </c>
      <c r="BP9" s="23">
        <f>'Intermediate calculations'!BK10*'Intermediate calculations'!BK11*(1-Constants!$H$20)</f>
        <v>6470421.2108318983</v>
      </c>
    </row>
    <row r="10" spans="1:72" x14ac:dyDescent="0.25">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541460.03376820474</v>
      </c>
      <c r="AE10" s="23">
        <f>(((('Intermediate calculations'!Z9/('Intermediate calculations'!Z64+0.27))*ttokg)/Constants!$H$21)/(365/'Intermediate calculations'!Z65))</f>
        <v>559717.10307730944</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597546.77075746434</v>
      </c>
      <c r="AH10" s="23">
        <f>(((('Intermediate calculations'!AC9/('Intermediate calculations'!AC64+0.27))*ttokg)/Constants!$H$21)/(365/'Intermediate calculations'!AC65))</f>
        <v>610009.49754182214</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597014.6851984323</v>
      </c>
      <c r="AM10" s="23">
        <f>(((('Intermediate calculations'!AH9/('Intermediate calculations'!AH64+0.27))*ttokg)/Constants!$H$21)/(365/'Intermediate calculations'!AH65))</f>
        <v>640629.51808142359</v>
      </c>
      <c r="AN10" s="23">
        <f>(((('Intermediate calculations'!AI9/('Intermediate calculations'!AI64+0.27))*ttokg)/Constants!$H$21)/(365/'Intermediate calculations'!AI65))</f>
        <v>666212.35601499933</v>
      </c>
      <c r="AO10" s="23">
        <f>(((('Intermediate calculations'!AJ9/('Intermediate calculations'!AJ64+0.27))*ttokg)/Constants!$H$21)/(365/'Intermediate calculations'!AJ65))</f>
        <v>677236.93449176487</v>
      </c>
      <c r="AP10" s="23">
        <f>(((('Intermediate calculations'!AK9/('Intermediate calculations'!AK64+0.27))*ttokg)/Constants!$H$21)/(365/'Intermediate calculations'!AK65))</f>
        <v>689105.39494050061</v>
      </c>
      <c r="AQ10" s="23">
        <f>(((('Intermediate calculations'!AL9/('Intermediate calculations'!AL64+0.27))*ttokg)/Constants!$H$21)/(365/'Intermediate calculations'!AL65))</f>
        <v>705164.71894820069</v>
      </c>
      <c r="AR10" s="23">
        <f>(((('Intermediate calculations'!AM9/('Intermediate calculations'!AM64+0.27))*ttokg)/Constants!$H$21)/(365/'Intermediate calculations'!AM65))</f>
        <v>725406.17317973659</v>
      </c>
      <c r="AS10" s="23">
        <f>(((('Intermediate calculations'!AN9/('Intermediate calculations'!AN64+0.27))*ttokg)/Constants!$H$21)/(365/'Intermediate calculations'!AN65))</f>
        <v>747862.16579298896</v>
      </c>
      <c r="AT10" s="23">
        <f>(((('Intermediate calculations'!AO9/('Intermediate calculations'!AO64+0.27))*ttokg)/Constants!$H$21)/(365/'Intermediate calculations'!AO65))</f>
        <v>773174.64753167983</v>
      </c>
      <c r="AU10" s="23">
        <f>(((('Intermediate calculations'!AP9/('Intermediate calculations'!AP64+0.27))*ttokg)/Constants!$H$21)/(365/'Intermediate calculations'!AP65))</f>
        <v>803209.53882740473</v>
      </c>
      <c r="AV10" s="23">
        <f>(((('Intermediate calculations'!AQ9/('Intermediate calculations'!AQ64+0.27))*ttokg)/Constants!$H$21)/(365/'Intermediate calculations'!AQ65))</f>
        <v>837882.86375355208</v>
      </c>
      <c r="AW10" s="23">
        <f>(((('Intermediate calculations'!AR9/('Intermediate calculations'!AR64+0.27))*ttokg)/Constants!$H$21)/(365/'Intermediate calculations'!AR65))</f>
        <v>877946.13137026876</v>
      </c>
      <c r="AX10" s="23">
        <f>(((('Intermediate calculations'!AS9/('Intermediate calculations'!AS64+0.27))*ttokg)/Constants!$H$21)/(365/'Intermediate calculations'!AS65))</f>
        <v>921300.15899073158</v>
      </c>
      <c r="AY10" s="23">
        <f>(((('Intermediate calculations'!AT9/('Intermediate calculations'!AT64+0.27))*ttokg)/Constants!$H$21)/(365/'Intermediate calculations'!AT65))</f>
        <v>967089.19243832561</v>
      </c>
      <c r="AZ10" s="23">
        <f>(((('Intermediate calculations'!AU9/('Intermediate calculations'!AU64+0.27))*ttokg)/Constants!$H$21)/(365/'Intermediate calculations'!AU65))</f>
        <v>1015815.809260074</v>
      </c>
      <c r="BA10" s="23">
        <f>(((('Intermediate calculations'!AV9/('Intermediate calculations'!AV64+0.27))*ttokg)/Constants!$H$21)/(365/'Intermediate calculations'!AV65))</f>
        <v>1067103.9132946692</v>
      </c>
      <c r="BB10" s="23">
        <f>(((('Intermediate calculations'!AW9/('Intermediate calculations'!AW64+0.27))*ttokg)/Constants!$H$21)/(365/'Intermediate calculations'!AW65))</f>
        <v>1119304.9312915269</v>
      </c>
      <c r="BC10" s="23">
        <f>(((('Intermediate calculations'!AX9/('Intermediate calculations'!AX64+0.27))*ttokg)/Constants!$H$21)/(365/'Intermediate calculations'!AX65))</f>
        <v>1174924.2894494412</v>
      </c>
      <c r="BD10" s="23">
        <f>(((('Intermediate calculations'!AY9/('Intermediate calculations'!AY64+0.27))*ttokg)/Constants!$H$21)/(365/'Intermediate calculations'!AY65))</f>
        <v>1232423.3164023301</v>
      </c>
      <c r="BE10" s="23">
        <f>(((('Intermediate calculations'!AZ9/('Intermediate calculations'!AZ64+0.27))*ttokg)/Constants!$H$21)/(365/'Intermediate calculations'!AZ65))</f>
        <v>1291707.0898985872</v>
      </c>
      <c r="BF10" s="23">
        <f>(((('Intermediate calculations'!BA9/('Intermediate calculations'!BA64+0.27))*ttokg)/Constants!$H$21)/(365/'Intermediate calculations'!BA65))</f>
        <v>1353597.5244011215</v>
      </c>
      <c r="BG10" s="23">
        <f>(((('Intermediate calculations'!BB9/('Intermediate calculations'!BB64+0.27))*ttokg)/Constants!$H$21)/(365/'Intermediate calculations'!BB65))</f>
        <v>1414424.0937777301</v>
      </c>
      <c r="BH10" s="23">
        <f>(((('Intermediate calculations'!BC9/('Intermediate calculations'!BC64+0.27))*ttokg)/Constants!$H$21)/(365/'Intermediate calculations'!BC65))</f>
        <v>1478544.2798039929</v>
      </c>
      <c r="BI10" s="23">
        <f>(((('Intermediate calculations'!BD9/('Intermediate calculations'!BD64+0.27))*ttokg)/Constants!$H$21)/(365/'Intermediate calculations'!BD65))</f>
        <v>1547048.2047428007</v>
      </c>
      <c r="BJ10" s="23">
        <f>(((('Intermediate calculations'!BE9/('Intermediate calculations'!BE64+0.27))*ttokg)/Constants!$H$21)/(365/'Intermediate calculations'!BE65))</f>
        <v>1618339.5175338604</v>
      </c>
      <c r="BK10" s="23">
        <f>(((('Intermediate calculations'!BF9/('Intermediate calculations'!BF64+0.27))*ttokg)/Constants!$H$21)/(365/'Intermediate calculations'!BF65))</f>
        <v>1692591.2487318111</v>
      </c>
      <c r="BL10" s="23">
        <f>(((('Intermediate calculations'!BG9/('Intermediate calculations'!BG64+0.27))*ttokg)/Constants!$H$21)/(365/'Intermediate calculations'!BG65))</f>
        <v>1771834.4197072859</v>
      </c>
      <c r="BM10" s="23">
        <f>(((('Intermediate calculations'!BH9/('Intermediate calculations'!BH64+0.27))*ttokg)/Constants!$H$21)/(365/'Intermediate calculations'!BH65))</f>
        <v>1855580.6313194891</v>
      </c>
      <c r="BN10" s="23">
        <f>(((('Intermediate calculations'!BI9/('Intermediate calculations'!BI64+0.27))*ttokg)/Constants!$H$21)/(365/'Intermediate calculations'!BI65))</f>
        <v>1943524.761329802</v>
      </c>
      <c r="BO10" s="23">
        <f>(((('Intermediate calculations'!BJ9/('Intermediate calculations'!BJ64+0.27))*ttokg)/Constants!$H$21)/(365/'Intermediate calculations'!BJ65))</f>
        <v>2037093.9360268321</v>
      </c>
      <c r="BP10" s="23">
        <f>(((('Intermediate calculations'!BK9/('Intermediate calculations'!BK64+0.27))*ttokg)/Constants!$H$21)/(365/'Intermediate calculations'!BK65))</f>
        <v>2128828.1623534956</v>
      </c>
    </row>
    <row r="11" spans="1:72" x14ac:dyDescent="0.25">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19294707.59935737</v>
      </c>
      <c r="AM11" s="23">
        <f>('Intermediate calculations'!AH27*'Intermediate calculations'!AH28)*Constants!$H$22</f>
        <v>19308595.530858379</v>
      </c>
      <c r="AN11" s="23">
        <f>('Intermediate calculations'!AI27*'Intermediate calculations'!AI28)*Constants!$H$22</f>
        <v>19303712.829933655</v>
      </c>
      <c r="AO11" s="23">
        <f>('Intermediate calculations'!AJ27*'Intermediate calculations'!AJ28)*Constants!$H$22</f>
        <v>19303361.314411636</v>
      </c>
      <c r="AP11" s="23">
        <f>('Intermediate calculations'!AK27*'Intermediate calculations'!AK28)*Constants!$H$22</f>
        <v>19323836.572483618</v>
      </c>
      <c r="AQ11" s="23">
        <f>('Intermediate calculations'!AL27*'Intermediate calculations'!AL28)*Constants!$H$22</f>
        <v>19357346.218920205</v>
      </c>
      <c r="AR11" s="23">
        <f>('Intermediate calculations'!AM27*'Intermediate calculations'!AM28)*Constants!$H$22</f>
        <v>19389499.096448597</v>
      </c>
      <c r="AS11" s="23">
        <f>('Intermediate calculations'!AN27*'Intermediate calculations'!AN28)*Constants!$H$22</f>
        <v>19420398.936924286</v>
      </c>
      <c r="AT11" s="23">
        <f>('Intermediate calculations'!AO27*'Intermediate calculations'!AO28)*Constants!$H$22</f>
        <v>19450003.570025813</v>
      </c>
      <c r="AU11" s="23">
        <f>('Intermediate calculations'!AP27*'Intermediate calculations'!AP28)*Constants!$H$22</f>
        <v>19478929.949521698</v>
      </c>
      <c r="AV11" s="23">
        <f>('Intermediate calculations'!AQ27*'Intermediate calculations'!AQ28)*Constants!$H$22</f>
        <v>19507600.613935191</v>
      </c>
      <c r="AW11" s="23">
        <f>('Intermediate calculations'!AR27*'Intermediate calculations'!AR28)*Constants!$H$22</f>
        <v>19535727.890048202</v>
      </c>
      <c r="AX11" s="23">
        <f>('Intermediate calculations'!AS27*'Intermediate calculations'!AS28)*Constants!$H$22</f>
        <v>19563716.202206749</v>
      </c>
      <c r="AY11" s="23">
        <f>('Intermediate calculations'!AT27*'Intermediate calculations'!AT28)*Constants!$H$22</f>
        <v>19591477.381817997</v>
      </c>
      <c r="AZ11" s="23">
        <f>('Intermediate calculations'!AU27*'Intermediate calculations'!AU28)*Constants!$H$22</f>
        <v>19618788.988862384</v>
      </c>
      <c r="BA11" s="23">
        <f>('Intermediate calculations'!AV27*'Intermediate calculations'!AV28)*Constants!$H$22</f>
        <v>19645771.268803079</v>
      </c>
      <c r="BB11" s="23">
        <f>('Intermediate calculations'!AW27*'Intermediate calculations'!AW28)*Constants!$H$22</f>
        <v>19672453.015585411</v>
      </c>
      <c r="BC11" s="23">
        <f>('Intermediate calculations'!AX27*'Intermediate calculations'!AX28)*Constants!$H$22</f>
        <v>19698924.812201742</v>
      </c>
      <c r="BD11" s="23">
        <f>('Intermediate calculations'!AY27*'Intermediate calculations'!AY28)*Constants!$H$22</f>
        <v>19724376.674356177</v>
      </c>
      <c r="BE11" s="23">
        <f>('Intermediate calculations'!AZ27*'Intermediate calculations'!AZ28)*Constants!$H$22</f>
        <v>19748778.823879883</v>
      </c>
      <c r="BF11" s="23">
        <f>('Intermediate calculations'!BA27*'Intermediate calculations'!BA28)*Constants!$H$22</f>
        <v>19772359.32529838</v>
      </c>
      <c r="BG11" s="23">
        <f>('Intermediate calculations'!BB27*'Intermediate calculations'!BB28)*Constants!$H$22</f>
        <v>19794936.606249541</v>
      </c>
      <c r="BH11" s="23">
        <f>('Intermediate calculations'!BC27*'Intermediate calculations'!BC28)*Constants!$H$22</f>
        <v>19816551.623688176</v>
      </c>
      <c r="BI11" s="23">
        <f>('Intermediate calculations'!BD27*'Intermediate calculations'!BD28)*Constants!$H$22</f>
        <v>19837107.023180217</v>
      </c>
      <c r="BJ11" s="23">
        <f>('Intermediate calculations'!BE27*'Intermediate calculations'!BE28)*Constants!$H$22</f>
        <v>19856308.655348971</v>
      </c>
      <c r="BK11" s="23">
        <f>('Intermediate calculations'!BF27*'Intermediate calculations'!BF28)*Constants!$H$22</f>
        <v>19873883.938426055</v>
      </c>
      <c r="BL11" s="23">
        <f>('Intermediate calculations'!BG27*'Intermediate calculations'!BG28)*Constants!$H$22</f>
        <v>19889815.116446964</v>
      </c>
      <c r="BM11" s="23">
        <f>('Intermediate calculations'!BH27*'Intermediate calculations'!BH28)*Constants!$H$22</f>
        <v>19903980.277063575</v>
      </c>
      <c r="BN11" s="23">
        <f>('Intermediate calculations'!BI27*'Intermediate calculations'!BI28)*Constants!$H$22</f>
        <v>19916372.588615235</v>
      </c>
      <c r="BO11" s="23">
        <f>('Intermediate calculations'!BJ27*'Intermediate calculations'!BJ28)*Constants!$H$22</f>
        <v>19927229.202147596</v>
      </c>
      <c r="BP11" s="23">
        <f>('Intermediate calculations'!BK27*'Intermediate calculations'!BK28)*Constants!$H$22</f>
        <v>19935139.987152595</v>
      </c>
    </row>
    <row r="12" spans="1:72" x14ac:dyDescent="0.25">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2883117.227490182</v>
      </c>
      <c r="AM12" s="23">
        <f>('Intermediate calculations'!AH27*'Intermediate calculations'!AH28)*(1-Constants!$H$22)</f>
        <v>2885192.4356455053</v>
      </c>
      <c r="AN12" s="23">
        <f>('Intermediate calculations'!AI27*'Intermediate calculations'!AI28)*(1-Constants!$H$22)</f>
        <v>2884462.836656753</v>
      </c>
      <c r="AO12" s="23">
        <f>('Intermediate calculations'!AJ27*'Intermediate calculations'!AJ28)*(1-Constants!$H$22)</f>
        <v>2884410.3113488653</v>
      </c>
      <c r="AP12" s="23">
        <f>('Intermediate calculations'!AK27*'Intermediate calculations'!AK28)*(1-Constants!$H$22)</f>
        <v>2887469.8326699659</v>
      </c>
      <c r="AQ12" s="23">
        <f>('Intermediate calculations'!AL27*'Intermediate calculations'!AL28)*(1-Constants!$H$22)</f>
        <v>2892477.0212179618</v>
      </c>
      <c r="AR12" s="23">
        <f>('Intermediate calculations'!AM27*'Intermediate calculations'!AM28)*(1-Constants!$H$22)</f>
        <v>2897281.4741819738</v>
      </c>
      <c r="AS12" s="23">
        <f>('Intermediate calculations'!AN27*'Intermediate calculations'!AN28)*(1-Constants!$H$22)</f>
        <v>2901898.6917243185</v>
      </c>
      <c r="AT12" s="23">
        <f>('Intermediate calculations'!AO27*'Intermediate calculations'!AO28)*(1-Constants!$H$22)</f>
        <v>2906322.3725325931</v>
      </c>
      <c r="AU12" s="23">
        <f>('Intermediate calculations'!AP27*'Intermediate calculations'!AP28)*(1-Constants!$H$22)</f>
        <v>2910644.7051009433</v>
      </c>
      <c r="AV12" s="23">
        <f>('Intermediate calculations'!AQ27*'Intermediate calculations'!AQ28)*(1-Constants!$H$22)</f>
        <v>2914928.8273696266</v>
      </c>
      <c r="AW12" s="23">
        <f>('Intermediate calculations'!AR27*'Intermediate calculations'!AR28)*(1-Constants!$H$22)</f>
        <v>2919131.7536853636</v>
      </c>
      <c r="AX12" s="23">
        <f>('Intermediate calculations'!AS27*'Intermediate calculations'!AS28)*(1-Constants!$H$22)</f>
        <v>2923313.9152722731</v>
      </c>
      <c r="AY12" s="23">
        <f>('Intermediate calculations'!AT27*'Intermediate calculations'!AT28)*(1-Constants!$H$22)</f>
        <v>2927462.137513034</v>
      </c>
      <c r="AZ12" s="23">
        <f>('Intermediate calculations'!AU27*'Intermediate calculations'!AU28)*(1-Constants!$H$22)</f>
        <v>2931543.1822438049</v>
      </c>
      <c r="BA12" s="23">
        <f>('Intermediate calculations'!AV27*'Intermediate calculations'!AV28)*(1-Constants!$H$22)</f>
        <v>2935575.0171774714</v>
      </c>
      <c r="BB12" s="23">
        <f>('Intermediate calculations'!AW27*'Intermediate calculations'!AW28)*(1-Constants!$H$22)</f>
        <v>2939561.9448575904</v>
      </c>
      <c r="BC12" s="23">
        <f>('Intermediate calculations'!AX27*'Intermediate calculations'!AX28)*(1-Constants!$H$22)</f>
        <v>2943517.5006738235</v>
      </c>
      <c r="BD12" s="23">
        <f>('Intermediate calculations'!AY27*'Intermediate calculations'!AY28)*(1-Constants!$H$22)</f>
        <v>2947320.652490004</v>
      </c>
      <c r="BE12" s="23">
        <f>('Intermediate calculations'!AZ27*'Intermediate calculations'!AZ28)*(1-Constants!$H$22)</f>
        <v>2950966.9506946951</v>
      </c>
      <c r="BF12" s="23">
        <f>('Intermediate calculations'!BA27*'Intermediate calculations'!BA28)*(1-Constants!$H$22)</f>
        <v>2954490.47389516</v>
      </c>
      <c r="BG12" s="23">
        <f>('Intermediate calculations'!BB27*'Intermediate calculations'!BB28)*(1-Constants!$H$22)</f>
        <v>2957864.090589012</v>
      </c>
      <c r="BH12" s="23">
        <f>('Intermediate calculations'!BC27*'Intermediate calculations'!BC28)*(1-Constants!$H$22)</f>
        <v>2961093.9207809921</v>
      </c>
      <c r="BI12" s="23">
        <f>('Intermediate calculations'!BD27*'Intermediate calculations'!BD28)*(1-Constants!$H$22)</f>
        <v>2964165.417256814</v>
      </c>
      <c r="BJ12" s="23">
        <f>('Intermediate calculations'!BE27*'Intermediate calculations'!BE28)*(1-Constants!$H$22)</f>
        <v>2967034.6266613407</v>
      </c>
      <c r="BK12" s="23">
        <f>('Intermediate calculations'!BF27*'Intermediate calculations'!BF28)*(1-Constants!$H$22)</f>
        <v>2969660.8183855028</v>
      </c>
      <c r="BL12" s="23">
        <f>('Intermediate calculations'!BG27*'Intermediate calculations'!BG28)*(1-Constants!$H$22)</f>
        <v>2972041.339239202</v>
      </c>
      <c r="BM12" s="23">
        <f>('Intermediate calculations'!BH27*'Intermediate calculations'!BH28)*(1-Constants!$H$22)</f>
        <v>2974157.9724347875</v>
      </c>
      <c r="BN12" s="23">
        <f>('Intermediate calculations'!BI27*'Intermediate calculations'!BI28)*(1-Constants!$H$22)</f>
        <v>2976009.6971494029</v>
      </c>
      <c r="BO12" s="23">
        <f>('Intermediate calculations'!BJ27*'Intermediate calculations'!BJ28)*(1-Constants!$H$22)</f>
        <v>2977631.9497461924</v>
      </c>
      <c r="BP12" s="23">
        <f>('Intermediate calculations'!BK27*'Intermediate calculations'!BK28)*(1-Constants!$H$22)</f>
        <v>2978814.0210687784</v>
      </c>
    </row>
    <row r="13" spans="1:72" x14ac:dyDescent="0.25">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2068089.0408217213</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2125847.6846541637</v>
      </c>
      <c r="AK13" s="23">
        <f>'Intermediate calculations'!AF22*'Intermediate calculations'!AF25*Constants!$H$23</f>
        <v>2139834.1013227375</v>
      </c>
      <c r="AL13" s="23">
        <f>'Intermediate calculations'!AG22*'Intermediate calculations'!AG25*Constants!$H$23</f>
        <v>2134587.2599102575</v>
      </c>
      <c r="AM13" s="23">
        <f>'Intermediate calculations'!AH22*'Intermediate calculations'!AH25*Constants!$H$23</f>
        <v>2138256.6174556674</v>
      </c>
      <c r="AN13" s="23">
        <f>'Intermediate calculations'!AI22*'Intermediate calculations'!AI25*Constants!$H$23</f>
        <v>2138612.6865135431</v>
      </c>
      <c r="AO13" s="23">
        <f>'Intermediate calculations'!AJ22*'Intermediate calculations'!AJ25*Constants!$H$23</f>
        <v>2139591.6492956472</v>
      </c>
      <c r="AP13" s="23">
        <f>'Intermediate calculations'!AK22*'Intermediate calculations'!AK25*Constants!$H$23</f>
        <v>2143919.9099595002</v>
      </c>
      <c r="AQ13" s="23">
        <f>'Intermediate calculations'!AL22*'Intermediate calculations'!AL25*Constants!$H$23</f>
        <v>2150286.5393837062</v>
      </c>
      <c r="AR13" s="23">
        <f>'Intermediate calculations'!AM22*'Intermediate calculations'!AM25*Constants!$H$23</f>
        <v>2156296.3015812854</v>
      </c>
      <c r="AS13" s="23">
        <f>'Intermediate calculations'!AN22*'Intermediate calculations'!AN25*Constants!$H$23</f>
        <v>2161977.4535931544</v>
      </c>
      <c r="AT13" s="23">
        <f>'Intermediate calculations'!AO22*'Intermediate calculations'!AO25*Constants!$H$23</f>
        <v>2167332.9033531058</v>
      </c>
      <c r="AU13" s="23">
        <f>'Intermediate calculations'!AP22*'Intermediate calculations'!AP25*Constants!$H$23</f>
        <v>2172473.4651576607</v>
      </c>
      <c r="AV13" s="23">
        <f>'Intermediate calculations'!AQ22*'Intermediate calculations'!AQ25*Constants!$H$23</f>
        <v>2177476.2677693181</v>
      </c>
      <c r="AW13" s="23">
        <f>'Intermediate calculations'!AR22*'Intermediate calculations'!AR25*Constants!$H$23</f>
        <v>2182300.4670798844</v>
      </c>
      <c r="AX13" s="23">
        <f>'Intermediate calculations'!AS22*'Intermediate calculations'!AS25*Constants!$H$23</f>
        <v>2187018.5225144769</v>
      </c>
      <c r="AY13" s="23">
        <f>'Intermediate calculations'!AT22*'Intermediate calculations'!AT25*Constants!$H$23</f>
        <v>2191621.2122322586</v>
      </c>
      <c r="AZ13" s="23">
        <f>'Intermediate calculations'!AU22*'Intermediate calculations'!AU25*Constants!$H$23</f>
        <v>2196077.0421099947</v>
      </c>
      <c r="BA13" s="23">
        <f>'Intermediate calculations'!AV22*'Intermediate calculations'!AV25*Constants!$H$23</f>
        <v>2200410.2632412626</v>
      </c>
      <c r="BB13" s="23">
        <f>'Intermediate calculations'!AW22*'Intermediate calculations'!AW25*Constants!$H$23</f>
        <v>2204629.727455548</v>
      </c>
      <c r="BC13" s="23">
        <f>'Intermediate calculations'!AX22*'Intermediate calculations'!AX25*Constants!$H$23</f>
        <v>2208753.9611315508</v>
      </c>
      <c r="BD13" s="23">
        <f>'Intermediate calculations'!AY22*'Intermediate calculations'!AY25*Constants!$H$23</f>
        <v>2212655.0903133801</v>
      </c>
      <c r="BE13" s="23">
        <f>'Intermediate calculations'!AZ22*'Intermediate calculations'!AZ25*Constants!$H$23</f>
        <v>2216332.1928741168</v>
      </c>
      <c r="BF13" s="23">
        <f>'Intermediate calculations'!BA22*'Intermediate calculations'!BA25*Constants!$H$23</f>
        <v>2219825.7748379377</v>
      </c>
      <c r="BG13" s="23">
        <f>'Intermediate calculations'!BB22*'Intermediate calculations'!BB25*Constants!$H$23</f>
        <v>2223109.7938261046</v>
      </c>
      <c r="BH13" s="23">
        <f>'Intermediate calculations'!BC22*'Intermediate calculations'!BC25*Constants!$H$23</f>
        <v>2226194.025315416</v>
      </c>
      <c r="BI13" s="23">
        <f>'Intermediate calculations'!BD22*'Intermediate calculations'!BD25*Constants!$H$23</f>
        <v>2229065.7811079524</v>
      </c>
      <c r="BJ13" s="23">
        <f>'Intermediate calculations'!BE22*'Intermediate calculations'!BE25*Constants!$H$23</f>
        <v>2231680.7343182894</v>
      </c>
      <c r="BK13" s="23">
        <f>'Intermediate calculations'!BF22*'Intermediate calculations'!BF25*Constants!$H$23</f>
        <v>2233998.1661114693</v>
      </c>
      <c r="BL13" s="23">
        <f>'Intermediate calculations'!BG22*'Intermediate calculations'!BG25*Constants!$H$23</f>
        <v>2236018.2346010059</v>
      </c>
      <c r="BM13" s="23">
        <f>'Intermediate calculations'!BH22*'Intermediate calculations'!BH25*Constants!$H$23</f>
        <v>2237724.3417083644</v>
      </c>
      <c r="BN13" s="23">
        <f>'Intermediate calculations'!BI22*'Intermediate calculations'!BI25*Constants!$H$23</f>
        <v>2239118.2177963043</v>
      </c>
      <c r="BO13" s="23">
        <f>'Intermediate calculations'!BJ22*'Intermediate calculations'!BJ25*Constants!$H$23</f>
        <v>2240240.2917254451</v>
      </c>
      <c r="BP13" s="23">
        <f>'Intermediate calculations'!BK22*'Intermediate calculations'!BK25*Constants!$H$23</f>
        <v>2240868.9427719326</v>
      </c>
    </row>
    <row r="14" spans="1:72" x14ac:dyDescent="0.25">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4014525.785124517</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4126645.5055051409</v>
      </c>
      <c r="AK14" s="23">
        <f>'Intermediate calculations'!AF22*'Intermediate calculations'!AF25*(1-Constants!$H$23)</f>
        <v>4153795.6084500193</v>
      </c>
      <c r="AL14" s="23">
        <f>'Intermediate calculations'!AG22*'Intermediate calculations'!AG25*(1-Constants!$H$23)</f>
        <v>4143610.5633552051</v>
      </c>
      <c r="AM14" s="23">
        <f>'Intermediate calculations'!AH22*'Intermediate calculations'!AH25*(1-Constants!$H$23)</f>
        <v>4150733.4338845299</v>
      </c>
      <c r="AN14" s="23">
        <f>'Intermediate calculations'!AI22*'Intermediate calculations'!AI25*(1-Constants!$H$23)</f>
        <v>4151424.6267615827</v>
      </c>
      <c r="AO14" s="23">
        <f>'Intermediate calculations'!AJ22*'Intermediate calculations'!AJ25*(1-Constants!$H$23)</f>
        <v>4153324.9662797847</v>
      </c>
      <c r="AP14" s="23">
        <f>'Intermediate calculations'!AK22*'Intermediate calculations'!AK25*(1-Constants!$H$23)</f>
        <v>4161726.8840390295</v>
      </c>
      <c r="AQ14" s="23">
        <f>'Intermediate calculations'!AL22*'Intermediate calculations'!AL25*(1-Constants!$H$23)</f>
        <v>4174085.6352742519</v>
      </c>
      <c r="AR14" s="23">
        <f>'Intermediate calculations'!AM22*'Intermediate calculations'!AM25*(1-Constants!$H$23)</f>
        <v>4185751.6442460241</v>
      </c>
      <c r="AS14" s="23">
        <f>'Intermediate calculations'!AN22*'Intermediate calculations'!AN25*(1-Constants!$H$23)</f>
        <v>4196779.7628572993</v>
      </c>
      <c r="AT14" s="23">
        <f>'Intermediate calculations'!AO22*'Intermediate calculations'!AO25*(1-Constants!$H$23)</f>
        <v>4207175.6359207341</v>
      </c>
      <c r="AU14" s="23">
        <f>'Intermediate calculations'!AP22*'Intermediate calculations'!AP25*(1-Constants!$H$23)</f>
        <v>4217154.3735413402</v>
      </c>
      <c r="AV14" s="23">
        <f>'Intermediate calculations'!AQ22*'Intermediate calculations'!AQ25*(1-Constants!$H$23)</f>
        <v>4226865.6962580876</v>
      </c>
      <c r="AW14" s="23">
        <f>'Intermediate calculations'!AR22*'Intermediate calculations'!AR25*(1-Constants!$H$23)</f>
        <v>4236230.3184491871</v>
      </c>
      <c r="AX14" s="23">
        <f>'Intermediate calculations'!AS22*'Intermediate calculations'!AS25*(1-Constants!$H$23)</f>
        <v>4245388.896645749</v>
      </c>
      <c r="AY14" s="23">
        <f>'Intermediate calculations'!AT22*'Intermediate calculations'!AT25*(1-Constants!$H$23)</f>
        <v>4254323.5296273241</v>
      </c>
      <c r="AZ14" s="23">
        <f>'Intermediate calculations'!AU22*'Intermediate calculations'!AU25*(1-Constants!$H$23)</f>
        <v>4262973.0817429293</v>
      </c>
      <c r="BA14" s="23">
        <f>'Intermediate calculations'!AV22*'Intermediate calculations'!AV25*(1-Constants!$H$23)</f>
        <v>4271384.6286448035</v>
      </c>
      <c r="BB14" s="23">
        <f>'Intermediate calculations'!AW22*'Intermediate calculations'!AW25*(1-Constants!$H$23)</f>
        <v>4279575.3532960629</v>
      </c>
      <c r="BC14" s="23">
        <f>'Intermediate calculations'!AX22*'Intermediate calculations'!AX25*(1-Constants!$H$23)</f>
        <v>4287581.2186671272</v>
      </c>
      <c r="BD14" s="23">
        <f>'Intermediate calculations'!AY22*'Intermediate calculations'!AY25*(1-Constants!$H$23)</f>
        <v>4295153.9988436196</v>
      </c>
      <c r="BE14" s="23">
        <f>'Intermediate calculations'!AZ22*'Intermediate calculations'!AZ25*(1-Constants!$H$23)</f>
        <v>4302291.9038144611</v>
      </c>
      <c r="BF14" s="23">
        <f>'Intermediate calculations'!BA22*'Intermediate calculations'!BA25*(1-Constants!$H$23)</f>
        <v>4309073.5629207017</v>
      </c>
      <c r="BG14" s="23">
        <f>'Intermediate calculations'!BB22*'Intermediate calculations'!BB25*(1-Constants!$H$23)</f>
        <v>4315448.4233094966</v>
      </c>
      <c r="BH14" s="23">
        <f>'Intermediate calculations'!BC22*'Intermediate calculations'!BC25*(1-Constants!$H$23)</f>
        <v>4321435.4609063948</v>
      </c>
      <c r="BI14" s="23">
        <f>'Intermediate calculations'!BD22*'Intermediate calculations'!BD25*(1-Constants!$H$23)</f>
        <v>4327010.045680142</v>
      </c>
      <c r="BJ14" s="23">
        <f>'Intermediate calculations'!BE22*'Intermediate calculations'!BE25*(1-Constants!$H$23)</f>
        <v>4332086.1313237371</v>
      </c>
      <c r="BK14" s="23">
        <f>'Intermediate calculations'!BF22*'Intermediate calculations'!BF25*(1-Constants!$H$23)</f>
        <v>4336584.6753928512</v>
      </c>
      <c r="BL14" s="23">
        <f>'Intermediate calculations'!BG22*'Intermediate calculations'!BG25*(1-Constants!$H$23)</f>
        <v>4340505.9848137163</v>
      </c>
      <c r="BM14" s="23">
        <f>'Intermediate calculations'!BH22*'Intermediate calculations'!BH25*(1-Constants!$H$23)</f>
        <v>4343817.8397868238</v>
      </c>
      <c r="BN14" s="23">
        <f>'Intermediate calculations'!BI22*'Intermediate calculations'!BI25*(1-Constants!$H$23)</f>
        <v>4346523.5992516484</v>
      </c>
      <c r="BO14" s="23">
        <f>'Intermediate calculations'!BJ22*'Intermediate calculations'!BJ25*(1-Constants!$H$23)</f>
        <v>4348701.7427611565</v>
      </c>
      <c r="BP14" s="23">
        <f>'Intermediate calculations'!BK22*'Intermediate calculations'!BK25*(1-Constants!$H$23)</f>
        <v>4349922.0653808098</v>
      </c>
    </row>
    <row r="15" spans="1:72" x14ac:dyDescent="0.25">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308239.46209968906</v>
      </c>
      <c r="AL15" s="23">
        <f>((Data!$AJ$61*((Drivers!AH5*1000000)/Drivers!AH4))+Data!$AK$61)</f>
        <v>294288.06949392188</v>
      </c>
      <c r="AM15" s="23">
        <f>((Data!$AJ$61*((Drivers!AI5*1000000)/Drivers!AI4))+Data!$AK$61)</f>
        <v>303027.95614003902</v>
      </c>
      <c r="AN15" s="23">
        <f>((Data!$AJ$61*((Drivers!AJ5*1000000)/Drivers!AJ4))+Data!$AK$61)</f>
        <v>307386.87813778559</v>
      </c>
      <c r="AO15" s="23">
        <f>((Data!$AJ$61*((Drivers!AK5*1000000)/Drivers!AK4))+Data!$AK$61)</f>
        <v>308045.20224828663</v>
      </c>
      <c r="AP15" s="23">
        <f>((Data!$AJ$61*((Drivers!AL5*1000000)/Drivers!AL4))+Data!$AK$61)</f>
        <v>308624.41284560575</v>
      </c>
      <c r="AQ15" s="23">
        <f>((Data!$AJ$61*((Drivers!AM5*1000000)/Drivers!AM4))+Data!$AK$61)</f>
        <v>310029.84023967013</v>
      </c>
      <c r="AR15" s="23">
        <f>((Data!$AJ$61*((Drivers!AN5*1000000)/Drivers!AN4))+Data!$AK$61)</f>
        <v>312428.79331891559</v>
      </c>
      <c r="AS15" s="23">
        <f>((Data!$AJ$61*((Drivers!AO5*1000000)/Drivers!AO4))+Data!$AK$61)</f>
        <v>315323.2845379496</v>
      </c>
      <c r="AT15" s="23">
        <f>((Data!$AJ$61*((Drivers!AP5*1000000)/Drivers!AP4))+Data!$AK$61)</f>
        <v>318844.64734990173</v>
      </c>
      <c r="AU15" s="23">
        <f>((Data!$AJ$61*((Drivers!AQ5*1000000)/Drivers!AQ4))+Data!$AK$61)</f>
        <v>323388.12851953279</v>
      </c>
      <c r="AV15" s="23">
        <f>((Data!$AJ$61*((Drivers!AR5*1000000)/Drivers!AR4))+Data!$AK$61)</f>
        <v>328894.38205114764</v>
      </c>
      <c r="AW15" s="23">
        <f>((Data!$AJ$61*((Drivers!AS5*1000000)/Drivers!AS4))+Data!$AK$61)</f>
        <v>334991.82956595405</v>
      </c>
      <c r="AX15" s="23">
        <f>((Data!$AJ$61*((Drivers!AT5*1000000)/Drivers!AT4))+Data!$AK$61)</f>
        <v>341655.53306807892</v>
      </c>
      <c r="AY15" s="23">
        <f>((Data!$AJ$61*((Drivers!AU5*1000000)/Drivers!AU4))+Data!$AK$61)</f>
        <v>348679.53226352658</v>
      </c>
      <c r="AZ15" s="23">
        <f>((Data!$AJ$61*((Drivers!AV5*1000000)/Drivers!AV4))+Data!$AK$61)</f>
        <v>356161.9578533743</v>
      </c>
      <c r="BA15" s="23">
        <f>((Data!$AJ$61*((Drivers!AW5*1000000)/Drivers!AW4))+Data!$AK$61)</f>
        <v>364004.83192229457</v>
      </c>
      <c r="BB15" s="23">
        <f>((Data!$AJ$61*((Drivers!AX5*1000000)/Drivers!AX4))+Data!$AK$61)</f>
        <v>371850.4299910689</v>
      </c>
      <c r="BC15" s="23">
        <f>((Data!$AJ$61*((Drivers!AY5*1000000)/Drivers!AY4))+Data!$AK$61)</f>
        <v>380214.88400822948</v>
      </c>
      <c r="BD15" s="23">
        <f>((Data!$AJ$61*((Drivers!AZ5*1000000)/Drivers!AZ4))+Data!$AK$61)</f>
        <v>388782.13711572392</v>
      </c>
      <c r="BE15" s="23">
        <f>((Data!$AJ$61*((Drivers!BA5*1000000)/Drivers!BA4))+Data!$AK$61)</f>
        <v>397528.89013365656</v>
      </c>
      <c r="BF15" s="23">
        <f>((Data!$AJ$61*((Drivers!BB5*1000000)/Drivers!BB4))+Data!$AK$61)</f>
        <v>406610.80865718157</v>
      </c>
      <c r="BG15" s="23">
        <f>((Data!$AJ$61*((Drivers!BC5*1000000)/Drivers!BC4))+Data!$AK$61)</f>
        <v>415645.5849707239</v>
      </c>
      <c r="BH15" s="23">
        <f>((Data!$AJ$61*((Drivers!BD5*1000000)/Drivers!BD4))+Data!$AK$61)</f>
        <v>425172.03385524813</v>
      </c>
      <c r="BI15" s="23">
        <f>((Data!$AJ$61*((Drivers!BE5*1000000)/Drivers!BE4))+Data!$AK$61)</f>
        <v>435393.05600758985</v>
      </c>
      <c r="BJ15" s="23">
        <f>((Data!$AJ$61*((Drivers!BF5*1000000)/Drivers!BF4))+Data!$AK$61)</f>
        <v>445992.78369025595</v>
      </c>
      <c r="BK15" s="23">
        <f>((Data!$AJ$61*((Drivers!BG5*1000000)/Drivers!BG4))+Data!$AK$61)</f>
        <v>457005.01758702658</v>
      </c>
      <c r="BL15" s="23">
        <f>((Data!$AJ$61*((Drivers!BH5*1000000)/Drivers!BH4))+Data!$AK$61)</f>
        <v>468809.16064677841</v>
      </c>
      <c r="BM15" s="23">
        <f>((Data!$AJ$61*((Drivers!BI5*1000000)/Drivers!BI4))+Data!$AK$61)</f>
        <v>481302.79798443045</v>
      </c>
      <c r="BN15" s="23">
        <f>((Data!$AJ$61*((Drivers!BJ5*1000000)/Drivers!BJ4))+Data!$AK$61)</f>
        <v>494419.21522295987</v>
      </c>
      <c r="BO15" s="23">
        <f>((Data!$AJ$61*((Drivers!BK5*1000000)/Drivers!BK4))+Data!$AK$61)</f>
        <v>508408.24121522659</v>
      </c>
      <c r="BP15" s="23">
        <f>((Data!$AJ$61*((Drivers!BL5*1000000)/Drivers!BL4))+Data!$AK$61)</f>
        <v>521927.37253184826</v>
      </c>
    </row>
    <row r="16" spans="1:72" x14ac:dyDescent="0.25">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5">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1647045.1860532647</v>
      </c>
      <c r="AF17" s="23">
        <f>'Intermediate calculations'!AA32*'Intermediate calculations'!AA33*Constants!$H$24</f>
        <v>1647784.0190100386</v>
      </c>
      <c r="AG17" s="23">
        <f>'Intermediate calculations'!AB32*'Intermediate calculations'!AB33*Constants!$H$24</f>
        <v>1632656.0990208653</v>
      </c>
      <c r="AH17" s="23">
        <f>'Intermediate calculations'!AC32*'Intermediate calculations'!AC33*Constants!$H$24</f>
        <v>1607948.7164639276</v>
      </c>
      <c r="AI17" s="23">
        <f>'Intermediate calculations'!AD32*'Intermediate calculations'!AD33*Constants!$H$24</f>
        <v>1574056.8450456359</v>
      </c>
      <c r="AJ17" s="23">
        <f>'Intermediate calculations'!AE32*'Intermediate calculations'!AE33*Constants!$H$24</f>
        <v>1549447.5878836231</v>
      </c>
      <c r="AK17" s="23">
        <f>'Intermediate calculations'!AF32*'Intermediate calculations'!AF33*Constants!$H$24</f>
        <v>1527015.9199472498</v>
      </c>
      <c r="AL17" s="23">
        <f>'Intermediate calculations'!AG32*'Intermediate calculations'!AG33*Constants!$H$24</f>
        <v>1371748.5957835338</v>
      </c>
      <c r="AM17" s="23">
        <f>'Intermediate calculations'!AH32*'Intermediate calculations'!AH33*Constants!$H$24</f>
        <v>1433736.2656028473</v>
      </c>
      <c r="AN17" s="23">
        <f>'Intermediate calculations'!AI32*'Intermediate calculations'!AI33*Constants!$H$24</f>
        <v>1452477.0019582291</v>
      </c>
      <c r="AO17" s="23">
        <f>'Intermediate calculations'!AJ32*'Intermediate calculations'!AJ33*Constants!$H$24</f>
        <v>1438142.4640501887</v>
      </c>
      <c r="AP17" s="23">
        <f>'Intermediate calculations'!AK32*'Intermediate calculations'!AK33*Constants!$H$24</f>
        <v>1425535.3141805318</v>
      </c>
      <c r="AQ17" s="23">
        <f>'Intermediate calculations'!AL32*'Intermediate calculations'!AL33*Constants!$H$24</f>
        <v>1421639.0693319717</v>
      </c>
      <c r="AR17" s="23">
        <f>'Intermediate calculations'!AM32*'Intermediate calculations'!AM33*Constants!$H$24</f>
        <v>1426115.1897885611</v>
      </c>
      <c r="AS17" s="23">
        <f>'Intermediate calculations'!AN32*'Intermediate calculations'!AN33*Constants!$H$24</f>
        <v>1434452.4061513322</v>
      </c>
      <c r="AT17" s="23">
        <f>'Intermediate calculations'!AO32*'Intermediate calculations'!AO33*Constants!$H$24</f>
        <v>1447601.8836349829</v>
      </c>
      <c r="AU17" s="23">
        <f>'Intermediate calculations'!AP32*'Intermediate calculations'!AP33*Constants!$H$24</f>
        <v>1468725.2268326974</v>
      </c>
      <c r="AV17" s="23">
        <f>'Intermediate calculations'!AQ32*'Intermediate calculations'!AQ33*Constants!$H$24</f>
        <v>1497084.9344248879</v>
      </c>
      <c r="AW17" s="23">
        <f>'Intermediate calculations'!AR32*'Intermediate calculations'!AR33*Constants!$H$24</f>
        <v>1529362.5480945888</v>
      </c>
      <c r="AX17" s="23">
        <f>'Intermediate calculations'!AS32*'Intermediate calculations'!AS33*Constants!$H$24</f>
        <v>1565237.646985665</v>
      </c>
      <c r="AY17" s="23">
        <f>'Intermediate calculations'!AT32*'Intermediate calculations'!AT33*Constants!$H$24</f>
        <v>1602915.7440535391</v>
      </c>
      <c r="AZ17" s="23">
        <f>'Intermediate calculations'!AU32*'Intermediate calculations'!AU33*Constants!$H$24</f>
        <v>1643043.925379565</v>
      </c>
      <c r="BA17" s="23">
        <f>'Intermediate calculations'!AV32*'Intermediate calculations'!AV33*Constants!$H$24</f>
        <v>1684757.2724027899</v>
      </c>
      <c r="BB17" s="23">
        <f>'Intermediate calculations'!AW32*'Intermediate calculations'!AW33*Constants!$H$24</f>
        <v>1725237.1319040265</v>
      </c>
      <c r="BC17" s="23">
        <f>'Intermediate calculations'!AX32*'Intermediate calculations'!AX33*Constants!$H$24</f>
        <v>1768394.2381216898</v>
      </c>
      <c r="BD17" s="23">
        <f>'Intermediate calculations'!AY32*'Intermediate calculations'!AY33*Constants!$H$24</f>
        <v>1811637.4241507875</v>
      </c>
      <c r="BE17" s="23">
        <f>'Intermediate calculations'!AZ32*'Intermediate calculations'!AZ33*Constants!$H$24</f>
        <v>1854739.6499469937</v>
      </c>
      <c r="BF17" s="23">
        <f>'Intermediate calculations'!BA32*'Intermediate calculations'!BA33*Constants!$H$24</f>
        <v>1898816.1951115066</v>
      </c>
      <c r="BG17" s="23">
        <f>'Intermediate calculations'!BB32*'Intermediate calculations'!BB33*Constants!$H$24</f>
        <v>1941016.7130752378</v>
      </c>
      <c r="BH17" s="23">
        <f>'Intermediate calculations'!BC32*'Intermediate calculations'!BC33*Constants!$H$24</f>
        <v>1985177.0922714637</v>
      </c>
      <c r="BI17" s="23">
        <f>'Intermediate calculations'!BD32*'Intermediate calculations'!BD33*Constants!$H$24</f>
        <v>2032570.3488604655</v>
      </c>
      <c r="BJ17" s="23">
        <f>'Intermediate calculations'!BE32*'Intermediate calculations'!BE33*Constants!$H$24</f>
        <v>2080791.8647134064</v>
      </c>
      <c r="BK17" s="23">
        <f>'Intermediate calculations'!BF32*'Intermediate calculations'!BF33*Constants!$H$24</f>
        <v>2129930.2914873464</v>
      </c>
      <c r="BL17" s="23">
        <f>'Intermediate calculations'!BG32*'Intermediate calculations'!BG33*Constants!$H$24</f>
        <v>2182413.7415643274</v>
      </c>
      <c r="BM17" s="23">
        <f>'Intermediate calculations'!BH32*'Intermediate calculations'!BH33*Constants!$H$24</f>
        <v>2237328.5405060551</v>
      </c>
      <c r="BN17" s="23">
        <f>'Intermediate calculations'!BI32*'Intermediate calculations'!BI33*Constants!$H$24</f>
        <v>2294048.7331730053</v>
      </c>
      <c r="BO17" s="23">
        <f>'Intermediate calculations'!BJ32*'Intermediate calculations'!BJ33*Constants!$H$24</f>
        <v>2354045.6716976329</v>
      </c>
      <c r="BP17" s="23">
        <f>'Intermediate calculations'!BK32*'Intermediate calculations'!BK33*Constants!$H$24</f>
        <v>2408353.7615859271</v>
      </c>
    </row>
    <row r="18" spans="1:72" x14ac:dyDescent="0.25">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224597.07082544517</v>
      </c>
      <c r="AF18" s="23">
        <f>'Intermediate calculations'!AA32*'Intermediate calculations'!AA33*(1-Constants!$H$24)</f>
        <v>224697.82077409615</v>
      </c>
      <c r="AG18" s="23">
        <f>'Intermediate calculations'!AB32*'Intermediate calculations'!AB33*(1-Constants!$H$24)</f>
        <v>222634.92259375434</v>
      </c>
      <c r="AH18" s="23">
        <f>'Intermediate calculations'!AC32*'Intermediate calculations'!AC33*(1-Constants!$H$24)</f>
        <v>219265.73406326285</v>
      </c>
      <c r="AI18" s="23">
        <f>'Intermediate calculations'!AD32*'Intermediate calculations'!AD33*(1-Constants!$H$24)</f>
        <v>214644.1152334958</v>
      </c>
      <c r="AJ18" s="23">
        <f>'Intermediate calculations'!AE32*'Intermediate calculations'!AE33*(1-Constants!$H$24)</f>
        <v>211288.30743867587</v>
      </c>
      <c r="AK18" s="23">
        <f>'Intermediate calculations'!AF32*'Intermediate calculations'!AF33*(1-Constants!$H$24)</f>
        <v>208229.44362917045</v>
      </c>
      <c r="AL18" s="23">
        <f>'Intermediate calculations'!AG32*'Intermediate calculations'!AG33*(1-Constants!$H$24)</f>
        <v>187056.62669775457</v>
      </c>
      <c r="AM18" s="23">
        <f>'Intermediate calculations'!AH32*'Intermediate calculations'!AH33*(1-Constants!$H$24)</f>
        <v>195509.49076402464</v>
      </c>
      <c r="AN18" s="23">
        <f>'Intermediate calculations'!AI32*'Intermediate calculations'!AI33*(1-Constants!$H$24)</f>
        <v>198065.04572157669</v>
      </c>
      <c r="AO18" s="23">
        <f>'Intermediate calculations'!AJ32*'Intermediate calculations'!AJ33*(1-Constants!$H$24)</f>
        <v>196110.33600684389</v>
      </c>
      <c r="AP18" s="23">
        <f>'Intermediate calculations'!AK32*'Intermediate calculations'!AK33*(1-Constants!$H$24)</f>
        <v>194391.17920643615</v>
      </c>
      <c r="AQ18" s="23">
        <f>'Intermediate calculations'!AL32*'Intermediate calculations'!AL33*(1-Constants!$H$24)</f>
        <v>193859.87309072341</v>
      </c>
      <c r="AR18" s="23">
        <f>'Intermediate calculations'!AM32*'Intermediate calculations'!AM33*(1-Constants!$H$24)</f>
        <v>194470.25315298559</v>
      </c>
      <c r="AS18" s="23">
        <f>'Intermediate calculations'!AN32*'Intermediate calculations'!AN33*(1-Constants!$H$24)</f>
        <v>195607.14629336348</v>
      </c>
      <c r="AT18" s="23">
        <f>'Intermediate calculations'!AO32*'Intermediate calculations'!AO33*(1-Constants!$H$24)</f>
        <v>197400.25685931582</v>
      </c>
      <c r="AU18" s="23">
        <f>'Intermediate calculations'!AP32*'Intermediate calculations'!AP33*(1-Constants!$H$24)</f>
        <v>200280.71274991328</v>
      </c>
      <c r="AV18" s="23">
        <f>'Intermediate calculations'!AQ32*'Intermediate calculations'!AQ33*(1-Constants!$H$24)</f>
        <v>204147.94560339377</v>
      </c>
      <c r="AW18" s="23">
        <f>'Intermediate calculations'!AR32*'Intermediate calculations'!AR33*(1-Constants!$H$24)</f>
        <v>208549.43837653482</v>
      </c>
      <c r="AX18" s="23">
        <f>'Intermediate calculations'!AS32*'Intermediate calculations'!AS33*(1-Constants!$H$24)</f>
        <v>213441.49731622703</v>
      </c>
      <c r="AY18" s="23">
        <f>'Intermediate calculations'!AT32*'Intermediate calculations'!AT33*(1-Constants!$H$24)</f>
        <v>218579.41964366441</v>
      </c>
      <c r="AZ18" s="23">
        <f>'Intermediate calculations'!AU32*'Intermediate calculations'!AU33*(1-Constants!$H$24)</f>
        <v>224051.4443699407</v>
      </c>
      <c r="BA18" s="23">
        <f>'Intermediate calculations'!AV32*'Intermediate calculations'!AV33*(1-Constants!$H$24)</f>
        <v>229739.62805492588</v>
      </c>
      <c r="BB18" s="23">
        <f>'Intermediate calculations'!AW32*'Intermediate calculations'!AW33*(1-Constants!$H$24)</f>
        <v>235259.6088960036</v>
      </c>
      <c r="BC18" s="23">
        <f>'Intermediate calculations'!AX32*'Intermediate calculations'!AX33*(1-Constants!$H$24)</f>
        <v>241144.66883477586</v>
      </c>
      <c r="BD18" s="23">
        <f>'Intermediate calculations'!AY32*'Intermediate calculations'!AY33*(1-Constants!$H$24)</f>
        <v>247041.46692965282</v>
      </c>
      <c r="BE18" s="23">
        <f>'Intermediate calculations'!AZ32*'Intermediate calculations'!AZ33*(1-Constants!$H$24)</f>
        <v>252919.04317459004</v>
      </c>
      <c r="BF18" s="23">
        <f>'Intermediate calculations'!BA32*'Intermediate calculations'!BA33*(1-Constants!$H$24)</f>
        <v>258929.48115156908</v>
      </c>
      <c r="BG18" s="23">
        <f>'Intermediate calculations'!BB32*'Intermediate calculations'!BB33*(1-Constants!$H$24)</f>
        <v>264684.09723753243</v>
      </c>
      <c r="BH18" s="23">
        <f>'Intermediate calculations'!BC32*'Intermediate calculations'!BC33*(1-Constants!$H$24)</f>
        <v>270705.96712792688</v>
      </c>
      <c r="BI18" s="23">
        <f>'Intermediate calculations'!BD32*'Intermediate calculations'!BD33*(1-Constants!$H$24)</f>
        <v>277168.68393551797</v>
      </c>
      <c r="BJ18" s="23">
        <f>'Intermediate calculations'!BE32*'Intermediate calculations'!BE33*(1-Constants!$H$24)</f>
        <v>283744.3451881918</v>
      </c>
      <c r="BK18" s="23">
        <f>'Intermediate calculations'!BF32*'Intermediate calculations'!BF33*(1-Constants!$H$24)</f>
        <v>290445.03974827455</v>
      </c>
      <c r="BL18" s="23">
        <f>'Intermediate calculations'!BG32*'Intermediate calculations'!BG33*(1-Constants!$H$24)</f>
        <v>297601.873849681</v>
      </c>
      <c r="BM18" s="23">
        <f>'Intermediate calculations'!BH32*'Intermediate calculations'!BH33*(1-Constants!$H$24)</f>
        <v>305090.255523553</v>
      </c>
      <c r="BN18" s="23">
        <f>'Intermediate calculations'!BI32*'Intermediate calculations'!BI33*(1-Constants!$H$24)</f>
        <v>312824.82725086436</v>
      </c>
      <c r="BO18" s="23">
        <f>'Intermediate calculations'!BJ32*'Intermediate calculations'!BJ33*(1-Constants!$H$24)</f>
        <v>321006.22795876808</v>
      </c>
      <c r="BP18" s="23">
        <f>'Intermediate calculations'!BK32*'Intermediate calculations'!BK33*(1-Constants!$H$24)</f>
        <v>328411.87657989911</v>
      </c>
    </row>
    <row r="19" spans="1:72" x14ac:dyDescent="0.25">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25350316.178505685</v>
      </c>
      <c r="AM19" s="23">
        <f>'Intermediate calculations'!AH37*'Intermediate calculations'!AH38*Constants!$H$25</f>
        <v>26408735.533055577</v>
      </c>
      <c r="AN19" s="23">
        <f>'Intermediate calculations'!AI37*'Intermediate calculations'!AI38*Constants!$H$25</f>
        <v>27037761.553333167</v>
      </c>
      <c r="AO19" s="23">
        <f>'Intermediate calculations'!AJ37*'Intermediate calculations'!AJ38*Constants!$H$25</f>
        <v>27338002.975853834</v>
      </c>
      <c r="AP19" s="23">
        <f>'Intermediate calculations'!AK37*'Intermediate calculations'!AK38*Constants!$H$25</f>
        <v>27670981.254269924</v>
      </c>
      <c r="AQ19" s="23">
        <f>'Intermediate calculations'!AL37*'Intermediate calculations'!AL38*Constants!$H$25</f>
        <v>28105220.469150901</v>
      </c>
      <c r="AR19" s="23">
        <f>'Intermediate calculations'!AM37*'Intermediate calculations'!AM38*Constants!$H$25</f>
        <v>28627932.806100942</v>
      </c>
      <c r="AS19" s="23">
        <f>'Intermediate calculations'!AN37*'Intermediate calculations'!AN38*Constants!$H$25</f>
        <v>29194859.417688563</v>
      </c>
      <c r="AT19" s="23">
        <f>'Intermediate calculations'!AO37*'Intermediate calculations'!AO38*Constants!$H$25</f>
        <v>29819916.767370615</v>
      </c>
      <c r="AU19" s="23">
        <f>'Intermediate calculations'!AP37*'Intermediate calculations'!AP38*Constants!$H$25</f>
        <v>30544491.454696167</v>
      </c>
      <c r="AV19" s="23">
        <f>'Intermediate calculations'!AQ37*'Intermediate calculations'!AQ38*Constants!$H$25</f>
        <v>31366383.106817737</v>
      </c>
      <c r="AW19" s="23">
        <f>'Intermediate calculations'!AR37*'Intermediate calculations'!AR38*Constants!$H$25</f>
        <v>32250631.586499896</v>
      </c>
      <c r="AX19" s="23">
        <f>'Intermediate calculations'!AS37*'Intermediate calculations'!AS38*Constants!$H$25</f>
        <v>33197098.245378032</v>
      </c>
      <c r="AY19" s="23">
        <f>'Intermediate calculations'!AT37*'Intermediate calculations'!AT38*Constants!$H$25</f>
        <v>34186211.859999739</v>
      </c>
      <c r="AZ19" s="23">
        <f>'Intermediate calculations'!AU37*'Intermediate calculations'!AU38*Constants!$H$25</f>
        <v>35228014.344321951</v>
      </c>
      <c r="BA19" s="23">
        <f>'Intermediate calculations'!AV37*'Intermediate calculations'!AV38*Constants!$H$25</f>
        <v>36313753.867247581</v>
      </c>
      <c r="BB19" s="23">
        <f>'Intermediate calculations'!AW37*'Intermediate calculations'!AW38*Constants!$H$25</f>
        <v>37407573.988881394</v>
      </c>
      <c r="BC19" s="23">
        <f>'Intermediate calculations'!AX37*'Intermediate calculations'!AX38*Constants!$H$25</f>
        <v>38562749.506188259</v>
      </c>
      <c r="BD19" s="23">
        <f>'Intermediate calculations'!AY37*'Intermediate calculations'!AY38*Constants!$H$25</f>
        <v>39745096.975792833</v>
      </c>
      <c r="BE19" s="23">
        <f>'Intermediate calculations'!AZ37*'Intermediate calculations'!AZ38*Constants!$H$25</f>
        <v>40952188.782423802</v>
      </c>
      <c r="BF19" s="23">
        <f>'Intermediate calculations'!BA37*'Intermediate calculations'!BA38*Constants!$H$25</f>
        <v>42201083.559905358</v>
      </c>
      <c r="BG19" s="23">
        <f>'Intermediate calculations'!BB37*'Intermediate calculations'!BB38*Constants!$H$25</f>
        <v>43451202.561684646</v>
      </c>
      <c r="BH19" s="23">
        <f>'Intermediate calculations'!BC37*'Intermediate calculations'!BC38*Constants!$H$25</f>
        <v>44759448.199851647</v>
      </c>
      <c r="BI19" s="23">
        <f>'Intermediate calculations'!BD37*'Intermediate calculations'!BD38*Constants!$H$25</f>
        <v>46147680.988987908</v>
      </c>
      <c r="BJ19" s="23">
        <f>'Intermediate calculations'!BE37*'Intermediate calculations'!BE38*Constants!$H$25</f>
        <v>47581799.423311822</v>
      </c>
      <c r="BK19" s="23">
        <f>'Intermediate calculations'!BF37*'Intermediate calculations'!BF38*Constants!$H$25</f>
        <v>49064604.117689945</v>
      </c>
      <c r="BL19" s="23">
        <f>'Intermediate calculations'!BG37*'Intermediate calculations'!BG38*Constants!$H$25</f>
        <v>50637154.6480323</v>
      </c>
      <c r="BM19" s="23">
        <f>'Intermediate calculations'!BH37*'Intermediate calculations'!BH38*Constants!$H$25</f>
        <v>52288374.959454365</v>
      </c>
      <c r="BN19" s="23">
        <f>'Intermediate calculations'!BI37*'Intermediate calculations'!BI38*Constants!$H$25</f>
        <v>54011180.429054819</v>
      </c>
      <c r="BO19" s="23">
        <f>'Intermediate calculations'!BJ37*'Intermediate calculations'!BJ38*Constants!$H$25</f>
        <v>55833926.495470583</v>
      </c>
      <c r="BP19" s="23">
        <f>'Intermediate calculations'!BK37*'Intermediate calculations'!BK38*Constants!$H$25</f>
        <v>57603540.497549266</v>
      </c>
    </row>
    <row r="20" spans="1:72" x14ac:dyDescent="0.25">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97270973.713722616</v>
      </c>
      <c r="AG20" s="23">
        <f>'Intermediate calculations'!AB42*'Intermediate calculations'!AB43*Constants!$H$26</f>
        <v>97842130.84288761</v>
      </c>
      <c r="AH20" s="23">
        <f>'Intermediate calculations'!AC42*'Intermediate calculations'!AC43*Constants!$H$26</f>
        <v>97491901.62390025</v>
      </c>
      <c r="AI20" s="23">
        <f>'Intermediate calculations'!AD42*'Intermediate calculations'!AD43*Constants!$H$26</f>
        <v>96224012.280420944</v>
      </c>
      <c r="AJ20" s="23">
        <f>'Intermediate calculations'!AE42*'Intermediate calculations'!AE43*Constants!$H$26</f>
        <v>95690259.829558313</v>
      </c>
      <c r="AK20" s="23">
        <f>'Intermediate calculations'!AF42*'Intermediate calculations'!AF43*Constants!$H$26</f>
        <v>95277598.733681634</v>
      </c>
      <c r="AL20" s="23">
        <f>'Intermediate calculations'!AG42*'Intermediate calculations'!AG43*Constants!$H$26</f>
        <v>82894080.954694346</v>
      </c>
      <c r="AM20" s="23">
        <f>'Intermediate calculations'!AH42*'Intermediate calculations'!AH43*Constants!$H$26</f>
        <v>90393930.419263557</v>
      </c>
      <c r="AN20" s="23">
        <f>'Intermediate calculations'!AI42*'Intermediate calculations'!AI43*Constants!$H$26</f>
        <v>94002622.019163698</v>
      </c>
      <c r="AO20" s="23">
        <f>'Intermediate calculations'!AJ42*'Intermediate calculations'!AJ43*Constants!$H$26</f>
        <v>94454154.889687449</v>
      </c>
      <c r="AP20" s="23">
        <f>'Intermediate calculations'!AK42*'Intermediate calculations'!AK43*Constants!$H$26</f>
        <v>94974679.786767587</v>
      </c>
      <c r="AQ20" s="23">
        <f>'Intermediate calculations'!AL42*'Intermediate calculations'!AL43*Constants!$H$26</f>
        <v>96294735.95473586</v>
      </c>
      <c r="AR20" s="23">
        <f>'Intermediate calculations'!AM42*'Intermediate calculations'!AM43*Constants!$H$26</f>
        <v>98468274.24258782</v>
      </c>
      <c r="AS20" s="23">
        <f>'Intermediate calculations'!AN42*'Intermediate calculations'!AN43*Constants!$H$26</f>
        <v>101068840.03772344</v>
      </c>
      <c r="AT20" s="23">
        <f>'Intermediate calculations'!AO42*'Intermediate calculations'!AO43*Constants!$H$26</f>
        <v>104211214.83932562</v>
      </c>
      <c r="AU20" s="23">
        <f>'Intermediate calculations'!AP42*'Intermediate calculations'!AP43*Constants!$H$26</f>
        <v>108244282.49400334</v>
      </c>
      <c r="AV20" s="23">
        <f>'Intermediate calculations'!AQ42*'Intermediate calculations'!AQ43*Constants!$H$26</f>
        <v>113122032.67958254</v>
      </c>
      <c r="AW20" s="23">
        <f>'Intermediate calculations'!AR42*'Intermediate calculations'!AR43*Constants!$H$26</f>
        <v>118520843.42590588</v>
      </c>
      <c r="AX20" s="23">
        <f>'Intermediate calculations'!AS42*'Intermediate calculations'!AS43*Constants!$H$26</f>
        <v>124422803.86290345</v>
      </c>
      <c r="AY20" s="23">
        <f>'Intermediate calculations'!AT42*'Intermediate calculations'!AT43*Constants!$H$26</f>
        <v>130648267.66371906</v>
      </c>
      <c r="AZ20" s="23">
        <f>'Intermediate calculations'!AU42*'Intermediate calculations'!AU43*Constants!$H$26</f>
        <v>137280542.32060531</v>
      </c>
      <c r="BA20" s="23">
        <f>'Intermediate calculations'!AV42*'Intermediate calculations'!AV43*Constants!$H$26</f>
        <v>144235037.05865496</v>
      </c>
      <c r="BB20" s="23">
        <f>'Intermediate calculations'!AW42*'Intermediate calculations'!AW43*Constants!$H$26</f>
        <v>151199621.99613568</v>
      </c>
      <c r="BC20" s="23">
        <f>'Intermediate calculations'!AX42*'Intermediate calculations'!AX43*Constants!$H$26</f>
        <v>158624775.00255036</v>
      </c>
      <c r="BD20" s="23">
        <f>'Intermediate calculations'!AY42*'Intermediate calculations'!AY43*Constants!$H$26</f>
        <v>166225099.24857998</v>
      </c>
      <c r="BE20" s="23">
        <f>'Intermediate calculations'!AZ42*'Intermediate calculations'!AZ43*Constants!$H$26</f>
        <v>173978053.60793683</v>
      </c>
      <c r="BF20" s="23">
        <f>'Intermediate calculations'!BA42*'Intermediate calculations'!BA43*Constants!$H$26</f>
        <v>182020374.97889093</v>
      </c>
      <c r="BG20" s="23">
        <f>'Intermediate calculations'!BB42*'Intermediate calculations'!BB43*Constants!$H$26</f>
        <v>190014409.54631716</v>
      </c>
      <c r="BH20" s="23">
        <f>'Intermediate calculations'!BC42*'Intermediate calculations'!BC43*Constants!$H$26</f>
        <v>198428811.99033922</v>
      </c>
      <c r="BI20" s="23">
        <f>'Intermediate calculations'!BD42*'Intermediate calculations'!BD43*Constants!$H$26</f>
        <v>207436820.08242714</v>
      </c>
      <c r="BJ20" s="23">
        <f>'Intermediate calculations'!BE42*'Intermediate calculations'!BE43*Constants!$H$26</f>
        <v>216755778.63124537</v>
      </c>
      <c r="BK20" s="23">
        <f>'Intermediate calculations'!BF42*'Intermediate calculations'!BF43*Constants!$H$26</f>
        <v>226407448.65376598</v>
      </c>
      <c r="BL20" s="23">
        <f>'Intermediate calculations'!BG42*'Intermediate calculations'!BG43*Constants!$H$26</f>
        <v>236717297.94777542</v>
      </c>
      <c r="BM20" s="23">
        <f>'Intermediate calculations'!BH42*'Intermediate calculations'!BH43*Constants!$H$26</f>
        <v>247588545.91690725</v>
      </c>
      <c r="BN20" s="23">
        <f>'Intermediate calculations'!BI42*'Intermediate calculations'!BI43*Constants!$H$26</f>
        <v>258956906.1799702</v>
      </c>
      <c r="BO20" s="23">
        <f>'Intermediate calculations'!BJ42*'Intermediate calculations'!BJ43*Constants!$H$26</f>
        <v>271036603.07164901</v>
      </c>
      <c r="BP20" s="23">
        <f>'Intermediate calculations'!BK42*'Intermediate calculations'!BK43*Constants!$H$26</f>
        <v>282631869.11967134</v>
      </c>
    </row>
    <row r="21" spans="1:72" x14ac:dyDescent="0.25">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1061457.1413934436</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1056263.1741044044</v>
      </c>
      <c r="AM21" s="23">
        <f>'Intermediate calculations'!AH37*'Intermediate calculations'!AH38*(1-Constants!$H$25)</f>
        <v>1100363.9805439834</v>
      </c>
      <c r="AN21" s="23">
        <f>'Intermediate calculations'!AI37*'Intermediate calculations'!AI38*(1-Constants!$H$25)</f>
        <v>1126573.3980555497</v>
      </c>
      <c r="AO21" s="23">
        <f>'Intermediate calculations'!AJ37*'Intermediate calculations'!AJ38*(1-Constants!$H$25)</f>
        <v>1139083.4573272441</v>
      </c>
      <c r="AP21" s="23">
        <f>'Intermediate calculations'!AK37*'Intermediate calculations'!AK38*(1-Constants!$H$25)</f>
        <v>1152957.552261248</v>
      </c>
      <c r="AQ21" s="23">
        <f>'Intermediate calculations'!AL37*'Intermediate calculations'!AL38*(1-Constants!$H$25)</f>
        <v>1171050.8528812886</v>
      </c>
      <c r="AR21" s="23">
        <f>'Intermediate calculations'!AM37*'Intermediate calculations'!AM38*(1-Constants!$H$25)</f>
        <v>1192830.5335875405</v>
      </c>
      <c r="AS21" s="23">
        <f>'Intermediate calculations'!AN37*'Intermediate calculations'!AN38*(1-Constants!$H$25)</f>
        <v>1216452.4757370246</v>
      </c>
      <c r="AT21" s="23">
        <f>'Intermediate calculations'!AO37*'Intermediate calculations'!AO38*(1-Constants!$H$25)</f>
        <v>1242496.5319737766</v>
      </c>
      <c r="AU21" s="23">
        <f>'Intermediate calculations'!AP37*'Intermediate calculations'!AP38*(1-Constants!$H$25)</f>
        <v>1272687.1439456749</v>
      </c>
      <c r="AV21" s="23">
        <f>'Intermediate calculations'!AQ37*'Intermediate calculations'!AQ38*(1-Constants!$H$25)</f>
        <v>1306932.6294507403</v>
      </c>
      <c r="AW21" s="23">
        <f>'Intermediate calculations'!AR37*'Intermediate calculations'!AR38*(1-Constants!$H$25)</f>
        <v>1343776.3161041634</v>
      </c>
      <c r="AX21" s="23">
        <f>'Intermediate calculations'!AS37*'Intermediate calculations'!AS38*(1-Constants!$H$25)</f>
        <v>1383212.4268907527</v>
      </c>
      <c r="AY21" s="23">
        <f>'Intermediate calculations'!AT37*'Intermediate calculations'!AT38*(1-Constants!$H$25)</f>
        <v>1424425.4941666571</v>
      </c>
      <c r="AZ21" s="23">
        <f>'Intermediate calculations'!AU37*'Intermediate calculations'!AU38*(1-Constants!$H$25)</f>
        <v>1467833.9310134158</v>
      </c>
      <c r="BA21" s="23">
        <f>'Intermediate calculations'!AV37*'Intermediate calculations'!AV38*(1-Constants!$H$25)</f>
        <v>1513073.077801984</v>
      </c>
      <c r="BB21" s="23">
        <f>'Intermediate calculations'!AW37*'Intermediate calculations'!AW38*(1-Constants!$H$25)</f>
        <v>1558648.9162033929</v>
      </c>
      <c r="BC21" s="23">
        <f>'Intermediate calculations'!AX37*'Intermediate calculations'!AX38*(1-Constants!$H$25)</f>
        <v>1606781.2294245122</v>
      </c>
      <c r="BD21" s="23">
        <f>'Intermediate calculations'!AY37*'Intermediate calculations'!AY38*(1-Constants!$H$25)</f>
        <v>1656045.707324703</v>
      </c>
      <c r="BE21" s="23">
        <f>'Intermediate calculations'!AZ37*'Intermediate calculations'!AZ38*(1-Constants!$H$25)</f>
        <v>1706341.19926766</v>
      </c>
      <c r="BF21" s="23">
        <f>'Intermediate calculations'!BA37*'Intermediate calculations'!BA38*(1-Constants!$H$25)</f>
        <v>1758378.4816627251</v>
      </c>
      <c r="BG21" s="23">
        <f>'Intermediate calculations'!BB37*'Intermediate calculations'!BB38*(1-Constants!$H$25)</f>
        <v>1810466.7734035284</v>
      </c>
      <c r="BH21" s="23">
        <f>'Intermediate calculations'!BC37*'Intermediate calculations'!BC38*(1-Constants!$H$25)</f>
        <v>1864977.0083271537</v>
      </c>
      <c r="BI21" s="23">
        <f>'Intermediate calculations'!BD37*'Intermediate calculations'!BD38*(1-Constants!$H$25)</f>
        <v>1922820.0412078311</v>
      </c>
      <c r="BJ21" s="23">
        <f>'Intermediate calculations'!BE37*'Intermediate calculations'!BE38*(1-Constants!$H$25)</f>
        <v>1982574.9759713276</v>
      </c>
      <c r="BK21" s="23">
        <f>'Intermediate calculations'!BF37*'Intermediate calculations'!BF38*(1-Constants!$H$25)</f>
        <v>2044358.5049037496</v>
      </c>
      <c r="BL21" s="23">
        <f>'Intermediate calculations'!BG37*'Intermediate calculations'!BG38*(1-Constants!$H$25)</f>
        <v>2109881.4436680144</v>
      </c>
      <c r="BM21" s="23">
        <f>'Intermediate calculations'!BH37*'Intermediate calculations'!BH38*(1-Constants!$H$25)</f>
        <v>2178682.2899772674</v>
      </c>
      <c r="BN21" s="23">
        <f>'Intermediate calculations'!BI37*'Intermediate calculations'!BI38*(1-Constants!$H$25)</f>
        <v>2250465.8512106193</v>
      </c>
      <c r="BO21" s="23">
        <f>'Intermediate calculations'!BJ37*'Intermediate calculations'!BJ38*(1-Constants!$H$25)</f>
        <v>2326413.6039779428</v>
      </c>
      <c r="BP21" s="23">
        <f>'Intermediate calculations'!BK37*'Intermediate calculations'!BK38*(1-Constants!$H$25)</f>
        <v>2400147.5207312214</v>
      </c>
    </row>
    <row r="22" spans="1:72" x14ac:dyDescent="0.25">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4052957.2380717797</v>
      </c>
      <c r="AG22" s="23">
        <f>'Intermediate calculations'!AB42*'Intermediate calculations'!AB43*(1-Constants!$H$26)</f>
        <v>4076755.451786987</v>
      </c>
      <c r="AH22" s="23">
        <f>'Intermediate calculations'!AC42*'Intermediate calculations'!AC43*(1-Constants!$H$26)</f>
        <v>4062162.5676625138</v>
      </c>
      <c r="AI22" s="23">
        <f>'Intermediate calculations'!AD42*'Intermediate calculations'!AD43*(1-Constants!$H$26)</f>
        <v>4009333.8450175426</v>
      </c>
      <c r="AJ22" s="23">
        <f>'Intermediate calculations'!AE42*'Intermediate calculations'!AE43*(1-Constants!$H$26)</f>
        <v>3987094.1595649333</v>
      </c>
      <c r="AK22" s="23">
        <f>'Intermediate calculations'!AF42*'Intermediate calculations'!AF43*(1-Constants!$H$26)</f>
        <v>3969899.9472367382</v>
      </c>
      <c r="AL22" s="23">
        <f>'Intermediate calculations'!AG42*'Intermediate calculations'!AG43*(1-Constants!$H$26)</f>
        <v>3453920.0397789343</v>
      </c>
      <c r="AM22" s="23">
        <f>'Intermediate calculations'!AH42*'Intermediate calculations'!AH43*(1-Constants!$H$26)</f>
        <v>3766413.7674693181</v>
      </c>
      <c r="AN22" s="23">
        <f>'Intermediate calculations'!AI42*'Intermediate calculations'!AI43*(1-Constants!$H$26)</f>
        <v>3916775.9174651573</v>
      </c>
      <c r="AO22" s="23">
        <f>'Intermediate calculations'!AJ42*'Intermediate calculations'!AJ43*(1-Constants!$H$26)</f>
        <v>3935589.7870703144</v>
      </c>
      <c r="AP22" s="23">
        <f>'Intermediate calculations'!AK42*'Intermediate calculations'!AK43*(1-Constants!$H$26)</f>
        <v>3957278.3244486535</v>
      </c>
      <c r="AQ22" s="23">
        <f>'Intermediate calculations'!AL42*'Intermediate calculations'!AL43*(1-Constants!$H$26)</f>
        <v>4012280.6647806643</v>
      </c>
      <c r="AR22" s="23">
        <f>'Intermediate calculations'!AM42*'Intermediate calculations'!AM43*(1-Constants!$H$26)</f>
        <v>4102844.7601078297</v>
      </c>
      <c r="AS22" s="23">
        <f>'Intermediate calculations'!AN42*'Intermediate calculations'!AN43*(1-Constants!$H$26)</f>
        <v>4211201.6682384806</v>
      </c>
      <c r="AT22" s="23">
        <f>'Intermediate calculations'!AO42*'Intermediate calculations'!AO43*(1-Constants!$H$26)</f>
        <v>4342133.951638571</v>
      </c>
      <c r="AU22" s="23">
        <f>'Intermediate calculations'!AP42*'Intermediate calculations'!AP43*(1-Constants!$H$26)</f>
        <v>4510178.4372501429</v>
      </c>
      <c r="AV22" s="23">
        <f>'Intermediate calculations'!AQ42*'Intermediate calculations'!AQ43*(1-Constants!$H$26)</f>
        <v>4713418.0283159437</v>
      </c>
      <c r="AW22" s="23">
        <f>'Intermediate calculations'!AR42*'Intermediate calculations'!AR43*(1-Constants!$H$26)</f>
        <v>4938368.4760794165</v>
      </c>
      <c r="AX22" s="23">
        <f>'Intermediate calculations'!AS42*'Intermediate calculations'!AS43*(1-Constants!$H$26)</f>
        <v>5184283.4942876482</v>
      </c>
      <c r="AY22" s="23">
        <f>'Intermediate calculations'!AT42*'Intermediate calculations'!AT43*(1-Constants!$H$26)</f>
        <v>5443677.8193216324</v>
      </c>
      <c r="AZ22" s="23">
        <f>'Intermediate calculations'!AU42*'Intermediate calculations'!AU43*(1-Constants!$H$26)</f>
        <v>5720022.5966918934</v>
      </c>
      <c r="BA22" s="23">
        <f>'Intermediate calculations'!AV42*'Intermediate calculations'!AV43*(1-Constants!$H$26)</f>
        <v>6009793.2107772948</v>
      </c>
      <c r="BB22" s="23">
        <f>'Intermediate calculations'!AW42*'Intermediate calculations'!AW43*(1-Constants!$H$26)</f>
        <v>6299984.249838993</v>
      </c>
      <c r="BC22" s="23">
        <f>'Intermediate calculations'!AX42*'Intermediate calculations'!AX43*(1-Constants!$H$26)</f>
        <v>6609365.6251062714</v>
      </c>
      <c r="BD22" s="23">
        <f>'Intermediate calculations'!AY42*'Intermediate calculations'!AY43*(1-Constants!$H$26)</f>
        <v>6926045.8020241726</v>
      </c>
      <c r="BE22" s="23">
        <f>'Intermediate calculations'!AZ42*'Intermediate calculations'!AZ43*(1-Constants!$H$26)</f>
        <v>7249085.5669973744</v>
      </c>
      <c r="BF22" s="23">
        <f>'Intermediate calculations'!BA42*'Intermediate calculations'!BA43*(1-Constants!$H$26)</f>
        <v>7584182.2907871287</v>
      </c>
      <c r="BG22" s="23">
        <f>'Intermediate calculations'!BB42*'Intermediate calculations'!BB43*(1-Constants!$H$26)</f>
        <v>7917267.0644298885</v>
      </c>
      <c r="BH22" s="23">
        <f>'Intermediate calculations'!BC42*'Intermediate calculations'!BC43*(1-Constants!$H$26)</f>
        <v>8267867.1662641419</v>
      </c>
      <c r="BI22" s="23">
        <f>'Intermediate calculations'!BD42*'Intermediate calculations'!BD43*(1-Constants!$H$26)</f>
        <v>8643200.8367678057</v>
      </c>
      <c r="BJ22" s="23">
        <f>'Intermediate calculations'!BE42*'Intermediate calculations'!BE43*(1-Constants!$H$26)</f>
        <v>9031490.7763018981</v>
      </c>
      <c r="BK22" s="23">
        <f>'Intermediate calculations'!BF42*'Intermediate calculations'!BF43*(1-Constants!$H$26)</f>
        <v>9433643.6939069256</v>
      </c>
      <c r="BL22" s="23">
        <f>'Intermediate calculations'!BG42*'Intermediate calculations'!BG43*(1-Constants!$H$26)</f>
        <v>9863220.7478239853</v>
      </c>
      <c r="BM22" s="23">
        <f>'Intermediate calculations'!BH42*'Intermediate calculations'!BH43*(1-Constants!$H$26)</f>
        <v>10316189.413204478</v>
      </c>
      <c r="BN22" s="23">
        <f>'Intermediate calculations'!BI42*'Intermediate calculations'!BI43*(1-Constants!$H$26)</f>
        <v>10789871.090832103</v>
      </c>
      <c r="BO22" s="23">
        <f>'Intermediate calculations'!BJ42*'Intermediate calculations'!BJ43*(1-Constants!$H$26)</f>
        <v>11293191.794652052</v>
      </c>
      <c r="BP22" s="23">
        <f>'Intermediate calculations'!BK42*'Intermediate calculations'!BK43*(1-Constants!$H$26)</f>
        <v>11776327.879986316</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3535652.0338740144</v>
      </c>
      <c r="AN41" s="22">
        <f>((Data!$AJ$42*LN('Intermediate calculations'!AH60))+Data!$AK$42)</f>
        <v>3566906.5495402925</v>
      </c>
      <c r="AO41" s="22">
        <f>((Data!$AJ$42*LN('Intermediate calculations'!AI60))+Data!$AK$42)</f>
        <v>3584135.1470810454</v>
      </c>
      <c r="AP41" s="22">
        <f>((Data!$AJ$42*LN('Intermediate calculations'!AJ60))+Data!$AK$42)</f>
        <v>3590821.5632752273</v>
      </c>
      <c r="AQ41" s="22">
        <f>((Data!$AJ$42*LN('Intermediate calculations'!AK60))+Data!$AK$42)</f>
        <v>3598033.4190078359</v>
      </c>
      <c r="AR41" s="22">
        <f>((Data!$AJ$42*LN('Intermediate calculations'!AL60))+Data!$AK$42)</f>
        <v>3608009.0436812602</v>
      </c>
      <c r="AS41" s="22">
        <f>((Data!$AJ$42*LN('Intermediate calculations'!AM60))+Data!$AK$42)</f>
        <v>3620586.3302782923</v>
      </c>
      <c r="AT41" s="22">
        <f>((Data!$AJ$42*LN('Intermediate calculations'!AN60))+Data!$AK$42)</f>
        <v>3634335.8638795521</v>
      </c>
      <c r="AU41" s="22">
        <f>((Data!$AJ$42*LN('Intermediate calculations'!AO60))+Data!$AK$42)</f>
        <v>3649590.8754012957</v>
      </c>
      <c r="AV41" s="22">
        <f>((Data!$AJ$42*LN('Intermediate calculations'!AP60))+Data!$AK$42)</f>
        <v>3667406.2108751237</v>
      </c>
      <c r="AW41" s="22">
        <f>((Data!$AJ$42*LN('Intermediate calculations'!AQ60))+Data!$AK$42)</f>
        <v>3687529.7121576853</v>
      </c>
      <c r="AX41" s="22">
        <f>((Data!$AJ$42*LN('Intermediate calculations'!AR60))+Data!$AK$42)</f>
        <v>3708848.5076258685</v>
      </c>
      <c r="AY41" s="22">
        <f>((Data!$AJ$42*LN('Intermediate calculations'!AS60))+Data!$AK$42)</f>
        <v>3731238.0681214519</v>
      </c>
      <c r="AZ41" s="22">
        <f>((Data!$AJ$42*LN('Intermediate calculations'!AT60))+Data!$AK$42)</f>
        <v>3754100.0348674972</v>
      </c>
      <c r="BA41" s="22">
        <f>((Data!$AJ$42*LN('Intermediate calculations'!AU60))+Data!$AK$42)</f>
        <v>3777622.3594997562</v>
      </c>
      <c r="BB41" s="22">
        <f>((Data!$AJ$42*LN('Intermediate calculations'!AV60))+Data!$AK$42)</f>
        <v>3801516.2604928315</v>
      </c>
      <c r="BC41" s="22">
        <f>((Data!$AJ$42*LN('Intermediate calculations'!AW60))+Data!$AK$42)</f>
        <v>3824904.678064242</v>
      </c>
      <c r="BD41" s="22">
        <f>((Data!$AJ$42*LN('Intermediate calculations'!AX60))+Data!$AK$42)</f>
        <v>3848991.3575218432</v>
      </c>
      <c r="BE41" s="22">
        <f>((Data!$AJ$42*LN('Intermediate calculations'!AY60))+Data!$AK$42)</f>
        <v>3872969.8456507195</v>
      </c>
      <c r="BF41" s="22">
        <f>((Data!$AJ$42*LN('Intermediate calculations'!AZ60))+Data!$AK$42)</f>
        <v>3896776.8189554252</v>
      </c>
      <c r="BG41" s="22">
        <f>((Data!$AJ$42*LN('Intermediate calculations'!BA60))+Data!$AK$42)</f>
        <v>3920746.231261909</v>
      </c>
      <c r="BH41" s="22">
        <f>((Data!$AJ$42*LN('Intermediate calculations'!BB60))+Data!$AK$42)</f>
        <v>3944048.4111227449</v>
      </c>
      <c r="BI41" s="22">
        <f>((Data!$AJ$42*LN('Intermediate calculations'!BC60))+Data!$AK$42)</f>
        <v>3967802.573175339</v>
      </c>
      <c r="BJ41" s="22">
        <f>((Data!$AJ$42*LN('Intermediate calculations'!BD60))+Data!$AK$42)</f>
        <v>3992351.0465155113</v>
      </c>
      <c r="BK41" s="22">
        <f>((Data!$AJ$42*LN('Intermediate calculations'!BE60))+Data!$AK$42)</f>
        <v>4016993.5786391217</v>
      </c>
      <c r="BL41" s="22">
        <f>((Data!$AJ$42*LN('Intermediate calculations'!BF60))+Data!$AK$42)</f>
        <v>4041749.5740506127</v>
      </c>
      <c r="BM41" s="22">
        <f>((Data!$AJ$42*LN('Intermediate calculations'!BG60))+Data!$AK$42)</f>
        <v>4067270.761703888</v>
      </c>
      <c r="BN41" s="22">
        <f>((Data!$AJ$42*LN('Intermediate calculations'!BH60))+Data!$AK$42)</f>
        <v>4093280.6582026538</v>
      </c>
      <c r="BO41" s="22">
        <f>((Data!$AJ$42*LN('Intermediate calculations'!BI60))+Data!$AK$42)</f>
        <v>4119593.3208530731</v>
      </c>
      <c r="BP41" s="22">
        <f>((Data!$AJ$42*LN('Intermediate calculations'!BJ60))+Data!$AK$42)</f>
        <v>4146574.5349442121</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1949751.260760355</v>
      </c>
      <c r="AN45" s="22">
        <f t="shared" si="16"/>
        <v>1966986.704390256</v>
      </c>
      <c r="AO45" s="22">
        <f t="shared" si="16"/>
        <v>1976487.4922094152</v>
      </c>
      <c r="AP45" s="22">
        <f t="shared" si="16"/>
        <v>1980174.7465771167</v>
      </c>
      <c r="AQ45" s="22">
        <f t="shared" si="16"/>
        <v>1984151.7569481479</v>
      </c>
      <c r="AR45" s="22">
        <f t="shared" si="16"/>
        <v>1989652.8601668857</v>
      </c>
      <c r="AS45" s="22">
        <f t="shared" si="16"/>
        <v>1996588.6615875473</v>
      </c>
      <c r="AT45" s="22">
        <f t="shared" si="16"/>
        <v>2004170.9039058192</v>
      </c>
      <c r="AU45" s="22">
        <f t="shared" si="16"/>
        <v>2012583.3488134262</v>
      </c>
      <c r="AV45" s="22">
        <f t="shared" si="16"/>
        <v>2022407.6959121155</v>
      </c>
      <c r="AW45" s="22">
        <f t="shared" si="16"/>
        <v>2033504.8914564396</v>
      </c>
      <c r="AX45" s="22">
        <f t="shared" si="16"/>
        <v>2045261.2373705024</v>
      </c>
      <c r="AY45" s="22">
        <f t="shared" si="16"/>
        <v>2057608.0614883446</v>
      </c>
      <c r="AZ45" s="22">
        <f t="shared" si="16"/>
        <v>2070215.3961636752</v>
      </c>
      <c r="BA45" s="22">
        <f t="shared" si="16"/>
        <v>2083186.8881737387</v>
      </c>
      <c r="BB45" s="22">
        <f t="shared" si="16"/>
        <v>2096363.2876438773</v>
      </c>
      <c r="BC45" s="22">
        <f t="shared" si="16"/>
        <v>2109260.9360012813</v>
      </c>
      <c r="BD45" s="22">
        <f t="shared" si="16"/>
        <v>2122543.6440251619</v>
      </c>
      <c r="BE45" s="22">
        <f t="shared" si="16"/>
        <v>2135766.689452847</v>
      </c>
      <c r="BF45" s="22">
        <f t="shared" si="16"/>
        <v>2148895.1522571682</v>
      </c>
      <c r="BG45" s="22">
        <f t="shared" si="16"/>
        <v>2162113.1927816612</v>
      </c>
      <c r="BH45" s="22">
        <f t="shared" si="16"/>
        <v>2174963.284964615</v>
      </c>
      <c r="BI45" s="22">
        <f t="shared" si="16"/>
        <v>2188062.6247657673</v>
      </c>
      <c r="BJ45" s="22">
        <f t="shared" si="16"/>
        <v>2201599.9911089987</v>
      </c>
      <c r="BK45" s="22">
        <f t="shared" si="16"/>
        <v>2215189.2265925854</v>
      </c>
      <c r="BL45" s="22">
        <f t="shared" si="16"/>
        <v>2228841.0319180223</v>
      </c>
      <c r="BM45" s="22">
        <f t="shared" si="16"/>
        <v>2242914.8059564005</v>
      </c>
      <c r="BN45" s="22">
        <f t="shared" si="16"/>
        <v>2257258.0806918242</v>
      </c>
      <c r="BO45" s="22">
        <f t="shared" si="16"/>
        <v>2271768.3171871291</v>
      </c>
      <c r="BP45" s="116">
        <f t="shared" si="16"/>
        <v>2286647.2293897537</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640793.01594269858</v>
      </c>
      <c r="AN46" s="22">
        <f>((Data!$AJ$48*'Activity data'!AN47)+Data!$AK$48)</f>
        <v>640521.60258703947</v>
      </c>
      <c r="AO46" s="22">
        <f>((Data!$AJ$48*'Activity data'!AO47)+Data!$AK$48)</f>
        <v>640371.98991916887</v>
      </c>
      <c r="AP46" s="22">
        <f>((Data!$AJ$48*'Activity data'!AP47)+Data!$AK$48)</f>
        <v>640313.92526457703</v>
      </c>
      <c r="AQ46" s="22">
        <f>((Data!$AJ$48*'Activity data'!AQ47)+Data!$AK$48)</f>
        <v>640251.29770746443</v>
      </c>
      <c r="AR46" s="22">
        <f>((Data!$AJ$48*'Activity data'!AR47)+Data!$AK$48)</f>
        <v>640164.66965677508</v>
      </c>
      <c r="AS46" s="22">
        <f>((Data!$AJ$48*'Activity data'!AS47)+Data!$AK$48)</f>
        <v>640055.44884539419</v>
      </c>
      <c r="AT46" s="22">
        <f>((Data!$AJ$48*'Activity data'!AT47)+Data!$AK$48)</f>
        <v>639936.0482732238</v>
      </c>
      <c r="AU46" s="22">
        <f>((Data!$AJ$48*'Activity data'!AU47)+Data!$AK$48)</f>
        <v>639803.57417213882</v>
      </c>
      <c r="AV46" s="22">
        <f>((Data!$AJ$48*'Activity data'!AV47)+Data!$AK$48)</f>
        <v>639648.86628817173</v>
      </c>
      <c r="AW46" s="22">
        <f>((Data!$AJ$48*'Activity data'!AW47)+Data!$AK$48)</f>
        <v>639474.11435571406</v>
      </c>
      <c r="AX46" s="22">
        <f>((Data!$AJ$48*'Activity data'!AX47)+Data!$AK$48)</f>
        <v>639288.98252137657</v>
      </c>
      <c r="AY46" s="22">
        <f>((Data!$AJ$48*'Activity data'!AY47)+Data!$AK$48)</f>
        <v>639094.55219294899</v>
      </c>
      <c r="AZ46" s="22">
        <f>((Data!$AJ$48*'Activity data'!AZ47)+Data!$AK$48)</f>
        <v>638896.01950161683</v>
      </c>
      <c r="BA46" s="22">
        <f>((Data!$AJ$48*'Activity data'!BA47)+Data!$AK$48)</f>
        <v>638691.75228053704</v>
      </c>
      <c r="BB46" s="22">
        <f>((Data!$AJ$48*'Activity data'!BB47)+Data!$AK$48)</f>
        <v>638484.25830054504</v>
      </c>
      <c r="BC46" s="22">
        <f>((Data!$AJ$48*'Activity data'!BC47)+Data!$AK$48)</f>
        <v>638281.15392470406</v>
      </c>
      <c r="BD46" s="22">
        <f>((Data!$AJ$48*'Activity data'!BD47)+Data!$AK$48)</f>
        <v>638071.98586182075</v>
      </c>
      <c r="BE46" s="22">
        <f>((Data!$AJ$48*'Activity data'!BE47)+Data!$AK$48)</f>
        <v>637863.75732946454</v>
      </c>
      <c r="BF46" s="22">
        <f>((Data!$AJ$48*'Activity data'!BF47)+Data!$AK$48)</f>
        <v>637657.01822713099</v>
      </c>
      <c r="BG46" s="22">
        <f>((Data!$AJ$48*'Activity data'!BG47)+Data!$AK$48)</f>
        <v>637448.86850896722</v>
      </c>
      <c r="BH46" s="22">
        <f>((Data!$AJ$48*'Activity data'!BH47)+Data!$AK$48)</f>
        <v>637246.51301903639</v>
      </c>
      <c r="BI46" s="22">
        <f>((Data!$AJ$48*'Activity data'!BI47)+Data!$AK$48)</f>
        <v>637040.23252816568</v>
      </c>
      <c r="BJ46" s="22">
        <f>((Data!$AJ$48*'Activity data'!BJ47)+Data!$AK$48)</f>
        <v>636827.05425988906</v>
      </c>
      <c r="BK46" s="22">
        <f>((Data!$AJ$48*'Activity data'!BK47)+Data!$AK$48)</f>
        <v>636613.05918772018</v>
      </c>
      <c r="BL46" s="22">
        <f>((Data!$AJ$48*'Activity data'!BL47)+Data!$AK$48)</f>
        <v>636398.07880347571</v>
      </c>
      <c r="BM46" s="22">
        <f>((Data!$AJ$48*'Activity data'!BM47)+Data!$AK$48)</f>
        <v>636176.45351081889</v>
      </c>
      <c r="BN46" s="22">
        <f>((Data!$AJ$48*'Activity data'!BN47)+Data!$AK$48)</f>
        <v>635950.58428397018</v>
      </c>
      <c r="BO46" s="22">
        <f>((Data!$AJ$48*'Activity data'!BO47)+Data!$AK$48)</f>
        <v>635722.08584417566</v>
      </c>
      <c r="BP46" s="116">
        <f>((Data!$AJ$48*'Activity data'!BP47)+Data!$AK$48)</f>
        <v>635487.78172203142</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420231.2700466729</v>
      </c>
      <c r="AN47" s="22">
        <f>((Data!$AJ$49*'Activity data'!AN41)+Data!$AK$49)</f>
        <v>420031.63910609711</v>
      </c>
      <c r="AO47" s="22">
        <f>((Data!$AJ$49*'Activity data'!AO41)+Data!$AK$49)</f>
        <v>419921.595451331</v>
      </c>
      <c r="AP47" s="22">
        <f>((Data!$AJ$49*'Activity data'!AP41)+Data!$AK$49)</f>
        <v>419878.88752495713</v>
      </c>
      <c r="AQ47" s="22">
        <f>((Data!$AJ$49*'Activity data'!AQ41)+Data!$AK$49)</f>
        <v>419832.82347589073</v>
      </c>
      <c r="AR47" s="22">
        <f>((Data!$AJ$49*'Activity data'!AR41)+Data!$AK$49)</f>
        <v>419769.10649631405</v>
      </c>
      <c r="AS47" s="22">
        <f>((Data!$AJ$49*'Activity data'!AS41)+Data!$AK$49)</f>
        <v>419688.77200704964</v>
      </c>
      <c r="AT47" s="22">
        <f>((Data!$AJ$49*'Activity data'!AT41)+Data!$AK$49)</f>
        <v>419600.95006302703</v>
      </c>
      <c r="AU47" s="22">
        <f>((Data!$AJ$49*'Activity data'!AU41)+Data!$AK$49)</f>
        <v>419503.51222936815</v>
      </c>
      <c r="AV47" s="22">
        <f>((Data!$AJ$49*'Activity data'!AV41)+Data!$AK$49)</f>
        <v>419389.7209226882</v>
      </c>
      <c r="AW47" s="22">
        <f>((Data!$AJ$49*'Activity data'!AW41)+Data!$AK$49)</f>
        <v>419261.18674440781</v>
      </c>
      <c r="AX47" s="22">
        <f>((Data!$AJ$49*'Activity data'!AX41)+Data!$AK$49)</f>
        <v>419125.01790286507</v>
      </c>
      <c r="AY47" s="22">
        <f>((Data!$AJ$49*'Activity data'!AY41)+Data!$AK$49)</f>
        <v>418982.00979905896</v>
      </c>
      <c r="AZ47" s="22">
        <f>((Data!$AJ$49*'Activity data'!AZ41)+Data!$AK$49)</f>
        <v>418835.98431033734</v>
      </c>
      <c r="BA47" s="22">
        <f>((Data!$AJ$49*'Activity data'!BA41)+Data!$AK$49)</f>
        <v>418685.74093939515</v>
      </c>
      <c r="BB47" s="22">
        <f>((Data!$AJ$49*'Activity data'!BB41)+Data!$AK$49)</f>
        <v>418533.12421097729</v>
      </c>
      <c r="BC47" s="22">
        <f>((Data!$AJ$49*'Activity data'!BC41)+Data!$AK$49)</f>
        <v>418383.73614020331</v>
      </c>
      <c r="BD47" s="22">
        <f>((Data!$AJ$49*'Activity data'!BD41)+Data!$AK$49)</f>
        <v>418229.8880842356</v>
      </c>
      <c r="BE47" s="22">
        <f>((Data!$AJ$49*'Activity data'!BE41)+Data!$AK$49)</f>
        <v>418076.73107518558</v>
      </c>
      <c r="BF47" s="22">
        <f>((Data!$AJ$49*'Activity data'!BF41)+Data!$AK$49)</f>
        <v>417924.66957713431</v>
      </c>
      <c r="BG47" s="22">
        <f>((Data!$AJ$49*'Activity data'!BG41)+Data!$AK$49)</f>
        <v>417771.57053778635</v>
      </c>
      <c r="BH47" s="22">
        <f>((Data!$AJ$49*'Activity data'!BH41)+Data!$AK$49)</f>
        <v>417622.73329030647</v>
      </c>
      <c r="BI47" s="22">
        <f>((Data!$AJ$49*'Activity data'!BI41)+Data!$AK$49)</f>
        <v>417471.00911182986</v>
      </c>
      <c r="BJ47" s="22">
        <f>((Data!$AJ$49*'Activity data'!BJ41)+Data!$AK$49)</f>
        <v>417314.21145497524</v>
      </c>
      <c r="BK47" s="22">
        <f>((Data!$AJ$49*'Activity data'!BK41)+Data!$AK$49)</f>
        <v>417156.81301954488</v>
      </c>
      <c r="BL47" s="22">
        <f>((Data!$AJ$49*'Activity data'!BL41)+Data!$AK$49)</f>
        <v>416998.6898637854</v>
      </c>
      <c r="BM47" s="22">
        <f>((Data!$AJ$49*'Activity data'!BM41)+Data!$AK$49)</f>
        <v>416835.67922077188</v>
      </c>
      <c r="BN47" s="22">
        <f>((Data!$AJ$49*'Activity data'!BN41)+Data!$AK$49)</f>
        <v>416669.54706381354</v>
      </c>
      <c r="BO47" s="22">
        <f>((Data!$AJ$49*'Activity data'!BO41)+Data!$AK$49)</f>
        <v>416501.48105856666</v>
      </c>
      <c r="BP47" s="116">
        <f>((Data!$AJ$49*'Activity data'!BP41)+Data!$AK$49)</f>
        <v>416329.14483667782</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2773.5263823080418</v>
      </c>
      <c r="AN48" s="22">
        <f t="shared" ref="AN48:BP48" si="19">AN47*0.05*0.33*0.8*0.5</f>
        <v>2772.2088181002414</v>
      </c>
      <c r="AO48" s="22">
        <f t="shared" si="19"/>
        <v>2771.4825299787849</v>
      </c>
      <c r="AP48" s="22">
        <f t="shared" si="19"/>
        <v>2771.2006576647177</v>
      </c>
      <c r="AQ48" s="22">
        <f t="shared" si="19"/>
        <v>2770.8966349408793</v>
      </c>
      <c r="AR48" s="22">
        <f t="shared" si="19"/>
        <v>2770.476102875673</v>
      </c>
      <c r="AS48" s="22">
        <f t="shared" si="19"/>
        <v>2769.9458952465284</v>
      </c>
      <c r="AT48" s="22">
        <f t="shared" si="19"/>
        <v>2769.3662704159788</v>
      </c>
      <c r="AU48" s="22">
        <f t="shared" si="19"/>
        <v>2768.7231807138305</v>
      </c>
      <c r="AV48" s="22">
        <f t="shared" si="19"/>
        <v>2767.9721580897422</v>
      </c>
      <c r="AW48" s="22">
        <f t="shared" si="19"/>
        <v>2767.1238325130921</v>
      </c>
      <c r="AX48" s="22">
        <f t="shared" si="19"/>
        <v>2766.2251181589099</v>
      </c>
      <c r="AY48" s="22">
        <f t="shared" si="19"/>
        <v>2765.2812646737898</v>
      </c>
      <c r="AZ48" s="22">
        <f t="shared" si="19"/>
        <v>2764.3174964482268</v>
      </c>
      <c r="BA48" s="22">
        <f t="shared" si="19"/>
        <v>2763.3258902000089</v>
      </c>
      <c r="BB48" s="22">
        <f t="shared" si="19"/>
        <v>2762.3186197924506</v>
      </c>
      <c r="BC48" s="22">
        <f t="shared" si="19"/>
        <v>2761.3326585253421</v>
      </c>
      <c r="BD48" s="22">
        <f t="shared" si="19"/>
        <v>2760.3172613559555</v>
      </c>
      <c r="BE48" s="22">
        <f t="shared" si="19"/>
        <v>2759.3064250962252</v>
      </c>
      <c r="BF48" s="22">
        <f t="shared" si="19"/>
        <v>2758.3028192090869</v>
      </c>
      <c r="BG48" s="22">
        <f t="shared" si="19"/>
        <v>2757.2923655493905</v>
      </c>
      <c r="BH48" s="22">
        <f t="shared" si="19"/>
        <v>2756.3100397160233</v>
      </c>
      <c r="BI48" s="22">
        <f t="shared" si="19"/>
        <v>2755.3086601380778</v>
      </c>
      <c r="BJ48" s="22">
        <f t="shared" si="19"/>
        <v>2754.2737956028373</v>
      </c>
      <c r="BK48" s="22">
        <f t="shared" si="19"/>
        <v>2753.2349659289971</v>
      </c>
      <c r="BL48" s="22">
        <f t="shared" si="19"/>
        <v>2752.1913531009841</v>
      </c>
      <c r="BM48" s="22">
        <f t="shared" si="19"/>
        <v>2751.1154828570948</v>
      </c>
      <c r="BN48" s="22">
        <f t="shared" si="19"/>
        <v>2750.0190106211703</v>
      </c>
      <c r="BO48" s="22">
        <f t="shared" si="19"/>
        <v>2748.9097749865405</v>
      </c>
      <c r="BP48" s="116">
        <f t="shared" si="19"/>
        <v>2747.772355922074</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20319664.252552513</v>
      </c>
      <c r="AM50" s="22">
        <f>((AM5*Constants!$H63*Constants!$H81*(1-Constants!$H99))+(AM5*Constants!$H63*Constants!$H115))</f>
        <v>20729431.681571111</v>
      </c>
      <c r="AN50" s="22">
        <f>((AN5*Constants!$H63*Constants!$H81*(1-Constants!$H99))+(AN5*Constants!$H63*Constants!$H115))</f>
        <v>20932844.023349334</v>
      </c>
      <c r="AO50" s="22">
        <f>((AO5*Constants!$H63*Constants!$H81*(1-Constants!$H99))+(AO5*Constants!$H63*Constants!$H115))</f>
        <v>20985967.070354879</v>
      </c>
      <c r="AP50" s="22">
        <f>((AP5*Constants!$H63*Constants!$H81*(1-Constants!$H99))+(AP5*Constants!$H63*Constants!$H115))</f>
        <v>21061501.803924948</v>
      </c>
      <c r="AQ50" s="22">
        <f>((AQ5*Constants!$H63*Constants!$H81*(1-Constants!$H99))+(AQ5*Constants!$H63*Constants!$H115))</f>
        <v>21188249.65631298</v>
      </c>
      <c r="AR50" s="22">
        <f>((AR5*Constants!$H63*Constants!$H81*(1-Constants!$H99))+(AR5*Constants!$H63*Constants!$H115))</f>
        <v>21355688.029917732</v>
      </c>
      <c r="AS50" s="22">
        <f>((AS5*Constants!$H63*Constants!$H81*(1-Constants!$H99))+(AS5*Constants!$H63*Constants!$H115))</f>
        <v>21543153.953854248</v>
      </c>
      <c r="AT50" s="22">
        <f>((AT5*Constants!$H63*Constants!$H81*(1-Constants!$H99))+(AT5*Constants!$H63*Constants!$H115))</f>
        <v>21756551.553869188</v>
      </c>
      <c r="AU50" s="22">
        <f>((AU5*Constants!$H63*Constants!$H81*(1-Constants!$H99))+(AU5*Constants!$H63*Constants!$H115))</f>
        <v>22014177.579608414</v>
      </c>
      <c r="AV50" s="22">
        <f>((AV5*Constants!$H63*Constants!$H81*(1-Constants!$H99))+(AV5*Constants!$H63*Constants!$H115))</f>
        <v>22314535.441828914</v>
      </c>
      <c r="AW50" s="22">
        <f>((AW5*Constants!$H63*Constants!$H81*(1-Constants!$H99))+(AW5*Constants!$H63*Constants!$H115))</f>
        <v>22641449.176064726</v>
      </c>
      <c r="AX50" s="22">
        <f>((AX5*Constants!$H63*Constants!$H81*(1-Constants!$H99))+(AX5*Constants!$H63*Constants!$H115))</f>
        <v>22994623.322505198</v>
      </c>
      <c r="AY50" s="22">
        <f>((AY5*Constants!$H63*Constants!$H81*(1-Constants!$H99))+(AY5*Constants!$H63*Constants!$H115))</f>
        <v>23365095.722379595</v>
      </c>
      <c r="AZ50" s="22">
        <f>((AZ5*Constants!$H63*Constants!$H81*(1-Constants!$H99))+(AZ5*Constants!$H63*Constants!$H115))</f>
        <v>23757010.039987419</v>
      </c>
      <c r="BA50" s="22">
        <f>((BA5*Constants!$H63*Constants!$H81*(1-Constants!$H99))+(BA5*Constants!$H63*Constants!$H115))</f>
        <v>24166336.535133466</v>
      </c>
      <c r="BB50" s="22">
        <f>((BB5*Constants!$H63*Constants!$H81*(1-Constants!$H99))+(BB5*Constants!$H63*Constants!$H115))</f>
        <v>24577302.141538955</v>
      </c>
      <c r="BC50" s="22">
        <f>((BC5*Constants!$H63*Constants!$H81*(1-Constants!$H99))+(BC5*Constants!$H63*Constants!$H115))</f>
        <v>25013022.652826633</v>
      </c>
      <c r="BD50" s="22">
        <f>((BD5*Constants!$H63*Constants!$H81*(1-Constants!$H99))+(BD5*Constants!$H63*Constants!$H115))</f>
        <v>25458266.608566537</v>
      </c>
      <c r="BE50" s="22">
        <f>((BE5*Constants!$H63*Constants!$H81*(1-Constants!$H99))+(BE5*Constants!$H63*Constants!$H115))</f>
        <v>25911901.609683644</v>
      </c>
      <c r="BF50" s="22">
        <f>((BF5*Constants!$H63*Constants!$H81*(1-Constants!$H99))+(BF5*Constants!$H63*Constants!$H115))</f>
        <v>26381236.262779713</v>
      </c>
      <c r="BG50" s="22">
        <f>((BG5*Constants!$H63*Constants!$H81*(1-Constants!$H99))+(BG5*Constants!$H63*Constants!$H115))</f>
        <v>26848749.650431447</v>
      </c>
      <c r="BH50" s="22">
        <f>((BH5*Constants!$H63*Constants!$H81*(1-Constants!$H99))+(BH5*Constants!$H63*Constants!$H115))</f>
        <v>27338720.117362902</v>
      </c>
      <c r="BI50" s="22">
        <f>((BI5*Constants!$H63*Constants!$H81*(1-Constants!$H99))+(BI5*Constants!$H63*Constants!$H115))</f>
        <v>27860193.82004628</v>
      </c>
      <c r="BJ50" s="22">
        <f>((BJ5*Constants!$H63*Constants!$H81*(1-Constants!$H99))+(BJ5*Constants!$H63*Constants!$H115))</f>
        <v>28398386.754114613</v>
      </c>
      <c r="BK50" s="22">
        <f>((BK5*Constants!$H63*Constants!$H81*(1-Constants!$H99))+(BK5*Constants!$H63*Constants!$H115))</f>
        <v>28954272.596526124</v>
      </c>
      <c r="BL50" s="22">
        <f>((BL5*Constants!$H63*Constants!$H81*(1-Constants!$H99))+(BL5*Constants!$H63*Constants!$H115))</f>
        <v>29544957.282131359</v>
      </c>
      <c r="BM50" s="22">
        <f>((BM5*Constants!$H63*Constants!$H81*(1-Constants!$H99))+(BM5*Constants!$H63*Constants!$H115))</f>
        <v>30165473.12036851</v>
      </c>
      <c r="BN50" s="22">
        <f>((BN5*Constants!$H63*Constants!$H81*(1-Constants!$H99))+(BN5*Constants!$H63*Constants!$H115))</f>
        <v>30812618.677519802</v>
      </c>
      <c r="BO50" s="22">
        <f>((BO5*Constants!$H63*Constants!$H81*(1-Constants!$H99))+(BO5*Constants!$H63*Constants!$H115))</f>
        <v>31498055.028566629</v>
      </c>
      <c r="BP50" s="22">
        <f>((BP5*Constants!$H63*Constants!$H81*(1-Constants!$H99))+(BP5*Constants!$H63*Constants!$H115))</f>
        <v>32157571.157716651</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59414104.210996076</v>
      </c>
      <c r="AM51" s="22">
        <f>((AM6*Constants!$H64*Constants!$H82*(1-Constants!$H100))+(AM6*Constants!$H64*Constants!$H116))</f>
        <v>60612252.193530999</v>
      </c>
      <c r="AN51" s="22">
        <f>((AN6*Constants!$H64*Constants!$H82*(1-Constants!$H100))+(AN6*Constants!$H64*Constants!$H116))</f>
        <v>61207023.933949694</v>
      </c>
      <c r="AO51" s="22">
        <f>((AO6*Constants!$H64*Constants!$H82*(1-Constants!$H100))+(AO6*Constants!$H64*Constants!$H116))</f>
        <v>61362354.170294352</v>
      </c>
      <c r="AP51" s="22">
        <f>((AP6*Constants!$H64*Constants!$H82*(1-Constants!$H100))+(AP6*Constants!$H64*Constants!$H116))</f>
        <v>61583215.522928089</v>
      </c>
      <c r="AQ51" s="22">
        <f>((AQ6*Constants!$H64*Constants!$H82*(1-Constants!$H100))+(AQ6*Constants!$H64*Constants!$H116))</f>
        <v>61953822.53772442</v>
      </c>
      <c r="AR51" s="22">
        <f>((AR6*Constants!$H64*Constants!$H82*(1-Constants!$H100))+(AR6*Constants!$H64*Constants!$H116))</f>
        <v>62443407.446934849</v>
      </c>
      <c r="AS51" s="22">
        <f>((AS6*Constants!$H64*Constants!$H82*(1-Constants!$H100))+(AS6*Constants!$H64*Constants!$H116))</f>
        <v>62991552.327792123</v>
      </c>
      <c r="AT51" s="22">
        <f>((AT6*Constants!$H64*Constants!$H82*(1-Constants!$H100))+(AT6*Constants!$H64*Constants!$H116))</f>
        <v>63615520.671367064</v>
      </c>
      <c r="AU51" s="22">
        <f>((AU6*Constants!$H64*Constants!$H82*(1-Constants!$H100))+(AU6*Constants!$H64*Constants!$H116))</f>
        <v>64368811.638702422</v>
      </c>
      <c r="AV51" s="22">
        <f>((AV6*Constants!$H64*Constants!$H82*(1-Constants!$H100))+(AV6*Constants!$H64*Constants!$H116))</f>
        <v>65247049.246605769</v>
      </c>
      <c r="AW51" s="22">
        <f>((AW6*Constants!$H64*Constants!$H82*(1-Constants!$H100))+(AW6*Constants!$H64*Constants!$H116))</f>
        <v>66202935.447897315</v>
      </c>
      <c r="AX51" s="22">
        <f>((AX6*Constants!$H64*Constants!$H82*(1-Constants!$H100))+(AX6*Constants!$H64*Constants!$H116))</f>
        <v>67235606.326728791</v>
      </c>
      <c r="AY51" s="22">
        <f>((AY6*Constants!$H64*Constants!$H82*(1-Constants!$H100))+(AY6*Constants!$H64*Constants!$H116))</f>
        <v>68318856.792871237</v>
      </c>
      <c r="AZ51" s="22">
        <f>((AZ6*Constants!$H64*Constants!$H82*(1-Constants!$H100))+(AZ6*Constants!$H64*Constants!$H116))</f>
        <v>69464802.799592674</v>
      </c>
      <c r="BA51" s="22">
        <f>((BA6*Constants!$H64*Constants!$H82*(1-Constants!$H100))+(BA6*Constants!$H64*Constants!$H116))</f>
        <v>70661661.504375324</v>
      </c>
      <c r="BB51" s="22">
        <f>((BB6*Constants!$H64*Constants!$H82*(1-Constants!$H100))+(BB6*Constants!$H64*Constants!$H116))</f>
        <v>71863312.922559768</v>
      </c>
      <c r="BC51" s="22">
        <f>((BC6*Constants!$H64*Constants!$H82*(1-Constants!$H100))+(BC6*Constants!$H64*Constants!$H116))</f>
        <v>73137346.958888024</v>
      </c>
      <c r="BD51" s="22">
        <f>((BD6*Constants!$H64*Constants!$H82*(1-Constants!$H100))+(BD6*Constants!$H64*Constants!$H116))</f>
        <v>74439227.268368244</v>
      </c>
      <c r="BE51" s="22">
        <f>((BE6*Constants!$H64*Constants!$H82*(1-Constants!$H100))+(BE6*Constants!$H64*Constants!$H116))</f>
        <v>75765642.749211669</v>
      </c>
      <c r="BF51" s="22">
        <f>((BF6*Constants!$H64*Constants!$H82*(1-Constants!$H100))+(BF6*Constants!$H64*Constants!$H116))</f>
        <v>77137963.553448319</v>
      </c>
      <c r="BG51" s="22">
        <f>((BG6*Constants!$H64*Constants!$H82*(1-Constants!$H100))+(BG6*Constants!$H64*Constants!$H116))</f>
        <v>78504959.03077206</v>
      </c>
      <c r="BH51" s="22">
        <f>((BH6*Constants!$H64*Constants!$H82*(1-Constants!$H100))+(BH6*Constants!$H64*Constants!$H116))</f>
        <v>79937618.351356998</v>
      </c>
      <c r="BI51" s="22">
        <f>((BI6*Constants!$H64*Constants!$H82*(1-Constants!$H100))+(BI6*Constants!$H64*Constants!$H116))</f>
        <v>81462392.212255403</v>
      </c>
      <c r="BJ51" s="22">
        <f>((BJ6*Constants!$H64*Constants!$H82*(1-Constants!$H100))+(BJ6*Constants!$H64*Constants!$H116))</f>
        <v>83036052.616921827</v>
      </c>
      <c r="BK51" s="22">
        <f>((BK6*Constants!$H64*Constants!$H82*(1-Constants!$H100))+(BK6*Constants!$H64*Constants!$H116))</f>
        <v>84661446.568315804</v>
      </c>
      <c r="BL51" s="22">
        <f>((BL6*Constants!$H64*Constants!$H82*(1-Constants!$H100))+(BL6*Constants!$H64*Constants!$H116))</f>
        <v>86388591.319833055</v>
      </c>
      <c r="BM51" s="22">
        <f>((BM6*Constants!$H64*Constants!$H82*(1-Constants!$H100))+(BM6*Constants!$H64*Constants!$H116))</f>
        <v>88202961.489505738</v>
      </c>
      <c r="BN51" s="22">
        <f>((BN6*Constants!$H64*Constants!$H82*(1-Constants!$H100))+(BN6*Constants!$H64*Constants!$H116))</f>
        <v>90095196.178739846</v>
      </c>
      <c r="BO51" s="22">
        <f>((BO6*Constants!$H64*Constants!$H82*(1-Constants!$H100))+(BO6*Constants!$H64*Constants!$H116))</f>
        <v>92099392.029859036</v>
      </c>
      <c r="BP51" s="22">
        <f>((BP6*Constants!$H64*Constants!$H82*(1-Constants!$H100))+(BP6*Constants!$H64*Constants!$H116))</f>
        <v>94027797.909952775</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3178319.5756681897</v>
      </c>
      <c r="AM52" s="22">
        <f>((AM7*Constants!$H65*Constants!$H83*(1-Constants!$H101))+(AM7*Constants!$H65*Constants!$H117))</f>
        <v>3242413.7371136695</v>
      </c>
      <c r="AN52" s="22">
        <f>((AN7*Constants!$H65*Constants!$H83*(1-Constants!$H101))+(AN7*Constants!$H65*Constants!$H117))</f>
        <v>3274230.6716737477</v>
      </c>
      <c r="AO52" s="22">
        <f>((AO7*Constants!$H65*Constants!$H83*(1-Constants!$H101))+(AO7*Constants!$H65*Constants!$H117))</f>
        <v>3282539.9635064439</v>
      </c>
      <c r="AP52" s="22">
        <f>((AP7*Constants!$H65*Constants!$H83*(1-Constants!$H101))+(AP7*Constants!$H65*Constants!$H117))</f>
        <v>3294354.8005709136</v>
      </c>
      <c r="AQ52" s="22">
        <f>((AQ7*Constants!$H65*Constants!$H83*(1-Constants!$H101))+(AQ7*Constants!$H65*Constants!$H117))</f>
        <v>3314180.1862373222</v>
      </c>
      <c r="AR52" s="22">
        <f>((AR7*Constants!$H65*Constants!$H83*(1-Constants!$H101))+(AR7*Constants!$H65*Constants!$H117))</f>
        <v>3340370.2184116561</v>
      </c>
      <c r="AS52" s="22">
        <f>((AS7*Constants!$H65*Constants!$H83*(1-Constants!$H101))+(AS7*Constants!$H65*Constants!$H117))</f>
        <v>3369692.8788854051</v>
      </c>
      <c r="AT52" s="22">
        <f>((AT7*Constants!$H65*Constants!$H83*(1-Constants!$H101))+(AT7*Constants!$H65*Constants!$H117))</f>
        <v>3403071.6670926409</v>
      </c>
      <c r="AU52" s="22">
        <f>((AU7*Constants!$H65*Constants!$H83*(1-Constants!$H101))+(AU7*Constants!$H65*Constants!$H117))</f>
        <v>3443368.4865002604</v>
      </c>
      <c r="AV52" s="22">
        <f>((AV7*Constants!$H65*Constants!$H83*(1-Constants!$H101))+(AV7*Constants!$H65*Constants!$H117))</f>
        <v>3490349.246680948</v>
      </c>
      <c r="AW52" s="22">
        <f>((AW7*Constants!$H65*Constants!$H83*(1-Constants!$H101))+(AW7*Constants!$H65*Constants!$H117))</f>
        <v>3541483.7687952071</v>
      </c>
      <c r="AX52" s="22">
        <f>((AX7*Constants!$H65*Constants!$H83*(1-Constants!$H101))+(AX7*Constants!$H65*Constants!$H117))</f>
        <v>3596725.8382162433</v>
      </c>
      <c r="AY52" s="22">
        <f>((AY7*Constants!$H65*Constants!$H83*(1-Constants!$H101))+(AY7*Constants!$H65*Constants!$H117))</f>
        <v>3654673.6303712074</v>
      </c>
      <c r="AZ52" s="22">
        <f>((AZ7*Constants!$H65*Constants!$H83*(1-Constants!$H101))+(AZ7*Constants!$H65*Constants!$H117))</f>
        <v>3715975.2804455264</v>
      </c>
      <c r="BA52" s="22">
        <f>((BA7*Constants!$H65*Constants!$H83*(1-Constants!$H101))+(BA7*Constants!$H65*Constants!$H117))</f>
        <v>3780000.4728007037</v>
      </c>
      <c r="BB52" s="22">
        <f>((BB7*Constants!$H65*Constants!$H83*(1-Constants!$H101))+(BB7*Constants!$H65*Constants!$H117))</f>
        <v>3844282.0482997112</v>
      </c>
      <c r="BC52" s="22">
        <f>((BC7*Constants!$H65*Constants!$H83*(1-Constants!$H101))+(BC7*Constants!$H65*Constants!$H117))</f>
        <v>3912435.6857483126</v>
      </c>
      <c r="BD52" s="22">
        <f>((BD7*Constants!$H65*Constants!$H83*(1-Constants!$H101))+(BD7*Constants!$H65*Constants!$H117))</f>
        <v>3982078.9418025222</v>
      </c>
      <c r="BE52" s="22">
        <f>((BE7*Constants!$H65*Constants!$H83*(1-Constants!$H101))+(BE7*Constants!$H65*Constants!$H117))</f>
        <v>4053034.691185913</v>
      </c>
      <c r="BF52" s="22">
        <f>((BF7*Constants!$H65*Constants!$H83*(1-Constants!$H101))+(BF7*Constants!$H65*Constants!$H117))</f>
        <v>4126446.1165389316</v>
      </c>
      <c r="BG52" s="22">
        <f>((BG7*Constants!$H65*Constants!$H83*(1-Constants!$H101))+(BG7*Constants!$H65*Constants!$H117))</f>
        <v>4199572.6669283565</v>
      </c>
      <c r="BH52" s="22">
        <f>((BH7*Constants!$H65*Constants!$H83*(1-Constants!$H101))+(BH7*Constants!$H65*Constants!$H117))</f>
        <v>4276211.8626941964</v>
      </c>
      <c r="BI52" s="22">
        <f>((BI7*Constants!$H65*Constants!$H83*(1-Constants!$H101))+(BI7*Constants!$H65*Constants!$H117))</f>
        <v>4357778.6669895258</v>
      </c>
      <c r="BJ52" s="22">
        <f>((BJ7*Constants!$H65*Constants!$H83*(1-Constants!$H101))+(BJ7*Constants!$H65*Constants!$H117))</f>
        <v>4441960.6257352661</v>
      </c>
      <c r="BK52" s="22">
        <f>((BK7*Constants!$H65*Constants!$H83*(1-Constants!$H101))+(BK7*Constants!$H65*Constants!$H117))</f>
        <v>4528910.0375372544</v>
      </c>
      <c r="BL52" s="22">
        <f>((BL7*Constants!$H65*Constants!$H83*(1-Constants!$H101))+(BL7*Constants!$H65*Constants!$H117))</f>
        <v>4621302.543435608</v>
      </c>
      <c r="BM52" s="22">
        <f>((BM7*Constants!$H65*Constants!$H83*(1-Constants!$H101))+(BM7*Constants!$H65*Constants!$H117))</f>
        <v>4718361.1173947509</v>
      </c>
      <c r="BN52" s="22">
        <f>((BN7*Constants!$H65*Constants!$H83*(1-Constants!$H101))+(BN7*Constants!$H65*Constants!$H117))</f>
        <v>4819585.004120254</v>
      </c>
      <c r="BO52" s="22">
        <f>((BO7*Constants!$H65*Constants!$H83*(1-Constants!$H101))+(BO7*Constants!$H65*Constants!$H117))</f>
        <v>4926798.1817264259</v>
      </c>
      <c r="BP52" s="22">
        <f>((BP7*Constants!$H65*Constants!$H83*(1-Constants!$H101))+(BP7*Constants!$H65*Constants!$H117))</f>
        <v>5029957.0232158033</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24326412.37330823</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20298476.891252119</v>
      </c>
      <c r="AM53" s="22">
        <f>((AM8*Constants!$H66*Constants!$H84*(1-Constants!$H102))+(AM8*Constants!$H66*Constants!$H118))</f>
        <v>21268953.19738581</v>
      </c>
      <c r="AN53" s="22">
        <f>((AN8*Constants!$H66*Constants!$H84*(1-Constants!$H102))+(AN8*Constants!$H66*Constants!$H118))</f>
        <v>21604932.281334132</v>
      </c>
      <c r="AO53" s="22">
        <f>((AO8*Constants!$H66*Constants!$H84*(1-Constants!$H102))+(AO8*Constants!$H66*Constants!$H118))</f>
        <v>21459028.26735007</v>
      </c>
      <c r="AP53" s="22">
        <f>((AP8*Constants!$H66*Constants!$H84*(1-Constants!$H102))+(AP8*Constants!$H66*Constants!$H118))</f>
        <v>21340345.625515163</v>
      </c>
      <c r="AQ53" s="22">
        <f>((AQ8*Constants!$H66*Constants!$H84*(1-Constants!$H102))+(AQ8*Constants!$H66*Constants!$H118))</f>
        <v>21348141.765684046</v>
      </c>
      <c r="AR53" s="22">
        <f>((AR8*Constants!$H66*Constants!$H84*(1-Constants!$H102))+(AR8*Constants!$H66*Constants!$H118))</f>
        <v>21473499.686920132</v>
      </c>
      <c r="AS53" s="22">
        <f>((AS8*Constants!$H66*Constants!$H84*(1-Constants!$H102))+(AS8*Constants!$H66*Constants!$H118))</f>
        <v>21651373.97360998</v>
      </c>
      <c r="AT53" s="22">
        <f>((AT8*Constants!$H66*Constants!$H84*(1-Constants!$H102))+(AT8*Constants!$H66*Constants!$H118))</f>
        <v>21896092.189160138</v>
      </c>
      <c r="AU53" s="22">
        <f>((AU8*Constants!$H66*Constants!$H84*(1-Constants!$H102))+(AU8*Constants!$H66*Constants!$H118))</f>
        <v>22254556.352690108</v>
      </c>
      <c r="AV53" s="22">
        <f>((AV8*Constants!$H66*Constants!$H84*(1-Constants!$H102))+(AV8*Constants!$H66*Constants!$H118))</f>
        <v>22716642.606610488</v>
      </c>
      <c r="AW53" s="22">
        <f>((AW8*Constants!$H66*Constants!$H84*(1-Constants!$H102))+(AW8*Constants!$H66*Constants!$H118))</f>
        <v>23038806.866203316</v>
      </c>
      <c r="AX53" s="22">
        <f>((AX8*Constants!$H66*Constants!$H84*(1-Constants!$H102))+(AX8*Constants!$H66*Constants!$H118))</f>
        <v>23399027.894655529</v>
      </c>
      <c r="AY53" s="22">
        <f>((AY8*Constants!$H66*Constants!$H84*(1-Constants!$H102))+(AY8*Constants!$H66*Constants!$H118))</f>
        <v>23770158.967134763</v>
      </c>
      <c r="AZ53" s="22">
        <f>((AZ8*Constants!$H66*Constants!$H84*(1-Constants!$H102))+(AZ8*Constants!$H66*Constants!$H118))</f>
        <v>24160444.331691302</v>
      </c>
      <c r="BA53" s="22">
        <f>((BA8*Constants!$H66*Constants!$H84*(1-Constants!$H102))+(BA8*Constants!$H66*Constants!$H118))</f>
        <v>24556575.364589289</v>
      </c>
      <c r="BB53" s="22">
        <f>((BB8*Constants!$H66*Constants!$H84*(1-Constants!$H102))+(BB8*Constants!$H66*Constants!$H118))</f>
        <v>24918313.388699573</v>
      </c>
      <c r="BC53" s="22">
        <f>((BC8*Constants!$H66*Constants!$H84*(1-Constants!$H102))+(BC8*Constants!$H66*Constants!$H118))</f>
        <v>25299880.614012074</v>
      </c>
      <c r="BD53" s="22">
        <f>((BD8*Constants!$H66*Constants!$H84*(1-Constants!$H102))+(BD8*Constants!$H66*Constants!$H118))</f>
        <v>25664170.521934722</v>
      </c>
      <c r="BE53" s="22">
        <f>((BE8*Constants!$H66*Constants!$H84*(1-Constants!$H102))+(BE8*Constants!$H66*Constants!$H118))</f>
        <v>26007673.581523187</v>
      </c>
      <c r="BF53" s="22">
        <f>((BF8*Constants!$H66*Constants!$H84*(1-Constants!$H102))+(BF8*Constants!$H66*Constants!$H118))</f>
        <v>26345073.289304607</v>
      </c>
      <c r="BG53" s="22">
        <f>((BG8*Constants!$H66*Constants!$H84*(1-Constants!$H102))+(BG8*Constants!$H66*Constants!$H118))</f>
        <v>26773519.856970955</v>
      </c>
      <c r="BH53" s="22">
        <f>((BH8*Constants!$H66*Constants!$H84*(1-Constants!$H102))+(BH8*Constants!$H66*Constants!$H118))</f>
        <v>27216666.396129146</v>
      </c>
      <c r="BI53" s="22">
        <f>((BI8*Constants!$H66*Constants!$H84*(1-Constants!$H102))+(BI8*Constants!$H66*Constants!$H118))</f>
        <v>27690617.347840179</v>
      </c>
      <c r="BJ53" s="22">
        <f>((BJ8*Constants!$H66*Constants!$H84*(1-Constants!$H102))+(BJ8*Constants!$H66*Constants!$H118))</f>
        <v>28162724.3124079</v>
      </c>
      <c r="BK53" s="22">
        <f>((BK8*Constants!$H66*Constants!$H84*(1-Constants!$H102))+(BK8*Constants!$H66*Constants!$H118))</f>
        <v>28633600.056482889</v>
      </c>
      <c r="BL53" s="22">
        <f>((BL8*Constants!$H66*Constants!$H84*(1-Constants!$H102))+(BL8*Constants!$H66*Constants!$H118))</f>
        <v>29134190.572668709</v>
      </c>
      <c r="BM53" s="22">
        <f>((BM8*Constants!$H66*Constants!$H84*(1-Constants!$H102))+(BM8*Constants!$H66*Constants!$H118))</f>
        <v>29651534.309708197</v>
      </c>
      <c r="BN53" s="22">
        <f>((BN8*Constants!$H66*Constants!$H84*(1-Constants!$H102))+(BN8*Constants!$H66*Constants!$H118))</f>
        <v>30176636.751244299</v>
      </c>
      <c r="BO53" s="22">
        <f>((BO8*Constants!$H66*Constants!$H84*(1-Constants!$H102))+(BO8*Constants!$H66*Constants!$H118))</f>
        <v>30727367.461714763</v>
      </c>
      <c r="BP53" s="22">
        <f>((BP8*Constants!$H66*Constants!$H84*(1-Constants!$H102))+(BP8*Constants!$H66*Constants!$H118))</f>
        <v>31189086.654408094</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161788902.46317396</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135000108.01071393</v>
      </c>
      <c r="AM54" s="22">
        <f>((AM9*Constants!$H67*Constants!$H85*(1-Constants!$H103))+(AM9*Constants!$H67*Constants!$H119))</f>
        <v>141454503.91695797</v>
      </c>
      <c r="AN54" s="22">
        <f>((AN9*Constants!$H67*Constants!$H85*(1-Constants!$H103))+(AN9*Constants!$H67*Constants!$H119))</f>
        <v>143689017.02182606</v>
      </c>
      <c r="AO54" s="22">
        <f>((AO9*Constants!$H67*Constants!$H85*(1-Constants!$H103))+(AO9*Constants!$H67*Constants!$H119))</f>
        <v>142718645.80862761</v>
      </c>
      <c r="AP54" s="22">
        <f>((AP9*Constants!$H67*Constants!$H85*(1-Constants!$H103))+(AP9*Constants!$H67*Constants!$H119))</f>
        <v>141929317.15345079</v>
      </c>
      <c r="AQ54" s="22">
        <f>((AQ9*Constants!$H67*Constants!$H85*(1-Constants!$H103))+(AQ9*Constants!$H67*Constants!$H119))</f>
        <v>141981167.33760521</v>
      </c>
      <c r="AR54" s="22">
        <f>((AR9*Constants!$H67*Constants!$H85*(1-Constants!$H103))+(AR9*Constants!$H67*Constants!$H119))</f>
        <v>142814891.61147738</v>
      </c>
      <c r="AS54" s="22">
        <f>((AS9*Constants!$H67*Constants!$H85*(1-Constants!$H103))+(AS9*Constants!$H67*Constants!$H119))</f>
        <v>143997889.1360752</v>
      </c>
      <c r="AT54" s="22">
        <f>((AT9*Constants!$H67*Constants!$H85*(1-Constants!$H103))+(AT9*Constants!$H67*Constants!$H119))</f>
        <v>145625448.96277821</v>
      </c>
      <c r="AU54" s="22">
        <f>((AU9*Constants!$H67*Constants!$H85*(1-Constants!$H103))+(AU9*Constants!$H67*Constants!$H119))</f>
        <v>148009504.72488183</v>
      </c>
      <c r="AV54" s="22">
        <f>((AV9*Constants!$H67*Constants!$H85*(1-Constants!$H103))+(AV9*Constants!$H67*Constants!$H119))</f>
        <v>151082725.1701262</v>
      </c>
      <c r="AW54" s="22">
        <f>((AW9*Constants!$H67*Constants!$H85*(1-Constants!$H103))+(AW9*Constants!$H67*Constants!$H119))</f>
        <v>153225359.32318264</v>
      </c>
      <c r="AX54" s="22">
        <f>((AX9*Constants!$H67*Constants!$H85*(1-Constants!$H103))+(AX9*Constants!$H67*Constants!$H119))</f>
        <v>155621099.555778</v>
      </c>
      <c r="AY54" s="22">
        <f>((AY9*Constants!$H67*Constants!$H85*(1-Constants!$H103))+(AY9*Constants!$H67*Constants!$H119))</f>
        <v>158089399.77057984</v>
      </c>
      <c r="AZ54" s="22">
        <f>((AZ9*Constants!$H67*Constants!$H85*(1-Constants!$H103))+(AZ9*Constants!$H67*Constants!$H119))</f>
        <v>160685090.40551808</v>
      </c>
      <c r="BA54" s="22">
        <f>((BA9*Constants!$H67*Constants!$H85*(1-Constants!$H103))+(BA9*Constants!$H67*Constants!$H119))</f>
        <v>163319659.12287199</v>
      </c>
      <c r="BB54" s="22">
        <f>((BB9*Constants!$H67*Constants!$H85*(1-Constants!$H103))+(BB9*Constants!$H67*Constants!$H119))</f>
        <v>165725488.51529881</v>
      </c>
      <c r="BC54" s="22">
        <f>((BC9*Constants!$H67*Constants!$H85*(1-Constants!$H103))+(BC9*Constants!$H67*Constants!$H119))</f>
        <v>168263196.98015097</v>
      </c>
      <c r="BD54" s="22">
        <f>((BD9*Constants!$H67*Constants!$H85*(1-Constants!$H103))+(BD9*Constants!$H67*Constants!$H119))</f>
        <v>170685998.31545532</v>
      </c>
      <c r="BE54" s="22">
        <f>((BE9*Constants!$H67*Constants!$H85*(1-Constants!$H103))+(BE9*Constants!$H67*Constants!$H119))</f>
        <v>172970551.50606632</v>
      </c>
      <c r="BF54" s="22">
        <f>((BF9*Constants!$H67*Constants!$H85*(1-Constants!$H103))+(BF9*Constants!$H67*Constants!$H119))</f>
        <v>175214512.82579002</v>
      </c>
      <c r="BG54" s="22">
        <f>((BG9*Constants!$H67*Constants!$H85*(1-Constants!$H103))+(BG9*Constants!$H67*Constants!$H119))</f>
        <v>178064004.10642412</v>
      </c>
      <c r="BH54" s="22">
        <f>((BH9*Constants!$H67*Constants!$H85*(1-Constants!$H103))+(BH9*Constants!$H67*Constants!$H119))</f>
        <v>181011261.23174629</v>
      </c>
      <c r="BI54" s="22">
        <f>((BI9*Constants!$H67*Constants!$H85*(1-Constants!$H103))+(BI9*Constants!$H67*Constants!$H119))</f>
        <v>184163390.82331899</v>
      </c>
      <c r="BJ54" s="22">
        <f>((BJ9*Constants!$H67*Constants!$H85*(1-Constants!$H103))+(BJ9*Constants!$H67*Constants!$H119))</f>
        <v>187303256.51623315</v>
      </c>
      <c r="BK54" s="22">
        <f>((BK9*Constants!$H67*Constants!$H85*(1-Constants!$H103))+(BK9*Constants!$H67*Constants!$H119))</f>
        <v>190434933.66867724</v>
      </c>
      <c r="BL54" s="22">
        <f>((BL9*Constants!$H67*Constants!$H85*(1-Constants!$H103))+(BL9*Constants!$H67*Constants!$H119))</f>
        <v>193764236.36051357</v>
      </c>
      <c r="BM54" s="22">
        <f>((BM9*Constants!$H67*Constants!$H85*(1-Constants!$H103))+(BM9*Constants!$H67*Constants!$H119))</f>
        <v>197204960.54652855</v>
      </c>
      <c r="BN54" s="22">
        <f>((BN9*Constants!$H67*Constants!$H85*(1-Constants!$H103))+(BN9*Constants!$H67*Constants!$H119))</f>
        <v>200697285.94137704</v>
      </c>
      <c r="BO54" s="22">
        <f>((BO9*Constants!$H67*Constants!$H85*(1-Constants!$H103))+(BO9*Constants!$H67*Constants!$H119))</f>
        <v>204360058.56203464</v>
      </c>
      <c r="BP54" s="22">
        <f>((BP9*Constants!$H67*Constants!$H85*(1-Constants!$H103))+(BP9*Constants!$H67*Constants!$H119))</f>
        <v>207430837.77459133</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24632268.790066537</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24107536.450965688</v>
      </c>
      <c r="AM55" s="22">
        <f>((AM10*Constants!$H68*Constants!$H86*(1-Constants!$H104))+(AM10*Constants!$H68*Constants!$H120))</f>
        <v>25868709.500134509</v>
      </c>
      <c r="AN55" s="22">
        <f>((AN10*Constants!$H68*Constants!$H86*(1-Constants!$H104))+(AN10*Constants!$H68*Constants!$H120))</f>
        <v>26901748.07237304</v>
      </c>
      <c r="AO55" s="22">
        <f>((AO10*Constants!$H68*Constants!$H86*(1-Constants!$H104))+(AO10*Constants!$H68*Constants!$H120))</f>
        <v>27346922.092500903</v>
      </c>
      <c r="AP55" s="22">
        <f>((AP10*Constants!$H68*Constants!$H86*(1-Constants!$H104))+(AP10*Constants!$H68*Constants!$H120))</f>
        <v>27826172.184631627</v>
      </c>
      <c r="AQ55" s="22">
        <f>((AQ10*Constants!$H68*Constants!$H86*(1-Constants!$H104))+(AQ10*Constants!$H68*Constants!$H120))</f>
        <v>28474649.933156051</v>
      </c>
      <c r="AR55" s="22">
        <f>((AR10*Constants!$H68*Constants!$H86*(1-Constants!$H104))+(AR10*Constants!$H68*Constants!$H120))</f>
        <v>29292002.684780773</v>
      </c>
      <c r="AS55" s="22">
        <f>((AS10*Constants!$H68*Constants!$H86*(1-Constants!$H104))+(AS10*Constants!$H68*Constants!$H120))</f>
        <v>30198778.805851672</v>
      </c>
      <c r="AT55" s="22">
        <f>((AT10*Constants!$H68*Constants!$H86*(1-Constants!$H104))+(AT10*Constants!$H68*Constants!$H120))</f>
        <v>31220900.357144952</v>
      </c>
      <c r="AU55" s="22">
        <f>((AU10*Constants!$H68*Constants!$H86*(1-Constants!$H104))+(AU10*Constants!$H68*Constants!$H120))</f>
        <v>32433713.466544129</v>
      </c>
      <c r="AV55" s="22">
        <f>((AV10*Constants!$H68*Constants!$H86*(1-Constants!$H104))+(AV10*Constants!$H68*Constants!$H120))</f>
        <v>33833827.174392782</v>
      </c>
      <c r="AW55" s="22">
        <f>((AW10*Constants!$H68*Constants!$H86*(1-Constants!$H104))+(AW10*Constants!$H68*Constants!$H120))</f>
        <v>35451587.521600619</v>
      </c>
      <c r="AX55" s="22">
        <f>((AX10*Constants!$H68*Constants!$H86*(1-Constants!$H104))+(AX10*Constants!$H68*Constants!$H120))</f>
        <v>37202229.217807963</v>
      </c>
      <c r="AY55" s="22">
        <f>((AY10*Constants!$H68*Constants!$H86*(1-Constants!$H104))+(AY10*Constants!$H68*Constants!$H120))</f>
        <v>39051196.789728686</v>
      </c>
      <c r="AZ55" s="22">
        <f>((AZ10*Constants!$H68*Constants!$H86*(1-Constants!$H104))+(AZ10*Constants!$H68*Constants!$H120))</f>
        <v>41018784.388971925</v>
      </c>
      <c r="BA55" s="22">
        <f>((BA10*Constants!$H68*Constants!$H86*(1-Constants!$H104))+(BA10*Constants!$H68*Constants!$H120))</f>
        <v>43089805.199965812</v>
      </c>
      <c r="BB55" s="22">
        <f>((BB10*Constants!$H68*Constants!$H86*(1-Constants!$H104))+(BB10*Constants!$H68*Constants!$H120))</f>
        <v>45197689.604381248</v>
      </c>
      <c r="BC55" s="22">
        <f>((BC10*Constants!$H68*Constants!$H86*(1-Constants!$H104))+(BC10*Constants!$H68*Constants!$H120))</f>
        <v>47443607.062384099</v>
      </c>
      <c r="BD55" s="22">
        <f>((BD10*Constants!$H68*Constants!$H86*(1-Constants!$H104))+(BD10*Constants!$H68*Constants!$H120))</f>
        <v>49765425.809105717</v>
      </c>
      <c r="BE55" s="22">
        <f>((BE10*Constants!$H68*Constants!$H86*(1-Constants!$H104))+(BE10*Constants!$H68*Constants!$H120))</f>
        <v>52159312.870756112</v>
      </c>
      <c r="BF55" s="22">
        <f>((BF10*Constants!$H68*Constants!$H86*(1-Constants!$H104))+(BF10*Constants!$H68*Constants!$H120))</f>
        <v>54658457.268251188</v>
      </c>
      <c r="BG55" s="22">
        <f>((BG10*Constants!$H68*Constants!$H86*(1-Constants!$H104))+(BG10*Constants!$H68*Constants!$H120))</f>
        <v>57114642.643233046</v>
      </c>
      <c r="BH55" s="22">
        <f>((BH10*Constants!$H68*Constants!$H86*(1-Constants!$H104))+(BH10*Constants!$H68*Constants!$H120))</f>
        <v>59703824.718975551</v>
      </c>
      <c r="BI55" s="22">
        <f>((BI10*Constants!$H68*Constants!$H86*(1-Constants!$H104))+(BI10*Constants!$H68*Constants!$H120))</f>
        <v>62470022.784853309</v>
      </c>
      <c r="BJ55" s="22">
        <f>((BJ10*Constants!$H68*Constants!$H86*(1-Constants!$H104))+(BJ10*Constants!$H68*Constants!$H120))</f>
        <v>65348775.961881831</v>
      </c>
      <c r="BK55" s="22">
        <f>((BK10*Constants!$H68*Constants!$H86*(1-Constants!$H104))+(BK10*Constants!$H68*Constants!$H120))</f>
        <v>68347071.248047099</v>
      </c>
      <c r="BL55" s="22">
        <f>((BL10*Constants!$H68*Constants!$H86*(1-Constants!$H104))+(BL10*Constants!$H68*Constants!$H120))</f>
        <v>71546921.570232078</v>
      </c>
      <c r="BM55" s="22">
        <f>((BM10*Constants!$H68*Constants!$H86*(1-Constants!$H104))+(BM10*Constants!$H68*Constants!$H120))</f>
        <v>74928605.302853227</v>
      </c>
      <c r="BN55" s="22">
        <f>((BN10*Constants!$H68*Constants!$H86*(1-Constants!$H104))+(BN10*Constants!$H68*Constants!$H120))</f>
        <v>78479801.567259029</v>
      </c>
      <c r="BO55" s="22">
        <f>((BO10*Constants!$H68*Constants!$H86*(1-Constants!$H104))+(BO10*Constants!$H68*Constants!$H120))</f>
        <v>82258137.922495723</v>
      </c>
      <c r="BP55" s="22">
        <f>((BP10*Constants!$H68*Constants!$H86*(1-Constants!$H104))+(BP10*Constants!$H68*Constants!$H120))</f>
        <v>85962378.80601123</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3767695.6699126353</v>
      </c>
      <c r="AM56" s="22">
        <f>((AM11*Constants!$H69*Constants!$H87*(1-Constants!$H105))+(AM11*Constants!$H69*Constants!$H121))</f>
        <v>3770407.5793370688</v>
      </c>
      <c r="AN56" s="22">
        <f>((AN11*Constants!$H69*Constants!$H87*(1-Constants!$H105))+(AN11*Constants!$H69*Constants!$H121))</f>
        <v>3769454.1297428301</v>
      </c>
      <c r="AO56" s="22">
        <f>((AO11*Constants!$H69*Constants!$H87*(1-Constants!$H105))+(AO11*Constants!$H69*Constants!$H121))</f>
        <v>3769385.4889767864</v>
      </c>
      <c r="AP56" s="22">
        <f>((AP11*Constants!$H69*Constants!$H87*(1-Constants!$H105))+(AP11*Constants!$H69*Constants!$H121))</f>
        <v>3773383.7118459796</v>
      </c>
      <c r="AQ56" s="22">
        <f>((AQ11*Constants!$H69*Constants!$H87*(1-Constants!$H105))+(AQ11*Constants!$H69*Constants!$H121))</f>
        <v>3779927.1719699171</v>
      </c>
      <c r="AR56" s="22">
        <f>((AR11*Constants!$H69*Constants!$H87*(1-Constants!$H105))+(AR11*Constants!$H69*Constants!$H121))</f>
        <v>3786205.6945551978</v>
      </c>
      <c r="AS56" s="22">
        <f>((AS11*Constants!$H69*Constants!$H87*(1-Constants!$H105))+(AS11*Constants!$H69*Constants!$H121))</f>
        <v>3792239.5354186441</v>
      </c>
      <c r="AT56" s="22">
        <f>((AT11*Constants!$H69*Constants!$H87*(1-Constants!$H105))+(AT11*Constants!$H69*Constants!$H121))</f>
        <v>3798020.4599219877</v>
      </c>
      <c r="AU56" s="22">
        <f>((AU11*Constants!$H69*Constants!$H87*(1-Constants!$H105))+(AU11*Constants!$H69*Constants!$H121))</f>
        <v>3803668.9412069041</v>
      </c>
      <c r="AV56" s="22">
        <f>((AV11*Constants!$H69*Constants!$H87*(1-Constants!$H105))+(AV11*Constants!$H69*Constants!$H121))</f>
        <v>3809267.4887675741</v>
      </c>
      <c r="AW56" s="22">
        <f>((AW11*Constants!$H69*Constants!$H87*(1-Constants!$H105))+(AW11*Constants!$H69*Constants!$H121))</f>
        <v>3814759.928384589</v>
      </c>
      <c r="AX56" s="22">
        <f>((AX11*Constants!$H69*Constants!$H87*(1-Constants!$H105))+(AX11*Constants!$H69*Constants!$H121))</f>
        <v>3820225.2323797345</v>
      </c>
      <c r="AY56" s="22">
        <f>((AY11*Constants!$H69*Constants!$H87*(1-Constants!$H105))+(AY11*Constants!$H69*Constants!$H121))</f>
        <v>3825646.1839890992</v>
      </c>
      <c r="AZ56" s="22">
        <f>((AZ11*Constants!$H69*Constants!$H87*(1-Constants!$H105))+(AZ11*Constants!$H69*Constants!$H121))</f>
        <v>3830979.3471412025</v>
      </c>
      <c r="BA56" s="22">
        <f>((BA11*Constants!$H69*Constants!$H87*(1-Constants!$H105))+(BA11*Constants!$H69*Constants!$H121))</f>
        <v>3836248.2022805419</v>
      </c>
      <c r="BB56" s="22">
        <f>((BB11*Constants!$H69*Constants!$H87*(1-Constants!$H105))+(BB11*Constants!$H69*Constants!$H121))</f>
        <v>3841458.3720278591</v>
      </c>
      <c r="BC56" s="22">
        <f>((BC11*Constants!$H69*Constants!$H87*(1-Constants!$H105))+(BC11*Constants!$H69*Constants!$H121))</f>
        <v>3846627.5446091252</v>
      </c>
      <c r="BD56" s="22">
        <f>((BD11*Constants!$H69*Constants!$H87*(1-Constants!$H105))+(BD11*Constants!$H69*Constants!$H121))</f>
        <v>3851597.553630339</v>
      </c>
      <c r="BE56" s="22">
        <f>((BE11*Constants!$H69*Constants!$H87*(1-Constants!$H105))+(BE11*Constants!$H69*Constants!$H121))</f>
        <v>3856362.5842805095</v>
      </c>
      <c r="BF56" s="22">
        <f>((BF11*Constants!$H69*Constants!$H87*(1-Constants!$H105))+(BF11*Constants!$H69*Constants!$H121))</f>
        <v>3860967.1709336806</v>
      </c>
      <c r="BG56" s="22">
        <f>((BG11*Constants!$H69*Constants!$H87*(1-Constants!$H105))+(BG11*Constants!$H69*Constants!$H121))</f>
        <v>3865375.8577842102</v>
      </c>
      <c r="BH56" s="22">
        <f>((BH11*Constants!$H69*Constants!$H87*(1-Constants!$H105))+(BH11*Constants!$H69*Constants!$H121))</f>
        <v>3869596.6425351202</v>
      </c>
      <c r="BI56" s="22">
        <f>((BI11*Constants!$H69*Constants!$H87*(1-Constants!$H105))+(BI11*Constants!$H69*Constants!$H121))</f>
        <v>3873610.5146946572</v>
      </c>
      <c r="BJ56" s="22">
        <f>((BJ11*Constants!$H69*Constants!$H87*(1-Constants!$H105))+(BJ11*Constants!$H69*Constants!$H121))</f>
        <v>3877360.0354378428</v>
      </c>
      <c r="BK56" s="22">
        <f>((BK11*Constants!$H69*Constants!$H87*(1-Constants!$H105))+(BK11*Constants!$H69*Constants!$H121))</f>
        <v>3880791.9774668175</v>
      </c>
      <c r="BL56" s="22">
        <f>((BL11*Constants!$H69*Constants!$H87*(1-Constants!$H105))+(BL11*Constants!$H69*Constants!$H121))</f>
        <v>3883902.8735577222</v>
      </c>
      <c r="BM56" s="22">
        <f>((BM11*Constants!$H69*Constants!$H87*(1-Constants!$H105))+(BM11*Constants!$H69*Constants!$H121))</f>
        <v>3886668.917771867</v>
      </c>
      <c r="BN56" s="22">
        <f>((BN11*Constants!$H69*Constants!$H87*(1-Constants!$H105))+(BN11*Constants!$H69*Constants!$H121))</f>
        <v>3889088.7760844622</v>
      </c>
      <c r="BO56" s="22">
        <f>((BO11*Constants!$H69*Constants!$H87*(1-Constants!$H105))+(BO11*Constants!$H69*Constants!$H121))</f>
        <v>3891208.7572028674</v>
      </c>
      <c r="BP56" s="22">
        <f>((BP11*Constants!$H69*Constants!$H87*(1-Constants!$H105))+(BP11*Constants!$H69*Constants!$H121))</f>
        <v>3892753.5036187153</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3066392.1279976745</v>
      </c>
      <c r="AM57" s="22">
        <f>((AM12*Constants!$H70*Constants!$H88*(1-Constants!$H106))+(AM12*Constants!$H70*Constants!$H122))</f>
        <v>3068599.2536361208</v>
      </c>
      <c r="AN57" s="22">
        <f>((AN12*Constants!$H70*Constants!$H88*(1-Constants!$H106))+(AN12*Constants!$H70*Constants!$H122))</f>
        <v>3067823.2752699368</v>
      </c>
      <c r="AO57" s="22">
        <f>((AO12*Constants!$H70*Constants!$H88*(1-Constants!$H106))+(AO12*Constants!$H70*Constants!$H122))</f>
        <v>3067767.4110167967</v>
      </c>
      <c r="AP57" s="22">
        <f>((AP12*Constants!$H70*Constants!$H88*(1-Constants!$H106))+(AP12*Constants!$H70*Constants!$H122))</f>
        <v>3071021.4209491755</v>
      </c>
      <c r="AQ57" s="22">
        <f>((AQ12*Constants!$H70*Constants!$H88*(1-Constants!$H106))+(AQ12*Constants!$H70*Constants!$H122))</f>
        <v>3076346.9080298175</v>
      </c>
      <c r="AR57" s="22">
        <f>((AR12*Constants!$H70*Constants!$H88*(1-Constants!$H106))+(AR12*Constants!$H70*Constants!$H122))</f>
        <v>3081456.7719672634</v>
      </c>
      <c r="AS57" s="22">
        <f>((AS12*Constants!$H70*Constants!$H88*(1-Constants!$H106))+(AS12*Constants!$H70*Constants!$H122))</f>
        <v>3086367.4982430111</v>
      </c>
      <c r="AT57" s="22">
        <f>((AT12*Constants!$H70*Constants!$H88*(1-Constants!$H106))+(AT12*Constants!$H70*Constants!$H122))</f>
        <v>3091072.384980855</v>
      </c>
      <c r="AU57" s="22">
        <f>((AU12*Constants!$H70*Constants!$H88*(1-Constants!$H106))+(AU12*Constants!$H70*Constants!$H122))</f>
        <v>3095669.4809420612</v>
      </c>
      <c r="AV57" s="22">
        <f>((AV12*Constants!$H70*Constants!$H88*(1-Constants!$H106))+(AV12*Constants!$H70*Constants!$H122))</f>
        <v>3100225.9376392816</v>
      </c>
      <c r="AW57" s="22">
        <f>((AW12*Constants!$H70*Constants!$H88*(1-Constants!$H106))+(AW12*Constants!$H70*Constants!$H122))</f>
        <v>3104696.0368937436</v>
      </c>
      <c r="AX57" s="22">
        <f>((AX12*Constants!$H70*Constants!$H88*(1-Constants!$H106))+(AX12*Constants!$H70*Constants!$H122))</f>
        <v>3109144.0514405807</v>
      </c>
      <c r="AY57" s="22">
        <f>((AY12*Constants!$H70*Constants!$H88*(1-Constants!$H106))+(AY12*Constants!$H70*Constants!$H122))</f>
        <v>3113555.9691742649</v>
      </c>
      <c r="AZ57" s="22">
        <f>((AZ12*Constants!$H70*Constants!$H88*(1-Constants!$H106))+(AZ12*Constants!$H70*Constants!$H122))</f>
        <v>3117896.4390369267</v>
      </c>
      <c r="BA57" s="22">
        <f>((BA12*Constants!$H70*Constants!$H88*(1-Constants!$H106))+(BA12*Constants!$H70*Constants!$H122))</f>
        <v>3122184.5709186615</v>
      </c>
      <c r="BB57" s="22">
        <f>((BB12*Constants!$H70*Constants!$H88*(1-Constants!$H106))+(BB12*Constants!$H70*Constants!$H122))</f>
        <v>3126424.9408684662</v>
      </c>
      <c r="BC57" s="22">
        <f>((BC12*Constants!$H70*Constants!$H88*(1-Constants!$H106))+(BC12*Constants!$H70*Constants!$H122))</f>
        <v>3130631.9446978983</v>
      </c>
      <c r="BD57" s="22">
        <f>((BD12*Constants!$H70*Constants!$H88*(1-Constants!$H106))+(BD12*Constants!$H70*Constants!$H122))</f>
        <v>3134676.8564619855</v>
      </c>
      <c r="BE57" s="22">
        <f>((BE12*Constants!$H70*Constants!$H88*(1-Constants!$H106))+(BE12*Constants!$H70*Constants!$H122))</f>
        <v>3138554.9436949939</v>
      </c>
      <c r="BF57" s="22">
        <f>((BF12*Constants!$H70*Constants!$H88*(1-Constants!$H106))+(BF12*Constants!$H70*Constants!$H122))</f>
        <v>3142302.4513237863</v>
      </c>
      <c r="BG57" s="22">
        <f>((BG12*Constants!$H70*Constants!$H88*(1-Constants!$H106))+(BG12*Constants!$H70*Constants!$H122))</f>
        <v>3145890.5231421194</v>
      </c>
      <c r="BH57" s="22">
        <f>((BH12*Constants!$H70*Constants!$H88*(1-Constants!$H106))+(BH12*Constants!$H70*Constants!$H122))</f>
        <v>3149325.6681931168</v>
      </c>
      <c r="BI57" s="22">
        <f>((BI12*Constants!$H70*Constants!$H88*(1-Constants!$H106))+(BI12*Constants!$H70*Constants!$H122))</f>
        <v>3152592.4145206087</v>
      </c>
      <c r="BJ57" s="22">
        <f>((BJ12*Constants!$H70*Constants!$H88*(1-Constants!$H106))+(BJ12*Constants!$H70*Constants!$H122))</f>
        <v>3155644.0147287892</v>
      </c>
      <c r="BK57" s="22">
        <f>((BK12*Constants!$H70*Constants!$H88*(1-Constants!$H106))+(BK12*Constants!$H70*Constants!$H122))</f>
        <v>3158437.1490324517</v>
      </c>
      <c r="BL57" s="22">
        <f>((BL12*Constants!$H70*Constants!$H88*(1-Constants!$H106))+(BL12*Constants!$H70*Constants!$H122))</f>
        <v>3160968.9955826774</v>
      </c>
      <c r="BM57" s="22">
        <f>((BM12*Constants!$H70*Constants!$H88*(1-Constants!$H106))+(BM12*Constants!$H70*Constants!$H122))</f>
        <v>3163220.1795813432</v>
      </c>
      <c r="BN57" s="22">
        <f>((BN12*Constants!$H70*Constants!$H88*(1-Constants!$H106))+(BN12*Constants!$H70*Constants!$H122))</f>
        <v>3165189.6153136035</v>
      </c>
      <c r="BO57" s="22">
        <f>((BO12*Constants!$H70*Constants!$H88*(1-Constants!$H106))+(BO12*Constants!$H70*Constants!$H122))</f>
        <v>3166914.9917724542</v>
      </c>
      <c r="BP57" s="22">
        <f>((BP12*Constants!$H70*Constants!$H88*(1-Constants!$H106))+(BP12*Constants!$H70*Constants!$H122))</f>
        <v>3168172.2053757547</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473840.03926256584</v>
      </c>
      <c r="AM58" s="22">
        <f>((AM13*Constants!$H71*Constants!$H89*(1-Constants!$H107))+(AM13*Constants!$H71*Constants!$H123))</f>
        <v>474654.57074415003</v>
      </c>
      <c r="AN58" s="22">
        <f>((AN13*Constants!$H71*Constants!$H89*(1-Constants!$H107))+(AN13*Constants!$H71*Constants!$H123))</f>
        <v>474733.61168079043</v>
      </c>
      <c r="AO58" s="22">
        <f>((AO13*Constants!$H71*Constants!$H89*(1-Constants!$H107))+(AO13*Constants!$H71*Constants!$H123))</f>
        <v>474950.92383842421</v>
      </c>
      <c r="AP58" s="22">
        <f>((AP13*Constants!$H71*Constants!$H89*(1-Constants!$H107))+(AP13*Constants!$H71*Constants!$H123))</f>
        <v>475911.71997986891</v>
      </c>
      <c r="AQ58" s="22">
        <f>((AQ13*Constants!$H71*Constants!$H89*(1-Constants!$H107))+(AQ13*Constants!$H71*Constants!$H123))</f>
        <v>477324.99738154461</v>
      </c>
      <c r="AR58" s="22">
        <f>((AR13*Constants!$H71*Constants!$H89*(1-Constants!$H107))+(AR13*Constants!$H71*Constants!$H123))</f>
        <v>478659.05666745052</v>
      </c>
      <c r="AS58" s="22">
        <f>((AS13*Constants!$H71*Constants!$H89*(1-Constants!$H107))+(AS13*Constants!$H71*Constants!$H123))</f>
        <v>479920.17039323639</v>
      </c>
      <c r="AT58" s="22">
        <f>((AT13*Constants!$H71*Constants!$H89*(1-Constants!$H107))+(AT13*Constants!$H71*Constants!$H123))</f>
        <v>481108.98406798433</v>
      </c>
      <c r="AU58" s="22">
        <f>((AU13*Constants!$H71*Constants!$H89*(1-Constants!$H107))+(AU13*Constants!$H71*Constants!$H123))</f>
        <v>482250.09647554386</v>
      </c>
      <c r="AV58" s="22">
        <f>((AV13*Constants!$H71*Constants!$H89*(1-Constants!$H107))+(AV13*Constants!$H71*Constants!$H123))</f>
        <v>483360.62881612865</v>
      </c>
      <c r="AW58" s="22">
        <f>((AW13*Constants!$H71*Constants!$H89*(1-Constants!$H107))+(AW13*Constants!$H71*Constants!$H123))</f>
        <v>484431.51443118905</v>
      </c>
      <c r="AX58" s="22">
        <f>((AX13*Constants!$H71*Constants!$H89*(1-Constants!$H107))+(AX13*Constants!$H71*Constants!$H123))</f>
        <v>485478.83801189112</v>
      </c>
      <c r="AY58" s="22">
        <f>((AY13*Constants!$H71*Constants!$H89*(1-Constants!$H107))+(AY13*Constants!$H71*Constants!$H123))</f>
        <v>486500.55247517279</v>
      </c>
      <c r="AZ58" s="22">
        <f>((AZ13*Constants!$H71*Constants!$H89*(1-Constants!$H107))+(AZ13*Constants!$H71*Constants!$H123))</f>
        <v>487489.66669124027</v>
      </c>
      <c r="BA58" s="22">
        <f>((BA13*Constants!$H71*Constants!$H89*(1-Constants!$H107))+(BA13*Constants!$H71*Constants!$H123))</f>
        <v>488451.56396737212</v>
      </c>
      <c r="BB58" s="22">
        <f>((BB13*Constants!$H71*Constants!$H89*(1-Constants!$H107))+(BB13*Constants!$H71*Constants!$H123))</f>
        <v>489388.20925075491</v>
      </c>
      <c r="BC58" s="22">
        <f>((BC13*Constants!$H71*Constants!$H89*(1-Constants!$H107))+(BC13*Constants!$H71*Constants!$H123))</f>
        <v>490303.71506476757</v>
      </c>
      <c r="BD58" s="22">
        <f>((BD13*Constants!$H71*Constants!$H89*(1-Constants!$H107))+(BD13*Constants!$H71*Constants!$H123))</f>
        <v>491169.695687534</v>
      </c>
      <c r="BE58" s="22">
        <f>((BE13*Constants!$H71*Constants!$H89*(1-Constants!$H107))+(BE13*Constants!$H71*Constants!$H123))</f>
        <v>491985.9464234375</v>
      </c>
      <c r="BF58" s="22">
        <f>((BF13*Constants!$H71*Constants!$H89*(1-Constants!$H107))+(BF13*Constants!$H71*Constants!$H123))</f>
        <v>492761.45888244722</v>
      </c>
      <c r="BG58" s="22">
        <f>((BG13*Constants!$H71*Constants!$H89*(1-Constants!$H107))+(BG13*Constants!$H71*Constants!$H123))</f>
        <v>493490.45212414651</v>
      </c>
      <c r="BH58" s="22">
        <f>((BH13*Constants!$H71*Constants!$H89*(1-Constants!$H107))+(BH13*Constants!$H71*Constants!$H123))</f>
        <v>494175.09612883884</v>
      </c>
      <c r="BI58" s="22">
        <f>((BI13*Constants!$H71*Constants!$H89*(1-Constants!$H107))+(BI13*Constants!$H71*Constants!$H123))</f>
        <v>494812.5743444378</v>
      </c>
      <c r="BJ58" s="22">
        <f>((BJ13*Constants!$H71*Constants!$H89*(1-Constants!$H107))+(BJ13*Constants!$H71*Constants!$H123))</f>
        <v>495393.04699839157</v>
      </c>
      <c r="BK58" s="22">
        <f>((BK13*Constants!$H71*Constants!$H89*(1-Constants!$H107))+(BK13*Constants!$H71*Constants!$H123))</f>
        <v>495907.47524055897</v>
      </c>
      <c r="BL58" s="22">
        <f>((BL13*Constants!$H71*Constants!$H89*(1-Constants!$H107))+(BL13*Constants!$H71*Constants!$H123))</f>
        <v>496355.89416930091</v>
      </c>
      <c r="BM58" s="22">
        <f>((BM13*Constants!$H71*Constants!$H89*(1-Constants!$H107))+(BM13*Constants!$H71*Constants!$H123))</f>
        <v>496734.61930924706</v>
      </c>
      <c r="BN58" s="22">
        <f>((BN13*Constants!$H71*Constants!$H89*(1-Constants!$H107))+(BN13*Constants!$H71*Constants!$H123))</f>
        <v>497044.03476985678</v>
      </c>
      <c r="BO58" s="22">
        <f>((BO13*Constants!$H71*Constants!$H89*(1-Constants!$H107))+(BO13*Constants!$H71*Constants!$H123))</f>
        <v>497293.11503217492</v>
      </c>
      <c r="BP58" s="22">
        <f>((BP13*Constants!$H71*Constants!$H89*(1-Constants!$H107))+(BP13*Constants!$H71*Constants!$H123))</f>
        <v>497432.66427532118</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5731435.4528670963</v>
      </c>
      <c r="AL59" s="22">
        <f>((AL14*Constants!$H72*Constants!$H90*(1-Constants!$H108))+(AL14*Constants!$H72*Constants!$H124))</f>
        <v>5717382.0583219454</v>
      </c>
      <c r="AM59" s="22">
        <f>((AM14*Constants!$H72*Constants!$H90*(1-Constants!$H108))+(AM14*Constants!$H72*Constants!$H124))</f>
        <v>5727210.243559299</v>
      </c>
      <c r="AN59" s="22">
        <f>((AN14*Constants!$H72*Constants!$H90*(1-Constants!$H108))+(AN14*Constants!$H72*Constants!$H124))</f>
        <v>5728163.9561955808</v>
      </c>
      <c r="AO59" s="22">
        <f>((AO14*Constants!$H72*Constants!$H90*(1-Constants!$H108))+(AO14*Constants!$H72*Constants!$H124))</f>
        <v>5730786.0575972358</v>
      </c>
      <c r="AP59" s="22">
        <f>((AP14*Constants!$H72*Constants!$H90*(1-Constants!$H108))+(AP14*Constants!$H72*Constants!$H124))</f>
        <v>5742379.0809081197</v>
      </c>
      <c r="AQ59" s="22">
        <f>((AQ14*Constants!$H72*Constants!$H90*(1-Constants!$H108))+(AQ14*Constants!$H72*Constants!$H124))</f>
        <v>5759431.769980887</v>
      </c>
      <c r="AR59" s="22">
        <f>((AR14*Constants!$H72*Constants!$H90*(1-Constants!$H108))+(AR14*Constants!$H72*Constants!$H124))</f>
        <v>5775528.6085634734</v>
      </c>
      <c r="AS59" s="22">
        <f>((AS14*Constants!$H72*Constants!$H90*(1-Constants!$H108))+(AS14*Constants!$H72*Constants!$H124))</f>
        <v>5790745.2816849202</v>
      </c>
      <c r="AT59" s="22">
        <f>((AT14*Constants!$H72*Constants!$H90*(1-Constants!$H108))+(AT14*Constants!$H72*Constants!$H124))</f>
        <v>5805089.5780961514</v>
      </c>
      <c r="AU59" s="22">
        <f>((AU14*Constants!$H72*Constants!$H90*(1-Constants!$H108))+(AU14*Constants!$H72*Constants!$H124))</f>
        <v>5818858.3081841841</v>
      </c>
      <c r="AV59" s="22">
        <f>((AV14*Constants!$H72*Constants!$H90*(1-Constants!$H108))+(AV14*Constants!$H72*Constants!$H124))</f>
        <v>5832258.0573677421</v>
      </c>
      <c r="AW59" s="22">
        <f>((AW14*Constants!$H72*Constants!$H90*(1-Constants!$H108))+(AW14*Constants!$H72*Constants!$H124))</f>
        <v>5845179.4268062348</v>
      </c>
      <c r="AX59" s="22">
        <f>((AX14*Constants!$H72*Constants!$H90*(1-Constants!$H108))+(AX14*Constants!$H72*Constants!$H124))</f>
        <v>5857816.4953386514</v>
      </c>
      <c r="AY59" s="22">
        <f>((AY14*Constants!$H72*Constants!$H90*(1-Constants!$H108))+(AY14*Constants!$H72*Constants!$H124))</f>
        <v>5870144.562739172</v>
      </c>
      <c r="AZ59" s="22">
        <f>((AZ14*Constants!$H72*Constants!$H90*(1-Constants!$H108))+(AZ14*Constants!$H72*Constants!$H124))</f>
        <v>5882079.2736204565</v>
      </c>
      <c r="BA59" s="22">
        <f>((BA14*Constants!$H72*Constants!$H90*(1-Constants!$H108))+(BA14*Constants!$H72*Constants!$H124))</f>
        <v>5893685.5832878798</v>
      </c>
      <c r="BB59" s="22">
        <f>((BB14*Constants!$H72*Constants!$H90*(1-Constants!$H108))+(BB14*Constants!$H72*Constants!$H124))</f>
        <v>5904987.2009109044</v>
      </c>
      <c r="BC59" s="22">
        <f>((BC14*Constants!$H72*Constants!$H90*(1-Constants!$H108))+(BC14*Constants!$H72*Constants!$H124))</f>
        <v>5916033.7484408924</v>
      </c>
      <c r="BD59" s="22">
        <f>((BD14*Constants!$H72*Constants!$H90*(1-Constants!$H108))+(BD14*Constants!$H72*Constants!$H124))</f>
        <v>5926482.7220716653</v>
      </c>
      <c r="BE59" s="22">
        <f>((BE14*Constants!$H72*Constants!$H90*(1-Constants!$H108))+(BE14*Constants!$H72*Constants!$H124))</f>
        <v>5936331.6519337548</v>
      </c>
      <c r="BF59" s="22">
        <f>((BF14*Constants!$H72*Constants!$H90*(1-Constants!$H108))+(BF14*Constants!$H72*Constants!$H124))</f>
        <v>5945689.0313271219</v>
      </c>
      <c r="BG59" s="22">
        <f>((BG14*Constants!$H72*Constants!$H90*(1-Constants!$H108))+(BG14*Constants!$H72*Constants!$H124))</f>
        <v>5954485.1070813285</v>
      </c>
      <c r="BH59" s="22">
        <f>((BH14*Constants!$H72*Constants!$H90*(1-Constants!$H108))+(BH14*Constants!$H72*Constants!$H124))</f>
        <v>5962746.0623076046</v>
      </c>
      <c r="BI59" s="22">
        <f>((BI14*Constants!$H72*Constants!$H90*(1-Constants!$H108))+(BI14*Constants!$H72*Constants!$H124))</f>
        <v>5970437.9123211866</v>
      </c>
      <c r="BJ59" s="22">
        <f>((BJ14*Constants!$H72*Constants!$H90*(1-Constants!$H108))+(BJ14*Constants!$H72*Constants!$H124))</f>
        <v>5977441.9298420055</v>
      </c>
      <c r="BK59" s="22">
        <f>((BK14*Constants!$H72*Constants!$H90*(1-Constants!$H108))+(BK14*Constants!$H72*Constants!$H124))</f>
        <v>5983649.0515673878</v>
      </c>
      <c r="BL59" s="22">
        <f>((BL14*Constants!$H72*Constants!$H90*(1-Constants!$H108))+(BL14*Constants!$H72*Constants!$H124))</f>
        <v>5989059.700996235</v>
      </c>
      <c r="BM59" s="22">
        <f>((BM14*Constants!$H72*Constants!$H90*(1-Constants!$H108))+(BM14*Constants!$H72*Constants!$H124))</f>
        <v>5993629.4210298844</v>
      </c>
      <c r="BN59" s="22">
        <f>((BN14*Constants!$H72*Constants!$H90*(1-Constants!$H108))+(BN14*Constants!$H72*Constants!$H124))</f>
        <v>5997362.8463558881</v>
      </c>
      <c r="BO59" s="22">
        <f>((BO14*Constants!$H72*Constants!$H90*(1-Constants!$H108))+(BO14*Constants!$H72*Constants!$H124))</f>
        <v>6000368.2635955876</v>
      </c>
      <c r="BP59" s="22">
        <f>((BP14*Constants!$H72*Constants!$H90*(1-Constants!$H108))+(BP14*Constants!$H72*Constants!$H124))</f>
        <v>6002052.0730521707</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7887809.5503911283</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7700573.9427559059</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6569395.7677534297</v>
      </c>
      <c r="AM62" s="22">
        <f>((AM17*Constants!$H75*Constants!$H93*(1-Constants!$H111))+(AM17*Constants!$H75*Constants!$H127))</f>
        <v>6866258.8642534791</v>
      </c>
      <c r="AN62" s="22">
        <f>((AN17*Constants!$H75*Constants!$H93*(1-Constants!$H111))+(AN17*Constants!$H75*Constants!$H127))</f>
        <v>6956009.504039851</v>
      </c>
      <c r="AO62" s="22">
        <f>((AO17*Constants!$H75*Constants!$H93*(1-Constants!$H111))+(AO17*Constants!$H75*Constants!$H127))</f>
        <v>6887360.4433043497</v>
      </c>
      <c r="AP62" s="22">
        <f>((AP17*Constants!$H75*Constants!$H93*(1-Constants!$H111))+(AP17*Constants!$H75*Constants!$H127))</f>
        <v>6826983.9594123801</v>
      </c>
      <c r="AQ62" s="22">
        <f>((AQ17*Constants!$H75*Constants!$H93*(1-Constants!$H111))+(AQ17*Constants!$H75*Constants!$H127))</f>
        <v>6808324.5822517695</v>
      </c>
      <c r="AR62" s="22">
        <f>((AR17*Constants!$H75*Constants!$H93*(1-Constants!$H111))+(AR17*Constants!$H75*Constants!$H127))</f>
        <v>6829761.022481312</v>
      </c>
      <c r="AS62" s="22">
        <f>((AS17*Constants!$H75*Constants!$H93*(1-Constants!$H111))+(AS17*Constants!$H75*Constants!$H127))</f>
        <v>6869688.509235654</v>
      </c>
      <c r="AT62" s="22">
        <f>((AT17*Constants!$H75*Constants!$H93*(1-Constants!$H111))+(AT17*Constants!$H75*Constants!$H127))</f>
        <v>6932662.2363419104</v>
      </c>
      <c r="AU62" s="22">
        <f>((AU17*Constants!$H75*Constants!$H93*(1-Constants!$H111))+(AU17*Constants!$H75*Constants!$H127))</f>
        <v>7033823.3396449592</v>
      </c>
      <c r="AV62" s="22">
        <f>((AV17*Constants!$H75*Constants!$H93*(1-Constants!$H111))+(AV17*Constants!$H75*Constants!$H127))</f>
        <v>7169639.8760012025</v>
      </c>
      <c r="AW62" s="22">
        <f>((AW17*Constants!$H75*Constants!$H93*(1-Constants!$H111))+(AW17*Constants!$H75*Constants!$H127))</f>
        <v>7324219.5265922025</v>
      </c>
      <c r="AX62" s="22">
        <f>((AX17*Constants!$H75*Constants!$H93*(1-Constants!$H111))+(AX17*Constants!$H75*Constants!$H127))</f>
        <v>7496027.7745081801</v>
      </c>
      <c r="AY62" s="22">
        <f>((AY17*Constants!$H75*Constants!$H93*(1-Constants!$H111))+(AY17*Constants!$H75*Constants!$H127))</f>
        <v>7676470.7012773613</v>
      </c>
      <c r="AZ62" s="22">
        <f>((AZ17*Constants!$H75*Constants!$H93*(1-Constants!$H111))+(AZ17*Constants!$H75*Constants!$H127))</f>
        <v>7868647.2454204662</v>
      </c>
      <c r="BA62" s="22">
        <f>((BA17*Constants!$H75*Constants!$H93*(1-Constants!$H111))+(BA17*Constants!$H75*Constants!$H127))</f>
        <v>8068415.2541033402</v>
      </c>
      <c r="BB62" s="22">
        <f>((BB17*Constants!$H75*Constants!$H93*(1-Constants!$H111))+(BB17*Constants!$H75*Constants!$H127))</f>
        <v>8262276.0085477643</v>
      </c>
      <c r="BC62" s="22">
        <f>((BC17*Constants!$H75*Constants!$H93*(1-Constants!$H111))+(BC17*Constants!$H75*Constants!$H127))</f>
        <v>8468958.2765714191</v>
      </c>
      <c r="BD62" s="22">
        <f>((BD17*Constants!$H75*Constants!$H93*(1-Constants!$H111))+(BD17*Constants!$H75*Constants!$H127))</f>
        <v>8676052.7865690496</v>
      </c>
      <c r="BE62" s="22">
        <f>((BE17*Constants!$H75*Constants!$H93*(1-Constants!$H111))+(BE17*Constants!$H75*Constants!$H127))</f>
        <v>8882472.2285839412</v>
      </c>
      <c r="BF62" s="22">
        <f>((BF17*Constants!$H75*Constants!$H93*(1-Constants!$H111))+(BF17*Constants!$H75*Constants!$H127))</f>
        <v>9093557.7512161341</v>
      </c>
      <c r="BG62" s="22">
        <f>((BG17*Constants!$H75*Constants!$H93*(1-Constants!$H111))+(BG17*Constants!$H75*Constants!$H127))</f>
        <v>9295658.8541150838</v>
      </c>
      <c r="BH62" s="22">
        <f>((BH17*Constants!$H75*Constants!$H93*(1-Constants!$H111))+(BH17*Constants!$H75*Constants!$H127))</f>
        <v>9507145.8635319714</v>
      </c>
      <c r="BI62" s="22">
        <f>((BI17*Constants!$H75*Constants!$H93*(1-Constants!$H111))+(BI17*Constants!$H75*Constants!$H127))</f>
        <v>9734115.3389977012</v>
      </c>
      <c r="BJ62" s="22">
        <f>((BJ17*Constants!$H75*Constants!$H93*(1-Constants!$H111))+(BJ17*Constants!$H75*Constants!$H127))</f>
        <v>9965051.4034724161</v>
      </c>
      <c r="BK62" s="22">
        <f>((BK17*Constants!$H75*Constants!$H93*(1-Constants!$H111))+(BK17*Constants!$H75*Constants!$H127))</f>
        <v>10200378.615670796</v>
      </c>
      <c r="BL62" s="22">
        <f>((BL17*Constants!$H75*Constants!$H93*(1-Constants!$H111))+(BL17*Constants!$H75*Constants!$H127))</f>
        <v>10451725.3681826</v>
      </c>
      <c r="BM62" s="22">
        <f>((BM17*Constants!$H75*Constants!$H93*(1-Constants!$H111))+(BM17*Constants!$H75*Constants!$H127))</f>
        <v>10714716.013016287</v>
      </c>
      <c r="BN62" s="22">
        <f>((BN17*Constants!$H75*Constants!$H93*(1-Constants!$H111))+(BN17*Constants!$H75*Constants!$H127))</f>
        <v>10986352.809144797</v>
      </c>
      <c r="BO62" s="22">
        <f>((BO17*Constants!$H75*Constants!$H93*(1-Constants!$H111))+(BO17*Constants!$H75*Constants!$H127))</f>
        <v>11273682.160334487</v>
      </c>
      <c r="BP62" s="22">
        <f>((BP17*Constants!$H75*Constants!$H93*(1-Constants!$H111))+(BP17*Constants!$H75*Constants!$H127))</f>
        <v>11533767.23493458</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1953665.0157333158</v>
      </c>
      <c r="AI63" s="22">
        <f>((AI18*Constants!$H76*Constants!$H94*(1-Constants!$H112))+(AI18*Constants!$H76*Constants!$H128))</f>
        <v>1912486.2375610496</v>
      </c>
      <c r="AJ63" s="22">
        <f>((AJ18*Constants!$H76*Constants!$H94*(1-Constants!$H112))+(AJ18*Constants!$H76*Constants!$H128))</f>
        <v>1882585.8779983772</v>
      </c>
      <c r="AK63" s="22">
        <f>((AK18*Constants!$H76*Constants!$H94*(1-Constants!$H112))+(AK18*Constants!$H76*Constants!$H128))</f>
        <v>1855331.2992651619</v>
      </c>
      <c r="AL63" s="22">
        <f>((AL18*Constants!$H76*Constants!$H94*(1-Constants!$H112))+(AL18*Constants!$H76*Constants!$H128))</f>
        <v>1666680.7930647782</v>
      </c>
      <c r="AM63" s="22">
        <f>((AM18*Constants!$H76*Constants!$H94*(1-Constants!$H112))+(AM18*Constants!$H76*Constants!$H128))</f>
        <v>1741996.0942885273</v>
      </c>
      <c r="AN63" s="22">
        <f>((AN18*Constants!$H76*Constants!$H94*(1-Constants!$H112))+(AN18*Constants!$H76*Constants!$H128))</f>
        <v>1764766.174336296</v>
      </c>
      <c r="AO63" s="22">
        <f>((AO18*Constants!$H76*Constants!$H94*(1-Constants!$H112))+(AO18*Constants!$H76*Constants!$H128))</f>
        <v>1747349.6454750844</v>
      </c>
      <c r="AP63" s="22">
        <f>((AP18*Constants!$H76*Constants!$H94*(1-Constants!$H112))+(AP18*Constants!$H76*Constants!$H128))</f>
        <v>1732031.9009498614</v>
      </c>
      <c r="AQ63" s="22">
        <f>((AQ18*Constants!$H76*Constants!$H94*(1-Constants!$H112))+(AQ18*Constants!$H76*Constants!$H128))</f>
        <v>1727297.9457089861</v>
      </c>
      <c r="AR63" s="22">
        <f>((AR18*Constants!$H76*Constants!$H94*(1-Constants!$H112))+(AR18*Constants!$H76*Constants!$H128))</f>
        <v>1732736.4524553192</v>
      </c>
      <c r="AS63" s="22">
        <f>((AS18*Constants!$H76*Constants!$H94*(1-Constants!$H112))+(AS18*Constants!$H76*Constants!$H128))</f>
        <v>1742866.2083174123</v>
      </c>
      <c r="AT63" s="22">
        <f>((AT18*Constants!$H76*Constants!$H94*(1-Constants!$H112))+(AT18*Constants!$H76*Constants!$H128))</f>
        <v>1758842.8833642853</v>
      </c>
      <c r="AU63" s="22">
        <f>((AU18*Constants!$H76*Constants!$H94*(1-Constants!$H112))+(AU18*Constants!$H76*Constants!$H128))</f>
        <v>1784507.8415797791</v>
      </c>
      <c r="AV63" s="22">
        <f>((AV18*Constants!$H76*Constants!$H94*(1-Constants!$H112))+(AV18*Constants!$H76*Constants!$H128))</f>
        <v>1818965.0155008053</v>
      </c>
      <c r="AW63" s="22">
        <f>((AW18*Constants!$H76*Constants!$H94*(1-Constants!$H112))+(AW18*Constants!$H76*Constants!$H128))</f>
        <v>1858182.4631545627</v>
      </c>
      <c r="AX63" s="22">
        <f>((AX18*Constants!$H76*Constants!$H94*(1-Constants!$H112))+(AX18*Constants!$H76*Constants!$H128))</f>
        <v>1901770.8717411256</v>
      </c>
      <c r="AY63" s="22">
        <f>((AY18*Constants!$H76*Constants!$H94*(1-Constants!$H112))+(AY18*Constants!$H76*Constants!$H128))</f>
        <v>1947549.9313263018</v>
      </c>
      <c r="AZ63" s="22">
        <f>((AZ18*Constants!$H76*Constants!$H94*(1-Constants!$H112))+(AZ18*Constants!$H76*Constants!$H128))</f>
        <v>1996305.8544468256</v>
      </c>
      <c r="BA63" s="22">
        <f>((BA18*Constants!$H76*Constants!$H94*(1-Constants!$H112))+(BA18*Constants!$H76*Constants!$H128))</f>
        <v>2046987.7611108839</v>
      </c>
      <c r="BB63" s="22">
        <f>((BB18*Constants!$H76*Constants!$H94*(1-Constants!$H112))+(BB18*Constants!$H76*Constants!$H128))</f>
        <v>2096170.9748164064</v>
      </c>
      <c r="BC63" s="22">
        <f>((BC18*Constants!$H76*Constants!$H94*(1-Constants!$H112))+(BC18*Constants!$H76*Constants!$H128))</f>
        <v>2148607.0554789496</v>
      </c>
      <c r="BD63" s="22">
        <f>((BD18*Constants!$H76*Constants!$H94*(1-Constants!$H112))+(BD18*Constants!$H76*Constants!$H128))</f>
        <v>2201147.723504534</v>
      </c>
      <c r="BE63" s="22">
        <f>((BE18*Constants!$H76*Constants!$H94*(1-Constants!$H112))+(BE18*Constants!$H76*Constants!$H128))</f>
        <v>2253517.1242049919</v>
      </c>
      <c r="BF63" s="22">
        <f>((BF18*Constants!$H76*Constants!$H94*(1-Constants!$H112))+(BF18*Constants!$H76*Constants!$H128))</f>
        <v>2307070.3273765873</v>
      </c>
      <c r="BG63" s="22">
        <f>((BG18*Constants!$H76*Constants!$H94*(1-Constants!$H112))+(BG18*Constants!$H76*Constants!$H128))</f>
        <v>2358344.1489527347</v>
      </c>
      <c r="BH63" s="22">
        <f>((BH18*Constants!$H76*Constants!$H94*(1-Constants!$H112))+(BH18*Constants!$H76*Constants!$H128))</f>
        <v>2411999.2108547785</v>
      </c>
      <c r="BI63" s="22">
        <f>((BI18*Constants!$H76*Constants!$H94*(1-Constants!$H112))+(BI18*Constants!$H76*Constants!$H128))</f>
        <v>2469582.233516858</v>
      </c>
      <c r="BJ63" s="22">
        <f>((BJ18*Constants!$H76*Constants!$H94*(1-Constants!$H112))+(BJ18*Constants!$H76*Constants!$H128))</f>
        <v>2528171.5949578737</v>
      </c>
      <c r="BK63" s="22">
        <f>((BK18*Constants!$H76*Constants!$H94*(1-Constants!$H112))+(BK18*Constants!$H76*Constants!$H128))</f>
        <v>2587875.0073450143</v>
      </c>
      <c r="BL63" s="22">
        <f>((BL18*Constants!$H76*Constants!$H94*(1-Constants!$H112))+(BL18*Constants!$H76*Constants!$H128))</f>
        <v>2651642.6382840592</v>
      </c>
      <c r="BM63" s="22">
        <f>((BM18*Constants!$H76*Constants!$H94*(1-Constants!$H112))+(BM18*Constants!$H76*Constants!$H128))</f>
        <v>2718364.3691701144</v>
      </c>
      <c r="BN63" s="22">
        <f>((BN18*Constants!$H76*Constants!$H94*(1-Constants!$H112))+(BN18*Constants!$H76*Constants!$H128))</f>
        <v>2787279.6616570307</v>
      </c>
      <c r="BO63" s="22">
        <f>((BO18*Constants!$H76*Constants!$H94*(1-Constants!$H112))+(BO18*Constants!$H76*Constants!$H128))</f>
        <v>2860176.215288688</v>
      </c>
      <c r="BP63" s="22">
        <f>((BP18*Constants!$H76*Constants!$H94*(1-Constants!$H112))+(BP18*Constants!$H76*Constants!$H128))</f>
        <v>2926160.7919108742</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10707973.553800801</v>
      </c>
      <c r="AM64" s="22">
        <f>((AM19*Constants!$H77*Constants!$H95*(1-Constants!$H113))+(AM19*Constants!$H77*Constants!$H129))</f>
        <v>11155049.889162675</v>
      </c>
      <c r="AN64" s="22">
        <f>((AN19*Constants!$H77*Constants!$H95*(1-Constants!$H113))+(AN19*Constants!$H77*Constants!$H129))</f>
        <v>11420750.480127929</v>
      </c>
      <c r="AO64" s="22">
        <f>((AO19*Constants!$H77*Constants!$H95*(1-Constants!$H113))+(AO19*Constants!$H77*Constants!$H129))</f>
        <v>11547572.457000658</v>
      </c>
      <c r="AP64" s="22">
        <f>((AP19*Constants!$H77*Constants!$H95*(1-Constants!$H113))+(AP19*Constants!$H77*Constants!$H129))</f>
        <v>11688222.481803615</v>
      </c>
      <c r="AQ64" s="22">
        <f>((AQ19*Constants!$H77*Constants!$H95*(1-Constants!$H113))+(AQ19*Constants!$H77*Constants!$H129))</f>
        <v>11871645.126169339</v>
      </c>
      <c r="AR64" s="22">
        <f>((AR19*Constants!$H77*Constants!$H95*(1-Constants!$H113))+(AR19*Constants!$H77*Constants!$H129))</f>
        <v>12092438.817297036</v>
      </c>
      <c r="AS64" s="22">
        <f>((AS19*Constants!$H77*Constants!$H95*(1-Constants!$H113))+(AS19*Constants!$H77*Constants!$H129))</f>
        <v>12331908.618031647</v>
      </c>
      <c r="AT64" s="22">
        <f>((AT19*Constants!$H77*Constants!$H95*(1-Constants!$H113))+(AT19*Constants!$H77*Constants!$H129))</f>
        <v>12595932.842537347</v>
      </c>
      <c r="AU64" s="22">
        <f>((AU19*Constants!$H77*Constants!$H95*(1-Constants!$H113))+(AU19*Constants!$H77*Constants!$H129))</f>
        <v>12901993.190463658</v>
      </c>
      <c r="AV64" s="22">
        <f>((AV19*Constants!$H77*Constants!$H95*(1-Constants!$H113))+(AV19*Constants!$H77*Constants!$H129))</f>
        <v>13249160.22431981</v>
      </c>
      <c r="AW64" s="22">
        <f>((AW19*Constants!$H77*Constants!$H95*(1-Constants!$H113))+(AW19*Constants!$H77*Constants!$H129))</f>
        <v>13622666.782137556</v>
      </c>
      <c r="AX64" s="22">
        <f>((AX19*Constants!$H77*Constants!$H95*(1-Constants!$H113))+(AX19*Constants!$H77*Constants!$H129))</f>
        <v>14022454.298847679</v>
      </c>
      <c r="AY64" s="22">
        <f>((AY19*Constants!$H77*Constants!$H95*(1-Constants!$H113))+(AY19*Constants!$H77*Constants!$H129))</f>
        <v>14440255.88966389</v>
      </c>
      <c r="AZ64" s="22">
        <f>((AZ19*Constants!$H77*Constants!$H95*(1-Constants!$H113))+(AZ19*Constants!$H77*Constants!$H129))</f>
        <v>14880313.259041591</v>
      </c>
      <c r="BA64" s="22">
        <f>((BA19*Constants!$H77*Constants!$H95*(1-Constants!$H113))+(BA19*Constants!$H77*Constants!$H129))</f>
        <v>15338929.633525377</v>
      </c>
      <c r="BB64" s="22">
        <f>((BB19*Constants!$H77*Constants!$H95*(1-Constants!$H113))+(BB19*Constants!$H77*Constants!$H129))</f>
        <v>15800959.252903499</v>
      </c>
      <c r="BC64" s="22">
        <f>((BC19*Constants!$H77*Constants!$H95*(1-Constants!$H113))+(BC19*Constants!$H77*Constants!$H129))</f>
        <v>16288905.39141392</v>
      </c>
      <c r="BD64" s="22">
        <f>((BD19*Constants!$H77*Constants!$H95*(1-Constants!$H113))+(BD19*Constants!$H77*Constants!$H129))</f>
        <v>16788328.962574892</v>
      </c>
      <c r="BE64" s="22">
        <f>((BE19*Constants!$H77*Constants!$H95*(1-Constants!$H113))+(BE19*Constants!$H77*Constants!$H129))</f>
        <v>17298204.541695815</v>
      </c>
      <c r="BF64" s="22">
        <f>((BF19*Constants!$H77*Constants!$H95*(1-Constants!$H113))+(BF19*Constants!$H77*Constants!$H129))</f>
        <v>17825737.695704024</v>
      </c>
      <c r="BG64" s="22">
        <f>((BG19*Constants!$H77*Constants!$H95*(1-Constants!$H113))+(BG19*Constants!$H77*Constants!$H129))</f>
        <v>18353787.96205559</v>
      </c>
      <c r="BH64" s="22">
        <f>((BH19*Constants!$H77*Constants!$H95*(1-Constants!$H113))+(BH19*Constants!$H77*Constants!$H129))</f>
        <v>18906390.919617333</v>
      </c>
      <c r="BI64" s="22">
        <f>((BI19*Constants!$H77*Constants!$H95*(1-Constants!$H113))+(BI19*Constants!$H77*Constants!$H129))</f>
        <v>19492780.44974849</v>
      </c>
      <c r="BJ64" s="22">
        <f>((BJ19*Constants!$H77*Constants!$H95*(1-Constants!$H113))+(BJ19*Constants!$H77*Constants!$H129))</f>
        <v>20098552.076406911</v>
      </c>
      <c r="BK64" s="22">
        <f>((BK19*Constants!$H77*Constants!$H95*(1-Constants!$H113))+(BK19*Constants!$H77*Constants!$H129))</f>
        <v>20724888.779312231</v>
      </c>
      <c r="BL64" s="22">
        <f>((BL19*Constants!$H77*Constants!$H95*(1-Constants!$H113))+(BL19*Constants!$H77*Constants!$H129))</f>
        <v>21389134.123328842</v>
      </c>
      <c r="BM64" s="22">
        <f>((BM19*Constants!$H77*Constants!$H95*(1-Constants!$H113))+(BM19*Constants!$H77*Constants!$H129))</f>
        <v>22086609.582873523</v>
      </c>
      <c r="BN64" s="22">
        <f>((BN19*Constants!$H77*Constants!$H95*(1-Constants!$H113))+(BN19*Constants!$H77*Constants!$H129))</f>
        <v>22814322.613232754</v>
      </c>
      <c r="BO64" s="22">
        <f>((BO19*Constants!$H77*Constants!$H95*(1-Constants!$H113))+(BO19*Constants!$H77*Constants!$H129))</f>
        <v>23584250.551686771</v>
      </c>
      <c r="BP64" s="22">
        <f>((BP19*Constants!$H77*Constants!$H95*(1-Constants!$H113))+(BP19*Constants!$H77*Constants!$H129))</f>
        <v>24331735.506164808</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51865691.663914926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44099651.067897394</v>
      </c>
      <c r="AM65" s="22">
        <f>((AM20*Constants!$H78*Constants!$H96*(1-Constants!$H114))+(AM20*Constants!$H78*Constants!$H130))</f>
        <v>48089570.983048208</v>
      </c>
      <c r="AN65" s="22">
        <f>((AN20*Constants!$H78*Constants!$H96*(1-Constants!$H114))+(AN20*Constants!$H78*Constants!$H130))</f>
        <v>50009394.914195083</v>
      </c>
      <c r="AO65" s="22">
        <f>((AO20*Constants!$H78*Constants!$H96*(1-Constants!$H114))+(AO20*Constants!$H78*Constants!$H130))</f>
        <v>50249610.401313715</v>
      </c>
      <c r="AP65" s="22">
        <f>((AP20*Constants!$H78*Constants!$H96*(1-Constants!$H114))+(AP20*Constants!$H78*Constants!$H130))</f>
        <v>50526529.646560349</v>
      </c>
      <c r="AQ65" s="22">
        <f>((AQ20*Constants!$H78*Constants!$H96*(1-Constants!$H114))+(AQ20*Constants!$H78*Constants!$H130))</f>
        <v>51228799.527919471</v>
      </c>
      <c r="AR65" s="22">
        <f>((AR20*Constants!$H78*Constants!$H96*(1-Constants!$H114))+(AR20*Constants!$H78*Constants!$H130))</f>
        <v>52385121.897056714</v>
      </c>
      <c r="AS65" s="22">
        <f>((AS20*Constants!$H78*Constants!$H96*(1-Constants!$H114))+(AS20*Constants!$H78*Constants!$H130))</f>
        <v>53768622.900068872</v>
      </c>
      <c r="AT65" s="22">
        <f>((AT20*Constants!$H78*Constants!$H96*(1-Constants!$H114))+(AT20*Constants!$H78*Constants!$H130))</f>
        <v>55440366.294521227</v>
      </c>
      <c r="AU65" s="22">
        <f>((AU20*Constants!$H78*Constants!$H96*(1-Constants!$H114))+(AU20*Constants!$H78*Constants!$H130))</f>
        <v>57585958.286809772</v>
      </c>
      <c r="AV65" s="22">
        <f>((AV20*Constants!$H78*Constants!$H96*(1-Constants!$H114))+(AV20*Constants!$H78*Constants!$H130))</f>
        <v>60180921.385537907</v>
      </c>
      <c r="AW65" s="22">
        <f>((AW20*Constants!$H78*Constants!$H96*(1-Constants!$H114))+(AW20*Constants!$H78*Constants!$H130))</f>
        <v>63053088.702581927</v>
      </c>
      <c r="AX65" s="22">
        <f>((AX20*Constants!$H78*Constants!$H96*(1-Constants!$H114))+(AX20*Constants!$H78*Constants!$H130))</f>
        <v>66192931.655064628</v>
      </c>
      <c r="AY65" s="22">
        <f>((AY20*Constants!$H78*Constants!$H96*(1-Constants!$H114))+(AY20*Constants!$H78*Constants!$H130))</f>
        <v>69504878.397098541</v>
      </c>
      <c r="AZ65" s="22">
        <f>((AZ20*Constants!$H78*Constants!$H96*(1-Constants!$H114))+(AZ20*Constants!$H78*Constants!$H130))</f>
        <v>73033248.514562026</v>
      </c>
      <c r="BA65" s="22">
        <f>((BA20*Constants!$H78*Constants!$H96*(1-Constants!$H114))+(BA20*Constants!$H78*Constants!$H130))</f>
        <v>76733039.715204433</v>
      </c>
      <c r="BB65" s="22">
        <f>((BB20*Constants!$H78*Constants!$H96*(1-Constants!$H114))+(BB20*Constants!$H78*Constants!$H130))</f>
        <v>80438198.901944175</v>
      </c>
      <c r="BC65" s="22">
        <f>((BC20*Constants!$H78*Constants!$H96*(1-Constants!$H114))+(BC20*Constants!$H78*Constants!$H130))</f>
        <v>84388380.301356792</v>
      </c>
      <c r="BD65" s="22">
        <f>((BD20*Constants!$H78*Constants!$H96*(1-Constants!$H114))+(BD20*Constants!$H78*Constants!$H130))</f>
        <v>88431752.800244555</v>
      </c>
      <c r="BE65" s="22">
        <f>((BE20*Constants!$H78*Constants!$H96*(1-Constants!$H114))+(BE20*Constants!$H78*Constants!$H130))</f>
        <v>92556324.519422397</v>
      </c>
      <c r="BF65" s="22">
        <f>((BF20*Constants!$H78*Constants!$H96*(1-Constants!$H114))+(BF20*Constants!$H78*Constants!$H130))</f>
        <v>96834839.488769963</v>
      </c>
      <c r="BG65" s="22">
        <f>((BG20*Constants!$H78*Constants!$H96*(1-Constants!$H114))+(BG20*Constants!$H78*Constants!$H130))</f>
        <v>101087665.87864073</v>
      </c>
      <c r="BH65" s="22">
        <f>((BH20*Constants!$H78*Constants!$H96*(1-Constants!$H114))+(BH20*Constants!$H78*Constants!$H130))</f>
        <v>105564127.97886045</v>
      </c>
      <c r="BI65" s="22">
        <f>((BI20*Constants!$H78*Constants!$H96*(1-Constants!$H114))+(BI20*Constants!$H78*Constants!$H130))</f>
        <v>110356388.28385124</v>
      </c>
      <c r="BJ65" s="22">
        <f>((BJ20*Constants!$H78*Constants!$H96*(1-Constants!$H114))+(BJ20*Constants!$H78*Constants!$H130))</f>
        <v>115314074.23182254</v>
      </c>
      <c r="BK65" s="22">
        <f>((BK20*Constants!$H78*Constants!$H96*(1-Constants!$H114))+(BK20*Constants!$H78*Constants!$H130))</f>
        <v>120448762.6838035</v>
      </c>
      <c r="BL65" s="22">
        <f>((BL20*Constants!$H78*Constants!$H96*(1-Constants!$H114))+(BL20*Constants!$H78*Constants!$H130))</f>
        <v>125933602.50821653</v>
      </c>
      <c r="BM65" s="22">
        <f>((BM20*Constants!$H78*Constants!$H96*(1-Constants!$H114))+(BM20*Constants!$H78*Constants!$H130))</f>
        <v>131717106.42779465</v>
      </c>
      <c r="BN65" s="22">
        <f>((BN20*Constants!$H78*Constants!$H96*(1-Constants!$H114))+(BN20*Constants!$H78*Constants!$H130))</f>
        <v>137765074.08774415</v>
      </c>
      <c r="BO65" s="22">
        <f>((BO20*Constants!$H78*Constants!$H96*(1-Constants!$H114))+(BO20*Constants!$H78*Constants!$H130))</f>
        <v>144191472.83411726</v>
      </c>
      <c r="BP65" s="22">
        <f>((BP20*Constants!$H78*Constants!$H96*(1-Constants!$H114))+(BP20*Constants!$H78*Constants!$H130))</f>
        <v>150360154.37166515</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34343412.838726059</v>
      </c>
      <c r="AM67" s="22">
        <f>AM6*Constants!$H64*(1-Constants!$H82)</f>
        <v>35035983.926896535</v>
      </c>
      <c r="AN67" s="22">
        <f>AN6*Constants!$H64*(1-Constants!$H82)</f>
        <v>35379782.62078017</v>
      </c>
      <c r="AO67" s="22">
        <f>AO6*Constants!$H64*(1-Constants!$H82)</f>
        <v>35469568.884563208</v>
      </c>
      <c r="AP67" s="22">
        <f>AP6*Constants!$H64*(1-Constants!$H82)</f>
        <v>35597234.406316809</v>
      </c>
      <c r="AQ67" s="22">
        <f>AQ6*Constants!$H64*(1-Constants!$H82)</f>
        <v>35811458.114291571</v>
      </c>
      <c r="AR67" s="22">
        <f>AR6*Constants!$H64*(1-Constants!$H82)</f>
        <v>36094455.171638645</v>
      </c>
      <c r="AS67" s="22">
        <f>AS6*Constants!$H64*(1-Constants!$H82)</f>
        <v>36411301.923579261</v>
      </c>
      <c r="AT67" s="22">
        <f>AT6*Constants!$H64*(1-Constants!$H82)</f>
        <v>36771977.266686164</v>
      </c>
      <c r="AU67" s="22">
        <f>AU6*Constants!$H64*(1-Constants!$H82)</f>
        <v>37207405.571504287</v>
      </c>
      <c r="AV67" s="22">
        <f>AV6*Constants!$H64*(1-Constants!$H82)</f>
        <v>37715057.367980212</v>
      </c>
      <c r="AW67" s="22">
        <f>AW6*Constants!$H64*(1-Constants!$H82)</f>
        <v>38267592.744449317</v>
      </c>
      <c r="AX67" s="22">
        <f>AX6*Constants!$H64*(1-Constants!$H82)</f>
        <v>38864512.327588893</v>
      </c>
      <c r="AY67" s="22">
        <f>AY6*Constants!$H64*(1-Constants!$H82)</f>
        <v>39490668.666399553</v>
      </c>
      <c r="AZ67" s="22">
        <f>AZ6*Constants!$H64*(1-Constants!$H82)</f>
        <v>40153065.202076688</v>
      </c>
      <c r="BA67" s="22">
        <f>BA6*Constants!$H64*(1-Constants!$H82)</f>
        <v>40844891.042991512</v>
      </c>
      <c r="BB67" s="22">
        <f>BB6*Constants!$H64*(1-Constants!$H82)</f>
        <v>41539487.238473855</v>
      </c>
      <c r="BC67" s="22">
        <f>BC6*Constants!$H64*(1-Constants!$H82)</f>
        <v>42275923.09762314</v>
      </c>
      <c r="BD67" s="22">
        <f>BD6*Constants!$H64*(1-Constants!$H82)</f>
        <v>43028455.068420947</v>
      </c>
      <c r="BE67" s="22">
        <f>BE6*Constants!$H64*(1-Constants!$H82)</f>
        <v>43795169.219197504</v>
      </c>
      <c r="BF67" s="22">
        <f>BF6*Constants!$H64*(1-Constants!$H82)</f>
        <v>44588418.238987468</v>
      </c>
      <c r="BG67" s="22">
        <f>BG6*Constants!$H64*(1-Constants!$H82)</f>
        <v>45378589.035128355</v>
      </c>
      <c r="BH67" s="22">
        <f>BH6*Constants!$H64*(1-Constants!$H82)</f>
        <v>46206715.810032941</v>
      </c>
      <c r="BI67" s="22">
        <f>BI6*Constants!$H64*(1-Constants!$H82)</f>
        <v>47088087.983962663</v>
      </c>
      <c r="BJ67" s="22">
        <f>BJ6*Constants!$H64*(1-Constants!$H82)</f>
        <v>47997718.275677353</v>
      </c>
      <c r="BK67" s="22">
        <f>BK6*Constants!$H64*(1-Constants!$H82)</f>
        <v>48937252.351627633</v>
      </c>
      <c r="BL67" s="22">
        <f>BL6*Constants!$H64*(1-Constants!$H82)</f>
        <v>49935601.918978639</v>
      </c>
      <c r="BM67" s="22">
        <f>BM6*Constants!$H64*(1-Constants!$H82)</f>
        <v>50984370.803182505</v>
      </c>
      <c r="BN67" s="22">
        <f>BN6*Constants!$H64*(1-Constants!$H82)</f>
        <v>52078148.080196433</v>
      </c>
      <c r="BO67" s="22">
        <f>BO6*Constants!$H64*(1-Constants!$H82)</f>
        <v>53236642.79182604</v>
      </c>
      <c r="BP67" s="22">
        <f>BP6*Constants!$H64*(1-Constants!$H82)</f>
        <v>54351328.271648996</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23388099.123817042</v>
      </c>
      <c r="AM68" s="22">
        <f>AM7*Constants!$H65*(1-Constants!$H83)</f>
        <v>23859744.773493305</v>
      </c>
      <c r="AN68" s="22">
        <f>AN7*Constants!$H65*(1-Constants!$H83)</f>
        <v>24093874.036328897</v>
      </c>
      <c r="AO68" s="22">
        <f>AO7*Constants!$H65*(1-Constants!$H83)</f>
        <v>24155019.096290641</v>
      </c>
      <c r="AP68" s="22">
        <f>AP7*Constants!$H65*(1-Constants!$H83)</f>
        <v>24241960.190103546</v>
      </c>
      <c r="AQ68" s="22">
        <f>AQ7*Constants!$H65*(1-Constants!$H83)</f>
        <v>24387848.000971768</v>
      </c>
      <c r="AR68" s="22">
        <f>AR7*Constants!$H65*(1-Constants!$H83)</f>
        <v>24580570.933315825</v>
      </c>
      <c r="AS68" s="22">
        <f>AS7*Constants!$H65*(1-Constants!$H83)</f>
        <v>24796345.739280671</v>
      </c>
      <c r="AT68" s="22">
        <f>AT7*Constants!$H65*(1-Constants!$H83)</f>
        <v>25041968.115708817</v>
      </c>
      <c r="AU68" s="22">
        <f>AU7*Constants!$H65*(1-Constants!$H83)</f>
        <v>25338497.770528637</v>
      </c>
      <c r="AV68" s="22">
        <f>AV7*Constants!$H65*(1-Constants!$H83)</f>
        <v>25684212.117326882</v>
      </c>
      <c r="AW68" s="22">
        <f>AW7*Constants!$H65*(1-Constants!$H83)</f>
        <v>26060492.489197884</v>
      </c>
      <c r="AX68" s="22">
        <f>AX7*Constants!$H65*(1-Constants!$H83)</f>
        <v>26466998.809492111</v>
      </c>
      <c r="AY68" s="22">
        <f>AY7*Constants!$H65*(1-Constants!$H83)</f>
        <v>26893415.560438782</v>
      </c>
      <c r="AZ68" s="22">
        <f>AZ7*Constants!$H65*(1-Constants!$H83)</f>
        <v>27344512.133410145</v>
      </c>
      <c r="BA68" s="22">
        <f>BA7*Constants!$H65*(1-Constants!$H83)</f>
        <v>27815650.26460626</v>
      </c>
      <c r="BB68" s="22">
        <f>BB7*Constants!$H65*(1-Constants!$H83)</f>
        <v>28288675.026217856</v>
      </c>
      <c r="BC68" s="22">
        <f>BC7*Constants!$H65*(1-Constants!$H83)</f>
        <v>28790192.885057297</v>
      </c>
      <c r="BD68" s="22">
        <f>BD7*Constants!$H65*(1-Constants!$H83)</f>
        <v>29302672.306060389</v>
      </c>
      <c r="BE68" s="22">
        <f>BE7*Constants!$H65*(1-Constants!$H83)</f>
        <v>29824809.888664734</v>
      </c>
      <c r="BF68" s="22">
        <f>BF7*Constants!$H65*(1-Constants!$H83)</f>
        <v>30365017.898621108</v>
      </c>
      <c r="BG68" s="22">
        <f>BG7*Constants!$H65*(1-Constants!$H83)</f>
        <v>30903129.617210984</v>
      </c>
      <c r="BH68" s="22">
        <f>BH7*Constants!$H65*(1-Constants!$H83)</f>
        <v>31467089.61703708</v>
      </c>
      <c r="BI68" s="22">
        <f>BI7*Constants!$H65*(1-Constants!$H83)</f>
        <v>32067310.097908981</v>
      </c>
      <c r="BJ68" s="22">
        <f>BJ7*Constants!$H65*(1-Constants!$H83)</f>
        <v>32686774.550336972</v>
      </c>
      <c r="BK68" s="22">
        <f>BK7*Constants!$H65*(1-Constants!$H83)</f>
        <v>33326603.68443371</v>
      </c>
      <c r="BL68" s="22">
        <f>BL7*Constants!$H65*(1-Constants!$H83)</f>
        <v>34006486.570595101</v>
      </c>
      <c r="BM68" s="22">
        <f>BM7*Constants!$H65*(1-Constants!$H83)</f>
        <v>34720705.356506683</v>
      </c>
      <c r="BN68" s="22">
        <f>BN7*Constants!$H65*(1-Constants!$H83)</f>
        <v>35465575.165873282</v>
      </c>
      <c r="BO68" s="22">
        <f>BO7*Constants!$H65*(1-Constants!$H83)</f>
        <v>36254517.991015516</v>
      </c>
      <c r="BP68" s="22">
        <f>BP7*Constants!$H65*(1-Constants!$H83)</f>
        <v>37013626.429550834</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466870540.49783468</v>
      </c>
      <c r="AI69" s="22">
        <f>AI8*Constants!$H66*(1-Constants!$H84)</f>
        <v>454797998.08090121</v>
      </c>
      <c r="AJ69" s="22">
        <f>AJ8*Constants!$H66*(1-Constants!$H84)</f>
        <v>445276030.79173326</v>
      </c>
      <c r="AK69" s="22">
        <f>AK8*Constants!$H66*(1-Constants!$H84)</f>
        <v>436267167.24004084</v>
      </c>
      <c r="AL69" s="22">
        <f>AL8*Constants!$H66*(1-Constants!$H84)</f>
        <v>389566728.21594977</v>
      </c>
      <c r="AM69" s="22">
        <f>AM8*Constants!$H66*(1-Constants!$H84)</f>
        <v>408192031.06093973</v>
      </c>
      <c r="AN69" s="22">
        <f>AN8*Constants!$H66*(1-Constants!$H84)</f>
        <v>414640114.49025095</v>
      </c>
      <c r="AO69" s="22">
        <f>AO8*Constants!$H66*(1-Constants!$H84)</f>
        <v>411839936.44409215</v>
      </c>
      <c r="AP69" s="22">
        <f>AP8*Constants!$H66*(1-Constants!$H84)</f>
        <v>409562188.77251315</v>
      </c>
      <c r="AQ69" s="22">
        <f>AQ8*Constants!$H66*(1-Constants!$H84)</f>
        <v>409711811.66464323</v>
      </c>
      <c r="AR69" s="22">
        <f>AR8*Constants!$H66*(1-Constants!$H84)</f>
        <v>412117670.75907326</v>
      </c>
      <c r="AS69" s="22">
        <f>AS8*Constants!$H66*(1-Constants!$H84)</f>
        <v>415531419.69554502</v>
      </c>
      <c r="AT69" s="22">
        <f>AT8*Constants!$H66*(1-Constants!$H84)</f>
        <v>420228031.91317433</v>
      </c>
      <c r="AU69" s="22">
        <f>AU8*Constants!$H66*(1-Constants!$H84)</f>
        <v>427107647.17284042</v>
      </c>
      <c r="AV69" s="22">
        <f>AV8*Constants!$H66*(1-Constants!$H84)</f>
        <v>435975969.21777695</v>
      </c>
      <c r="AW69" s="22">
        <f>AW8*Constants!$H66*(1-Constants!$H84)</f>
        <v>442158919.65440696</v>
      </c>
      <c r="AX69" s="22">
        <f>AX8*Constants!$H66*(1-Constants!$H84)</f>
        <v>449072252.52369195</v>
      </c>
      <c r="AY69" s="22">
        <f>AY8*Constants!$H66*(1-Constants!$H84)</f>
        <v>456194970.07632363</v>
      </c>
      <c r="AZ69" s="22">
        <f>AZ8*Constants!$H66*(1-Constants!$H84)</f>
        <v>463685295.25468147</v>
      </c>
      <c r="BA69" s="22">
        <f>BA8*Constants!$H66*(1-Constants!$H84)</f>
        <v>471287810.02747113</v>
      </c>
      <c r="BB69" s="22">
        <f>BB8*Constants!$H66*(1-Constants!$H84)</f>
        <v>478230256.95484024</v>
      </c>
      <c r="BC69" s="22">
        <f>BC8*Constants!$H66*(1-Constants!$H84)</f>
        <v>485553264.30932266</v>
      </c>
      <c r="BD69" s="22">
        <f>BD8*Constants!$H66*(1-Constants!$H84)</f>
        <v>492544686.78460568</v>
      </c>
      <c r="BE69" s="22">
        <f>BE8*Constants!$H66*(1-Constants!$H84)</f>
        <v>499137169.74640453</v>
      </c>
      <c r="BF69" s="22">
        <f>BF8*Constants!$H66*(1-Constants!$H84)</f>
        <v>505612517.67352271</v>
      </c>
      <c r="BG69" s="22">
        <f>BG8*Constants!$H66*(1-Constants!$H84)</f>
        <v>513835229.57823044</v>
      </c>
      <c r="BH69" s="22">
        <f>BH8*Constants!$H66*(1-Constants!$H84)</f>
        <v>522340062.14793307</v>
      </c>
      <c r="BI69" s="22">
        <f>BI8*Constants!$H66*(1-Constants!$H84)</f>
        <v>531436090.51410437</v>
      </c>
      <c r="BJ69" s="22">
        <f>BJ8*Constants!$H66*(1-Constants!$H84)</f>
        <v>540496729.22803032</v>
      </c>
      <c r="BK69" s="22">
        <f>BK8*Constants!$H66*(1-Constants!$H84)</f>
        <v>549533738.45775235</v>
      </c>
      <c r="BL69" s="22">
        <f>BL8*Constants!$H66*(1-Constants!$H84)</f>
        <v>559141031.19263172</v>
      </c>
      <c r="BM69" s="22">
        <f>BM8*Constants!$H66*(1-Constants!$H84)</f>
        <v>569069850.38833904</v>
      </c>
      <c r="BN69" s="22">
        <f>BN8*Constants!$H66*(1-Constants!$H84)</f>
        <v>579147574.01377952</v>
      </c>
      <c r="BO69" s="22">
        <f>BO8*Constants!$H66*(1-Constants!$H84)</f>
        <v>589717153.30563688</v>
      </c>
      <c r="BP69" s="22">
        <f>BP8*Constants!$H66*(1-Constants!$H84)</f>
        <v>598578430.74116528</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307182602.50561357</v>
      </c>
      <c r="AE70" s="22">
        <f>AE9*Constants!$H67*(1-Constants!$H85)</f>
        <v>304518505.8952834</v>
      </c>
      <c r="AF70" s="22">
        <f>AF9*Constants!$H67*(1-Constants!$H85)</f>
        <v>303504364.96473223</v>
      </c>
      <c r="AG70" s="22">
        <f>AG9*Constants!$H67*(1-Constants!$H85)</f>
        <v>299451461.44928294</v>
      </c>
      <c r="AH70" s="22">
        <f>AH9*Constants!$H67*(1-Constants!$H85)</f>
        <v>293568573.01785594</v>
      </c>
      <c r="AI70" s="22">
        <f>AI9*Constants!$H67*(1-Constants!$H85)</f>
        <v>285977348.59350574</v>
      </c>
      <c r="AJ70" s="22">
        <f>AJ9*Constants!$H67*(1-Constants!$H85)</f>
        <v>279989927.86993009</v>
      </c>
      <c r="AK70" s="22">
        <f>AK9*Constants!$H67*(1-Constants!$H85)</f>
        <v>274325147.19098037</v>
      </c>
      <c r="AL70" s="22">
        <f>AL9*Constants!$H67*(1-Constants!$H85)</f>
        <v>244959873.40653741</v>
      </c>
      <c r="AM70" s="22">
        <f>AM9*Constants!$H67*(1-Constants!$H85)</f>
        <v>256671478.88157699</v>
      </c>
      <c r="AN70" s="22">
        <f>AN9*Constants!$H67*(1-Constants!$H85)</f>
        <v>260726038.95089403</v>
      </c>
      <c r="AO70" s="22">
        <f>AO9*Constants!$H67*(1-Constants!$H85)</f>
        <v>258965284.73339683</v>
      </c>
      <c r="AP70" s="22">
        <f>AP9*Constants!$H67*(1-Constants!$H85)</f>
        <v>257533035.15747118</v>
      </c>
      <c r="AQ70" s="22">
        <f>AQ9*Constants!$H67*(1-Constants!$H85)</f>
        <v>257627118.15291268</v>
      </c>
      <c r="AR70" s="22">
        <f>AR9*Constants!$H67*(1-Constants!$H85)</f>
        <v>259139924.29501945</v>
      </c>
      <c r="AS70" s="22">
        <f>AS9*Constants!$H67*(1-Constants!$H85)</f>
        <v>261286492.38400739</v>
      </c>
      <c r="AT70" s="22">
        <f>AT9*Constants!$H67*(1-Constants!$H85)</f>
        <v>264239725.940525</v>
      </c>
      <c r="AU70" s="22">
        <f>AU9*Constants!$H67*(1-Constants!$H85)</f>
        <v>268565633.57337427</v>
      </c>
      <c r="AV70" s="22">
        <f>AV9*Constants!$H67*(1-Constants!$H85)</f>
        <v>274142041.63934189</v>
      </c>
      <c r="AW70" s="22">
        <f>AW9*Constants!$H67*(1-Constants!$H85)</f>
        <v>278029885.86867815</v>
      </c>
      <c r="AX70" s="22">
        <f>AX9*Constants!$H67*(1-Constants!$H85)</f>
        <v>282376995.16169393</v>
      </c>
      <c r="AY70" s="22">
        <f>AY9*Constants!$H67*(1-Constants!$H85)</f>
        <v>286855765.71274567</v>
      </c>
      <c r="AZ70" s="22">
        <f>AZ9*Constants!$H67*(1-Constants!$H85)</f>
        <v>291565688.2358191</v>
      </c>
      <c r="BA70" s="22">
        <f>BA9*Constants!$H67*(1-Constants!$H85)</f>
        <v>296346155.66650164</v>
      </c>
      <c r="BB70" s="22">
        <f>BB9*Constants!$H67*(1-Constants!$H85)</f>
        <v>300711571.90275997</v>
      </c>
      <c r="BC70" s="22">
        <f>BC9*Constants!$H67*(1-Constants!$H85)</f>
        <v>305316284.84301585</v>
      </c>
      <c r="BD70" s="22">
        <f>BD9*Constants!$H67*(1-Constants!$H85)</f>
        <v>309712496.94336647</v>
      </c>
      <c r="BE70" s="22">
        <f>BE9*Constants!$H67*(1-Constants!$H85)</f>
        <v>313857855.55536228</v>
      </c>
      <c r="BF70" s="22">
        <f>BF9*Constants!$H67*(1-Constants!$H85)</f>
        <v>317929559.56292546</v>
      </c>
      <c r="BG70" s="22">
        <f>BG9*Constants!$H67*(1-Constants!$H85)</f>
        <v>323100007.45117283</v>
      </c>
      <c r="BH70" s="22">
        <f>BH9*Constants!$H67*(1-Constants!$H85)</f>
        <v>328447853.04147512</v>
      </c>
      <c r="BI70" s="22">
        <f>BI9*Constants!$H67*(1-Constants!$H85)</f>
        <v>334167443.02618361</v>
      </c>
      <c r="BJ70" s="22">
        <f>BJ9*Constants!$H67*(1-Constants!$H85)</f>
        <v>339864779.96897137</v>
      </c>
      <c r="BK70" s="22">
        <f>BK9*Constants!$H67*(1-Constants!$H85)</f>
        <v>345547258.67300302</v>
      </c>
      <c r="BL70" s="22">
        <f>BL9*Constants!$H67*(1-Constants!$H85)</f>
        <v>351588332.10577059</v>
      </c>
      <c r="BM70" s="22">
        <f>BM9*Constants!$H67*(1-Constants!$H85)</f>
        <v>357831581.63684618</v>
      </c>
      <c r="BN70" s="22">
        <f>BN9*Constants!$H67*(1-Constants!$H85)</f>
        <v>364168462.3936277</v>
      </c>
      <c r="BO70" s="22">
        <f>BO9*Constants!$H67*(1-Constants!$H85)</f>
        <v>370814622.39078867</v>
      </c>
      <c r="BP70" s="22">
        <f>BP9*Constants!$H67*(1-Constants!$H85)</f>
        <v>376386600.80066967</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374499870.80456918</v>
      </c>
      <c r="AM72" s="22">
        <f>AM11*Constants!$H69*(1-Constants!$H87)</f>
        <v>374769428.06663638</v>
      </c>
      <c r="AN72" s="22">
        <f>AN11*Constants!$H69*(1-Constants!$H87)</f>
        <v>374674657.47443795</v>
      </c>
      <c r="AO72" s="22">
        <f>AO11*Constants!$H69*(1-Constants!$H87)</f>
        <v>374667834.74769264</v>
      </c>
      <c r="AP72" s="22">
        <f>AP11*Constants!$H69*(1-Constants!$H87)</f>
        <v>375065248.46661842</v>
      </c>
      <c r="AQ72" s="22">
        <f>AQ11*Constants!$H69*(1-Constants!$H87)</f>
        <v>375715652.63556403</v>
      </c>
      <c r="AR72" s="22">
        <f>AR11*Constants!$H69*(1-Constants!$H87)</f>
        <v>376339722.65157086</v>
      </c>
      <c r="AS72" s="22">
        <f>AS11*Constants!$H69*(1-Constants!$H87)</f>
        <v>376939471.89402187</v>
      </c>
      <c r="AT72" s="22">
        <f>AT11*Constants!$H69*(1-Constants!$H87)</f>
        <v>377514081.85971564</v>
      </c>
      <c r="AU72" s="22">
        <f>AU11*Constants!$H69*(1-Constants!$H87)</f>
        <v>378075527.28863806</v>
      </c>
      <c r="AV72" s="22">
        <f>AV11*Constants!$H69*(1-Constants!$H87)</f>
        <v>378632009.42569262</v>
      </c>
      <c r="AW72" s="22">
        <f>AW11*Constants!$H69*(1-Constants!$H87)</f>
        <v>379177944.6888296</v>
      </c>
      <c r="AX72" s="22">
        <f>AX11*Constants!$H69*(1-Constants!$H87)</f>
        <v>379721182.73653984</v>
      </c>
      <c r="AY72" s="22">
        <f>AY11*Constants!$H69*(1-Constants!$H87)</f>
        <v>380260012.26397669</v>
      </c>
      <c r="AZ72" s="22">
        <f>AZ11*Constants!$H69*(1-Constants!$H87)</f>
        <v>380790115.83030021</v>
      </c>
      <c r="BA72" s="22">
        <f>BA11*Constants!$H69*(1-Constants!$H87)</f>
        <v>381313827.33511406</v>
      </c>
      <c r="BB72" s="22">
        <f>BB11*Constants!$H69*(1-Constants!$H87)</f>
        <v>381831705.65337151</v>
      </c>
      <c r="BC72" s="22">
        <f>BC11*Constants!$H69*(1-Constants!$H87)</f>
        <v>382345508.95211184</v>
      </c>
      <c r="BD72" s="22">
        <f>BD11*Constants!$H69*(1-Constants!$H87)</f>
        <v>382839515.87289512</v>
      </c>
      <c r="BE72" s="22">
        <f>BE11*Constants!$H69*(1-Constants!$H87)</f>
        <v>383313148.4375205</v>
      </c>
      <c r="BF72" s="22">
        <f>BF11*Constants!$H69*(1-Constants!$H87)</f>
        <v>383770833.25545621</v>
      </c>
      <c r="BG72" s="22">
        <f>BG11*Constants!$H69*(1-Constants!$H87)</f>
        <v>384209046.105057</v>
      </c>
      <c r="BH72" s="22">
        <f>BH11*Constants!$H69*(1-Constants!$H87)</f>
        <v>384628581.93873179</v>
      </c>
      <c r="BI72" s="22">
        <f>BI11*Constants!$H69*(1-Constants!$H87)</f>
        <v>385027551.15940875</v>
      </c>
      <c r="BJ72" s="22">
        <f>BJ11*Constants!$H69*(1-Constants!$H87)</f>
        <v>385400244.48629159</v>
      </c>
      <c r="BK72" s="22">
        <f>BK11*Constants!$H69*(1-Constants!$H87)</f>
        <v>385741371.25423181</v>
      </c>
      <c r="BL72" s="22">
        <f>BL11*Constants!$H69*(1-Constants!$H87)</f>
        <v>386050586.82953256</v>
      </c>
      <c r="BM72" s="22">
        <f>BM11*Constants!$H69*(1-Constants!$H87)</f>
        <v>386325524.95925182</v>
      </c>
      <c r="BN72" s="22">
        <f>BN11*Constants!$H69*(1-Constants!$H87)</f>
        <v>386566053.04453987</v>
      </c>
      <c r="BO72" s="22">
        <f>BO11*Constants!$H69*(1-Constants!$H87)</f>
        <v>386776774.05932117</v>
      </c>
      <c r="BP72" s="22">
        <f>BP11*Constants!$H69*(1-Constants!$H87)</f>
        <v>386930318.13077593</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41805243.407429986</v>
      </c>
      <c r="AM73" s="22">
        <f>AM12*Constants!$H70*(1-Constants!$H88)</f>
        <v>41835333.957070902</v>
      </c>
      <c r="AN73" s="22">
        <f>AN12*Constants!$H70*(1-Constants!$H88)</f>
        <v>41824754.760698386</v>
      </c>
      <c r="AO73" s="22">
        <f>AO12*Constants!$H70*(1-Constants!$H88)</f>
        <v>41823993.142939538</v>
      </c>
      <c r="AP73" s="22">
        <f>AP12*Constants!$H70*(1-Constants!$H88)</f>
        <v>41868356.248372532</v>
      </c>
      <c r="AQ73" s="22">
        <f>AQ12*Constants!$H70*(1-Constants!$H88)</f>
        <v>41940960.55805511</v>
      </c>
      <c r="AR73" s="22">
        <f>AR12*Constants!$H70*(1-Constants!$H88)</f>
        <v>42010625.198703423</v>
      </c>
      <c r="AS73" s="22">
        <f>AS12*Constants!$H70*(1-Constants!$H88)</f>
        <v>42077574.92290552</v>
      </c>
      <c r="AT73" s="22">
        <f>AT12*Constants!$H70*(1-Constants!$H88)</f>
        <v>42141718.361536242</v>
      </c>
      <c r="AU73" s="22">
        <f>AU12*Constants!$H70*(1-Constants!$H88)</f>
        <v>42204392.249155112</v>
      </c>
      <c r="AV73" s="22">
        <f>AV12*Constants!$H70*(1-Constants!$H88)</f>
        <v>42266512.086850859</v>
      </c>
      <c r="AW73" s="22">
        <f>AW12*Constants!$H70*(1-Constants!$H88)</f>
        <v>42327454.582000747</v>
      </c>
      <c r="AX73" s="22">
        <f>AX12*Constants!$H70*(1-Constants!$H88)</f>
        <v>42388095.988268554</v>
      </c>
      <c r="AY73" s="22">
        <f>AY12*Constants!$H70*(1-Constants!$H88)</f>
        <v>42448245.273503862</v>
      </c>
      <c r="AZ73" s="22">
        <f>AZ12*Constants!$H70*(1-Constants!$H88)</f>
        <v>42507420.483828209</v>
      </c>
      <c r="BA73" s="22">
        <f>BA12*Constants!$H70*(1-Constants!$H88)</f>
        <v>42565882.151350215</v>
      </c>
      <c r="BB73" s="22">
        <f>BB12*Constants!$H70*(1-Constants!$H88)</f>
        <v>42623692.663016535</v>
      </c>
      <c r="BC73" s="22">
        <f>BC12*Constants!$H70*(1-Constants!$H88)</f>
        <v>42681048.282181993</v>
      </c>
      <c r="BD73" s="22">
        <f>BD12*Constants!$H70*(1-Constants!$H88)</f>
        <v>42736194.041041493</v>
      </c>
      <c r="BE73" s="22">
        <f>BE12*Constants!$H70*(1-Constants!$H88)</f>
        <v>42789065.420161895</v>
      </c>
      <c r="BF73" s="22">
        <f>BF12*Constants!$H70*(1-Constants!$H88)</f>
        <v>42840156.55986397</v>
      </c>
      <c r="BG73" s="22">
        <f>BG12*Constants!$H70*(1-Constants!$H88)</f>
        <v>42889074.052952737</v>
      </c>
      <c r="BH73" s="22">
        <f>BH12*Constants!$H70*(1-Constants!$H88)</f>
        <v>42935906.639589503</v>
      </c>
      <c r="BI73" s="22">
        <f>BI12*Constants!$H70*(1-Constants!$H88)</f>
        <v>42980443.384947091</v>
      </c>
      <c r="BJ73" s="22">
        <f>BJ12*Constants!$H70*(1-Constants!$H88)</f>
        <v>43022046.964711182</v>
      </c>
      <c r="BK73" s="22">
        <f>BK12*Constants!$H70*(1-Constants!$H88)</f>
        <v>43060126.784434214</v>
      </c>
      <c r="BL73" s="22">
        <f>BL12*Constants!$H70*(1-Constants!$H88)</f>
        <v>43094644.372819602</v>
      </c>
      <c r="BM73" s="22">
        <f>BM12*Constants!$H70*(1-Constants!$H88)</f>
        <v>43125335.586170904</v>
      </c>
      <c r="BN73" s="22">
        <f>BN12*Constants!$H70*(1-Constants!$H88)</f>
        <v>43152185.622541241</v>
      </c>
      <c r="BO73" s="22">
        <f>BO12*Constants!$H70*(1-Constants!$H88)</f>
        <v>43175708.309732199</v>
      </c>
      <c r="BP73" s="22">
        <f>BP12*Constants!$H70*(1-Constants!$H88)</f>
        <v>43192848.361789212</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47098558.119471908</v>
      </c>
      <c r="AM74" s="22">
        <f>AM13*Constants!$H71*(1-Constants!$H89)</f>
        <v>47179520.586014912</v>
      </c>
      <c r="AN74" s="22">
        <f>AN13*Constants!$H71*(1-Constants!$H89)</f>
        <v>47187377.064656883</v>
      </c>
      <c r="AO74" s="22">
        <f>AO13*Constants!$H71*(1-Constants!$H89)</f>
        <v>47208977.369481929</v>
      </c>
      <c r="AP74" s="22">
        <f>AP13*Constants!$H71*(1-Constants!$H89)</f>
        <v>47304478.190770105</v>
      </c>
      <c r="AQ74" s="22">
        <f>AQ13*Constants!$H71*(1-Constants!$H89)</f>
        <v>47444954.559008956</v>
      </c>
      <c r="AR74" s="22">
        <f>AR13*Constants!$H71*(1-Constants!$H89)</f>
        <v>47577556.837427311</v>
      </c>
      <c r="AS74" s="22">
        <f>AS13*Constants!$H71*(1-Constants!$H89)</f>
        <v>47702908.502942167</v>
      </c>
      <c r="AT74" s="22">
        <f>AT13*Constants!$H71*(1-Constants!$H89)</f>
        <v>47821073.717600852</v>
      </c>
      <c r="AU74" s="22">
        <f>AU13*Constants!$H71*(1-Constants!$H89)</f>
        <v>47934497.541243814</v>
      </c>
      <c r="AV74" s="22">
        <f>AV13*Constants!$H71*(1-Constants!$H89)</f>
        <v>48044881.779916398</v>
      </c>
      <c r="AW74" s="22">
        <f>AW13*Constants!$H71*(1-Constants!$H89)</f>
        <v>48151325.229606144</v>
      </c>
      <c r="AX74" s="22">
        <f>AX13*Constants!$H71*(1-Constants!$H89)</f>
        <v>48255426.669856645</v>
      </c>
      <c r="AY74" s="22">
        <f>AY13*Constants!$H71*(1-Constants!$H89)</f>
        <v>48356982.62554428</v>
      </c>
      <c r="AZ74" s="22">
        <f>AZ13*Constants!$H71*(1-Constants!$H89)</f>
        <v>48455298.195213646</v>
      </c>
      <c r="BA74" s="22">
        <f>BA13*Constants!$H71*(1-Constants!$H89)</f>
        <v>48550908.466636389</v>
      </c>
      <c r="BB74" s="22">
        <f>BB13*Constants!$H71*(1-Constants!$H89)</f>
        <v>48644008.75082805</v>
      </c>
      <c r="BC74" s="22">
        <f>BC13*Constants!$H71*(1-Constants!$H89)</f>
        <v>48735007.822702803</v>
      </c>
      <c r="BD74" s="22">
        <f>BD13*Constants!$H71*(1-Constants!$H89)</f>
        <v>48821084.20990549</v>
      </c>
      <c r="BE74" s="22">
        <f>BE13*Constants!$H71*(1-Constants!$H89)</f>
        <v>48902217.56618505</v>
      </c>
      <c r="BF74" s="22">
        <f>BF13*Constants!$H71*(1-Constants!$H89)</f>
        <v>48979301.635905899</v>
      </c>
      <c r="BG74" s="22">
        <f>BG13*Constants!$H71*(1-Constants!$H89)</f>
        <v>49051761.807520591</v>
      </c>
      <c r="BH74" s="22">
        <f>BH13*Constants!$H71*(1-Constants!$H89)</f>
        <v>49119813.771842413</v>
      </c>
      <c r="BI74" s="22">
        <f>BI13*Constants!$H71*(1-Constants!$H89)</f>
        <v>49183177.570380867</v>
      </c>
      <c r="BJ74" s="22">
        <f>BJ13*Constants!$H71*(1-Constants!$H89)</f>
        <v>49240875.153454587</v>
      </c>
      <c r="BK74" s="22">
        <f>BK13*Constants!$H71*(1-Constants!$H89)</f>
        <v>49292008.081139892</v>
      </c>
      <c r="BL74" s="22">
        <f>BL13*Constants!$H71*(1-Constants!$H89)</f>
        <v>49336579.842129312</v>
      </c>
      <c r="BM74" s="22">
        <f>BM13*Constants!$H71*(1-Constants!$H89)</f>
        <v>49374224.208449259</v>
      </c>
      <c r="BN74" s="22">
        <f>BN13*Constants!$H71*(1-Constants!$H89)</f>
        <v>49404979.359654434</v>
      </c>
      <c r="BO74" s="22">
        <f>BO13*Constants!$H71*(1-Constants!$H89)</f>
        <v>49429737.337535463</v>
      </c>
      <c r="BP74" s="22">
        <f>BP13*Constants!$H71*(1-Constants!$H89)</f>
        <v>49443608.196040966</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77628020.334349424</v>
      </c>
      <c r="AK75" s="22">
        <f>AK14*Constants!$H72*(1-Constants!$H90)</f>
        <v>78138752.051108971</v>
      </c>
      <c r="AL75" s="22">
        <f>AL14*Constants!$H72*(1-Constants!$H90)</f>
        <v>77947156.992441654</v>
      </c>
      <c r="AM75" s="22">
        <f>AM14*Constants!$H72*(1-Constants!$H90)</f>
        <v>78081148.230010211</v>
      </c>
      <c r="AN75" s="22">
        <f>AN14*Constants!$H72*(1-Constants!$H90)</f>
        <v>78094150.542576984</v>
      </c>
      <c r="AO75" s="22">
        <f>AO14*Constants!$H72*(1-Constants!$H90)</f>
        <v>78129898.608303577</v>
      </c>
      <c r="AP75" s="22">
        <f>AP14*Constants!$H72*(1-Constants!$H90)</f>
        <v>78287950.527663276</v>
      </c>
      <c r="AQ75" s="22">
        <f>AQ14*Constants!$H72*(1-Constants!$H90)</f>
        <v>78520436.063654959</v>
      </c>
      <c r="AR75" s="22">
        <f>AR14*Constants!$H72*(1-Constants!$H90)</f>
        <v>78739890.140937164</v>
      </c>
      <c r="AS75" s="22">
        <f>AS14*Constants!$H72*(1-Constants!$H90)</f>
        <v>78947344.601143077</v>
      </c>
      <c r="AT75" s="22">
        <f>AT14*Constants!$H72*(1-Constants!$H90)</f>
        <v>79142905.631157666</v>
      </c>
      <c r="AU75" s="22">
        <f>AU14*Constants!$H72*(1-Constants!$H90)</f>
        <v>79330619.755351305</v>
      </c>
      <c r="AV75" s="22">
        <f>AV14*Constants!$H72*(1-Constants!$H90)</f>
        <v>79513303.428160951</v>
      </c>
      <c r="AW75" s="22">
        <f>AW14*Constants!$H72*(1-Constants!$H90)</f>
        <v>79689465.175251752</v>
      </c>
      <c r="AX75" s="22">
        <f>AX14*Constants!$H72*(1-Constants!$H90)</f>
        <v>79861750.944292963</v>
      </c>
      <c r="AY75" s="22">
        <f>AY14*Constants!$H72*(1-Constants!$H90)</f>
        <v>80029823.988088086</v>
      </c>
      <c r="AZ75" s="22">
        <f>AZ14*Constants!$H72*(1-Constants!$H90)</f>
        <v>80192534.25884369</v>
      </c>
      <c r="BA75" s="22">
        <f>BA14*Constants!$H72*(1-Constants!$H90)</f>
        <v>80350767.315952897</v>
      </c>
      <c r="BB75" s="22">
        <f>BB14*Constants!$H72*(1-Constants!$H90)</f>
        <v>80504846.395179063</v>
      </c>
      <c r="BC75" s="22">
        <f>BC14*Constants!$H72*(1-Constants!$H90)</f>
        <v>80655448.01070188</v>
      </c>
      <c r="BD75" s="22">
        <f>BD14*Constants!$H72*(1-Constants!$H90)</f>
        <v>80797902.683085069</v>
      </c>
      <c r="BE75" s="22">
        <f>BE14*Constants!$H72*(1-Constants!$H90)</f>
        <v>80932176.739696413</v>
      </c>
      <c r="BF75" s="22">
        <f>BF14*Constants!$H72*(1-Constants!$H90)</f>
        <v>81059749.309304729</v>
      </c>
      <c r="BG75" s="22">
        <f>BG14*Constants!$H72*(1-Constants!$H90)</f>
        <v>81179669.421470851</v>
      </c>
      <c r="BH75" s="22">
        <f>BH14*Constants!$H72*(1-Constants!$H90)</f>
        <v>81292294.04010953</v>
      </c>
      <c r="BI75" s="22">
        <f>BI14*Constants!$H72*(1-Constants!$H90)</f>
        <v>81397159.839605689</v>
      </c>
      <c r="BJ75" s="22">
        <f>BJ14*Constants!$H72*(1-Constants!$H90)</f>
        <v>81492648.167603374</v>
      </c>
      <c r="BK75" s="22">
        <f>BK14*Constants!$H72*(1-Constants!$H90)</f>
        <v>81577272.124278665</v>
      </c>
      <c r="BL75" s="22">
        <f>BL14*Constants!$H72*(1-Constants!$H90)</f>
        <v>81651037.483346745</v>
      </c>
      <c r="BM75" s="22">
        <f>BM14*Constants!$H72*(1-Constants!$H90)</f>
        <v>81713338.144950405</v>
      </c>
      <c r="BN75" s="22">
        <f>BN14*Constants!$H72*(1-Constants!$H90)</f>
        <v>81764237.295477167</v>
      </c>
      <c r="BO75" s="22">
        <f>BO14*Constants!$H72*(1-Constants!$H90)</f>
        <v>81805211.245970771</v>
      </c>
      <c r="BP75" s="22">
        <f>BP14*Constants!$H72*(1-Constants!$H90)</f>
        <v>81828167.235043868</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12333541.940265564</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12175458.752937717</v>
      </c>
      <c r="AL76" s="22">
        <f>AL15*Constants!$H73*(1-Constants!$H91)</f>
        <v>11624378.745009914</v>
      </c>
      <c r="AM76" s="22">
        <f>AM15*Constants!$H73*(1-Constants!$H91)</f>
        <v>11969604.267531542</v>
      </c>
      <c r="AN76" s="22">
        <f>AN15*Constants!$H73*(1-Constants!$H91)</f>
        <v>12141781.686442532</v>
      </c>
      <c r="AO76" s="22">
        <f>AO15*Constants!$H73*(1-Constants!$H91)</f>
        <v>12167785.488807322</v>
      </c>
      <c r="AP76" s="22">
        <f>AP15*Constants!$H73*(1-Constants!$H91)</f>
        <v>12190664.307401428</v>
      </c>
      <c r="AQ76" s="22">
        <f>AQ15*Constants!$H73*(1-Constants!$H91)</f>
        <v>12246178.68946697</v>
      </c>
      <c r="AR76" s="22">
        <f>AR15*Constants!$H73*(1-Constants!$H91)</f>
        <v>12340937.336097166</v>
      </c>
      <c r="AS76" s="22">
        <f>AS15*Constants!$H73*(1-Constants!$H91)</f>
        <v>12455269.73924901</v>
      </c>
      <c r="AT76" s="22">
        <f>AT15*Constants!$H73*(1-Constants!$H91)</f>
        <v>12594363.570321118</v>
      </c>
      <c r="AU76" s="22">
        <f>AU15*Constants!$H73*(1-Constants!$H91)</f>
        <v>12773831.076521546</v>
      </c>
      <c r="AV76" s="22">
        <f>AV15*Constants!$H73*(1-Constants!$H91)</f>
        <v>12991328.091020331</v>
      </c>
      <c r="AW76" s="22">
        <f>AW15*Constants!$H73*(1-Constants!$H91)</f>
        <v>13232177.267855184</v>
      </c>
      <c r="AX76" s="22">
        <f>AX15*Constants!$H73*(1-Constants!$H91)</f>
        <v>13495393.556189118</v>
      </c>
      <c r="AY76" s="22">
        <f>AY15*Constants!$H73*(1-Constants!$H91)</f>
        <v>13772841.5244093</v>
      </c>
      <c r="AZ76" s="22">
        <f>AZ15*Constants!$H73*(1-Constants!$H91)</f>
        <v>14068397.335208286</v>
      </c>
      <c r="BA76" s="22">
        <f>BA15*Constants!$H73*(1-Constants!$H91)</f>
        <v>14378190.860930637</v>
      </c>
      <c r="BB76" s="22">
        <f>BB15*Constants!$H73*(1-Constants!$H91)</f>
        <v>14688091.984647222</v>
      </c>
      <c r="BC76" s="22">
        <f>BC15*Constants!$H73*(1-Constants!$H91)</f>
        <v>15018487.918325065</v>
      </c>
      <c r="BD76" s="22">
        <f>BD15*Constants!$H73*(1-Constants!$H91)</f>
        <v>15356894.416071095</v>
      </c>
      <c r="BE76" s="22">
        <f>BE15*Constants!$H73*(1-Constants!$H91)</f>
        <v>15702391.160279434</v>
      </c>
      <c r="BF76" s="22">
        <f>BF15*Constants!$H73*(1-Constants!$H91)</f>
        <v>16061126.941958671</v>
      </c>
      <c r="BG76" s="22">
        <f>BG15*Constants!$H73*(1-Constants!$H91)</f>
        <v>16418000.606343593</v>
      </c>
      <c r="BH76" s="22">
        <f>BH15*Constants!$H73*(1-Constants!$H91)</f>
        <v>16794295.3372823</v>
      </c>
      <c r="BI76" s="22">
        <f>BI15*Constants!$H73*(1-Constants!$H91)</f>
        <v>17198025.712299798</v>
      </c>
      <c r="BJ76" s="22">
        <f>BJ15*Constants!$H73*(1-Constants!$H91)</f>
        <v>17616714.95576511</v>
      </c>
      <c r="BK76" s="22">
        <f>BK15*Constants!$H73*(1-Constants!$H91)</f>
        <v>18051698.194687549</v>
      </c>
      <c r="BL76" s="22">
        <f>BL15*Constants!$H73*(1-Constants!$H91)</f>
        <v>18517961.845547747</v>
      </c>
      <c r="BM76" s="22">
        <f>BM15*Constants!$H73*(1-Constants!$H91)</f>
        <v>19011460.520385005</v>
      </c>
      <c r="BN76" s="22">
        <f>BN15*Constants!$H73*(1-Constants!$H91)</f>
        <v>19529559.001306914</v>
      </c>
      <c r="BO76" s="22">
        <f>BO15*Constants!$H73*(1-Constants!$H91)</f>
        <v>20082125.52800145</v>
      </c>
      <c r="BP76" s="22">
        <f>BP15*Constants!$H73*(1-Constants!$H91)</f>
        <v>20616131.215008005</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101157903.92380333</v>
      </c>
      <c r="AN82" s="22">
        <f>((AN41*Constants!$H$45*Constants!$H$48)*(1+Constants!$H$51))*Constants!$H$54*Constants!$H$42*Constants!$H$57*Constants!$H$58*ttokg</f>
        <v>102052121.24571839</v>
      </c>
      <c r="AO82" s="22">
        <f>((AO41*Constants!$H$45*Constants!$H$48)*(1+Constants!$H$51))*Constants!$H$54*Constants!$H$42*Constants!$H$57*Constants!$H$58*ttokg</f>
        <v>102545045.5488093</v>
      </c>
      <c r="AP82" s="22">
        <f>((AP41*Constants!$H$45*Constants!$H$48)*(1+Constants!$H$51))*Constants!$H$54*Constants!$H$42*Constants!$H$57*Constants!$H$58*ttokg</f>
        <v>102736349.39898612</v>
      </c>
      <c r="AQ82" s="22">
        <f>((AQ41*Constants!$H$45*Constants!$H$48)*(1+Constants!$H$51))*Constants!$H$54*Constants!$H$42*Constants!$H$57*Constants!$H$58*ttokg</f>
        <v>102942686.50521776</v>
      </c>
      <c r="AR82" s="22">
        <f>((AR41*Constants!$H$45*Constants!$H$48)*(1+Constants!$H$51))*Constants!$H$54*Constants!$H$42*Constants!$H$57*Constants!$H$58*ttokg</f>
        <v>103228097.30713667</v>
      </c>
      <c r="AS82" s="22">
        <f>((AS41*Constants!$H$45*Constants!$H$48)*(1+Constants!$H$51))*Constants!$H$54*Constants!$H$42*Constants!$H$57*Constants!$H$58*ttokg</f>
        <v>103587943.79005276</v>
      </c>
      <c r="AT82" s="22">
        <f>((AT41*Constants!$H$45*Constants!$H$48)*(1+Constants!$H$51))*Constants!$H$54*Constants!$H$42*Constants!$H$57*Constants!$H$58*ttokg</f>
        <v>103981329.22100237</v>
      </c>
      <c r="AU82" s="22">
        <f>((AU41*Constants!$H$45*Constants!$H$48)*(1+Constants!$H$51))*Constants!$H$54*Constants!$H$42*Constants!$H$57*Constants!$H$58*ttokg</f>
        <v>104417787.6097489</v>
      </c>
      <c r="AV82" s="22">
        <f>((AV41*Constants!$H$45*Constants!$H$48)*(1+Constants!$H$51))*Constants!$H$54*Constants!$H$42*Constants!$H$57*Constants!$H$58*ttokg</f>
        <v>104927498.9662302</v>
      </c>
      <c r="AW82" s="22">
        <f>((AW41*Constants!$H$45*Constants!$H$48)*(1+Constants!$H$51))*Constants!$H$54*Constants!$H$42*Constants!$H$57*Constants!$H$58*ttokg</f>
        <v>105503248.83919534</v>
      </c>
      <c r="AX82" s="22">
        <f>((AX41*Constants!$H$45*Constants!$H$48)*(1+Constants!$H$51))*Constants!$H$54*Constants!$H$42*Constants!$H$57*Constants!$H$58*ttokg</f>
        <v>106113197.05895235</v>
      </c>
      <c r="AY82" s="22">
        <f>((AY41*Constants!$H$45*Constants!$H$48)*(1+Constants!$H$51))*Constants!$H$54*Constants!$H$42*Constants!$H$57*Constants!$H$58*ttokg</f>
        <v>106753780.74417061</v>
      </c>
      <c r="AZ82" s="22">
        <f>((AZ41*Constants!$H$45*Constants!$H$48)*(1+Constants!$H$51))*Constants!$H$54*Constants!$H$42*Constants!$H$57*Constants!$H$58*ttokg</f>
        <v>107407880.35958767</v>
      </c>
      <c r="BA82" s="22">
        <f>((BA41*Constants!$H$45*Constants!$H$48)*(1+Constants!$H$51))*Constants!$H$54*Constants!$H$42*Constants!$H$57*Constants!$H$58*ttokg</f>
        <v>108080873.3556228</v>
      </c>
      <c r="BB82" s="22">
        <f>((BB41*Constants!$H$45*Constants!$H$48)*(1+Constants!$H$51))*Constants!$H$54*Constants!$H$42*Constants!$H$57*Constants!$H$58*ttokg</f>
        <v>108764497.45603351</v>
      </c>
      <c r="BC82" s="22">
        <f>((BC41*Constants!$H$45*Constants!$H$48)*(1+Constants!$H$51))*Constants!$H$54*Constants!$H$42*Constants!$H$57*Constants!$H$58*ttokg</f>
        <v>109433659.26125398</v>
      </c>
      <c r="BD82" s="22">
        <f>((BD41*Constants!$H$45*Constants!$H$48)*(1+Constants!$H$51))*Constants!$H$54*Constants!$H$42*Constants!$H$57*Constants!$H$58*ttokg</f>
        <v>110122798.91161306</v>
      </c>
      <c r="BE82" s="22">
        <f>((BE41*Constants!$H$45*Constants!$H$48)*(1+Constants!$H$51))*Constants!$H$54*Constants!$H$42*Constants!$H$57*Constants!$H$58*ttokg</f>
        <v>110808843.11934051</v>
      </c>
      <c r="BF82" s="22">
        <f>((BF41*Constants!$H$45*Constants!$H$48)*(1+Constants!$H$51))*Constants!$H$54*Constants!$H$42*Constants!$H$57*Constants!$H$58*ttokg</f>
        <v>111489980.14730623</v>
      </c>
      <c r="BG82" s="22">
        <f>((BG41*Constants!$H$45*Constants!$H$48)*(1+Constants!$H$51))*Constants!$H$54*Constants!$H$42*Constants!$H$57*Constants!$H$58*ttokg</f>
        <v>112175764.68831286</v>
      </c>
      <c r="BH82" s="22">
        <f>((BH41*Constants!$H$45*Constants!$H$48)*(1+Constants!$H$51))*Constants!$H$54*Constants!$H$42*Constants!$H$57*Constants!$H$58*ttokg</f>
        <v>112842459.16191885</v>
      </c>
      <c r="BI82" s="22">
        <f>((BI41*Constants!$H$45*Constants!$H$48)*(1+Constants!$H$51))*Constants!$H$54*Constants!$H$42*Constants!$H$57*Constants!$H$58*ttokg</f>
        <v>113522085.21665646</v>
      </c>
      <c r="BJ82" s="22">
        <f>((BJ41*Constants!$H$45*Constants!$H$48)*(1+Constants!$H$51))*Constants!$H$54*Constants!$H$42*Constants!$H$57*Constants!$H$58*ttokg</f>
        <v>114224437.16866693</v>
      </c>
      <c r="BK82" s="22">
        <f>((BK41*Constants!$H$45*Constants!$H$48)*(1+Constants!$H$51))*Constants!$H$54*Constants!$H$42*Constants!$H$57*Constants!$H$58*ttokg</f>
        <v>114929480.21959974</v>
      </c>
      <c r="BL82" s="22">
        <f>((BL41*Constants!$H$45*Constants!$H$48)*(1+Constants!$H$51))*Constants!$H$54*Constants!$H$42*Constants!$H$57*Constants!$H$58*ttokg</f>
        <v>115637769.54823875</v>
      </c>
      <c r="BM82" s="22">
        <f>((BM41*Constants!$H$45*Constants!$H$48)*(1+Constants!$H$51))*Constants!$H$54*Constants!$H$42*Constants!$H$57*Constants!$H$58*ttokg</f>
        <v>116367951.65437283</v>
      </c>
      <c r="BN82" s="22">
        <f>((BN41*Constants!$H$45*Constants!$H$48)*(1+Constants!$H$51))*Constants!$H$54*Constants!$H$42*Constants!$H$57*Constants!$H$58*ttokg</f>
        <v>117112116.12131764</v>
      </c>
      <c r="BO82" s="22">
        <f>((BO41*Constants!$H$45*Constants!$H$48)*(1+Constants!$H$51))*Constants!$H$54*Constants!$H$42*Constants!$H$57*Constants!$H$58*ttokg</f>
        <v>117864942.97612952</v>
      </c>
      <c r="BP82" s="22">
        <f>((BP41*Constants!$H$45*Constants!$H$48)*(1+Constants!$H$51))*Constants!$H$54*Constants!$H$42*Constants!$H$57*Constants!$H$58*ttokg</f>
        <v>118636897.63587254</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116">
        <f>SUM(AK82:AK84)/Constants!$H$41</f>
        <v>190487547.25633916</v>
      </c>
      <c r="AL85" s="22">
        <f>SUM(AL82:AL84)/Constants!$H$41</f>
        <v>190783454.39810002</v>
      </c>
      <c r="AM85" s="22">
        <f>SUM(AM82:AM84)/Constants!$H$41</f>
        <v>189035849.15467221</v>
      </c>
      <c r="AN85" s="22">
        <f>SUM(AN82:AN84)/Constants!$H$41</f>
        <v>190526211.35786396</v>
      </c>
      <c r="AO85" s="22">
        <f>SUM(AO82:AO84)/Constants!$H$41</f>
        <v>191347751.86301553</v>
      </c>
      <c r="AP85" s="22">
        <f>SUM(AP82:AP84)/Constants!$H$41</f>
        <v>191666591.61331022</v>
      </c>
      <c r="AQ85" s="22">
        <f>SUM(AQ82:AQ84)/Constants!$H$41</f>
        <v>192010486.79036292</v>
      </c>
      <c r="AR85" s="22">
        <f>SUM(AR82:AR84)/Constants!$H$41</f>
        <v>192486171.46022779</v>
      </c>
      <c r="AS85" s="22">
        <f>SUM(AS82:AS84)/Constants!$H$41</f>
        <v>193085915.59842128</v>
      </c>
      <c r="AT85" s="22">
        <f>SUM(AT82:AT84)/Constants!$H$41</f>
        <v>193741557.98333728</v>
      </c>
      <c r="AU85" s="22">
        <f>SUM(AU82:AU84)/Constants!$H$41</f>
        <v>194468988.63124815</v>
      </c>
      <c r="AV85" s="22">
        <f>SUM(AV82:AV84)/Constants!$H$41</f>
        <v>195318507.55871701</v>
      </c>
      <c r="AW85" s="22">
        <f>SUM(AW82:AW84)/Constants!$H$41</f>
        <v>196278090.68032557</v>
      </c>
      <c r="AX85" s="22">
        <f>SUM(AX82:AX84)/Constants!$H$41</f>
        <v>197294671.04658726</v>
      </c>
      <c r="AY85" s="22">
        <f>SUM(AY82:AY84)/Constants!$H$41</f>
        <v>198362310.52195099</v>
      </c>
      <c r="AZ85" s="22">
        <f>SUM(AZ82:AZ84)/Constants!$H$41</f>
        <v>199452476.54764611</v>
      </c>
      <c r="BA85" s="22">
        <f>SUM(BA82:BA84)/Constants!$H$41</f>
        <v>200574131.54103798</v>
      </c>
      <c r="BB85" s="22">
        <f>SUM(BB82:BB84)/Constants!$H$41</f>
        <v>201713505.04172254</v>
      </c>
      <c r="BC85" s="22">
        <f>SUM(BC82:BC84)/Constants!$H$41</f>
        <v>202828774.71708995</v>
      </c>
      <c r="BD85" s="22">
        <f>SUM(BD82:BD84)/Constants!$H$41</f>
        <v>203977340.80102178</v>
      </c>
      <c r="BE85" s="22">
        <f>SUM(BE82:BE84)/Constants!$H$41</f>
        <v>205120747.81390083</v>
      </c>
      <c r="BF85" s="22">
        <f>SUM(BF82:BF84)/Constants!$H$41</f>
        <v>206255976.19384372</v>
      </c>
      <c r="BG85" s="22">
        <f>SUM(BG82:BG84)/Constants!$H$41</f>
        <v>207398950.42885476</v>
      </c>
      <c r="BH85" s="22">
        <f>SUM(BH82:BH84)/Constants!$H$41</f>
        <v>208510107.88486475</v>
      </c>
      <c r="BI85" s="22">
        <f>SUM(BI82:BI84)/Constants!$H$41</f>
        <v>209642817.97609413</v>
      </c>
      <c r="BJ85" s="22">
        <f>SUM(BJ82:BJ84)/Constants!$H$41</f>
        <v>210813404.5627782</v>
      </c>
      <c r="BK85" s="22">
        <f>SUM(BK82:BK84)/Constants!$H$41</f>
        <v>211988476.3143329</v>
      </c>
      <c r="BL85" s="22">
        <f>SUM(BL82:BL84)/Constants!$H$41</f>
        <v>213168958.52873126</v>
      </c>
      <c r="BM85" s="22">
        <f>SUM(BM82:BM84)/Constants!$H$41</f>
        <v>214385928.70562139</v>
      </c>
      <c r="BN85" s="22">
        <f>SUM(BN82:BN84)/Constants!$H$41</f>
        <v>215626202.81719607</v>
      </c>
      <c r="BO85" s="22">
        <f>SUM(BO82:BO84)/Constants!$H$41</f>
        <v>216880914.24188253</v>
      </c>
      <c r="BP85" s="116">
        <f>SUM(BP82:BP84)/Constants!$H$41</f>
        <v>218167505.34145424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17">
        <f>AK85+SUM(AK50:AK77)</f>
        <v>1886737843.4787452</v>
      </c>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workbookViewId="0">
      <selection activeCell="J32" sqref="J32"/>
    </sheetView>
  </sheetViews>
  <sheetFormatPr defaultColWidth="8.85546875" defaultRowHeight="15" x14ac:dyDescent="0.25"/>
  <cols>
    <col min="1" max="1" width="19.42578125" customWidth="1"/>
    <col min="2" max="2" width="33.140625" customWidth="1"/>
    <col min="3" max="3" width="27.7109375" customWidth="1"/>
    <col min="4" max="4" width="27.42578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1021</v>
      </c>
      <c r="K3" s="18"/>
      <c r="L3" s="18" t="s">
        <v>1022</v>
      </c>
      <c r="M3" s="18"/>
      <c r="N3" s="18" t="s">
        <v>1023</v>
      </c>
      <c r="O3" s="18"/>
      <c r="P3" s="18" t="s">
        <v>1024</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1024</v>
      </c>
      <c r="O23" s="18" t="s">
        <v>1021</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5">
      <c r="A149" t="str">
        <f>'IPCC Categories'!A59</f>
        <v>3C Aggregated and non-CO2 emissions on land</v>
      </c>
      <c r="B149" t="str">
        <f>'IPCC Categories'!B71</f>
        <v>3C2 Liming (CO2)</v>
      </c>
      <c r="E149" t="s">
        <v>378</v>
      </c>
      <c r="F149" t="s">
        <v>380</v>
      </c>
      <c r="G149" t="s">
        <v>379</v>
      </c>
      <c r="H149" s="26">
        <v>0.125</v>
      </c>
    </row>
    <row r="150" spans="1:8" x14ac:dyDescent="0.25">
      <c r="A150" t="str">
        <f>A149</f>
        <v>3C Aggregated and non-CO2 emissions on land</v>
      </c>
      <c r="B150" t="str">
        <f>'IPCC Categories'!B72</f>
        <v>3C3 Urea application (CO2)</v>
      </c>
      <c r="E150" t="s">
        <v>385</v>
      </c>
      <c r="F150" t="s">
        <v>380</v>
      </c>
      <c r="G150" t="s">
        <v>386</v>
      </c>
      <c r="H150" s="26">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5546875" defaultRowHeight="15" x14ac:dyDescent="0.25"/>
  <cols>
    <col min="1" max="1" width="62.85546875" customWidth="1"/>
    <col min="2" max="2" width="20.42578125" customWidth="1"/>
    <col min="3" max="3" width="8.42578125" customWidth="1"/>
    <col min="5" max="5" width="15.28515625" customWidth="1"/>
    <col min="6" max="6" width="19.140625" customWidth="1"/>
    <col min="8" max="8" width="10.42578125" customWidth="1"/>
    <col min="10" max="10" width="23.28515625" customWidth="1"/>
    <col min="13" max="13" width="15.42578125" customWidth="1"/>
    <col min="14" max="14" width="10.7109375" customWidth="1"/>
    <col min="16" max="16" width="21.7109375" customWidth="1"/>
    <col min="19" max="19" width="13.28515625" customWidth="1"/>
    <col min="20" max="20" width="10.42578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5546875" defaultRowHeight="15" x14ac:dyDescent="0.25"/>
  <cols>
    <col min="1" max="1" width="15.42578125" customWidth="1"/>
    <col min="2" max="2" width="31" customWidth="1"/>
    <col min="3" max="3" width="27.7109375" customWidth="1"/>
    <col min="4" max="4" width="48.42578125" customWidth="1"/>
    <col min="5" max="5" width="33.28515625" customWidth="1"/>
    <col min="6" max="6" width="7.42578125" customWidth="1"/>
    <col min="7" max="7" width="14" customWidth="1"/>
    <col min="8" max="35" width="9.7109375" customWidth="1"/>
    <col min="36" max="36" width="9.42578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72.649957574793405</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74.518042528471327</v>
      </c>
      <c r="AL4" s="27">
        <f>IF(('Activity data'!AL5*EF!$H4)*kgtoGg=0,"NO",('Activity data'!AL5*EF!$H4)*kgtoGg)</f>
        <v>72.365714675231743</v>
      </c>
      <c r="AM4" s="27">
        <f>IF(('Activity data'!AM5*EF!$H4)*kgtoGg=0,"NO",('Activity data'!AM5*EF!$H4)*kgtoGg)</f>
        <v>73.825045522582627</v>
      </c>
      <c r="AN4" s="27">
        <f>IF(('Activity data'!AN5*EF!$H4)*kgtoGg=0,"NO",('Activity data'!AN5*EF!$H4)*kgtoGg)</f>
        <v>74.549470852823731</v>
      </c>
      <c r="AO4" s="27">
        <f>IF(('Activity data'!AO5*EF!$H4)*kgtoGg=0,"NO",('Activity data'!AO5*EF!$H4)*kgtoGg)</f>
        <v>74.73866134408884</v>
      </c>
      <c r="AP4" s="27">
        <f>IF(('Activity data'!AP5*EF!$H4)*kgtoGg=0,"NO",('Activity data'!AP5*EF!$H4)*kgtoGg)</f>
        <v>75.00766800235165</v>
      </c>
      <c r="AQ4" s="27">
        <f>IF(('Activity data'!AQ5*EF!$H4)*kgtoGg=0,"NO",('Activity data'!AQ5*EF!$H4)*kgtoGg)</f>
        <v>75.45906320296173</v>
      </c>
      <c r="AR4" s="27">
        <f>IF(('Activity data'!AR5*EF!$H4)*kgtoGg=0,"NO",('Activity data'!AR5*EF!$H4)*kgtoGg)</f>
        <v>76.055372148787171</v>
      </c>
      <c r="AS4" s="27">
        <f>IF(('Activity data'!AS5*EF!$H4)*kgtoGg=0,"NO",('Activity data'!AS5*EF!$H4)*kgtoGg)</f>
        <v>76.723006485373944</v>
      </c>
      <c r="AT4" s="27">
        <f>IF(('Activity data'!AT5*EF!$H4)*kgtoGg=0,"NO",('Activity data'!AT5*EF!$H4)*kgtoGg)</f>
        <v>77.482992951839307</v>
      </c>
      <c r="AU4" s="27">
        <f>IF(('Activity data'!AU5*EF!$H4)*kgtoGg=0,"NO",('Activity data'!AU5*EF!$H4)*kgtoGg)</f>
        <v>78.40049292820909</v>
      </c>
      <c r="AV4" s="27">
        <f>IF(('Activity data'!AV5*EF!$H4)*kgtoGg=0,"NO",('Activity data'!AV5*EF!$H4)*kgtoGg)</f>
        <v>79.470176515878649</v>
      </c>
      <c r="AW4" s="27">
        <f>IF(('Activity data'!AW5*EF!$H4)*kgtoGg=0,"NO",('Activity data'!AW5*EF!$H4)*kgtoGg)</f>
        <v>80.634435222178453</v>
      </c>
      <c r="AX4" s="27">
        <f>IF(('Activity data'!AX5*EF!$H4)*kgtoGg=0,"NO",('Activity data'!AX5*EF!$H4)*kgtoGg)</f>
        <v>81.892216807263921</v>
      </c>
      <c r="AY4" s="27">
        <f>IF(('Activity data'!AY5*EF!$H4)*kgtoGg=0,"NO",('Activity data'!AY5*EF!$H4)*kgtoGg)</f>
        <v>83.211603764210864</v>
      </c>
      <c r="AZ4" s="27">
        <f>IF(('Activity data'!AZ5*EF!$H4)*kgtoGg=0,"NO",('Activity data'!AZ5*EF!$H4)*kgtoGg)</f>
        <v>84.607353188642591</v>
      </c>
      <c r="BA4" s="27">
        <f>IF(('Activity data'!BA5*EF!$H4)*kgtoGg=0,"NO",('Activity data'!BA5*EF!$H4)*kgtoGg)</f>
        <v>86.06511371010545</v>
      </c>
      <c r="BB4" s="27">
        <f>IF(('Activity data'!BB5*EF!$H4)*kgtoGg=0,"NO",('Activity data'!BB5*EF!$H4)*kgtoGg)</f>
        <v>87.52871170290878</v>
      </c>
      <c r="BC4" s="27">
        <f>IF(('Activity data'!BC5*EF!$H4)*kgtoGg=0,"NO",('Activity data'!BC5*EF!$H4)*kgtoGg)</f>
        <v>89.080470915368679</v>
      </c>
      <c r="BD4" s="27">
        <f>IF(('Activity data'!BD5*EF!$H4)*kgtoGg=0,"NO",('Activity data'!BD5*EF!$H4)*kgtoGg)</f>
        <v>90.666146577204373</v>
      </c>
      <c r="BE4" s="27">
        <f>IF(('Activity data'!BE5*EF!$H4)*kgtoGg=0,"NO",('Activity data'!BE5*EF!$H4)*kgtoGg)</f>
        <v>92.281705803455623</v>
      </c>
      <c r="BF4" s="27">
        <f>IF(('Activity data'!BF5*EF!$H4)*kgtoGg=0,"NO",('Activity data'!BF5*EF!$H4)*kgtoGg)</f>
        <v>93.953177200375109</v>
      </c>
      <c r="BG4" s="27">
        <f>IF(('Activity data'!BG5*EF!$H4)*kgtoGg=0,"NO",('Activity data'!BG5*EF!$H4)*kgtoGg)</f>
        <v>95.618162408652182</v>
      </c>
      <c r="BH4" s="27">
        <f>IF(('Activity data'!BH5*EF!$H4)*kgtoGg=0,"NO",('Activity data'!BH5*EF!$H4)*kgtoGg)</f>
        <v>97.363125443895129</v>
      </c>
      <c r="BI4" s="27">
        <f>IF(('Activity data'!BI5*EF!$H4)*kgtoGg=0,"NO",('Activity data'!BI5*EF!$H4)*kgtoGg)</f>
        <v>99.220282959393018</v>
      </c>
      <c r="BJ4" s="27">
        <f>IF(('Activity data'!BJ5*EF!$H4)*kgtoGg=0,"NO",('Activity data'!BJ5*EF!$H4)*kgtoGg)</f>
        <v>101.13698373864543</v>
      </c>
      <c r="BK4" s="27">
        <f>IF(('Activity data'!BK5*EF!$H4)*kgtoGg=0,"NO",('Activity data'!BK5*EF!$H4)*kgtoGg)</f>
        <v>103.1166953994274</v>
      </c>
      <c r="BL4" s="27">
        <f>IF(('Activity data'!BL5*EF!$H4)*kgtoGg=0,"NO",('Activity data'!BL5*EF!$H4)*kgtoGg)</f>
        <v>105.22033839717858</v>
      </c>
      <c r="BM4" s="27">
        <f>IF(('Activity data'!BM5*EF!$H4)*kgtoGg=0,"NO",('Activity data'!BM5*EF!$H4)*kgtoGg)</f>
        <v>107.43022097905694</v>
      </c>
      <c r="BN4" s="27">
        <f>IF(('Activity data'!BN5*EF!$H4)*kgtoGg=0,"NO",('Activity data'!BN5*EF!$H4)*kgtoGg)</f>
        <v>109.73494167523042</v>
      </c>
      <c r="BO4" s="27">
        <f>IF(('Activity data'!BO5*EF!$H4)*kgtoGg=0,"NO",('Activity data'!BO5*EF!$H4)*kgtoGg)</f>
        <v>112.1760298148465</v>
      </c>
      <c r="BP4" s="27">
        <f>IF(('Activity data'!BP5*EF!$H4)*kgtoGg=0,"NO",('Activity data'!BP5*EF!$H4)*kgtoGg)</f>
        <v>114.52480661709059</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58.1066387636453</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59.600764035107616</v>
      </c>
      <c r="AL5" s="27">
        <f>IF(('Activity data'!AL6*EF!$H5)*kgtoGg=0,"NO",('Activity data'!AL6*EF!$H5)*kgtoGg)</f>
        <v>57.879296587031398</v>
      </c>
      <c r="AM5" s="27">
        <f>IF(('Activity data'!AM6*EF!$H5)*kgtoGg=0,"NO",('Activity data'!AM6*EF!$H5)*kgtoGg)</f>
        <v>59.046493557468224</v>
      </c>
      <c r="AN5" s="27">
        <f>IF(('Activity data'!AN6*EF!$H5)*kgtoGg=0,"NO",('Activity data'!AN6*EF!$H5)*kgtoGg)</f>
        <v>59.625900929209891</v>
      </c>
      <c r="AO5" s="27">
        <f>IF(('Activity data'!AO6*EF!$H5)*kgtoGg=0,"NO",('Activity data'!AO6*EF!$H5)*kgtoGg)</f>
        <v>59.777218616107909</v>
      </c>
      <c r="AP5" s="27">
        <f>IF(('Activity data'!AP6*EF!$H5)*kgtoGg=0,"NO",('Activity data'!AP6*EF!$H5)*kgtoGg)</f>
        <v>59.992374594700195</v>
      </c>
      <c r="AQ5" s="27">
        <f>IF(('Activity data'!AQ6*EF!$H5)*kgtoGg=0,"NO",('Activity data'!AQ6*EF!$H5)*kgtoGg)</f>
        <v>60.353407948842083</v>
      </c>
      <c r="AR5" s="27">
        <f>IF(('Activity data'!AR6*EF!$H5)*kgtoGg=0,"NO",('Activity data'!AR6*EF!$H5)*kgtoGg)</f>
        <v>60.830345715404938</v>
      </c>
      <c r="AS5" s="27">
        <f>IF(('Activity data'!AS6*EF!$H5)*kgtoGg=0,"NO",('Activity data'!AS6*EF!$H5)*kgtoGg)</f>
        <v>61.364330710266294</v>
      </c>
      <c r="AT5" s="27">
        <f>IF(('Activity data'!AT6*EF!$H5)*kgtoGg=0,"NO",('Activity data'!AT6*EF!$H5)*kgtoGg)</f>
        <v>61.97218046746265</v>
      </c>
      <c r="AU5" s="27">
        <f>IF(('Activity data'!AU6*EF!$H5)*kgtoGg=0,"NO",('Activity data'!AU6*EF!$H5)*kgtoGg)</f>
        <v>62.706012137463084</v>
      </c>
      <c r="AV5" s="27">
        <f>IF(('Activity data'!AV6*EF!$H5)*kgtoGg=0,"NO",('Activity data'!AV6*EF!$H5)*kgtoGg)</f>
        <v>63.561562779128991</v>
      </c>
      <c r="AW5" s="27">
        <f>IF(('Activity data'!AW6*EF!$H5)*kgtoGg=0,"NO",('Activity data'!AW6*EF!$H5)*kgtoGg)</f>
        <v>64.49275616633426</v>
      </c>
      <c r="AX5" s="27">
        <f>IF(('Activity data'!AX6*EF!$H5)*kgtoGg=0,"NO",('Activity data'!AX6*EF!$H5)*kgtoGg)</f>
        <v>65.498750700231739</v>
      </c>
      <c r="AY5" s="27">
        <f>IF(('Activity data'!AY6*EF!$H5)*kgtoGg=0,"NO",('Activity data'!AY6*EF!$H5)*kgtoGg)</f>
        <v>66.554018230400004</v>
      </c>
      <c r="AZ5" s="27">
        <f>IF(('Activity data'!AZ6*EF!$H5)*kgtoGg=0,"NO",('Activity data'!AZ6*EF!$H5)*kgtoGg)</f>
        <v>67.670361726217266</v>
      </c>
      <c r="BA5" s="27">
        <f>IF(('Activity data'!BA6*EF!$H5)*kgtoGg=0,"NO",('Activity data'!BA6*EF!$H5)*kgtoGg)</f>
        <v>68.836302724012626</v>
      </c>
      <c r="BB5" s="27">
        <f>IF(('Activity data'!BB6*EF!$H5)*kgtoGg=0,"NO",('Activity data'!BB6*EF!$H5)*kgtoGg)</f>
        <v>70.006912628023471</v>
      </c>
      <c r="BC5" s="27">
        <f>IF(('Activity data'!BC6*EF!$H5)*kgtoGg=0,"NO",('Activity data'!BC6*EF!$H5)*kgtoGg)</f>
        <v>71.248035334994583</v>
      </c>
      <c r="BD5" s="27">
        <f>IF(('Activity data'!BD6*EF!$H5)*kgtoGg=0,"NO",('Activity data'!BD6*EF!$H5)*kgtoGg)</f>
        <v>72.516284979651772</v>
      </c>
      <c r="BE5" s="27">
        <f>IF(('Activity data'!BE6*EF!$H5)*kgtoGg=0,"NO",('Activity data'!BE6*EF!$H5)*kgtoGg)</f>
        <v>73.808435993840746</v>
      </c>
      <c r="BF5" s="27">
        <f>IF(('Activity data'!BF6*EF!$H5)*kgtoGg=0,"NO",('Activity data'!BF6*EF!$H5)*kgtoGg)</f>
        <v>75.145306487737145</v>
      </c>
      <c r="BG5" s="27">
        <f>IF(('Activity data'!BG6*EF!$H5)*kgtoGg=0,"NO",('Activity data'!BG6*EF!$H5)*kgtoGg)</f>
        <v>76.476989220580691</v>
      </c>
      <c r="BH5" s="27">
        <f>IF(('Activity data'!BH6*EF!$H5)*kgtoGg=0,"NO",('Activity data'!BH6*EF!$H5)*kgtoGg)</f>
        <v>77.872639543437259</v>
      </c>
      <c r="BI5" s="27">
        <f>IF(('Activity data'!BI6*EF!$H5)*kgtoGg=0,"NO",('Activity data'!BI6*EF!$H5)*kgtoGg)</f>
        <v>79.358024868943161</v>
      </c>
      <c r="BJ5" s="27">
        <f>IF(('Activity data'!BJ6*EF!$H5)*kgtoGg=0,"NO",('Activity data'!BJ6*EF!$H5)*kgtoGg)</f>
        <v>80.891033882518414</v>
      </c>
      <c r="BK5" s="27">
        <f>IF(('Activity data'!BK6*EF!$H5)*kgtoGg=0,"NO",('Activity data'!BK6*EF!$H5)*kgtoGg)</f>
        <v>82.474440042264703</v>
      </c>
      <c r="BL5" s="27">
        <f>IF(('Activity data'!BL6*EF!$H5)*kgtoGg=0,"NO",('Activity data'!BL6*EF!$H5)*kgtoGg)</f>
        <v>84.156968536960065</v>
      </c>
      <c r="BM5" s="27">
        <f>IF(('Activity data'!BM6*EF!$H5)*kgtoGg=0,"NO",('Activity data'!BM6*EF!$H5)*kgtoGg)</f>
        <v>85.924469209800506</v>
      </c>
      <c r="BN5" s="27">
        <f>IF(('Activity data'!BN6*EF!$H5)*kgtoGg=0,"NO",('Activity data'!BN6*EF!$H5)*kgtoGg)</f>
        <v>87.767822976466917</v>
      </c>
      <c r="BO5" s="27">
        <f>IF(('Activity data'!BO6*EF!$H5)*kgtoGg=0,"NO",('Activity data'!BO6*EF!$H5)*kgtoGg)</f>
        <v>89.72024568191533</v>
      </c>
      <c r="BP5" s="27">
        <f>IF(('Activity data'!BP6*EF!$H5)*kgtoGg=0,"NO",('Activity data'!BP6*EF!$H5)*kgtoGg)</f>
        <v>91.59883625155085</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26.272250579806308</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26.947802192577253</v>
      </c>
      <c r="AL6" s="27">
        <f>IF(('Activity data'!AL7*EF!$H6)*kgtoGg=0,"NO",('Activity data'!AL7*EF!$H6)*kgtoGg)</f>
        <v>26.169460420911491</v>
      </c>
      <c r="AM6" s="27">
        <f>IF(('Activity data'!AM7*EF!$H6)*kgtoGg=0,"NO",('Activity data'!AM7*EF!$H6)*kgtoGg)</f>
        <v>26.697195150294817</v>
      </c>
      <c r="AN6" s="27">
        <f>IF(('Activity data'!AN7*EF!$H6)*kgtoGg=0,"NO",('Activity data'!AN7*EF!$H6)*kgtoGg)</f>
        <v>26.959167551075083</v>
      </c>
      <c r="AO6" s="27">
        <f>IF(('Activity data'!AO7*EF!$H6)*kgtoGg=0,"NO",('Activity data'!AO7*EF!$H6)*kgtoGg)</f>
        <v>27.027584108493112</v>
      </c>
      <c r="AP6" s="27">
        <f>IF(('Activity data'!AP7*EF!$H6)*kgtoGg=0,"NO",('Activity data'!AP7*EF!$H6)*kgtoGg)</f>
        <v>27.124864417655591</v>
      </c>
      <c r="AQ6" s="27">
        <f>IF(('Activity data'!AQ7*EF!$H6)*kgtoGg=0,"NO",('Activity data'!AQ7*EF!$H6)*kgtoGg)</f>
        <v>27.288101509827889</v>
      </c>
      <c r="AR6" s="27">
        <f>IF(('Activity data'!AR7*EF!$H6)*kgtoGg=0,"NO",('Activity data'!AR7*EF!$H6)*kgtoGg)</f>
        <v>27.503743453342821</v>
      </c>
      <c r="AS6" s="27">
        <f>IF(('Activity data'!AS7*EF!$H6)*kgtoGg=0,"NO",('Activity data'!AS7*EF!$H6)*kgtoGg)</f>
        <v>27.745178647140875</v>
      </c>
      <c r="AT6" s="27">
        <f>IF(('Activity data'!AT7*EF!$H6)*kgtoGg=0,"NO",('Activity data'!AT7*EF!$H6)*kgtoGg)</f>
        <v>28.020010946439662</v>
      </c>
      <c r="AU6" s="27">
        <f>IF(('Activity data'!AU7*EF!$H6)*kgtoGg=0,"NO",('Activity data'!AU7*EF!$H6)*kgtoGg)</f>
        <v>28.351804523350385</v>
      </c>
      <c r="AV6" s="27">
        <f>IF(('Activity data'!AV7*EF!$H6)*kgtoGg=0,"NO",('Activity data'!AV7*EF!$H6)*kgtoGg)</f>
        <v>28.738631937907769</v>
      </c>
      <c r="AW6" s="27">
        <f>IF(('Activity data'!AW7*EF!$H6)*kgtoGg=0,"NO",('Activity data'!AW7*EF!$H6)*kgtoGg)</f>
        <v>29.159660352688871</v>
      </c>
      <c r="AX6" s="27">
        <f>IF(('Activity data'!AX7*EF!$H6)*kgtoGg=0,"NO",('Activity data'!AX7*EF!$H6)*kgtoGg)</f>
        <v>29.614509248423072</v>
      </c>
      <c r="AY6" s="27">
        <f>IF(('Activity data'!AY7*EF!$H6)*kgtoGg=0,"NO",('Activity data'!AY7*EF!$H6)*kgtoGg)</f>
        <v>30.09163636455321</v>
      </c>
      <c r="AZ6" s="27">
        <f>IF(('Activity data'!AZ7*EF!$H6)*kgtoGg=0,"NO",('Activity data'!AZ7*EF!$H6)*kgtoGg)</f>
        <v>30.596378278373869</v>
      </c>
      <c r="BA6" s="27">
        <f>IF(('Activity data'!BA7*EF!$H6)*kgtoGg=0,"NO",('Activity data'!BA7*EF!$H6)*kgtoGg)</f>
        <v>31.123545134125884</v>
      </c>
      <c r="BB6" s="27">
        <f>IF(('Activity data'!BB7*EF!$H6)*kgtoGg=0,"NO",('Activity data'!BB7*EF!$H6)*kgtoGg)</f>
        <v>31.652822982298673</v>
      </c>
      <c r="BC6" s="27">
        <f>IF(('Activity data'!BC7*EF!$H6)*kgtoGg=0,"NO",('Activity data'!BC7*EF!$H6)*kgtoGg)</f>
        <v>32.213982385967945</v>
      </c>
      <c r="BD6" s="27">
        <f>IF(('Activity data'!BD7*EF!$H6)*kgtoGg=0,"NO",('Activity data'!BD7*EF!$H6)*kgtoGg)</f>
        <v>32.787406923527513</v>
      </c>
      <c r="BE6" s="27">
        <f>IF(('Activity data'!BE7*EF!$H6)*kgtoGg=0,"NO",('Activity data'!BE7*EF!$H6)*kgtoGg)</f>
        <v>33.371638191314474</v>
      </c>
      <c r="BF6" s="27">
        <f>IF(('Activity data'!BF7*EF!$H6)*kgtoGg=0,"NO",('Activity data'!BF7*EF!$H6)*kgtoGg)</f>
        <v>33.976088859184969</v>
      </c>
      <c r="BG6" s="27">
        <f>IF(('Activity data'!BG7*EF!$H6)*kgtoGg=0,"NO",('Activity data'!BG7*EF!$H6)*kgtoGg)</f>
        <v>34.578193940368166</v>
      </c>
      <c r="BH6" s="27">
        <f>IF(('Activity data'!BH7*EF!$H6)*kgtoGg=0,"NO",('Activity data'!BH7*EF!$H6)*kgtoGg)</f>
        <v>35.209221234048357</v>
      </c>
      <c r="BI6" s="27">
        <f>IF(('Activity data'!BI7*EF!$H6)*kgtoGg=0,"NO",('Activity data'!BI7*EF!$H6)*kgtoGg)</f>
        <v>35.880821180450241</v>
      </c>
      <c r="BJ6" s="27">
        <f>IF(('Activity data'!BJ7*EF!$H6)*kgtoGg=0,"NO",('Activity data'!BJ7*EF!$H6)*kgtoGg)</f>
        <v>36.573953631452547</v>
      </c>
      <c r="BK6" s="27">
        <f>IF(('Activity data'!BK7*EF!$H6)*kgtoGg=0,"NO",('Activity data'!BK7*EF!$H6)*kgtoGg)</f>
        <v>37.289872574340869</v>
      </c>
      <c r="BL6" s="27">
        <f>IF(('Activity data'!BL7*EF!$H6)*kgtoGg=0,"NO",('Activity data'!BL7*EF!$H6)*kgtoGg)</f>
        <v>38.050608544633441</v>
      </c>
      <c r="BM6" s="27">
        <f>IF(('Activity data'!BM7*EF!$H6)*kgtoGg=0,"NO",('Activity data'!BM7*EF!$H6)*kgtoGg)</f>
        <v>38.849763711149343</v>
      </c>
      <c r="BN6" s="27">
        <f>IF(('Activity data'!BN7*EF!$H6)*kgtoGg=0,"NO",('Activity data'!BN7*EF!$H6)*kgtoGg)</f>
        <v>39.683214984455297</v>
      </c>
      <c r="BO6" s="27">
        <f>IF(('Activity data'!BO7*EF!$H6)*kgtoGg=0,"NO",('Activity data'!BO7*EF!$H6)*kgtoGg)</f>
        <v>40.565980528060209</v>
      </c>
      <c r="BP6" s="27">
        <f>IF(('Activity data'!BP7*EF!$H6)*kgtoGg=0,"NO",('Activity data'!BP7*EF!$H6)*kgtoGg)</f>
        <v>41.415363717872332</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463.23498593143171</v>
      </c>
      <c r="AE7" s="27">
        <f>IF(('Activity data'!AE8*EF!$H7)*kgtoGg=0,"NO",('Activity data'!AE8*EF!$H7)*kgtoGg)</f>
        <v>459.2174968362159</v>
      </c>
      <c r="AF7" s="27">
        <f>IF(('Activity data'!AF8*EF!$H7)*kgtoGg=0,"NO",('Activity data'!AF8*EF!$H7)*kgtoGg)</f>
        <v>457.68816035731231</v>
      </c>
      <c r="AG7" s="27">
        <f>IF(('Activity data'!AG8*EF!$H7)*kgtoGg=0,"NO",('Activity data'!AG8*EF!$H7)*kgtoGg)</f>
        <v>451.57633407663525</v>
      </c>
      <c r="AH7" s="27">
        <f>IF(('Activity data'!AH8*EF!$H7)*kgtoGg=0,"NO",('Activity data'!AH8*EF!$H7)*kgtoGg)</f>
        <v>442.704868969107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369.40237691087651</v>
      </c>
      <c r="AM7" s="27">
        <f>IF(('Activity data'!AM8*EF!$H7)*kgtoGg=0,"NO",('Activity data'!AM8*EF!$H7)*kgtoGg)</f>
        <v>387.06361603448636</v>
      </c>
      <c r="AN7" s="27">
        <f>IF(('Activity data'!AN8*EF!$H7)*kgtoGg=0,"NO",('Activity data'!AN8*EF!$H7)*kgtoGg)</f>
        <v>393.17794041792496</v>
      </c>
      <c r="AO7" s="27">
        <f>IF(('Activity data'!AO8*EF!$H7)*kgtoGg=0,"NO",('Activity data'!AO8*EF!$H7)*kgtoGg)</f>
        <v>390.52270230053807</v>
      </c>
      <c r="AP7" s="27">
        <f>IF(('Activity data'!AP8*EF!$H7)*kgtoGg=0,"NO",('Activity data'!AP8*EF!$H7)*kgtoGg)</f>
        <v>388.36285305535796</v>
      </c>
      <c r="AQ7" s="27">
        <f>IF(('Activity data'!AQ8*EF!$H7)*kgtoGg=0,"NO",('Activity data'!AQ8*EF!$H7)*kgtoGg)</f>
        <v>388.50473132162119</v>
      </c>
      <c r="AR7" s="27">
        <f>IF(('Activity data'!AR8*EF!$H7)*kgtoGg=0,"NO",('Activity data'!AR8*EF!$H7)*kgtoGg)</f>
        <v>390.78606081827786</v>
      </c>
      <c r="AS7" s="27">
        <f>IF(('Activity data'!AS8*EF!$H7)*kgtoGg=0,"NO",('Activity data'!AS8*EF!$H7)*kgtoGg)</f>
        <v>394.02311080220409</v>
      </c>
      <c r="AT7" s="27">
        <f>IF(('Activity data'!AT8*EF!$H7)*kgtoGg=0,"NO",('Activity data'!AT8*EF!$H7)*kgtoGg)</f>
        <v>398.47662182088436</v>
      </c>
      <c r="AU7" s="27">
        <f>IF(('Activity data'!AU8*EF!$H7)*kgtoGg=0,"NO",('Activity data'!AU8*EF!$H7)*kgtoGg)</f>
        <v>405.00014152902594</v>
      </c>
      <c r="AV7" s="27">
        <f>IF(('Activity data'!AV8*EF!$H7)*kgtoGg=0,"NO",('Activity data'!AV8*EF!$H7)*kgtoGg)</f>
        <v>413.40943063236716</v>
      </c>
      <c r="AW7" s="27">
        <f>IF(('Activity data'!AW8*EF!$H7)*kgtoGg=0,"NO",('Activity data'!AW8*EF!$H7)*kgtoGg)</f>
        <v>419.27234556371411</v>
      </c>
      <c r="AX7" s="27">
        <f>IF(('Activity data'!AX8*EF!$H7)*kgtoGg=0,"NO",('Activity data'!AX8*EF!$H7)*kgtoGg)</f>
        <v>425.8278376253316</v>
      </c>
      <c r="AY7" s="27">
        <f>IF(('Activity data'!AY8*EF!$H7)*kgtoGg=0,"NO",('Activity data'!AY8*EF!$H7)*kgtoGg)</f>
        <v>432.58187641621225</v>
      </c>
      <c r="AZ7" s="27">
        <f>IF(('Activity data'!AZ8*EF!$H7)*kgtoGg=0,"NO",('Activity data'!AZ8*EF!$H7)*kgtoGg)</f>
        <v>439.68449510593507</v>
      </c>
      <c r="BA7" s="27">
        <f>IF(('Activity data'!BA8*EF!$H7)*kgtoGg=0,"NO",('Activity data'!BA8*EF!$H7)*kgtoGg)</f>
        <v>446.893496347981</v>
      </c>
      <c r="BB7" s="27">
        <f>IF(('Activity data'!BB8*EF!$H7)*kgtoGg=0,"NO",('Activity data'!BB8*EF!$H7)*kgtoGg)</f>
        <v>453.4765954958275</v>
      </c>
      <c r="BC7" s="27">
        <f>IF(('Activity data'!BC8*EF!$H7)*kgtoGg=0,"NO",('Activity data'!BC8*EF!$H7)*kgtoGg)</f>
        <v>460.42055689435347</v>
      </c>
      <c r="BD7" s="27">
        <f>IF(('Activity data'!BD8*EF!$H7)*kgtoGg=0,"NO",('Activity data'!BD8*EF!$H7)*kgtoGg)</f>
        <v>467.05009656830129</v>
      </c>
      <c r="BE7" s="27">
        <f>IF(('Activity data'!BE8*EF!$H7)*kgtoGg=0,"NO",('Activity data'!BE8*EF!$H7)*kgtoGg)</f>
        <v>473.30134622451675</v>
      </c>
      <c r="BF7" s="27">
        <f>IF(('Activity data'!BF8*EF!$H7)*kgtoGg=0,"NO",('Activity data'!BF8*EF!$H7)*kgtoGg)</f>
        <v>479.44152386893921</v>
      </c>
      <c r="BG7" s="27">
        <f>IF(('Activity data'!BG8*EF!$H7)*kgtoGg=0,"NO",('Activity data'!BG8*EF!$H7)*kgtoGg)</f>
        <v>487.2386202384439</v>
      </c>
      <c r="BH7" s="27">
        <f>IF(('Activity data'!BH8*EF!$H7)*kgtoGg=0,"NO",('Activity data'!BH8*EF!$H7)*kgtoGg)</f>
        <v>495.30323443397566</v>
      </c>
      <c r="BI7" s="27">
        <f>IF(('Activity data'!BI8*EF!$H7)*kgtoGg=0,"NO",('Activity data'!BI8*EF!$H7)*kgtoGg)</f>
        <v>503.92844355873905</v>
      </c>
      <c r="BJ7" s="27">
        <f>IF(('Activity data'!BJ8*EF!$H7)*kgtoGg=0,"NO",('Activity data'!BJ8*EF!$H7)*kgtoGg)</f>
        <v>512.52009483394647</v>
      </c>
      <c r="BK7" s="27">
        <f>IF(('Activity data'!BK8*EF!$H7)*kgtoGg=0,"NO",('Activity data'!BK8*EF!$H7)*kgtoGg)</f>
        <v>521.08933970994713</v>
      </c>
      <c r="BL7" s="27">
        <f>IF(('Activity data'!BL8*EF!$H7)*kgtoGg=0,"NO",('Activity data'!BL8*EF!$H7)*kgtoGg)</f>
        <v>530.19934966432822</v>
      </c>
      <c r="BM7" s="27">
        <f>IF(('Activity data'!BM8*EF!$H7)*kgtoGg=0,"NO",('Activity data'!BM8*EF!$H7)*kgtoGg)</f>
        <v>539.61424355839688</v>
      </c>
      <c r="BN7" s="27">
        <f>IF(('Activity data'!BN8*EF!$H7)*kgtoGg=0,"NO",('Activity data'!BN8*EF!$H7)*kgtoGg)</f>
        <v>549.17033444464153</v>
      </c>
      <c r="BO7" s="27">
        <f>IF(('Activity data'!BO8*EF!$H7)*kgtoGg=0,"NO",('Activity data'!BO8*EF!$H7)*kgtoGg)</f>
        <v>559.19282207144863</v>
      </c>
      <c r="BP7" s="27">
        <f>IF(('Activity data'!BP8*EF!$H7)*kgtoGg=0,"NO",('Activity data'!BP8*EF!$H7)*kgtoGg)</f>
        <v>567.59543120119042</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326.20040935577725</v>
      </c>
      <c r="AE8" s="27">
        <f>IF(('Activity data'!AE9*EF!$H8)*kgtoGg=0,"NO",('Activity data'!AE9*EF!$H8)*kgtoGg)</f>
        <v>323.37137738012308</v>
      </c>
      <c r="AF8" s="27">
        <f>IF(('Activity data'!AF9*EF!$H8)*kgtoGg=0,"NO",('Activity data'!AF9*EF!$H8)*kgtoGg)</f>
        <v>322.29445054900742</v>
      </c>
      <c r="AG8" s="27">
        <f>IF(('Activity data'!AG9*EF!$H8)*kgtoGg=0,"NO",('Activity data'!AG9*EF!$H8)*kgtoGg)</f>
        <v>317.99063003627219</v>
      </c>
      <c r="AH8" s="27">
        <f>IF(('Activity data'!AH9*EF!$H8)*kgtoGg=0,"NO",('Activity data'!AH9*EF!$H8)*kgtoGg)</f>
        <v>311.74352945546775</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260.12544437470751</v>
      </c>
      <c r="AM8" s="27">
        <f>IF(('Activity data'!AM9*EF!$H8)*kgtoGg=0,"NO",('Activity data'!AM9*EF!$H8)*kgtoGg)</f>
        <v>272.56212037461688</v>
      </c>
      <c r="AN8" s="27">
        <f>IF(('Activity data'!AN9*EF!$H8)*kgtoGg=0,"NO",('Activity data'!AN9*EF!$H8)*kgtoGg)</f>
        <v>276.86769999918118</v>
      </c>
      <c r="AO8" s="27">
        <f>IF(('Activity data'!AO9*EF!$H8)*kgtoGg=0,"NO",('Activity data'!AO9*EF!$H8)*kgtoGg)</f>
        <v>274.99793673186855</v>
      </c>
      <c r="AP8" s="27">
        <f>IF(('Activity data'!AP9*EF!$H8)*kgtoGg=0,"NO",('Activity data'!AP9*EF!$H8)*kgtoGg)</f>
        <v>273.47701596957364</v>
      </c>
      <c r="AQ8" s="27">
        <f>IF(('Activity data'!AQ9*EF!$H8)*kgtoGg=0,"NO",('Activity data'!AQ9*EF!$H8)*kgtoGg)</f>
        <v>273.5769236836698</v>
      </c>
      <c r="AR8" s="27">
        <f>IF(('Activity data'!AR9*EF!$H8)*kgtoGg=0,"NO",('Activity data'!AR9*EF!$H8)*kgtoGg)</f>
        <v>275.18338830375563</v>
      </c>
      <c r="AS8" s="27">
        <f>IF(('Activity data'!AS9*EF!$H8)*kgtoGg=0,"NO",('Activity data'!AS9*EF!$H8)*kgtoGg)</f>
        <v>277.46285134504268</v>
      </c>
      <c r="AT8" s="27">
        <f>IF(('Activity data'!AT9*EF!$H8)*kgtoGg=0,"NO",('Activity data'!AT9*EF!$H8)*kgtoGg)</f>
        <v>280.59892085940152</v>
      </c>
      <c r="AU8" s="27">
        <f>IF(('Activity data'!AU9*EF!$H8)*kgtoGg=0,"NO",('Activity data'!AU9*EF!$H8)*kgtoGg)</f>
        <v>285.19264729169487</v>
      </c>
      <c r="AV8" s="27">
        <f>IF(('Activity data'!AV9*EF!$H8)*kgtoGg=0,"NO",('Activity data'!AV9*EF!$H8)*kgtoGg)</f>
        <v>291.11429317598692</v>
      </c>
      <c r="AW8" s="27">
        <f>IF(('Activity data'!AW9*EF!$H8)*kgtoGg=0,"NO",('Activity data'!AW9*EF!$H8)*kgtoGg)</f>
        <v>295.24283551131606</v>
      </c>
      <c r="AX8" s="27">
        <f>IF(('Activity data'!AX9*EF!$H8)*kgtoGg=0,"NO",('Activity data'!AX9*EF!$H8)*kgtoGg)</f>
        <v>299.85907620766255</v>
      </c>
      <c r="AY8" s="27">
        <f>IF(('Activity data'!AY9*EF!$H8)*kgtoGg=0,"NO",('Activity data'!AY9*EF!$H8)*kgtoGg)</f>
        <v>304.61512936707601</v>
      </c>
      <c r="AZ8" s="27">
        <f>IF(('Activity data'!AZ9*EF!$H8)*kgtoGg=0,"NO",('Activity data'!AZ9*EF!$H8)*kgtoGg)</f>
        <v>309.61664521637437</v>
      </c>
      <c r="BA8" s="27">
        <f>IF(('Activity data'!BA9*EF!$H8)*kgtoGg=0,"NO",('Activity data'!BA9*EF!$H8)*kgtoGg)</f>
        <v>314.69307343880962</v>
      </c>
      <c r="BB8" s="27">
        <f>IF(('Activity data'!BB9*EF!$H8)*kgtoGg=0,"NO",('Activity data'!BB9*EF!$H8)*kgtoGg)</f>
        <v>319.32875446911731</v>
      </c>
      <c r="BC8" s="27">
        <f>IF(('Activity data'!BC9*EF!$H8)*kgtoGg=0,"NO",('Activity data'!BC9*EF!$H8)*kgtoGg)</f>
        <v>324.21854716514042</v>
      </c>
      <c r="BD8" s="27">
        <f>IF(('Activity data'!BD9*EF!$H8)*kgtoGg=0,"NO",('Activity data'!BD9*EF!$H8)*kgtoGg)</f>
        <v>328.88693064471261</v>
      </c>
      <c r="BE8" s="27">
        <f>IF(('Activity data'!BE9*EF!$H8)*kgtoGg=0,"NO",('Activity data'!BE9*EF!$H8)*kgtoGg)</f>
        <v>333.28893018872913</v>
      </c>
      <c r="BF8" s="27">
        <f>IF(('Activity data'!BF9*EF!$H8)*kgtoGg=0,"NO",('Activity data'!BF9*EF!$H8)*kgtoGg)</f>
        <v>337.61271514011941</v>
      </c>
      <c r="BG8" s="27">
        <f>IF(('Activity data'!BG9*EF!$H8)*kgtoGg=0,"NO",('Activity data'!BG9*EF!$H8)*kgtoGg)</f>
        <v>343.10326767773648</v>
      </c>
      <c r="BH8" s="27">
        <f>IF(('Activity data'!BH9*EF!$H8)*kgtoGg=0,"NO",('Activity data'!BH9*EF!$H8)*kgtoGg)</f>
        <v>348.78220068533165</v>
      </c>
      <c r="BI8" s="27">
        <f>IF(('Activity data'!BI9*EF!$H8)*kgtoGg=0,"NO",('Activity data'!BI9*EF!$H8)*kgtoGg)</f>
        <v>354.85589294244767</v>
      </c>
      <c r="BJ8" s="27">
        <f>IF(('Activity data'!BJ9*EF!$H8)*kgtoGg=0,"NO",('Activity data'!BJ9*EF!$H8)*kgtoGg)</f>
        <v>360.90595446226047</v>
      </c>
      <c r="BK8" s="27">
        <f>IF(('Activity data'!BK9*EF!$H8)*kgtoGg=0,"NO",('Activity data'!BK9*EF!$H8)*kgtoGg)</f>
        <v>366.94023786337442</v>
      </c>
      <c r="BL8" s="27">
        <f>IF(('Activity data'!BL9*EF!$H8)*kgtoGg=0,"NO",('Activity data'!BL9*EF!$H8)*kgtoGg)</f>
        <v>373.35531674688991</v>
      </c>
      <c r="BM8" s="27">
        <f>IF(('Activity data'!BM9*EF!$H8)*kgtoGg=0,"NO",('Activity data'!BM9*EF!$H8)*kgtoGg)</f>
        <v>379.98508853779043</v>
      </c>
      <c r="BN8" s="27">
        <f>IF(('Activity data'!BN9*EF!$H8)*kgtoGg=0,"NO",('Activity data'!BN9*EF!$H8)*kgtoGg)</f>
        <v>386.71428830379313</v>
      </c>
      <c r="BO8" s="27">
        <f>IF(('Activity data'!BO9*EF!$H8)*kgtoGg=0,"NO",('Activity data'!BO9*EF!$H8)*kgtoGg)</f>
        <v>393.77191492077668</v>
      </c>
      <c r="BP8" s="27">
        <f>IF(('Activity data'!BP9*EF!$H8)*kgtoGg=0,"NO",('Activity data'!BP9*EF!$H8)*kgtoGg)</f>
        <v>399.6888569070714</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31.891995988947254</v>
      </c>
      <c r="AE9" s="27">
        <f>IF(('Activity data'!AE10*EF!$H9)*kgtoGg=0,"NO",('Activity data'!AE10*EF!$H9)*kgtoGg)</f>
        <v>32.967337371253521</v>
      </c>
      <c r="AF9" s="27">
        <f>IF(('Activity data'!AF10*EF!$H9)*kgtoGg=0,"NO",('Activity data'!AF10*EF!$H9)*kgtoGg)</f>
        <v>34.243655078433662</v>
      </c>
      <c r="AG9" s="27">
        <f>IF(('Activity data'!AG10*EF!$H9)*kgtoGg=0,"NO",('Activity data'!AG10*EF!$H9)*kgtoGg)</f>
        <v>35.195504797614646</v>
      </c>
      <c r="AH9" s="27">
        <f>IF(('Activity data'!AH10*EF!$H9)*kgtoGg=0,"NO",('Activity data'!AH10*EF!$H9)*kgtoGg)</f>
        <v>35.929559405213325</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35.164164958187662</v>
      </c>
      <c r="AM9" s="27">
        <f>IF(('Activity data'!AM10*EF!$H9)*kgtoGg=0,"NO",('Activity data'!AM10*EF!$H9)*kgtoGg)</f>
        <v>37.733078614995847</v>
      </c>
      <c r="AN9" s="27">
        <f>IF(('Activity data'!AN10*EF!$H9)*kgtoGg=0,"NO",('Activity data'!AN10*EF!$H9)*kgtoGg)</f>
        <v>39.239907769283455</v>
      </c>
      <c r="AO9" s="27">
        <f>IF(('Activity data'!AO10*EF!$H9)*kgtoGg=0,"NO",('Activity data'!AO10*EF!$H9)*kgtoGg)</f>
        <v>39.889255441564949</v>
      </c>
      <c r="AP9" s="27">
        <f>IF(('Activity data'!AP10*EF!$H9)*kgtoGg=0,"NO",('Activity data'!AP10*EF!$H9)*kgtoGg)</f>
        <v>40.588307761995488</v>
      </c>
      <c r="AQ9" s="27">
        <f>IF(('Activity data'!AQ10*EF!$H9)*kgtoGg=0,"NO",('Activity data'!AQ10*EF!$H9)*kgtoGg)</f>
        <v>41.534201946049016</v>
      </c>
      <c r="AR9" s="27">
        <f>IF(('Activity data'!AR10*EF!$H9)*kgtoGg=0,"NO",('Activity data'!AR10*EF!$H9)*kgtoGg)</f>
        <v>42.726423600286481</v>
      </c>
      <c r="AS9" s="27">
        <f>IF(('Activity data'!AS10*EF!$H9)*kgtoGg=0,"NO",('Activity data'!AS10*EF!$H9)*kgtoGg)</f>
        <v>44.049081565207047</v>
      </c>
      <c r="AT9" s="27">
        <f>IF(('Activity data'!AT10*EF!$H9)*kgtoGg=0,"NO",('Activity data'!AT10*EF!$H9)*kgtoGg)</f>
        <v>45.539986739615941</v>
      </c>
      <c r="AU9" s="27">
        <f>IF(('Activity data'!AU10*EF!$H9)*kgtoGg=0,"NO",('Activity data'!AU10*EF!$H9)*kgtoGg)</f>
        <v>47.309041836934135</v>
      </c>
      <c r="AV9" s="27">
        <f>IF(('Activity data'!AV10*EF!$H9)*kgtoGg=0,"NO",('Activity data'!AV10*EF!$H9)*kgtoGg)</f>
        <v>49.351300675084218</v>
      </c>
      <c r="AW9" s="27">
        <f>IF(('Activity data'!AW10*EF!$H9)*kgtoGg=0,"NO",('Activity data'!AW10*EF!$H9)*kgtoGg)</f>
        <v>51.711027137708825</v>
      </c>
      <c r="AX9" s="27">
        <f>IF(('Activity data'!AX10*EF!$H9)*kgtoGg=0,"NO",('Activity data'!AX10*EF!$H9)*kgtoGg)</f>
        <v>54.264579364554088</v>
      </c>
      <c r="AY9" s="27">
        <f>IF(('Activity data'!AY10*EF!$H9)*kgtoGg=0,"NO",('Activity data'!AY10*EF!$H9)*kgtoGg)</f>
        <v>56.961553434617372</v>
      </c>
      <c r="AZ9" s="27">
        <f>IF(('Activity data'!AZ10*EF!$H9)*kgtoGg=0,"NO",('Activity data'!AZ10*EF!$H9)*kgtoGg)</f>
        <v>59.831551165418354</v>
      </c>
      <c r="BA9" s="27">
        <f>IF(('Activity data'!BA10*EF!$H9)*kgtoGg=0,"NO",('Activity data'!BA10*EF!$H9)*kgtoGg)</f>
        <v>62.852420493056009</v>
      </c>
      <c r="BB9" s="27">
        <f>IF(('Activity data'!BB10*EF!$H9)*kgtoGg=0,"NO",('Activity data'!BB10*EF!$H9)*kgtoGg)</f>
        <v>65.927060453070922</v>
      </c>
      <c r="BC9" s="27">
        <f>IF(('Activity data'!BC10*EF!$H9)*kgtoGg=0,"NO",('Activity data'!BC10*EF!$H9)*kgtoGg)</f>
        <v>69.203040648572085</v>
      </c>
      <c r="BD9" s="27">
        <f>IF(('Activity data'!BD10*EF!$H9)*kgtoGg=0,"NO",('Activity data'!BD10*EF!$H9)*kgtoGg)</f>
        <v>72.58973333609724</v>
      </c>
      <c r="BE9" s="27">
        <f>IF(('Activity data'!BE10*EF!$H9)*kgtoGg=0,"NO",('Activity data'!BE10*EF!$H9)*kgtoGg)</f>
        <v>76.081547595026791</v>
      </c>
      <c r="BF9" s="27">
        <f>IF(('Activity data'!BF10*EF!$H9)*kgtoGg=0,"NO",('Activity data'!BF10*EF!$H9)*kgtoGg)</f>
        <v>79.726894187226051</v>
      </c>
      <c r="BG9" s="27">
        <f>IF(('Activity data'!BG10*EF!$H9)*kgtoGg=0,"NO",('Activity data'!BG10*EF!$H9)*kgtoGg)</f>
        <v>83.3095791235083</v>
      </c>
      <c r="BH9" s="27">
        <f>IF(('Activity data'!BH10*EF!$H9)*kgtoGg=0,"NO",('Activity data'!BH10*EF!$H9)*kgtoGg)</f>
        <v>87.086258080455181</v>
      </c>
      <c r="BI9" s="27">
        <f>IF(('Activity data'!BI10*EF!$H9)*kgtoGg=0,"NO",('Activity data'!BI10*EF!$H9)*kgtoGg)</f>
        <v>91.121139259350954</v>
      </c>
      <c r="BJ9" s="27">
        <f>IF(('Activity data'!BJ10*EF!$H9)*kgtoGg=0,"NO",('Activity data'!BJ10*EF!$H9)*kgtoGg)</f>
        <v>95.32019758274437</v>
      </c>
      <c r="BK9" s="27">
        <f>IF(('Activity data'!BK10*EF!$H9)*kgtoGg=0,"NO",('Activity data'!BK10*EF!$H9)*kgtoGg)</f>
        <v>99.693624550303667</v>
      </c>
      <c r="BL9" s="27">
        <f>IF(('Activity data'!BL10*EF!$H9)*kgtoGg=0,"NO",('Activity data'!BL10*EF!$H9)*kgtoGg)</f>
        <v>104.36104732075913</v>
      </c>
      <c r="BM9" s="27">
        <f>IF(('Activity data'!BM10*EF!$H9)*kgtoGg=0,"NO",('Activity data'!BM10*EF!$H9)*kgtoGg)</f>
        <v>109.29369918471791</v>
      </c>
      <c r="BN9" s="27">
        <f>IF(('Activity data'!BN10*EF!$H9)*kgtoGg=0,"NO",('Activity data'!BN10*EF!$H9)*kgtoGg)</f>
        <v>114.47360844232533</v>
      </c>
      <c r="BO9" s="27">
        <f>IF(('Activity data'!BO10*EF!$H9)*kgtoGg=0,"NO",('Activity data'!BO10*EF!$H9)*kgtoGg)</f>
        <v>119.9848328319804</v>
      </c>
      <c r="BP9" s="27">
        <f>IF(('Activity data'!BP10*EF!$H9)*kgtoGg=0,"NO",('Activity data'!BP10*EF!$H9)*kgtoGg)</f>
        <v>125.38797876262088</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134.514372062219</v>
      </c>
      <c r="AM10" s="27">
        <f>IF(('Activity data'!AM11*EF!$H10)*kgtoGg=0,"NO",('Activity data'!AM11*EF!$H10)*kgtoGg)</f>
        <v>134.61119272537138</v>
      </c>
      <c r="AN10" s="27">
        <f>IF(('Activity data'!AN11*EF!$H10)*kgtoGg=0,"NO",('Activity data'!AN11*EF!$H10)*kgtoGg)</f>
        <v>134.57715264233437</v>
      </c>
      <c r="AO10" s="27">
        <f>IF(('Activity data'!AO11*EF!$H10)*kgtoGg=0,"NO",('Activity data'!AO11*EF!$H10)*kgtoGg)</f>
        <v>134.57470202786035</v>
      </c>
      <c r="AP10" s="27">
        <f>IF(('Activity data'!AP11*EF!$H10)*kgtoGg=0,"NO",('Activity data'!AP11*EF!$H10)*kgtoGg)</f>
        <v>134.71744668818661</v>
      </c>
      <c r="AQ10" s="27">
        <f>IF(('Activity data'!AQ11*EF!$H10)*kgtoGg=0,"NO",('Activity data'!AQ11*EF!$H10)*kgtoGg)</f>
        <v>134.95106147738375</v>
      </c>
      <c r="AR10" s="27">
        <f>IF(('Activity data'!AR11*EF!$H10)*kgtoGg=0,"NO",('Activity data'!AR11*EF!$H10)*kgtoGg)</f>
        <v>135.17521745945572</v>
      </c>
      <c r="AS10" s="27">
        <f>IF(('Activity data'!AS11*EF!$H10)*kgtoGg=0,"NO",('Activity data'!AS11*EF!$H10)*kgtoGg)</f>
        <v>135.39063780811901</v>
      </c>
      <c r="AT10" s="27">
        <f>IF(('Activity data'!AT11*EF!$H10)*kgtoGg=0,"NO",('Activity data'!AT11*EF!$H10)*kgtoGg)</f>
        <v>135.59702853009694</v>
      </c>
      <c r="AU10" s="27">
        <f>IF(('Activity data'!AU11*EF!$H10)*kgtoGg=0,"NO",('Activity data'!AU11*EF!$H10)*kgtoGg)</f>
        <v>135.7986907607312</v>
      </c>
      <c r="AV10" s="27">
        <f>IF(('Activity data'!AV11*EF!$H10)*kgtoGg=0,"NO",('Activity data'!AV11*EF!$H10)*kgtoGg)</f>
        <v>135.99857025620054</v>
      </c>
      <c r="AW10" s="27">
        <f>IF(('Activity data'!AW11*EF!$H10)*kgtoGg=0,"NO",('Activity data'!AW11*EF!$H10)*kgtoGg)</f>
        <v>136.19466148301387</v>
      </c>
      <c r="AX10" s="27">
        <f>IF(('Activity data'!AX11*EF!$H10)*kgtoGg=0,"NO",('Activity data'!AX11*EF!$H10)*kgtoGg)</f>
        <v>136.38978391312594</v>
      </c>
      <c r="AY10" s="27">
        <f>IF(('Activity data'!AY11*EF!$H10)*kgtoGg=0,"NO",('Activity data'!AY11*EF!$H10)*kgtoGg)</f>
        <v>136.58332287316895</v>
      </c>
      <c r="AZ10" s="27">
        <f>IF(('Activity data'!AZ11*EF!$H10)*kgtoGg=0,"NO",('Activity data'!AZ11*EF!$H10)*kgtoGg)</f>
        <v>136.77372760735147</v>
      </c>
      <c r="BA10" s="27">
        <f>IF(('Activity data'!BA11*EF!$H10)*kgtoGg=0,"NO",('Activity data'!BA11*EF!$H10)*kgtoGg)</f>
        <v>136.96183641513412</v>
      </c>
      <c r="BB10" s="27">
        <f>IF(('Activity data'!BB11*EF!$H10)*kgtoGg=0,"NO",('Activity data'!BB11*EF!$H10)*kgtoGg)</f>
        <v>137.1478500354736</v>
      </c>
      <c r="BC10" s="27">
        <f>IF(('Activity data'!BC11*EF!$H10)*kgtoGg=0,"NO",('Activity data'!BC11*EF!$H10)*kgtoGg)</f>
        <v>137.33239997388901</v>
      </c>
      <c r="BD10" s="27">
        <f>IF(('Activity data'!BD11*EF!$H10)*kgtoGg=0,"NO",('Activity data'!BD11*EF!$H10)*kgtoGg)</f>
        <v>137.50983936953097</v>
      </c>
      <c r="BE10" s="27">
        <f>IF(('Activity data'!BE11*EF!$H10)*kgtoGg=0,"NO",('Activity data'!BE11*EF!$H10)*kgtoGg)</f>
        <v>137.67996062186128</v>
      </c>
      <c r="BF10" s="27">
        <f>IF(('Activity data'!BF11*EF!$H10)*kgtoGg=0,"NO",('Activity data'!BF11*EF!$H10)*kgtoGg)</f>
        <v>137.84435369829882</v>
      </c>
      <c r="BG10" s="27">
        <f>IF(('Activity data'!BG11*EF!$H10)*kgtoGg=0,"NO",('Activity data'!BG11*EF!$H10)*kgtoGg)</f>
        <v>138.00175275471773</v>
      </c>
      <c r="BH10" s="27">
        <f>IF(('Activity data'!BH11*EF!$H10)*kgtoGg=0,"NO",('Activity data'!BH11*EF!$H10)*kgtoGg)</f>
        <v>138.15244332532626</v>
      </c>
      <c r="BI10" s="27">
        <f>IF(('Activity data'!BI11*EF!$H10)*kgtoGg=0,"NO",('Activity data'!BI11*EF!$H10)*kgtoGg)</f>
        <v>138.29574669703695</v>
      </c>
      <c r="BJ10" s="27">
        <f>IF(('Activity data'!BJ11*EF!$H10)*kgtoGg=0,"NO",('Activity data'!BJ11*EF!$H10)*kgtoGg)</f>
        <v>138.4296121873767</v>
      </c>
      <c r="BK10" s="27">
        <f>IF(('Activity data'!BK11*EF!$H10)*kgtoGg=0,"NO",('Activity data'!BK11*EF!$H10)*kgtoGg)</f>
        <v>138.55213947392693</v>
      </c>
      <c r="BL10" s="27">
        <f>IF(('Activity data'!BL11*EF!$H10)*kgtoGg=0,"NO",('Activity data'!BL11*EF!$H10)*kgtoGg)</f>
        <v>138.66320476976824</v>
      </c>
      <c r="BM10" s="27">
        <f>IF(('Activity data'!BM11*EF!$H10)*kgtoGg=0,"NO",('Activity data'!BM11*EF!$H10)*kgtoGg)</f>
        <v>138.76195815463774</v>
      </c>
      <c r="BN10" s="27">
        <f>IF(('Activity data'!BN11*EF!$H10)*kgtoGg=0,"NO",('Activity data'!BN11*EF!$H10)*kgtoGg)</f>
        <v>138.84835200114654</v>
      </c>
      <c r="BO10" s="27">
        <f>IF(('Activity data'!BO11*EF!$H10)*kgtoGg=0,"NO",('Activity data'!BO11*EF!$H10)*kgtoGg)</f>
        <v>138.92403962400931</v>
      </c>
      <c r="BP10" s="27">
        <f>IF(('Activity data'!BP11*EF!$H10)*kgtoGg=0,"NO",('Activity data'!BP11*EF!$H10)*kgtoGg)</f>
        <v>138.97919020206226</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14.577835829783805</v>
      </c>
      <c r="AM11" s="27">
        <f>IF(('Activity data'!AM12*EF!$H11)*kgtoGg=0,"NO",('Activity data'!AM12*EF!$H11)*kgtoGg)</f>
        <v>14.588328654533516</v>
      </c>
      <c r="AN11" s="27">
        <f>IF(('Activity data'!AN12*EF!$H11)*kgtoGg=0,"NO",('Activity data'!AN12*EF!$H11)*kgtoGg)</f>
        <v>14.584639600832128</v>
      </c>
      <c r="AO11" s="27">
        <f>IF(('Activity data'!AO12*EF!$H11)*kgtoGg=0,"NO",('Activity data'!AO12*EF!$H11)*kgtoGg)</f>
        <v>14.584374018389626</v>
      </c>
      <c r="AP11" s="27">
        <f>IF(('Activity data'!AP12*EF!$H11)*kgtoGg=0,"NO",('Activity data'!AP12*EF!$H11)*kgtoGg)</f>
        <v>14.599843801966744</v>
      </c>
      <c r="AQ11" s="27">
        <f>IF(('Activity data'!AQ12*EF!$H11)*kgtoGg=0,"NO",('Activity data'!AQ12*EF!$H11)*kgtoGg)</f>
        <v>14.625161528185249</v>
      </c>
      <c r="AR11" s="27">
        <f>IF(('Activity data'!AR12*EF!$H11)*kgtoGg=0,"NO",('Activity data'!AR12*EF!$H11)*kgtoGg)</f>
        <v>14.649454167379202</v>
      </c>
      <c r="AS11" s="27">
        <f>IF(('Activity data'!AS12*EF!$H11)*kgtoGg=0,"NO",('Activity data'!AS12*EF!$H11)*kgtoGg)</f>
        <v>14.672800092644023</v>
      </c>
      <c r="AT11" s="27">
        <f>IF(('Activity data'!AT12*EF!$H11)*kgtoGg=0,"NO",('Activity data'!AT12*EF!$H11)*kgtoGg)</f>
        <v>14.695167442806378</v>
      </c>
      <c r="AU11" s="27">
        <f>IF(('Activity data'!AU12*EF!$H11)*kgtoGg=0,"NO",('Activity data'!AU12*EF!$H11)*kgtoGg)</f>
        <v>14.717022348317101</v>
      </c>
      <c r="AV11" s="27">
        <f>IF(('Activity data'!AV12*EF!$H11)*kgtoGg=0,"NO",('Activity data'!AV12*EF!$H11)*kgtoGg)</f>
        <v>14.738684052014786</v>
      </c>
      <c r="AW11" s="27">
        <f>IF(('Activity data'!AW12*EF!$H11)*kgtoGg=0,"NO",('Activity data'!AW12*EF!$H11)*kgtoGg)</f>
        <v>14.759935206581549</v>
      </c>
      <c r="AX11" s="27">
        <f>IF(('Activity data'!AX12*EF!$H11)*kgtoGg=0,"NO",('Activity data'!AX12*EF!$H11)*kgtoGg)</f>
        <v>14.781081368952709</v>
      </c>
      <c r="AY11" s="27">
        <f>IF(('Activity data'!AY12*EF!$H11)*kgtoGg=0,"NO",('Activity data'!AY12*EF!$H11)*kgtoGg)</f>
        <v>14.802055924629695</v>
      </c>
      <c r="AZ11" s="27">
        <f>IF(('Activity data'!AZ12*EF!$H11)*kgtoGg=0,"NO",('Activity data'!AZ12*EF!$H11)*kgtoGg)</f>
        <v>14.822690812289457</v>
      </c>
      <c r="BA11" s="27">
        <f>IF(('Activity data'!BA12*EF!$H11)*kgtoGg=0,"NO",('Activity data'!BA12*EF!$H11)*kgtoGg)</f>
        <v>14.843076881643613</v>
      </c>
      <c r="BB11" s="27">
        <f>IF(('Activity data'!BB12*EF!$H11)*kgtoGg=0,"NO",('Activity data'!BB12*EF!$H11)*kgtoGg)</f>
        <v>14.863235887538975</v>
      </c>
      <c r="BC11" s="27">
        <f>IF(('Activity data'!BC12*EF!$H11)*kgtoGg=0,"NO",('Activity data'!BC12*EF!$H11)*kgtoGg)</f>
        <v>14.883236268638564</v>
      </c>
      <c r="BD11" s="27">
        <f>IF(('Activity data'!BD12*EF!$H11)*kgtoGg=0,"NO",('Activity data'!BD12*EF!$H11)*kgtoGg)</f>
        <v>14.902466053082772</v>
      </c>
      <c r="BE11" s="27">
        <f>IF(('Activity data'!BE12*EF!$H11)*kgtoGg=0,"NO",('Activity data'!BE12*EF!$H11)*kgtoGg)</f>
        <v>14.920902742409034</v>
      </c>
      <c r="BF11" s="27">
        <f>IF(('Activity data'!BF12*EF!$H11)*kgtoGg=0,"NO",('Activity data'!BF12*EF!$H11)*kgtoGg)</f>
        <v>14.938718647454118</v>
      </c>
      <c r="BG11" s="27">
        <f>IF(('Activity data'!BG12*EF!$H11)*kgtoGg=0,"NO",('Activity data'!BG12*EF!$H11)*kgtoGg)</f>
        <v>14.95577658385943</v>
      </c>
      <c r="BH11" s="27">
        <f>IF(('Activity data'!BH12*EF!$H11)*kgtoGg=0,"NO",('Activity data'!BH12*EF!$H11)*kgtoGg)</f>
        <v>14.972107496056765</v>
      </c>
      <c r="BI11" s="27">
        <f>IF(('Activity data'!BI12*EF!$H11)*kgtoGg=0,"NO",('Activity data'!BI12*EF!$H11)*kgtoGg)</f>
        <v>14.98763782931875</v>
      </c>
      <c r="BJ11" s="27">
        <f>IF(('Activity data'!BJ12*EF!$H11)*kgtoGg=0,"NO",('Activity data'!BJ12*EF!$H11)*kgtoGg)</f>
        <v>15.002145343360027</v>
      </c>
      <c r="BK11" s="27">
        <f>IF(('Activity data'!BK12*EF!$H11)*kgtoGg=0,"NO",('Activity data'!BK12*EF!$H11)*kgtoGg)</f>
        <v>15.015424092988152</v>
      </c>
      <c r="BL11" s="27">
        <f>IF(('Activity data'!BL12*EF!$H11)*kgtoGg=0,"NO",('Activity data'!BL12*EF!$H11)*kgtoGg)</f>
        <v>15.027460662942268</v>
      </c>
      <c r="BM11" s="27">
        <f>IF(('Activity data'!BM12*EF!$H11)*kgtoGg=0,"NO",('Activity data'!BM12*EF!$H11)*kgtoGg)</f>
        <v>15.038162944120053</v>
      </c>
      <c r="BN11" s="27">
        <f>IF(('Activity data'!BN12*EF!$H11)*kgtoGg=0,"NO",('Activity data'!BN12*EF!$H11)*kgtoGg)</f>
        <v>15.047525774959613</v>
      </c>
      <c r="BO11" s="27">
        <f>IF(('Activity data'!BO12*EF!$H11)*kgtoGg=0,"NO",('Activity data'!BO12*EF!$H11)*kgtoGg)</f>
        <v>15.055728331485913</v>
      </c>
      <c r="BP11" s="27">
        <f>IF(('Activity data'!BP12*EF!$H11)*kgtoGg=0,"NO",('Activity data'!BP12*EF!$H11)*kgtoGg)</f>
        <v>15.061705210093363</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15.123414197798356</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15.545788610572219</v>
      </c>
      <c r="AK12" s="27">
        <f>IF(('Activity data'!AK13*EF!$H12)*kgtoGg=0,"NO",('Activity data'!AK13*EF!$H12)*kgtoGg)</f>
        <v>15.648067752449878</v>
      </c>
      <c r="AL12" s="27">
        <f>IF(('Activity data'!AL13*EF!$H12)*kgtoGg=0,"NO",('Activity data'!AL13*EF!$H12)*kgtoGg)</f>
        <v>15.609698922895241</v>
      </c>
      <c r="AM12" s="27">
        <f>IF(('Activity data'!AM13*EF!$H12)*kgtoGg=0,"NO",('Activity data'!AM13*EF!$H12)*kgtoGg)</f>
        <v>15.636532010302831</v>
      </c>
      <c r="AN12" s="27">
        <f>IF(('Activity data'!AN13*EF!$H12)*kgtoGg=0,"NO",('Activity data'!AN13*EF!$H12)*kgtoGg)</f>
        <v>15.639135853628233</v>
      </c>
      <c r="AO12" s="27">
        <f>IF(('Activity data'!AO13*EF!$H12)*kgtoGg=0,"NO",('Activity data'!AO13*EF!$H12)*kgtoGg)</f>
        <v>15.646294761850147</v>
      </c>
      <c r="AP12" s="27">
        <f>IF(('Activity data'!AP13*EF!$H12)*kgtoGg=0,"NO",('Activity data'!AP13*EF!$H12)*kgtoGg)</f>
        <v>15.677946241783271</v>
      </c>
      <c r="AQ12" s="27">
        <f>IF(('Activity data'!AQ13*EF!$H12)*kgtoGg=0,"NO",('Activity data'!AQ13*EF!$H12)*kgtoGg)</f>
        <v>15.724503798989753</v>
      </c>
      <c r="AR12" s="27">
        <f>IF(('Activity data'!AR13*EF!$H12)*kgtoGg=0,"NO",('Activity data'!AR13*EF!$H12)*kgtoGg)</f>
        <v>15.768451676063824</v>
      </c>
      <c r="AS12" s="27">
        <f>IF(('Activity data'!AS13*EF!$H12)*kgtoGg=0,"NO",('Activity data'!AS13*EF!$H12)*kgtoGg)</f>
        <v>15.809996509627668</v>
      </c>
      <c r="AT12" s="27">
        <f>IF(('Activity data'!AT13*EF!$H12)*kgtoGg=0,"NO",('Activity data'!AT13*EF!$H12)*kgtoGg)</f>
        <v>15.849159564668597</v>
      </c>
      <c r="AU12" s="27">
        <f>IF(('Activity data'!AU13*EF!$H12)*kgtoGg=0,"NO",('Activity data'!AU13*EF!$H12)*kgtoGg)</f>
        <v>15.886751198222623</v>
      </c>
      <c r="AV12" s="27">
        <f>IF(('Activity data'!AV13*EF!$H12)*kgtoGg=0,"NO",('Activity data'!AV13*EF!$H12)*kgtoGg)</f>
        <v>15.923335433500936</v>
      </c>
      <c r="AW12" s="27">
        <f>IF(('Activity data'!AW13*EF!$H12)*kgtoGg=0,"NO",('Activity data'!AW13*EF!$H12)*kgtoGg)</f>
        <v>15.958613587829067</v>
      </c>
      <c r="AX12" s="27">
        <f>IF(('Activity data'!AX13*EF!$H12)*kgtoGg=0,"NO",('Activity data'!AX13*EF!$H12)*kgtoGg)</f>
        <v>15.993115538730159</v>
      </c>
      <c r="AY12" s="27">
        <f>IF(('Activity data'!AY13*EF!$H12)*kgtoGg=0,"NO",('Activity data'!AY13*EF!$H12)*kgtoGg)</f>
        <v>16.026773849205178</v>
      </c>
      <c r="AZ12" s="27">
        <f>IF(('Activity data'!AZ13*EF!$H12)*kgtoGg=0,"NO",('Activity data'!AZ13*EF!$H12)*kgtoGg)</f>
        <v>16.059358210664367</v>
      </c>
      <c r="BA12" s="27">
        <f>IF(('Activity data'!BA13*EF!$H12)*kgtoGg=0,"NO",('Activity data'!BA13*EF!$H12)*kgtoGg)</f>
        <v>16.091045965246145</v>
      </c>
      <c r="BB12" s="27">
        <f>IF(('Activity data'!BB13*EF!$H12)*kgtoGg=0,"NO",('Activity data'!BB13*EF!$H12)*kgtoGg)</f>
        <v>16.121901844149729</v>
      </c>
      <c r="BC12" s="27">
        <f>IF(('Activity data'!BC13*EF!$H12)*kgtoGg=0,"NO",('Activity data'!BC13*EF!$H12)*kgtoGg)</f>
        <v>16.152061326115707</v>
      </c>
      <c r="BD12" s="27">
        <f>IF(('Activity data'!BD13*EF!$H12)*kgtoGg=0,"NO",('Activity data'!BD13*EF!$H12)*kgtoGg)</f>
        <v>16.180589301116473</v>
      </c>
      <c r="BE12" s="27">
        <f>IF(('Activity data'!BE13*EF!$H12)*kgtoGg=0,"NO",('Activity data'!BE13*EF!$H12)*kgtoGg)</f>
        <v>16.207479025870157</v>
      </c>
      <c r="BF12" s="27">
        <f>IF(('Activity data'!BF13*EF!$H12)*kgtoGg=0,"NO",('Activity data'!BF13*EF!$H12)*kgtoGg)</f>
        <v>16.233026710727977</v>
      </c>
      <c r="BG12" s="27">
        <f>IF(('Activity data'!BG13*EF!$H12)*kgtoGg=0,"NO",('Activity data'!BG13*EF!$H12)*kgtoGg)</f>
        <v>16.257041914334369</v>
      </c>
      <c r="BH12" s="27">
        <f>IF(('Activity data'!BH13*EF!$H12)*kgtoGg=0,"NO",('Activity data'!BH13*EF!$H12)*kgtoGg)</f>
        <v>16.279596122288691</v>
      </c>
      <c r="BI12" s="27">
        <f>IF(('Activity data'!BI13*EF!$H12)*kgtoGg=0,"NO",('Activity data'!BI13*EF!$H12)*kgtoGg)</f>
        <v>16.300596548995752</v>
      </c>
      <c r="BJ12" s="27">
        <f>IF(('Activity data'!BJ13*EF!$H12)*kgtoGg=0,"NO",('Activity data'!BJ13*EF!$H12)*kgtoGg)</f>
        <v>16.31971904310852</v>
      </c>
      <c r="BK12" s="27">
        <f>IF(('Activity data'!BK13*EF!$H12)*kgtoGg=0,"NO",('Activity data'!BK13*EF!$H12)*kgtoGg)</f>
        <v>16.336665838044137</v>
      </c>
      <c r="BL12" s="27">
        <f>IF(('Activity data'!BL13*EF!$H12)*kgtoGg=0,"NO",('Activity data'!BL13*EF!$H12)*kgtoGg)</f>
        <v>16.351438090046905</v>
      </c>
      <c r="BM12" s="27">
        <f>IF(('Activity data'!BM13*EF!$H12)*kgtoGg=0,"NO",('Activity data'!BM13*EF!$H12)*kgtoGg)</f>
        <v>16.363914421549605</v>
      </c>
      <c r="BN12" s="27">
        <f>IF(('Activity data'!BN13*EF!$H12)*kgtoGg=0,"NO",('Activity data'!BN13*EF!$H12)*kgtoGg)</f>
        <v>16.374107486259209</v>
      </c>
      <c r="BO12" s="27">
        <f>IF(('Activity data'!BO13*EF!$H12)*kgtoGg=0,"NO",('Activity data'!BO13*EF!$H12)*kgtoGg)</f>
        <v>16.382312930249284</v>
      </c>
      <c r="BP12" s="27">
        <f>IF(('Activity data'!BP13*EF!$H12)*kgtoGg=0,"NO",('Activity data'!BP13*EF!$H12)*kgtoGg)</f>
        <v>16.386910096993194</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22.381101687842737</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23.100753199022172</v>
      </c>
      <c r="AM13" s="27">
        <f>IF(('Activity data'!AM14*EF!$H13)*kgtoGg=0,"NO",('Activity data'!AM14*EF!$H13)*kgtoGg)</f>
        <v>23.140463415909274</v>
      </c>
      <c r="AN13" s="27">
        <f>IF(('Activity data'!AN14*EF!$H13)*kgtoGg=0,"NO",('Activity data'!AN14*EF!$H13)*kgtoGg)</f>
        <v>23.144316836934628</v>
      </c>
      <c r="AO13" s="27">
        <f>IF(('Activity data'!AO14*EF!$H13)*kgtoGg=0,"NO",('Activity data'!AO14*EF!$H13)*kgtoGg)</f>
        <v>23.154911286758789</v>
      </c>
      <c r="AP13" s="27">
        <f>IF(('Activity data'!AP14*EF!$H13)*kgtoGg=0,"NO",('Activity data'!AP14*EF!$H13)*kgtoGg)</f>
        <v>23.201752230324114</v>
      </c>
      <c r="AQ13" s="27">
        <f>IF(('Activity data'!AQ14*EF!$H13)*kgtoGg=0,"NO",('Activity data'!AQ14*EF!$H13)*kgtoGg)</f>
        <v>23.270652639223016</v>
      </c>
      <c r="AR13" s="27">
        <f>IF(('Activity data'!AR14*EF!$H13)*kgtoGg=0,"NO",('Activity data'!AR14*EF!$H13)*kgtoGg)</f>
        <v>23.335690989220911</v>
      </c>
      <c r="AS13" s="27">
        <f>IF(('Activity data'!AS14*EF!$H13)*kgtoGg=0,"NO",('Activity data'!AS14*EF!$H13)*kgtoGg)</f>
        <v>23.397173081322329</v>
      </c>
      <c r="AT13" s="27">
        <f>IF(('Activity data'!AT14*EF!$H13)*kgtoGg=0,"NO",('Activity data'!AT14*EF!$H13)*kgtoGg)</f>
        <v>23.455130385527173</v>
      </c>
      <c r="AU13" s="27">
        <f>IF(('Activity data'!AU14*EF!$H13)*kgtoGg=0,"NO",('Activity data'!AU14*EF!$H13)*kgtoGg)</f>
        <v>23.510762147124183</v>
      </c>
      <c r="AV13" s="27">
        <f>IF(('Activity data'!AV14*EF!$H13)*kgtoGg=0,"NO",('Activity data'!AV14*EF!$H13)*kgtoGg)</f>
        <v>23.564903062609726</v>
      </c>
      <c r="AW13" s="27">
        <f>IF(('Activity data'!AW14*EF!$H13)*kgtoGg=0,"NO",('Activity data'!AW14*EF!$H13)*kgtoGg)</f>
        <v>23.617111112263775</v>
      </c>
      <c r="AX13" s="27">
        <f>IF(('Activity data'!AX14*EF!$H13)*kgtoGg=0,"NO",('Activity data'!AX14*EF!$H13)*kgtoGg)</f>
        <v>23.668170460466953</v>
      </c>
      <c r="AY13" s="27">
        <f>IF(('Activity data'!AY14*EF!$H13)*kgtoGg=0,"NO",('Activity data'!AY14*EF!$H13)*kgtoGg)</f>
        <v>23.717981307378224</v>
      </c>
      <c r="AZ13" s="27">
        <f>IF(('Activity data'!AZ14*EF!$H13)*kgtoGg=0,"NO",('Activity data'!AZ14*EF!$H13)*kgtoGg)</f>
        <v>23.766202819909285</v>
      </c>
      <c r="BA13" s="27">
        <f>IF(('Activity data'!BA14*EF!$H13)*kgtoGg=0,"NO",('Activity data'!BA14*EF!$H13)*kgtoGg)</f>
        <v>23.813097446233641</v>
      </c>
      <c r="BB13" s="27">
        <f>IF(('Activity data'!BB14*EF!$H13)*kgtoGg=0,"NO",('Activity data'!BB14*EF!$H13)*kgtoGg)</f>
        <v>23.858760981886149</v>
      </c>
      <c r="BC13" s="27">
        <f>IF(('Activity data'!BC14*EF!$H13)*kgtoGg=0,"NO",('Activity data'!BC14*EF!$H13)*kgtoGg)</f>
        <v>23.903393921505796</v>
      </c>
      <c r="BD13" s="27">
        <f>IF(('Activity data'!BD14*EF!$H13)*kgtoGg=0,"NO",('Activity data'!BD14*EF!$H13)*kgtoGg)</f>
        <v>23.94561239817315</v>
      </c>
      <c r="BE13" s="27">
        <f>IF(('Activity data'!BE14*EF!$H13)*kgtoGg=0,"NO",('Activity data'!BE14*EF!$H13)*kgtoGg)</f>
        <v>23.985406432522741</v>
      </c>
      <c r="BF13" s="27">
        <f>IF(('Activity data'!BF14*EF!$H13)*kgtoGg=0,"NO",('Activity data'!BF14*EF!$H13)*kgtoGg)</f>
        <v>24.023214385489801</v>
      </c>
      <c r="BG13" s="27">
        <f>IF(('Activity data'!BG14*EF!$H13)*kgtoGg=0,"NO",('Activity data'!BG14*EF!$H13)*kgtoGg)</f>
        <v>24.058754423403148</v>
      </c>
      <c r="BH13" s="27">
        <f>IF(('Activity data'!BH14*EF!$H13)*kgtoGg=0,"NO",('Activity data'!BH14*EF!$H13)*kgtoGg)</f>
        <v>24.092132337616977</v>
      </c>
      <c r="BI13" s="27">
        <f>IF(('Activity data'!BI14*EF!$H13)*kgtoGg=0,"NO",('Activity data'!BI14*EF!$H13)*kgtoGg)</f>
        <v>24.123210814968164</v>
      </c>
      <c r="BJ13" s="27">
        <f>IF(('Activity data'!BJ14*EF!$H13)*kgtoGg=0,"NO",('Activity data'!BJ14*EF!$H13)*kgtoGg)</f>
        <v>24.151510144713775</v>
      </c>
      <c r="BK13" s="27">
        <f>IF(('Activity data'!BK14*EF!$H13)*kgtoGg=0,"NO",('Activity data'!BK14*EF!$H13)*kgtoGg)</f>
        <v>24.176589662855413</v>
      </c>
      <c r="BL13" s="27">
        <f>IF(('Activity data'!BL14*EF!$H13)*kgtoGg=0,"NO",('Activity data'!BL14*EF!$H13)*kgtoGg)</f>
        <v>24.198451080516016</v>
      </c>
      <c r="BM13" s="27">
        <f>IF(('Activity data'!BM14*EF!$H13)*kgtoGg=0,"NO",('Activity data'!BM14*EF!$H13)*kgtoGg)</f>
        <v>24.21691477134674</v>
      </c>
      <c r="BN13" s="27">
        <f>IF(('Activity data'!BN14*EF!$H13)*kgtoGg=0,"NO",('Activity data'!BN14*EF!$H13)*kgtoGg)</f>
        <v>24.231999461535917</v>
      </c>
      <c r="BO13" s="27">
        <f>IF(('Activity data'!BO14*EF!$H13)*kgtoGg=0,"NO",('Activity data'!BO14*EF!$H13)*kgtoGg)</f>
        <v>24.244142676945735</v>
      </c>
      <c r="BP13" s="27">
        <f>IF(('Activity data'!BP14*EF!$H13)*kgtoGg=0,"NO",('Activity data'!BP14*EF!$H13)*kgtoGg)</f>
        <v>24.250946012159979</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5.579523571019652</v>
      </c>
      <c r="AF14" s="27">
        <f>IF(('Activity data'!AF15*EF!$H14)*kgtoGg=0,"NO",('Activity data'!AF15*EF!$H14)*kgtoGg)</f>
        <v>5.6203482259438013</v>
      </c>
      <c r="AG14" s="27">
        <f>IF(('Activity data'!AG15*EF!$H14)*kgtoGg=0,"NO",('Activity data'!AG15*EF!$H14)*kgtoGg)</f>
        <v>5.629075655008374</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5.5483103177944031</v>
      </c>
      <c r="AL14" s="27">
        <f>IF(('Activity data'!AL15*EF!$H14)*kgtoGg=0,"NO",('Activity data'!AL15*EF!$H14)*kgtoGg)</f>
        <v>5.2971852508905934</v>
      </c>
      <c r="AM14" s="27">
        <f>IF(('Activity data'!AM15*EF!$H14)*kgtoGg=0,"NO",('Activity data'!AM15*EF!$H14)*kgtoGg)</f>
        <v>5.4545032105207021</v>
      </c>
      <c r="AN14" s="27">
        <f>IF(('Activity data'!AN15*EF!$H14)*kgtoGg=0,"NO",('Activity data'!AN15*EF!$H14)*kgtoGg)</f>
        <v>5.5329638064801401</v>
      </c>
      <c r="AO14" s="27">
        <f>IF(('Activity data'!AO15*EF!$H14)*kgtoGg=0,"NO",('Activity data'!AO15*EF!$H14)*kgtoGg)</f>
        <v>5.544813640469159</v>
      </c>
      <c r="AP14" s="27">
        <f>IF(('Activity data'!AP15*EF!$H14)*kgtoGg=0,"NO",('Activity data'!AP15*EF!$H14)*kgtoGg)</f>
        <v>5.5552394312209037</v>
      </c>
      <c r="AQ14" s="27">
        <f>IF(('Activity data'!AQ15*EF!$H14)*kgtoGg=0,"NO",('Activity data'!AQ15*EF!$H14)*kgtoGg)</f>
        <v>5.5805371243140618</v>
      </c>
      <c r="AR14" s="27">
        <f>IF(('Activity data'!AR15*EF!$H14)*kgtoGg=0,"NO",('Activity data'!AR15*EF!$H14)*kgtoGg)</f>
        <v>5.6237182797404808</v>
      </c>
      <c r="AS14" s="27">
        <f>IF(('Activity data'!AS15*EF!$H14)*kgtoGg=0,"NO",('Activity data'!AS15*EF!$H14)*kgtoGg)</f>
        <v>5.6758191216830927</v>
      </c>
      <c r="AT14" s="27">
        <f>IF(('Activity data'!AT15*EF!$H14)*kgtoGg=0,"NO",('Activity data'!AT15*EF!$H14)*kgtoGg)</f>
        <v>5.7392036522982304</v>
      </c>
      <c r="AU14" s="27">
        <f>IF(('Activity data'!AU15*EF!$H14)*kgtoGg=0,"NO",('Activity data'!AU15*EF!$H14)*kgtoGg)</f>
        <v>5.8209863133515896</v>
      </c>
      <c r="AV14" s="27">
        <f>IF(('Activity data'!AV15*EF!$H14)*kgtoGg=0,"NO",('Activity data'!AV15*EF!$H14)*kgtoGg)</f>
        <v>5.9200988769206573</v>
      </c>
      <c r="AW14" s="27">
        <f>IF(('Activity data'!AW15*EF!$H14)*kgtoGg=0,"NO",('Activity data'!AW15*EF!$H14)*kgtoGg)</f>
        <v>6.0298529321871719</v>
      </c>
      <c r="AX14" s="27">
        <f>IF(('Activity data'!AX15*EF!$H14)*kgtoGg=0,"NO",('Activity data'!AX15*EF!$H14)*kgtoGg)</f>
        <v>6.1497995952254207</v>
      </c>
      <c r="AY14" s="27">
        <f>IF(('Activity data'!AY15*EF!$H14)*kgtoGg=0,"NO",('Activity data'!AY15*EF!$H14)*kgtoGg)</f>
        <v>6.2762315807434783</v>
      </c>
      <c r="AZ14" s="27">
        <f>IF(('Activity data'!AZ15*EF!$H14)*kgtoGg=0,"NO",('Activity data'!AZ15*EF!$H14)*kgtoGg)</f>
        <v>6.4109152413607369</v>
      </c>
      <c r="BA14" s="27">
        <f>IF(('Activity data'!BA15*EF!$H14)*kgtoGg=0,"NO",('Activity data'!BA15*EF!$H14)*kgtoGg)</f>
        <v>6.552086974601302</v>
      </c>
      <c r="BB14" s="27">
        <f>IF(('Activity data'!BB15*EF!$H14)*kgtoGg=0,"NO",('Activity data'!BB15*EF!$H14)*kgtoGg)</f>
        <v>6.6933077398392395</v>
      </c>
      <c r="BC14" s="27">
        <f>IF(('Activity data'!BC15*EF!$H14)*kgtoGg=0,"NO",('Activity data'!BC15*EF!$H14)*kgtoGg)</f>
        <v>6.8438679121481307</v>
      </c>
      <c r="BD14" s="27">
        <f>IF(('Activity data'!BD15*EF!$H14)*kgtoGg=0,"NO",('Activity data'!BD15*EF!$H14)*kgtoGg)</f>
        <v>6.9980784680830306</v>
      </c>
      <c r="BE14" s="27">
        <f>IF(('Activity data'!BE15*EF!$H14)*kgtoGg=0,"NO",('Activity data'!BE15*EF!$H14)*kgtoGg)</f>
        <v>7.1555200224058177</v>
      </c>
      <c r="BF14" s="27">
        <f>IF(('Activity data'!BF15*EF!$H14)*kgtoGg=0,"NO",('Activity data'!BF15*EF!$H14)*kgtoGg)</f>
        <v>7.3189945558292679</v>
      </c>
      <c r="BG14" s="27">
        <f>IF(('Activity data'!BG15*EF!$H14)*kgtoGg=0,"NO",('Activity data'!BG15*EF!$H14)*kgtoGg)</f>
        <v>7.4816205294730294</v>
      </c>
      <c r="BH14" s="27">
        <f>IF(('Activity data'!BH15*EF!$H14)*kgtoGg=0,"NO",('Activity data'!BH15*EF!$H14)*kgtoGg)</f>
        <v>7.6530966093944661</v>
      </c>
      <c r="BI14" s="27">
        <f>IF(('Activity data'!BI15*EF!$H14)*kgtoGg=0,"NO",('Activity data'!BI15*EF!$H14)*kgtoGg)</f>
        <v>7.8370750081366163</v>
      </c>
      <c r="BJ14" s="27">
        <f>IF(('Activity data'!BJ15*EF!$H14)*kgtoGg=0,"NO",('Activity data'!BJ15*EF!$H14)*kgtoGg)</f>
        <v>8.0278701064246079</v>
      </c>
      <c r="BK14" s="27">
        <f>IF(('Activity data'!BK15*EF!$H14)*kgtoGg=0,"NO",('Activity data'!BK15*EF!$H14)*kgtoGg)</f>
        <v>8.2260903165664789</v>
      </c>
      <c r="BL14" s="27">
        <f>IF(('Activity data'!BL15*EF!$H14)*kgtoGg=0,"NO",('Activity data'!BL15*EF!$H14)*kgtoGg)</f>
        <v>8.4385648916420113</v>
      </c>
      <c r="BM14" s="27">
        <f>IF(('Activity data'!BM15*EF!$H14)*kgtoGg=0,"NO",('Activity data'!BM15*EF!$H14)*kgtoGg)</f>
        <v>8.6634503637197486</v>
      </c>
      <c r="BN14" s="27">
        <f>IF(('Activity data'!BN15*EF!$H14)*kgtoGg=0,"NO",('Activity data'!BN15*EF!$H14)*kgtoGg)</f>
        <v>8.8995458740132776</v>
      </c>
      <c r="BO14" s="27">
        <f>IF(('Activity data'!BO15*EF!$H14)*kgtoGg=0,"NO",('Activity data'!BO15*EF!$H14)*kgtoGg)</f>
        <v>9.151348341874078</v>
      </c>
      <c r="BP14" s="27">
        <f>IF(('Activity data'!BP15*EF!$H14)*kgtoGg=0,"NO",('Activity data'!BP15*EF!$H14)*kgtoGg)</f>
        <v>9.3946927055732683</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1.8300977880312248</v>
      </c>
      <c r="AF16" s="27">
        <f>IF(('Activity data'!AF17*EF!$H16)*kgtoGg=0,"NO",('Activity data'!AF17*EF!$H16)*kgtoGg)</f>
        <v>1.8309187348828144</v>
      </c>
      <c r="AG16" s="27">
        <f>IF(('Activity data'!AG17*EF!$H16)*kgtoGg=0,"NO",('Activity data'!AG17*EF!$H16)*kgtoGg)</f>
        <v>1.8141094978660446</v>
      </c>
      <c r="AH16" s="27">
        <f>IF(('Activity data'!AH17*EF!$H16)*kgtoGg=0,"NO",('Activity data'!AH17*EF!$H16)*kgtoGg)</f>
        <v>1.7866561368117291</v>
      </c>
      <c r="AI16" s="27">
        <f>IF(('Activity data'!AI17*EF!$H16)*kgtoGg=0,"NO",('Activity data'!AI17*EF!$H16)*kgtoGg)</f>
        <v>1.7489975228040082</v>
      </c>
      <c r="AJ16" s="27">
        <f>IF(('Activity data'!AJ17*EF!$H16)*kgtoGg=0,"NO",('Activity data'!AJ17*EF!$H16)*kgtoGg)</f>
        <v>1.7216531928010093</v>
      </c>
      <c r="AK16" s="27">
        <f>IF(('Activity data'!AK17*EF!$H16)*kgtoGg=0,"NO",('Activity data'!AK17*EF!$H16)*kgtoGg)</f>
        <v>1.6967284692901876</v>
      </c>
      <c r="AL16" s="27">
        <f>IF(('Activity data'!AL17*EF!$H16)*kgtoGg=0,"NO",('Activity data'!AL17*EF!$H16)*kgtoGg)</f>
        <v>1.524204734718916</v>
      </c>
      <c r="AM16" s="27">
        <f>IF(('Activity data'!AM17*EF!$H16)*kgtoGg=0,"NO",('Activity data'!AM17*EF!$H16)*kgtoGg)</f>
        <v>1.593081714161948</v>
      </c>
      <c r="AN16" s="27">
        <f>IF(('Activity data'!AN17*EF!$H16)*kgtoGg=0,"NO",('Activity data'!AN17*EF!$H16)*kgtoGg)</f>
        <v>1.6139052959558671</v>
      </c>
      <c r="AO16" s="27">
        <f>IF(('Activity data'!AO17*EF!$H16)*kgtoGg=0,"NO",('Activity data'!AO17*EF!$H16)*kgtoGg)</f>
        <v>1.5979776175047269</v>
      </c>
      <c r="AP16" s="27">
        <f>IF(('Activity data'!AP17*EF!$H16)*kgtoGg=0,"NO",('Activity data'!AP17*EF!$H16)*kgtoGg)</f>
        <v>1.5839693089985563</v>
      </c>
      <c r="AQ16" s="27">
        <f>IF(('Activity data'!AQ17*EF!$H16)*kgtoGg=0,"NO",('Activity data'!AQ17*EF!$H16)*kgtoGg)</f>
        <v>1.5796400354975273</v>
      </c>
      <c r="AR16" s="27">
        <f>IF(('Activity data'!AR17*EF!$H16)*kgtoGg=0,"NO",('Activity data'!AR17*EF!$H16)*kgtoGg)</f>
        <v>1.5846136319816619</v>
      </c>
      <c r="AS16" s="27">
        <f>IF(('Activity data'!AS17*EF!$H16)*kgtoGg=0,"NO",('Activity data'!AS17*EF!$H16)*kgtoGg)</f>
        <v>1.5938774465709915</v>
      </c>
      <c r="AT16" s="27">
        <f>IF(('Activity data'!AT17*EF!$H16)*kgtoGg=0,"NO",('Activity data'!AT17*EF!$H16)*kgtoGg)</f>
        <v>1.6084883569821753</v>
      </c>
      <c r="AU16" s="27">
        <f>IF(('Activity data'!AU17*EF!$H16)*kgtoGg=0,"NO",('Activity data'!AU17*EF!$H16)*kgtoGg)</f>
        <v>1.6319593485428836</v>
      </c>
      <c r="AV16" s="27">
        <f>IF(('Activity data'!AV17*EF!$H16)*kgtoGg=0,"NO",('Activity data'!AV17*EF!$H16)*kgtoGg)</f>
        <v>1.6634709540368702</v>
      </c>
      <c r="AW16" s="27">
        <f>IF(('Activity data'!AW17*EF!$H16)*kgtoGg=0,"NO",('Activity data'!AW17*EF!$H16)*kgtoGg)</f>
        <v>1.6993359016898217</v>
      </c>
      <c r="AX16" s="27">
        <f>IF(('Activity data'!AX17*EF!$H16)*kgtoGg=0,"NO",('Activity data'!AX17*EF!$H16)*kgtoGg)</f>
        <v>1.7391981590716521</v>
      </c>
      <c r="AY16" s="27">
        <f>IF(('Activity data'!AY17*EF!$H16)*kgtoGg=0,"NO",('Activity data'!AY17*EF!$H16)*kgtoGg)</f>
        <v>1.7810637998476497</v>
      </c>
      <c r="AZ16" s="27">
        <f>IF(('Activity data'!AZ17*EF!$H16)*kgtoGg=0,"NO",('Activity data'!AZ17*EF!$H16)*kgtoGg)</f>
        <v>1.8256518272462501</v>
      </c>
      <c r="BA16" s="27">
        <f>IF(('Activity data'!BA17*EF!$H16)*kgtoGg=0,"NO",('Activity data'!BA17*EF!$H16)*kgtoGg)</f>
        <v>1.8720011956576361</v>
      </c>
      <c r="BB16" s="27">
        <f>IF(('Activity data'!BB17*EF!$H16)*kgtoGg=0,"NO",('Activity data'!BB17*EF!$H16)*kgtoGg)</f>
        <v>1.9169799867438404</v>
      </c>
      <c r="BC16" s="27">
        <f>IF(('Activity data'!BC17*EF!$H16)*kgtoGg=0,"NO",('Activity data'!BC17*EF!$H16)*kgtoGg)</f>
        <v>1.9649335737465348</v>
      </c>
      <c r="BD16" s="27">
        <f>IF(('Activity data'!BD17*EF!$H16)*kgtoGg=0,"NO",('Activity data'!BD17*EF!$H16)*kgtoGg)</f>
        <v>2.0129828074709066</v>
      </c>
      <c r="BE16" s="27">
        <f>IF(('Activity data'!BE17*EF!$H16)*kgtoGg=0,"NO",('Activity data'!BE17*EF!$H16)*kgtoGg)</f>
        <v>2.0608754146421031</v>
      </c>
      <c r="BF16" s="27">
        <f>IF(('Activity data'!BF17*EF!$H16)*kgtoGg=0,"NO",('Activity data'!BF17*EF!$H16)*kgtoGg)</f>
        <v>2.1098506270361996</v>
      </c>
      <c r="BG16" s="27">
        <f>IF(('Activity data'!BG17*EF!$H16)*kgtoGg=0,"NO",('Activity data'!BG17*EF!$H16)*kgtoGg)</f>
        <v>2.1567413105664199</v>
      </c>
      <c r="BH16" s="27">
        <f>IF(('Activity data'!BH17*EF!$H16)*kgtoGg=0,"NO",('Activity data'!BH17*EF!$H16)*kgtoGg)</f>
        <v>2.2058096743065145</v>
      </c>
      <c r="BI16" s="27">
        <f>IF(('Activity data'!BI17*EF!$H16)*kgtoGg=0,"NO",('Activity data'!BI17*EF!$H16)*kgtoGg)</f>
        <v>2.258470217432818</v>
      </c>
      <c r="BJ16" s="27">
        <f>IF(('Activity data'!BJ17*EF!$H16)*kgtoGg=0,"NO",('Activity data'!BJ17*EF!$H16)*kgtoGg)</f>
        <v>2.3120510725576544</v>
      </c>
      <c r="BK16" s="27">
        <f>IF(('Activity data'!BK17*EF!$H16)*kgtoGg=0,"NO",('Activity data'!BK17*EF!$H16)*kgtoGg)</f>
        <v>2.3666507440832505</v>
      </c>
      <c r="BL16" s="27">
        <f>IF(('Activity data'!BL17*EF!$H16)*kgtoGg=0,"NO",('Activity data'!BL17*EF!$H16)*kgtoGg)</f>
        <v>2.4249672048017872</v>
      </c>
      <c r="BM16" s="27">
        <f>IF(('Activity data'!BM17*EF!$H16)*kgtoGg=0,"NO",('Activity data'!BM17*EF!$H16)*kgtoGg)</f>
        <v>2.4859852344978988</v>
      </c>
      <c r="BN16" s="27">
        <f>IF(('Activity data'!BN17*EF!$H16)*kgtoGg=0,"NO",('Activity data'!BN17*EF!$H16)*kgtoGg)</f>
        <v>2.5490093093778539</v>
      </c>
      <c r="BO16" s="27">
        <f>IF(('Activity data'!BO17*EF!$H16)*kgtoGg=0,"NO",('Activity data'!BO17*EF!$H16)*kgtoGg)</f>
        <v>2.6156743076501083</v>
      </c>
      <c r="BP16" s="27">
        <f>IF(('Activity data'!BP17*EF!$H16)*kgtoGg=0,"NO",('Activity data'!BP17*EF!$H16)*kgtoGg)</f>
        <v>2.6760181986485878</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0.25358132281546891</v>
      </c>
      <c r="AF17" s="27">
        <f>IF(('Activity data'!AF18*EF!$H17)*kgtoGg=0,"NO",('Activity data'!AF18*EF!$H17)*kgtoGg)</f>
        <v>0.25369507454499329</v>
      </c>
      <c r="AG17" s="27">
        <f>IF(('Activity data'!AG18*EF!$H17)*kgtoGg=0,"NO",('Activity data'!AG18*EF!$H17)*kgtoGg)</f>
        <v>0.25136595935447836</v>
      </c>
      <c r="AH17" s="27">
        <f>IF(('Activity data'!AH18*EF!$H17)*kgtoGg=0,"NO",('Activity data'!AH18*EF!$H17)*kgtoGg)</f>
        <v>0.24756197704412694</v>
      </c>
      <c r="AI17" s="27">
        <f>IF(('Activity data'!AI18*EF!$H17)*kgtoGg=0,"NO",('Activity data'!AI18*EF!$H17)*kgtoGg)</f>
        <v>0.24234393830437845</v>
      </c>
      <c r="AJ17" s="27">
        <f>IF(('Activity data'!AJ18*EF!$H17)*kgtoGg=0,"NO",('Activity data'!AJ18*EF!$H17)*kgtoGg)</f>
        <v>0.23855506351363698</v>
      </c>
      <c r="AK17" s="27">
        <f>IF(('Activity data'!AK18*EF!$H17)*kgtoGg=0,"NO",('Activity data'!AK18*EF!$H17)*kgtoGg)</f>
        <v>0.2351014533295149</v>
      </c>
      <c r="AL17" s="27">
        <f>IF(('Activity data'!AL18*EF!$H17)*kgtoGg=0,"NO",('Activity data'!AL18*EF!$H17)*kgtoGg)</f>
        <v>0.21119628437309981</v>
      </c>
      <c r="AM17" s="27">
        <f>IF(('Activity data'!AM18*EF!$H17)*kgtoGg=0,"NO",('Activity data'!AM18*EF!$H17)*kgtoGg)</f>
        <v>0.22073999054712201</v>
      </c>
      <c r="AN17" s="27">
        <f>IF(('Activity data'!AN18*EF!$H17)*kgtoGg=0,"NO",('Activity data'!AN18*EF!$H17)*kgtoGg)</f>
        <v>0.22362533987194619</v>
      </c>
      <c r="AO17" s="27">
        <f>IF(('Activity data'!AO18*EF!$H17)*kgtoGg=0,"NO",('Activity data'!AO18*EF!$H17)*kgtoGg)</f>
        <v>0.22141837486852711</v>
      </c>
      <c r="AP17" s="27">
        <f>IF(('Activity data'!AP18*EF!$H17)*kgtoGg=0,"NO",('Activity data'!AP18*EF!$H17)*kgtoGg)</f>
        <v>0.21947736088302675</v>
      </c>
      <c r="AQ17" s="27">
        <f>IF(('Activity data'!AQ18*EF!$H17)*kgtoGg=0,"NO",('Activity data'!AQ18*EF!$H17)*kgtoGg)</f>
        <v>0.2188774897130813</v>
      </c>
      <c r="AR17" s="27">
        <f>IF(('Activity data'!AR18*EF!$H17)*kgtoGg=0,"NO",('Activity data'!AR18*EF!$H17)*kgtoGg)</f>
        <v>0.21956663932237841</v>
      </c>
      <c r="AS17" s="27">
        <f>IF(('Activity data'!AS18*EF!$H17)*kgtoGg=0,"NO",('Activity data'!AS18*EF!$H17)*kgtoGg)</f>
        <v>0.22085024852252202</v>
      </c>
      <c r="AT17" s="27">
        <f>IF(('Activity data'!AT18*EF!$H17)*kgtoGg=0,"NO",('Activity data'!AT18*EF!$H17)*kgtoGg)</f>
        <v>0.22287476000701054</v>
      </c>
      <c r="AU17" s="27">
        <f>IF(('Activity data'!AU18*EF!$H17)*kgtoGg=0,"NO",('Activity data'!AU18*EF!$H17)*kgtoGg)</f>
        <v>0.22612693873028961</v>
      </c>
      <c r="AV17" s="27">
        <f>IF(('Activity data'!AV18*EF!$H17)*kgtoGg=0,"NO",('Activity data'!AV18*EF!$H17)*kgtoGg)</f>
        <v>0.23049323798351176</v>
      </c>
      <c r="AW17" s="27">
        <f>IF(('Activity data'!AW18*EF!$H17)*kgtoGg=0,"NO",('Activity data'!AW18*EF!$H17)*kgtoGg)</f>
        <v>0.23546274339902665</v>
      </c>
      <c r="AX17" s="27">
        <f>IF(('Activity data'!AX18*EF!$H17)*kgtoGg=0,"NO",('Activity data'!AX18*EF!$H17)*kgtoGg)</f>
        <v>0.24098612254488616</v>
      </c>
      <c r="AY17" s="27">
        <f>IF(('Activity data'!AY18*EF!$H17)*kgtoGg=0,"NO",('Activity data'!AY18*EF!$H17)*kgtoGg)</f>
        <v>0.24678709374867933</v>
      </c>
      <c r="AZ17" s="27">
        <f>IF(('Activity data'!AZ18*EF!$H17)*kgtoGg=0,"NO",('Activity data'!AZ18*EF!$H17)*kgtoGg)</f>
        <v>0.25296528326588152</v>
      </c>
      <c r="BA17" s="27">
        <f>IF(('Activity data'!BA18*EF!$H17)*kgtoGg=0,"NO",('Activity data'!BA18*EF!$H17)*kgtoGg)</f>
        <v>0.25938752705541407</v>
      </c>
      <c r="BB17" s="27">
        <f>IF(('Activity data'!BB18*EF!$H17)*kgtoGg=0,"NO",('Activity data'!BB18*EF!$H17)*kgtoGg)</f>
        <v>0.26561986142403288</v>
      </c>
      <c r="BC17" s="27">
        <f>IF(('Activity data'!BC18*EF!$H17)*kgtoGg=0,"NO",('Activity data'!BC18*EF!$H17)*kgtoGg)</f>
        <v>0.27226438834790373</v>
      </c>
      <c r="BD17" s="27">
        <f>IF(('Activity data'!BD18*EF!$H17)*kgtoGg=0,"NO",('Activity data'!BD18*EF!$H17)*kgtoGg)</f>
        <v>0.27892216823692451</v>
      </c>
      <c r="BE17" s="27">
        <f>IF(('Activity data'!BE18*EF!$H17)*kgtoGg=0,"NO",('Activity data'!BE18*EF!$H17)*kgtoGg)</f>
        <v>0.28555824569627086</v>
      </c>
      <c r="BF17" s="27">
        <f>IF(('Activity data'!BF18*EF!$H17)*kgtoGg=0,"NO",('Activity data'!BF18*EF!$H17)*kgtoGg)</f>
        <v>0.29234433069417909</v>
      </c>
      <c r="BG17" s="27">
        <f>IF(('Activity data'!BG18*EF!$H17)*kgtoGg=0,"NO",('Activity data'!BG18*EF!$H17)*kgtoGg)</f>
        <v>0.298841579986036</v>
      </c>
      <c r="BH17" s="27">
        <f>IF(('Activity data'!BH18*EF!$H17)*kgtoGg=0,"NO",('Activity data'!BH18*EF!$H17)*kgtoGg)</f>
        <v>0.30564057218578583</v>
      </c>
      <c r="BI17" s="27">
        <f>IF(('Activity data'!BI18*EF!$H17)*kgtoGg=0,"NO",('Activity data'!BI18*EF!$H17)*kgtoGg)</f>
        <v>0.3129373025973966</v>
      </c>
      <c r="BJ17" s="27">
        <f>IF(('Activity data'!BJ18*EF!$H17)*kgtoGg=0,"NO",('Activity data'!BJ18*EF!$H17)*kgtoGg)</f>
        <v>0.32036155293472796</v>
      </c>
      <c r="BK17" s="27">
        <f>IF(('Activity data'!BK18*EF!$H17)*kgtoGg=0,"NO",('Activity data'!BK18*EF!$H17)*kgtoGg)</f>
        <v>0.32792697212778937</v>
      </c>
      <c r="BL17" s="27">
        <f>IF(('Activity data'!BL18*EF!$H17)*kgtoGg=0,"NO",('Activity data'!BL18*EF!$H17)*kgtoGg)</f>
        <v>0.33600739566998233</v>
      </c>
      <c r="BM17" s="27">
        <f>IF(('Activity data'!BM18*EF!$H17)*kgtoGg=0,"NO",('Activity data'!BM18*EF!$H17)*kgtoGg)</f>
        <v>0.34446215299886757</v>
      </c>
      <c r="BN17" s="27">
        <f>IF(('Activity data'!BN18*EF!$H17)*kgtoGg=0,"NO",('Activity data'!BN18*EF!$H17)*kgtoGg)</f>
        <v>0.35319487120758841</v>
      </c>
      <c r="BO17" s="27">
        <f>IF(('Activity data'!BO18*EF!$H17)*kgtoGg=0,"NO",('Activity data'!BO18*EF!$H17)*kgtoGg)</f>
        <v>0.3624320816768471</v>
      </c>
      <c r="BP17" s="27">
        <f>IF(('Activity data'!BP18*EF!$H17)*kgtoGg=0,"NO",('Activity data'!BP18*EF!$H17)*kgtoGg)</f>
        <v>0.37079342925253511</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7.3924283487896005</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7.5825135825669054</v>
      </c>
      <c r="AL18" s="27">
        <f>IF(('Activity data'!AL5*EF!$H18)*kgtoGg=0,"NO",('Activity data'!AL5*EF!$H18)*kgtoGg)</f>
        <v>7.3635054789242087</v>
      </c>
      <c r="AM18" s="27">
        <f>IF(('Activity data'!AM5*EF!$H18)*kgtoGg=0,"NO",('Activity data'!AM5*EF!$H18)*kgtoGg)</f>
        <v>7.5119983216779529</v>
      </c>
      <c r="AN18" s="27">
        <f>IF(('Activity data'!AN5*EF!$H18)*kgtoGg=0,"NO",('Activity data'!AN5*EF!$H18)*kgtoGg)</f>
        <v>7.5857115422581893</v>
      </c>
      <c r="AO18" s="27">
        <f>IF(('Activity data'!AO5*EF!$H18)*kgtoGg=0,"NO",('Activity data'!AO5*EF!$H18)*kgtoGg)</f>
        <v>7.6049624433961522</v>
      </c>
      <c r="AP18" s="27">
        <f>IF(('Activity data'!AP5*EF!$H18)*kgtoGg=0,"NO",('Activity data'!AP5*EF!$H18)*kgtoGg)</f>
        <v>7.6323349638068887</v>
      </c>
      <c r="AQ18" s="27">
        <f>IF(('Activity data'!AQ5*EF!$H18)*kgtoGg=0,"NO",('Activity data'!AQ5*EF!$H18)*kgtoGg)</f>
        <v>7.6782662594179314</v>
      </c>
      <c r="AR18" s="27">
        <f>IF(('Activity data'!AR5*EF!$H18)*kgtoGg=0,"NO",('Activity data'!AR5*EF!$H18)*kgtoGg)</f>
        <v>7.7389431173667962</v>
      </c>
      <c r="AS18" s="27">
        <f>IF(('Activity data'!AS5*EF!$H18)*kgtoGg=0,"NO",('Activity data'!AS5*EF!$H18)*kgtoGg)</f>
        <v>7.8068776236096697</v>
      </c>
      <c r="AT18" s="27">
        <f>IF(('Activity data'!AT5*EF!$H18)*kgtoGg=0,"NO",('Activity data'!AT5*EF!$H18)*kgtoGg)</f>
        <v>7.88420933428013</v>
      </c>
      <c r="AU18" s="27">
        <f>IF(('Activity data'!AU5*EF!$H18)*kgtoGg=0,"NO",('Activity data'!AU5*EF!$H18)*kgtoGg)</f>
        <v>7.9775686845364202</v>
      </c>
      <c r="AV18" s="27">
        <f>IF(('Activity data'!AV5*EF!$H18)*kgtoGg=0,"NO",('Activity data'!AV5*EF!$H18)*kgtoGg)</f>
        <v>8.0864133355409642</v>
      </c>
      <c r="AW18" s="27">
        <f>IF(('Activity data'!AW5*EF!$H18)*kgtoGg=0,"NO",('Activity data'!AW5*EF!$H18)*kgtoGg)</f>
        <v>8.2048813891102359</v>
      </c>
      <c r="AX18" s="27">
        <f>IF(('Activity data'!AX5*EF!$H18)*kgtoGg=0,"NO",('Activity data'!AX5*EF!$H18)*kgtoGg)</f>
        <v>8.3328657755649527</v>
      </c>
      <c r="AY18" s="27">
        <f>IF(('Activity data'!AY5*EF!$H18)*kgtoGg=0,"NO",('Activity data'!AY5*EF!$H18)*kgtoGg)</f>
        <v>8.4671187588996872</v>
      </c>
      <c r="AZ18" s="27">
        <f>IF(('Activity data'!AZ5*EF!$H18)*kgtoGg=0,"NO",('Activity data'!AZ5*EF!$H18)*kgtoGg)</f>
        <v>8.6091419335499069</v>
      </c>
      <c r="BA18" s="27">
        <f>IF(('Activity data'!BA5*EF!$H18)*kgtoGg=0,"NO",('Activity data'!BA5*EF!$H18)*kgtoGg)</f>
        <v>8.7574749892645496</v>
      </c>
      <c r="BB18" s="27">
        <f>IF(('Activity data'!BB5*EF!$H18)*kgtoGg=0,"NO",('Activity data'!BB5*EF!$H18)*kgtoGg)</f>
        <v>8.9064020314048324</v>
      </c>
      <c r="BC18" s="27">
        <f>IF(('Activity data'!BC5*EF!$H18)*kgtoGg=0,"NO",('Activity data'!BC5*EF!$H18)*kgtoGg)</f>
        <v>9.0642998358305835</v>
      </c>
      <c r="BD18" s="27">
        <f>IF(('Activity data'!BD5*EF!$H18)*kgtoGg=0,"NO",('Activity data'!BD5*EF!$H18)*kgtoGg)</f>
        <v>9.2256487767776196</v>
      </c>
      <c r="BE18" s="27">
        <f>IF(('Activity data'!BE5*EF!$H18)*kgtoGg=0,"NO",('Activity data'!BE5*EF!$H18)*kgtoGg)</f>
        <v>9.3900384918162416</v>
      </c>
      <c r="BF18" s="27">
        <f>IF(('Activity data'!BF5*EF!$H18)*kgtoGg=0,"NO",('Activity data'!BF5*EF!$H18)*kgtoGg)</f>
        <v>9.5601174973828691</v>
      </c>
      <c r="BG18" s="27">
        <f>IF(('Activity data'!BG5*EF!$H18)*kgtoGg=0,"NO",('Activity data'!BG5*EF!$H18)*kgtoGg)</f>
        <v>9.7295365069027504</v>
      </c>
      <c r="BH18" s="27">
        <f>IF(('Activity data'!BH5*EF!$H18)*kgtoGg=0,"NO",('Activity data'!BH5*EF!$H18)*kgtoGg)</f>
        <v>9.9070935852539623</v>
      </c>
      <c r="BI18" s="27">
        <f>IF(('Activity data'!BI5*EF!$H18)*kgtoGg=0,"NO",('Activity data'!BI5*EF!$H18)*kgtoGg)</f>
        <v>10.096066907799957</v>
      </c>
      <c r="BJ18" s="27">
        <f>IF(('Activity data'!BJ5*EF!$H18)*kgtoGg=0,"NO",('Activity data'!BJ5*EF!$H18)*kgtoGg)</f>
        <v>10.291098999348057</v>
      </c>
      <c r="BK18" s="27">
        <f>IF(('Activity data'!BK5*EF!$H18)*kgtoGg=0,"NO",('Activity data'!BK5*EF!$H18)*kgtoGg)</f>
        <v>10.492542704095264</v>
      </c>
      <c r="BL18" s="27">
        <f>IF(('Activity data'!BL5*EF!$H18)*kgtoGg=0,"NO",('Activity data'!BL5*EF!$H18)*kgtoGg)</f>
        <v>10.706596925892969</v>
      </c>
      <c r="BM18" s="27">
        <f>IF(('Activity data'!BM5*EF!$H18)*kgtoGg=0,"NO",('Activity data'!BM5*EF!$H18)*kgtoGg)</f>
        <v>10.931461457010631</v>
      </c>
      <c r="BN18" s="27">
        <f>IF(('Activity data'!BN5*EF!$H18)*kgtoGg=0,"NO",('Activity data'!BN5*EF!$H18)*kgtoGg)</f>
        <v>11.165976151570428</v>
      </c>
      <c r="BO18" s="27">
        <f>IF(('Activity data'!BO5*EF!$H18)*kgtoGg=0,"NO",('Activity data'!BO5*EF!$H18)*kgtoGg)</f>
        <v>11.414366787540366</v>
      </c>
      <c r="BP18" s="27">
        <f>IF(('Activity data'!BP5*EF!$H18)*kgtoGg=0,"NO",('Activity data'!BP5*EF!$H18)*kgtoGg)</f>
        <v>11.653364369886001</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2.1061581299686476</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2.1603148348588097</v>
      </c>
      <c r="AL19" s="27">
        <f>IF(('Activity data'!AL6*EF!$H19)*kgtoGg=0,"NO",('Activity data'!AL6*EF!$H19)*kgtoGg)</f>
        <v>2.0979177880086217</v>
      </c>
      <c r="AM19" s="27">
        <f>IF(('Activity data'!AM6*EF!$H19)*kgtoGg=0,"NO",('Activity data'!AM6*EF!$H19)*kgtoGg)</f>
        <v>2.1402245095961443</v>
      </c>
      <c r="AN19" s="27">
        <f>IF(('Activity data'!AN6*EF!$H19)*kgtoGg=0,"NO",('Activity data'!AN6*EF!$H19)*kgtoGg)</f>
        <v>2.1612259574947443</v>
      </c>
      <c r="AO19" s="27">
        <f>IF(('Activity data'!AO6*EF!$H19)*kgtoGg=0,"NO",('Activity data'!AO6*EF!$H19)*kgtoGg)</f>
        <v>2.1667106832205718</v>
      </c>
      <c r="AP19" s="27">
        <f>IF(('Activity data'!AP6*EF!$H19)*kgtoGg=0,"NO",('Activity data'!AP6*EF!$H19)*kgtoGg)</f>
        <v>2.1745093190247649</v>
      </c>
      <c r="AQ19" s="27">
        <f>IF(('Activity data'!AQ6*EF!$H19)*kgtoGg=0,"NO",('Activity data'!AQ6*EF!$H19)*kgtoGg)</f>
        <v>2.1875954886982294</v>
      </c>
      <c r="AR19" s="27">
        <f>IF(('Activity data'!AR6*EF!$H19)*kgtoGg=0,"NO",('Activity data'!AR6*EF!$H19)*kgtoGg)</f>
        <v>2.2048827793746253</v>
      </c>
      <c r="AS19" s="27">
        <f>IF(('Activity data'!AS6*EF!$H19)*kgtoGg=0,"NO",('Activity data'!AS6*EF!$H19)*kgtoGg)</f>
        <v>2.224237828335264</v>
      </c>
      <c r="AT19" s="27">
        <f>IF(('Activity data'!AT6*EF!$H19)*kgtoGg=0,"NO",('Activity data'!AT6*EF!$H19)*kgtoGg)</f>
        <v>2.2462702111259123</v>
      </c>
      <c r="AU19" s="27">
        <f>IF(('Activity data'!AU6*EF!$H19)*kgtoGg=0,"NO",('Activity data'!AU6*EF!$H19)*kgtoGg)</f>
        <v>2.2728689883170463</v>
      </c>
      <c r="AV19" s="27">
        <f>IF(('Activity data'!AV6*EF!$H19)*kgtoGg=0,"NO",('Activity data'!AV6*EF!$H19)*kgtoGg)</f>
        <v>2.3038796435172904</v>
      </c>
      <c r="AW19" s="27">
        <f>IF(('Activity data'!AW6*EF!$H19)*kgtoGg=0,"NO",('Activity data'!AW6*EF!$H19)*kgtoGg)</f>
        <v>2.3376320780887165</v>
      </c>
      <c r="AX19" s="27">
        <f>IF(('Activity data'!AX6*EF!$H19)*kgtoGg=0,"NO",('Activity data'!AX6*EF!$H19)*kgtoGg)</f>
        <v>2.3740957870788466</v>
      </c>
      <c r="AY19" s="27">
        <f>IF(('Activity data'!AY6*EF!$H19)*kgtoGg=0,"NO",('Activity data'!AY6*EF!$H19)*kgtoGg)</f>
        <v>2.4123454662075314</v>
      </c>
      <c r="AZ19" s="27">
        <f>IF(('Activity data'!AZ6*EF!$H19)*kgtoGg=0,"NO",('Activity data'!AZ6*EF!$H19)*kgtoGg)</f>
        <v>2.4528089309609635</v>
      </c>
      <c r="BA19" s="27">
        <f>IF(('Activity data'!BA6*EF!$H19)*kgtoGg=0,"NO",('Activity data'!BA6*EF!$H19)*kgtoGg)</f>
        <v>2.495070128025882</v>
      </c>
      <c r="BB19" s="27">
        <f>IF(('Activity data'!BB6*EF!$H19)*kgtoGg=0,"NO",('Activity data'!BB6*EF!$H19)*kgtoGg)</f>
        <v>2.537500556266326</v>
      </c>
      <c r="BC19" s="27">
        <f>IF(('Activity data'!BC6*EF!$H19)*kgtoGg=0,"NO",('Activity data'!BC6*EF!$H19)*kgtoGg)</f>
        <v>2.5824868217808161</v>
      </c>
      <c r="BD19" s="27">
        <f>IF(('Activity data'!BD6*EF!$H19)*kgtoGg=0,"NO",('Activity data'!BD6*EF!$H19)*kgtoGg)</f>
        <v>2.6284563419038043</v>
      </c>
      <c r="BE19" s="27">
        <f>IF(('Activity data'!BE6*EF!$H19)*kgtoGg=0,"NO",('Activity data'!BE6*EF!$H19)*kgtoGg)</f>
        <v>2.6752922013096669</v>
      </c>
      <c r="BF19" s="27">
        <f>IF(('Activity data'!BF6*EF!$H19)*kgtoGg=0,"NO",('Activity data'!BF6*EF!$H19)*kgtoGg)</f>
        <v>2.7237489821413385</v>
      </c>
      <c r="BG19" s="27">
        <f>IF(('Activity data'!BG6*EF!$H19)*kgtoGg=0,"NO",('Activity data'!BG6*EF!$H19)*kgtoGg)</f>
        <v>2.772017725162697</v>
      </c>
      <c r="BH19" s="27">
        <f>IF(('Activity data'!BH6*EF!$H19)*kgtoGg=0,"NO",('Activity data'!BH6*EF!$H19)*kgtoGg)</f>
        <v>2.8226050648646934</v>
      </c>
      <c r="BI19" s="27">
        <f>IF(('Activity data'!BI6*EF!$H19)*kgtoGg=0,"NO",('Activity data'!BI6*EF!$H19)*kgtoGg)</f>
        <v>2.8764449779282546</v>
      </c>
      <c r="BJ19" s="27">
        <f>IF(('Activity data'!BJ6*EF!$H19)*kgtoGg=0,"NO",('Activity data'!BJ6*EF!$H19)*kgtoGg)</f>
        <v>2.9320110795984959</v>
      </c>
      <c r="BK19" s="27">
        <f>IF(('Activity data'!BK6*EF!$H19)*kgtoGg=0,"NO",('Activity data'!BK6*EF!$H19)*kgtoGg)</f>
        <v>2.989403897826326</v>
      </c>
      <c r="BL19" s="27">
        <f>IF(('Activity data'!BL6*EF!$H19)*kgtoGg=0,"NO",('Activity data'!BL6*EF!$H19)*kgtoGg)</f>
        <v>3.0503895466851563</v>
      </c>
      <c r="BM19" s="27">
        <f>IF(('Activity data'!BM6*EF!$H19)*kgtoGg=0,"NO",('Activity data'!BM6*EF!$H19)*kgtoGg)</f>
        <v>3.1144551335274819</v>
      </c>
      <c r="BN19" s="27">
        <f>IF(('Activity data'!BN6*EF!$H19)*kgtoGg=0,"NO",('Activity data'!BN6*EF!$H19)*kgtoGg)</f>
        <v>3.1812701241151289</v>
      </c>
      <c r="BO19" s="27">
        <f>IF(('Activity data'!BO6*EF!$H19)*kgtoGg=0,"NO",('Activity data'!BO6*EF!$H19)*kgtoGg)</f>
        <v>3.2520384741988773</v>
      </c>
      <c r="BP19" s="27">
        <f>IF(('Activity data'!BP6*EF!$H19)*kgtoGg=0,"NO",('Activity data'!BP6*EF!$H19)*kgtoGg)</f>
        <v>3.3201306730475184</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0.43500213637199753</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0.44618756541973903</v>
      </c>
      <c r="AL20" s="27">
        <f>IF(('Activity data'!AL7*EF!$H20)*kgtoGg=0,"NO",('Activity data'!AL7*EF!$H20)*kgtoGg)</f>
        <v>0.4333001908694058</v>
      </c>
      <c r="AM20" s="27">
        <f>IF(('Activity data'!AM7*EF!$H20)*kgtoGg=0,"NO",('Activity data'!AM7*EF!$H20)*kgtoGg)</f>
        <v>0.44203814554223075</v>
      </c>
      <c r="AN20" s="27">
        <f>IF(('Activity data'!AN7*EF!$H20)*kgtoGg=0,"NO",('Activity data'!AN7*EF!$H20)*kgtoGg)</f>
        <v>0.44637574706075117</v>
      </c>
      <c r="AO20" s="27">
        <f>IF(('Activity data'!AO7*EF!$H20)*kgtoGg=0,"NO",('Activity data'!AO7*EF!$H20)*kgtoGg)</f>
        <v>0.44750855251073168</v>
      </c>
      <c r="AP20" s="27">
        <f>IF(('Activity data'!AP7*EF!$H20)*kgtoGg=0,"NO",('Activity data'!AP7*EF!$H20)*kgtoGg)</f>
        <v>0.44911926881324493</v>
      </c>
      <c r="AQ20" s="27">
        <f>IF(('Activity data'!AQ7*EF!$H20)*kgtoGg=0,"NO",('Activity data'!AQ7*EF!$H20)*kgtoGg)</f>
        <v>0.45182206291207566</v>
      </c>
      <c r="AR20" s="27">
        <f>IF(('Activity data'!AR7*EF!$H20)*kgtoGg=0,"NO",('Activity data'!AR7*EF!$H20)*kgtoGg)</f>
        <v>0.45539254903527465</v>
      </c>
      <c r="AS20" s="27">
        <f>IF(('Activity data'!AS7*EF!$H20)*kgtoGg=0,"NO",('Activity data'!AS7*EF!$H20)*kgtoGg)</f>
        <v>0.45939010625933163</v>
      </c>
      <c r="AT20" s="27">
        <f>IF(('Activity data'!AT7*EF!$H20)*kgtoGg=0,"NO",('Activity data'!AT7*EF!$H20)*kgtoGg)</f>
        <v>0.46394063522813239</v>
      </c>
      <c r="AU20" s="27">
        <f>IF(('Activity data'!AU7*EF!$H20)*kgtoGg=0,"NO",('Activity data'!AU7*EF!$H20)*kgtoGg)</f>
        <v>0.46943429913607365</v>
      </c>
      <c r="AV20" s="27">
        <f>IF(('Activity data'!AV7*EF!$H20)*kgtoGg=0,"NO",('Activity data'!AV7*EF!$H20)*kgtoGg)</f>
        <v>0.47583918444380807</v>
      </c>
      <c r="AW20" s="27">
        <f>IF(('Activity data'!AW7*EF!$H20)*kgtoGg=0,"NO",('Activity data'!AW7*EF!$H20)*kgtoGg)</f>
        <v>0.48281035196319333</v>
      </c>
      <c r="AX20" s="27">
        <f>IF(('Activity data'!AX7*EF!$H20)*kgtoGg=0,"NO",('Activity data'!AX7*EF!$H20)*kgtoGg)</f>
        <v>0.49034150125585807</v>
      </c>
      <c r="AY20" s="27">
        <f>IF(('Activity data'!AY7*EF!$H20)*kgtoGg=0,"NO",('Activity data'!AY7*EF!$H20)*kgtoGg)</f>
        <v>0.49824152162933733</v>
      </c>
      <c r="AZ20" s="27">
        <f>IF(('Activity data'!AZ7*EF!$H20)*kgtoGg=0,"NO",('Activity data'!AZ7*EF!$H20)*kgtoGg)</f>
        <v>0.50659877332962533</v>
      </c>
      <c r="BA20" s="27">
        <f>IF(('Activity data'!BA7*EF!$H20)*kgtoGg=0,"NO",('Activity data'!BA7*EF!$H20)*kgtoGg)</f>
        <v>0.51532732544890569</v>
      </c>
      <c r="BB20" s="27">
        <f>IF(('Activity data'!BB7*EF!$H20)*kgtoGg=0,"NO",('Activity data'!BB7*EF!$H20)*kgtoGg)</f>
        <v>0.52409083027275605</v>
      </c>
      <c r="BC20" s="27">
        <f>IF(('Activity data'!BC7*EF!$H20)*kgtoGg=0,"NO",('Activity data'!BC7*EF!$H20)*kgtoGg)</f>
        <v>0.53338221315980094</v>
      </c>
      <c r="BD20" s="27">
        <f>IF(('Activity data'!BD7*EF!$H20)*kgtoGg=0,"NO",('Activity data'!BD7*EF!$H20)*kgtoGg)</f>
        <v>0.54287667569656828</v>
      </c>
      <c r="BE20" s="27">
        <f>IF(('Activity data'!BE7*EF!$H20)*kgtoGg=0,"NO",('Activity data'!BE7*EF!$H20)*kgtoGg)</f>
        <v>0.55255007040063653</v>
      </c>
      <c r="BF20" s="27">
        <f>IF(('Activity data'!BF7*EF!$H20)*kgtoGg=0,"NO",('Activity data'!BF7*EF!$H20)*kgtoGg)</f>
        <v>0.56255824731933757</v>
      </c>
      <c r="BG20" s="27">
        <f>IF(('Activity data'!BG7*EF!$H20)*kgtoGg=0,"NO",('Activity data'!BG7*EF!$H20)*kgtoGg)</f>
        <v>0.57252758724472796</v>
      </c>
      <c r="BH20" s="27">
        <f>IF(('Activity data'!BH7*EF!$H20)*kgtoGg=0,"NO",('Activity data'!BH7*EF!$H20)*kgtoGg)</f>
        <v>0.58297580598510912</v>
      </c>
      <c r="BI20" s="27">
        <f>IF(('Activity data'!BI7*EF!$H20)*kgtoGg=0,"NO",('Activity data'!BI7*EF!$H20)*kgtoGg)</f>
        <v>0.59409580541510443</v>
      </c>
      <c r="BJ20" s="27">
        <f>IF(('Activity data'!BJ7*EF!$H20)*kgtoGg=0,"NO",('Activity data'!BJ7*EF!$H20)*kgtoGg)</f>
        <v>0.60557232875515321</v>
      </c>
      <c r="BK20" s="27">
        <f>IF(('Activity data'!BK7*EF!$H20)*kgtoGg=0,"NO",('Activity data'!BK7*EF!$H20)*kgtoGg)</f>
        <v>0.61742613886858821</v>
      </c>
      <c r="BL20" s="27">
        <f>IF(('Activity data'!BL7*EF!$H20)*kgtoGg=0,"NO",('Activity data'!BL7*EF!$H20)*kgtoGg)</f>
        <v>0.63002200580001311</v>
      </c>
      <c r="BM20" s="27">
        <f>IF(('Activity data'!BM7*EF!$H20)*kgtoGg=0,"NO",('Activity data'!BM7*EF!$H20)*kgtoGg)</f>
        <v>0.64325399761857238</v>
      </c>
      <c r="BN20" s="27">
        <f>IF(('Activity data'!BN7*EF!$H20)*kgtoGg=0,"NO",('Activity data'!BN7*EF!$H20)*kgtoGg)</f>
        <v>0.65705384637339226</v>
      </c>
      <c r="BO20" s="27">
        <f>IF(('Activity data'!BO7*EF!$H20)*kgtoGg=0,"NO",('Activity data'!BO7*EF!$H20)*kgtoGg)</f>
        <v>0.6716702149337197</v>
      </c>
      <c r="BP20" s="27">
        <f>IF(('Activity data'!BP7*EF!$H20)*kgtoGg=0,"NO",('Activity data'!BP7*EF!$H20)*kgtoGg)</f>
        <v>0.6857338560003412</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9.4871637196006511E-2</v>
      </c>
      <c r="AE21" s="27">
        <f>IF(('Activity data'!AE8*EF!$H21)*kgtoGg=0,"NO",('Activity data'!AE8*EF!$H21)*kgtoGg)</f>
        <v>9.404884578461549E-2</v>
      </c>
      <c r="AF21" s="27">
        <f>IF(('Activity data'!AF8*EF!$H21)*kgtoGg=0,"NO",('Activity data'!AF8*EF!$H21)*kgtoGg)</f>
        <v>9.3735634002294205E-2</v>
      </c>
      <c r="AG21" s="27">
        <f>IF(('Activity data'!AG8*EF!$H21)*kgtoGg=0,"NO",('Activity data'!AG8*EF!$H21)*kgtoGg)</f>
        <v>9.2483917307495084E-2</v>
      </c>
      <c r="AH21" s="27">
        <f>IF(('Activity data'!AH8*EF!$H21)*kgtoGg=0,"NO",('Activity data'!AH8*EF!$H21)*kgtoGg)</f>
        <v>9.0667019955957301E-2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7.5654493606876719E-2</v>
      </c>
      <c r="AM21" s="27">
        <f>IF(('Activity data'!AM8*EF!$H21)*kgtoGg=0,"NO",('Activity data'!AM8*EF!$H21)*kgtoGg)</f>
        <v>7.9271557778310117E-2</v>
      </c>
      <c r="AN21" s="27">
        <f>IF(('Activity data'!AN8*EF!$H21)*kgtoGg=0,"NO",('Activity data'!AN8*EF!$H21)*kgtoGg)</f>
        <v>8.0523786090551941E-2</v>
      </c>
      <c r="AO21" s="27">
        <f>IF(('Activity data'!AO8*EF!$H21)*kgtoGg=0,"NO",('Activity data'!AO8*EF!$H21)*kgtoGg)</f>
        <v>7.9979986949743884E-2</v>
      </c>
      <c r="AP21" s="27">
        <f>IF(('Activity data'!AP8*EF!$H21)*kgtoGg=0,"NO",('Activity data'!AP8*EF!$H21)*kgtoGg)</f>
        <v>7.953764463923213E-2</v>
      </c>
      <c r="AQ21" s="27">
        <f>IF(('Activity data'!AQ8*EF!$H21)*kgtoGg=0,"NO",('Activity data'!AQ8*EF!$H21)*kgtoGg)</f>
        <v>7.9566701648766641E-2</v>
      </c>
      <c r="AR21" s="27">
        <f>IF(('Activity data'!AR8*EF!$H21)*kgtoGg=0,"NO",('Activity data'!AR8*EF!$H21)*kgtoGg)</f>
        <v>8.0033923406415561E-2</v>
      </c>
      <c r="AS21" s="27">
        <f>IF(('Activity data'!AS8*EF!$H21)*kgtoGg=0,"NO",('Activity data'!AS8*EF!$H21)*kgtoGg)</f>
        <v>8.0696879014232822E-2</v>
      </c>
      <c r="AT21" s="27">
        <f>IF(('Activity data'!AT8*EF!$H21)*kgtoGg=0,"NO",('Activity data'!AT8*EF!$H21)*kgtoGg)</f>
        <v>8.1608968762296855E-2</v>
      </c>
      <c r="AU21" s="27">
        <f>IF(('Activity data'!AU8*EF!$H21)*kgtoGg=0,"NO",('Activity data'!AU8*EF!$H21)*kgtoGg)</f>
        <v>8.294500125938338E-2</v>
      </c>
      <c r="AV21" s="27">
        <f>IF(('Activity data'!AV8*EF!$H21)*kgtoGg=0,"NO",('Activity data'!AV8*EF!$H21)*kgtoGg)</f>
        <v>8.4667243855728658E-2</v>
      </c>
      <c r="AW21" s="27">
        <f>IF(('Activity data'!AW8*EF!$H21)*kgtoGg=0,"NO",('Activity data'!AW8*EF!$H21)*kgtoGg)</f>
        <v>8.5867982908629403E-2</v>
      </c>
      <c r="AX21" s="27">
        <f>IF(('Activity data'!AX8*EF!$H21)*kgtoGg=0,"NO",('Activity data'!AX8*EF!$H21)*kgtoGg)</f>
        <v>8.7210563420463058E-2</v>
      </c>
      <c r="AY21" s="27">
        <f>IF(('Activity data'!AY8*EF!$H21)*kgtoGg=0,"NO",('Activity data'!AY8*EF!$H21)*kgtoGg)</f>
        <v>8.8593806779096215E-2</v>
      </c>
      <c r="AZ21" s="27">
        <f>IF(('Activity data'!AZ8*EF!$H21)*kgtoGg=0,"NO",('Activity data'!AZ8*EF!$H21)*kgtoGg)</f>
        <v>9.0048440137839775E-2</v>
      </c>
      <c r="BA21" s="27">
        <f>IF(('Activity data'!BA8*EF!$H21)*kgtoGg=0,"NO",('Activity data'!BA8*EF!$H21)*kgtoGg)</f>
        <v>9.1524860898689164E-2</v>
      </c>
      <c r="BB21" s="27">
        <f>IF(('Activity data'!BB8*EF!$H21)*kgtoGg=0,"NO",('Activity data'!BB8*EF!$H21)*kgtoGg)</f>
        <v>9.2873095408058187E-2</v>
      </c>
      <c r="BC21" s="27">
        <f>IF(('Activity data'!BC8*EF!$H21)*kgtoGg=0,"NO",('Activity data'!BC8*EF!$H21)*kgtoGg)</f>
        <v>9.4295235372679823E-2</v>
      </c>
      <c r="BD21" s="27">
        <f>IF(('Activity data'!BD8*EF!$H21)*kgtoGg=0,"NO",('Activity data'!BD8*EF!$H21)*kgtoGg)</f>
        <v>9.5652981013283067E-2</v>
      </c>
      <c r="BE21" s="27">
        <f>IF(('Activity data'!BE8*EF!$H21)*kgtoGg=0,"NO",('Activity data'!BE8*EF!$H21)*kgtoGg)</f>
        <v>9.6933251950102856E-2</v>
      </c>
      <c r="BF21" s="27">
        <f>IF(('Activity data'!BF8*EF!$H21)*kgtoGg=0,"NO",('Activity data'!BF8*EF!$H21)*kgtoGg)</f>
        <v>9.8190775072259484E-2</v>
      </c>
      <c r="BG21" s="27">
        <f>IF(('Activity data'!BG8*EF!$H21)*kgtoGg=0,"NO",('Activity data'!BG8*EF!$H21)*kgtoGg)</f>
        <v>9.9787639127038461E-2</v>
      </c>
      <c r="BH21" s="27">
        <f>IF(('Activity data'!BH8*EF!$H21)*kgtoGg=0,"NO",('Activity data'!BH8*EF!$H21)*kgtoGg)</f>
        <v>0.1014392914748115</v>
      </c>
      <c r="BI21" s="27">
        <f>IF(('Activity data'!BI8*EF!$H21)*kgtoGg=0,"NO",('Activity data'!BI8*EF!$H21)*kgtoGg)</f>
        <v>0.10320575500989811</v>
      </c>
      <c r="BJ21" s="27">
        <f>IF(('Activity data'!BJ8*EF!$H21)*kgtoGg=0,"NO",('Activity data'!BJ8*EF!$H21)*kgtoGg)</f>
        <v>0.10496534581683413</v>
      </c>
      <c r="BK21" s="27">
        <f>IF(('Activity data'!BK8*EF!$H21)*kgtoGg=0,"NO",('Activity data'!BK8*EF!$H21)*kgtoGg)</f>
        <v>0.10672034773942209</v>
      </c>
      <c r="BL21" s="27">
        <f>IF(('Activity data'!BL8*EF!$H21)*kgtoGg=0,"NO",('Activity data'!BL8*EF!$H21)*kgtoGg)</f>
        <v>0.10858609964826429</v>
      </c>
      <c r="BM21" s="27">
        <f>IF(('Activity data'!BM8*EF!$H21)*kgtoGg=0,"NO",('Activity data'!BM8*EF!$H21)*kgtoGg)</f>
        <v>0.11051429251988212</v>
      </c>
      <c r="BN21" s="27">
        <f>IF(('Activity data'!BN8*EF!$H21)*kgtoGg=0,"NO",('Activity data'!BN8*EF!$H21)*kgtoGg)</f>
        <v>0.11247140287446589</v>
      </c>
      <c r="BO21" s="27">
        <f>IF(('Activity data'!BO8*EF!$H21)*kgtoGg=0,"NO",('Activity data'!BO8*EF!$H21)*kgtoGg)</f>
        <v>0.11452403240118444</v>
      </c>
      <c r="BP21" s="27">
        <f>IF(('Activity data'!BP8*EF!$H21)*kgtoGg=0,"NO",('Activity data'!BP8*EF!$H21)*kgtoGg)</f>
        <v>0.1162449069229001</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6.9689449734106276E-2</v>
      </c>
      <c r="AE22" s="27">
        <f>IF(('Activity data'!AE9*EF!$H22)*kgtoGg=0,"NO",('Activity data'!AE9*EF!$H22)*kgtoGg)</f>
        <v>6.9085055392440989E-2</v>
      </c>
      <c r="AF22" s="27">
        <f>IF(('Activity data'!AF9*EF!$H22)*kgtoGg=0,"NO",('Activity data'!AF9*EF!$H22)*kgtoGg)</f>
        <v>6.8854980763127779E-2</v>
      </c>
      <c r="AG22" s="27">
        <f>IF(('Activity data'!AG9*EF!$H22)*kgtoGg=0,"NO",('Activity data'!AG9*EF!$H22)*kgtoGg)</f>
        <v>6.7935512624264269E-2</v>
      </c>
      <c r="AH22" s="27">
        <f>IF(('Activity data'!AH9*EF!$H22)*kgtoGg=0,"NO",('Activity data'!AH9*EF!$H22)*kgtoGg)</f>
        <v>6.6600882165738229E-2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5.5573195374324494E-2</v>
      </c>
      <c r="AM22" s="27">
        <f>IF(('Activity data'!AM9*EF!$H22)*kgtoGg=0,"NO",('Activity data'!AM9*EF!$H22)*kgtoGg)</f>
        <v>5.8230166616839892E-2</v>
      </c>
      <c r="AN22" s="27">
        <f>IF(('Activity data'!AN9*EF!$H22)*kgtoGg=0,"NO",('Activity data'!AN9*EF!$H22)*kgtoGg)</f>
        <v>5.9150010572323733E-2</v>
      </c>
      <c r="AO22" s="27">
        <f>IF(('Activity data'!AO9*EF!$H22)*kgtoGg=0,"NO",('Activity data'!AO9*EF!$H22)*kgtoGg)</f>
        <v>5.8750554380685591E-2</v>
      </c>
      <c r="AP22" s="27">
        <f>IF(('Activity data'!AP9*EF!$H22)*kgtoGg=0,"NO",('Activity data'!AP9*EF!$H22)*kgtoGg)</f>
        <v>5.8425624895701689E-2</v>
      </c>
      <c r="AQ22" s="27">
        <f>IF(('Activity data'!AQ9*EF!$H22)*kgtoGg=0,"NO",('Activity data'!AQ9*EF!$H22)*kgtoGg)</f>
        <v>5.8446969177989083E-2</v>
      </c>
      <c r="AR22" s="27">
        <f>IF(('Activity data'!AR9*EF!$H22)*kgtoGg=0,"NO",('Activity data'!AR9*EF!$H22)*kgtoGg)</f>
        <v>5.8790174251251236E-2</v>
      </c>
      <c r="AS22" s="27">
        <f>IF(('Activity data'!AS9*EF!$H22)*kgtoGg=0,"NO",('Activity data'!AS9*EF!$H22)*kgtoGg)</f>
        <v>5.9277158695416256E-2</v>
      </c>
      <c r="AT22" s="27">
        <f>IF(('Activity data'!AT9*EF!$H22)*kgtoGg=0,"NO",('Activity data'!AT9*EF!$H22)*kgtoGg)</f>
        <v>5.9947148531465801E-2</v>
      </c>
      <c r="AU22" s="27">
        <f>IF(('Activity data'!AU9*EF!$H22)*kgtoGg=0,"NO",('Activity data'!AU9*EF!$H22)*kgtoGg)</f>
        <v>6.0928552165899576E-2</v>
      </c>
      <c r="AV22" s="27">
        <f>IF(('Activity data'!AV9*EF!$H22)*kgtoGg=0,"NO",('Activity data'!AV9*EF!$H22)*kgtoGg)</f>
        <v>6.2193652488770283E-2</v>
      </c>
      <c r="AW22" s="27">
        <f>IF(('Activity data'!AW9*EF!$H22)*kgtoGg=0,"NO",('Activity data'!AW9*EF!$H22)*kgtoGg)</f>
        <v>6.3075674200886653E-2</v>
      </c>
      <c r="AX22" s="27">
        <f>IF(('Activity data'!AX9*EF!$H22)*kgtoGg=0,"NO",('Activity data'!AX9*EF!$H22)*kgtoGg)</f>
        <v>6.4061887782297905E-2</v>
      </c>
      <c r="AY22" s="27">
        <f>IF(('Activity data'!AY9*EF!$H22)*kgtoGg=0,"NO",('Activity data'!AY9*EF!$H22)*kgtoGg)</f>
        <v>6.5077970895866852E-2</v>
      </c>
      <c r="AZ22" s="27">
        <f>IF(('Activity data'!AZ9*EF!$H22)*kgtoGg=0,"NO",('Activity data'!AZ9*EF!$H22)*kgtoGg)</f>
        <v>6.6146494654198057E-2</v>
      </c>
      <c r="BA22" s="27">
        <f>IF(('Activity data'!BA9*EF!$H22)*kgtoGg=0,"NO",('Activity data'!BA9*EF!$H22)*kgtoGg)</f>
        <v>6.7231022690612471E-2</v>
      </c>
      <c r="BB22" s="27">
        <f>IF(('Activity data'!BB9*EF!$H22)*kgtoGg=0,"NO",('Activity data'!BB9*EF!$H22)*kgtoGg)</f>
        <v>6.8221389504630262E-2</v>
      </c>
      <c r="BC22" s="27">
        <f>IF(('Activity data'!BC9*EF!$H22)*kgtoGg=0,"NO",('Activity data'!BC9*EF!$H22)*kgtoGg)</f>
        <v>6.9266044730455056E-2</v>
      </c>
      <c r="BD22" s="27">
        <f>IF(('Activity data'!BD9*EF!$H22)*kgtoGg=0,"NO",('Activity data'!BD9*EF!$H22)*kgtoGg)</f>
        <v>7.026339809516019E-2</v>
      </c>
      <c r="BE22" s="27">
        <f>IF(('Activity data'!BE9*EF!$H22)*kgtoGg=0,"NO",('Activity data'!BE9*EF!$H22)*kgtoGg)</f>
        <v>7.1203841200544876E-2</v>
      </c>
      <c r="BF22" s="27">
        <f>IF(('Activity data'!BF9*EF!$H22)*kgtoGg=0,"NO",('Activity data'!BF9*EF!$H22)*kgtoGg)</f>
        <v>7.2127574541732534E-2</v>
      </c>
      <c r="BG22" s="27">
        <f>IF(('Activity data'!BG9*EF!$H22)*kgtoGg=0,"NO",('Activity data'!BG9*EF!$H22)*kgtoGg)</f>
        <v>7.3300576089579794E-2</v>
      </c>
      <c r="BH22" s="27">
        <f>IF(('Activity data'!BH9*EF!$H22)*kgtoGg=0,"NO",('Activity data'!BH9*EF!$H22)*kgtoGg)</f>
        <v>7.4513823237729482E-2</v>
      </c>
      <c r="BI22" s="27">
        <f>IF(('Activity data'!BI9*EF!$H22)*kgtoGg=0,"NO",('Activity data'!BI9*EF!$H22)*kgtoGg)</f>
        <v>7.5811406745023818E-2</v>
      </c>
      <c r="BJ22" s="27">
        <f>IF(('Activity data'!BJ9*EF!$H22)*kgtoGg=0,"NO",('Activity data'!BJ9*EF!$H22)*kgtoGg)</f>
        <v>7.7103941782015115E-2</v>
      </c>
      <c r="BK22" s="27">
        <f>IF(('Activity data'!BK9*EF!$H22)*kgtoGg=0,"NO",('Activity data'!BK9*EF!$H22)*kgtoGg)</f>
        <v>7.8393105982004302E-2</v>
      </c>
      <c r="BL22" s="27">
        <f>IF(('Activity data'!BL9*EF!$H22)*kgtoGg=0,"NO",('Activity data'!BL9*EF!$H22)*kgtoGg)</f>
        <v>7.9763623322175625E-2</v>
      </c>
      <c r="BM22" s="27">
        <f>IF(('Activity data'!BM9*EF!$H22)*kgtoGg=0,"NO",('Activity data'!BM9*EF!$H22)*kgtoGg)</f>
        <v>8.1180007651315583E-2</v>
      </c>
      <c r="BN22" s="27">
        <f>IF(('Activity data'!BN9*EF!$H22)*kgtoGg=0,"NO",('Activity data'!BN9*EF!$H22)*kgtoGg)</f>
        <v>8.2617633771312649E-2</v>
      </c>
      <c r="BO22" s="27">
        <f>IF(('Activity data'!BO9*EF!$H22)*kgtoGg=0,"NO",('Activity data'!BO9*EF!$H22)*kgtoGg)</f>
        <v>8.4125424997993567E-2</v>
      </c>
      <c r="BP22" s="27">
        <f>IF(('Activity data'!BP9*EF!$H22)*kgtoGg=0,"NO",('Activity data'!BP9*EF!$H22)*kgtoGg)</f>
        <v>8.5389520380178607E-2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0.47107022937833815</v>
      </c>
      <c r="AE23" s="27">
        <f>IF(('Activity data'!AE10*EF!$H23)*kgtoGg=0,"NO",('Activity data'!AE10*EF!$H23)*kgtoGg)</f>
        <v>0.48695387967725917</v>
      </c>
      <c r="AF23" s="27">
        <f>IF(('Activity data'!AF10*EF!$H23)*kgtoGg=0,"NO",('Activity data'!AF10*EF!$H23)*kgtoGg)</f>
        <v>0.50580611066616787</v>
      </c>
      <c r="AG23" s="27">
        <f>IF(('Activity data'!AG10*EF!$H23)*kgtoGg=0,"NO",('Activity data'!AG10*EF!$H23)*kgtoGg)</f>
        <v>0.5198656905589939</v>
      </c>
      <c r="AH23" s="27">
        <f>IF(('Activity data'!AH10*EF!$H23)*kgtoGg=0,"NO",('Activity data'!AH10*EF!$H23)*kgtoGg)</f>
        <v>0.53070826286138517</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0.51940277612263608</v>
      </c>
      <c r="AM23" s="27">
        <f>IF(('Activity data'!AM10*EF!$H23)*kgtoGg=0,"NO",('Activity data'!AM10*EF!$H23)*kgtoGg)</f>
        <v>0.55734768073083851</v>
      </c>
      <c r="AN23" s="27">
        <f>IF(('Activity data'!AN10*EF!$H23)*kgtoGg=0,"NO",('Activity data'!AN10*EF!$H23)*kgtoGg)</f>
        <v>0.57960474973304943</v>
      </c>
      <c r="AO23" s="27">
        <f>IF(('Activity data'!AO10*EF!$H23)*kgtoGg=0,"NO",('Activity data'!AO10*EF!$H23)*kgtoGg)</f>
        <v>0.58919613300783547</v>
      </c>
      <c r="AP23" s="27">
        <f>IF(('Activity data'!AP10*EF!$H23)*kgtoGg=0,"NO",('Activity data'!AP10*EF!$H23)*kgtoGg)</f>
        <v>0.59952169359823548</v>
      </c>
      <c r="AQ23" s="27">
        <f>IF(('Activity data'!AQ10*EF!$H23)*kgtoGg=0,"NO",('Activity data'!AQ10*EF!$H23)*kgtoGg)</f>
        <v>0.61349330548493453</v>
      </c>
      <c r="AR23" s="27">
        <f>IF(('Activity data'!AR10*EF!$H23)*kgtoGg=0,"NO",('Activity data'!AR10*EF!$H23)*kgtoGg)</f>
        <v>0.63110337066637079</v>
      </c>
      <c r="AS23" s="27">
        <f>IF(('Activity data'!AS10*EF!$H23)*kgtoGg=0,"NO",('Activity data'!AS10*EF!$H23)*kgtoGg)</f>
        <v>0.65064008423990027</v>
      </c>
      <c r="AT23" s="27">
        <f>IF(('Activity data'!AT10*EF!$H23)*kgtoGg=0,"NO",('Activity data'!AT10*EF!$H23)*kgtoGg)</f>
        <v>0.67266194335256146</v>
      </c>
      <c r="AU23" s="27">
        <f>IF(('Activity data'!AU10*EF!$H23)*kgtoGg=0,"NO",('Activity data'!AU10*EF!$H23)*kgtoGg)</f>
        <v>0.69879229877984206</v>
      </c>
      <c r="AV23" s="27">
        <f>IF(('Activity data'!AV10*EF!$H23)*kgtoGg=0,"NO",('Activity data'!AV10*EF!$H23)*kgtoGg)</f>
        <v>0.72895809146559021</v>
      </c>
      <c r="AW23" s="27">
        <f>IF(('Activity data'!AW10*EF!$H23)*kgtoGg=0,"NO",('Activity data'!AW10*EF!$H23)*kgtoGg)</f>
        <v>0.76381313429213382</v>
      </c>
      <c r="AX23" s="27">
        <f>IF(('Activity data'!AX10*EF!$H23)*kgtoGg=0,"NO",('Activity data'!AX10*EF!$H23)*kgtoGg)</f>
        <v>0.80153113832193645</v>
      </c>
      <c r="AY23" s="27">
        <f>IF(('Activity data'!AY10*EF!$H23)*kgtoGg=0,"NO",('Activity data'!AY10*EF!$H23)*kgtoGg)</f>
        <v>0.84136759742134326</v>
      </c>
      <c r="AZ23" s="27">
        <f>IF(('Activity data'!AZ10*EF!$H23)*kgtoGg=0,"NO",('Activity data'!AZ10*EF!$H23)*kgtoGg)</f>
        <v>0.88375975405626439</v>
      </c>
      <c r="BA23" s="27">
        <f>IF(('Activity data'!BA10*EF!$H23)*kgtoGg=0,"NO",('Activity data'!BA10*EF!$H23)*kgtoGg)</f>
        <v>0.92838040456636217</v>
      </c>
      <c r="BB23" s="27">
        <f>IF(('Activity data'!BB10*EF!$H23)*kgtoGg=0,"NO",('Activity data'!BB10*EF!$H23)*kgtoGg)</f>
        <v>0.97379529022362832</v>
      </c>
      <c r="BC23" s="27">
        <f>IF(('Activity data'!BC10*EF!$H23)*kgtoGg=0,"NO",('Activity data'!BC10*EF!$H23)*kgtoGg)</f>
        <v>1.0221841318210139</v>
      </c>
      <c r="BD23" s="27">
        <f>IF(('Activity data'!BD10*EF!$H23)*kgtoGg=0,"NO",('Activity data'!BD10*EF!$H23)*kgtoGg)</f>
        <v>1.072208285270027</v>
      </c>
      <c r="BE23" s="27">
        <f>IF(('Activity data'!BE10*EF!$H23)*kgtoGg=0,"NO",('Activity data'!BE10*EF!$H23)*kgtoGg)</f>
        <v>1.123785168211771</v>
      </c>
      <c r="BF23" s="27">
        <f>IF(('Activity data'!BF10*EF!$H23)*kgtoGg=0,"NO",('Activity data'!BF10*EF!$H23)*kgtoGg)</f>
        <v>1.1776298462289758</v>
      </c>
      <c r="BG23" s="27">
        <f>IF(('Activity data'!BG10*EF!$H23)*kgtoGg=0,"NO",('Activity data'!BG10*EF!$H23)*kgtoGg)</f>
        <v>1.2305489615866252</v>
      </c>
      <c r="BH23" s="27">
        <f>IF(('Activity data'!BH10*EF!$H23)*kgtoGg=0,"NO",('Activity data'!BH10*EF!$H23)*kgtoGg)</f>
        <v>1.2863335234294737</v>
      </c>
      <c r="BI23" s="27">
        <f>IF(('Activity data'!BI10*EF!$H23)*kgtoGg=0,"NO",('Activity data'!BI10*EF!$H23)*kgtoGg)</f>
        <v>1.3459319381262367</v>
      </c>
      <c r="BJ23" s="27">
        <f>IF(('Activity data'!BJ10*EF!$H23)*kgtoGg=0,"NO",('Activity data'!BJ10*EF!$H23)*kgtoGg)</f>
        <v>1.4079553802544587</v>
      </c>
      <c r="BK23" s="27">
        <f>IF(('Activity data'!BK10*EF!$H23)*kgtoGg=0,"NO",('Activity data'!BK10*EF!$H23)*kgtoGg)</f>
        <v>1.4725543863966755</v>
      </c>
      <c r="BL23" s="27">
        <f>IF(('Activity data'!BL10*EF!$H23)*kgtoGg=0,"NO",('Activity data'!BL10*EF!$H23)*kgtoGg)</f>
        <v>1.5414959451453387</v>
      </c>
      <c r="BM23" s="27">
        <f>IF(('Activity data'!BM10*EF!$H23)*kgtoGg=0,"NO",('Activity data'!BM10*EF!$H23)*kgtoGg)</f>
        <v>1.6143551492479555</v>
      </c>
      <c r="BN23" s="27">
        <f>IF(('Activity data'!BN10*EF!$H23)*kgtoGg=0,"NO",('Activity data'!BN10*EF!$H23)*kgtoGg)</f>
        <v>1.6908665423569276</v>
      </c>
      <c r="BO23" s="27">
        <f>IF(('Activity data'!BO10*EF!$H23)*kgtoGg=0,"NO",('Activity data'!BO10*EF!$H23)*kgtoGg)</f>
        <v>1.7722717243433437</v>
      </c>
      <c r="BP23" s="27">
        <f>IF(('Activity data'!BP10*EF!$H23)*kgtoGg=0,"NO",('Activity data'!BP10*EF!$H23)*kgtoGg)</f>
        <v>1.852080501247541</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3.6577867645106926E-2</v>
      </c>
      <c r="AM24" s="27">
        <f>IF(('Activity data'!AM11*EF!$H24)*kgtoGg=0,"NO",('Activity data'!AM11*EF!$H24)*kgtoGg)</f>
        <v>3.6604195637780168E-2</v>
      </c>
      <c r="AN24" s="27">
        <f>IF(('Activity data'!AN11*EF!$H24)*kgtoGg=0,"NO",('Activity data'!AN11*EF!$H24)*kgtoGg)</f>
        <v>3.6594939276300961E-2</v>
      </c>
      <c r="AO24" s="27">
        <f>IF(('Activity data'!AO11*EF!$H24)*kgtoGg=0,"NO",('Activity data'!AO11*EF!$H24)*kgtoGg)</f>
        <v>3.6594272892103465E-2</v>
      </c>
      <c r="AP24" s="27">
        <f>IF(('Activity data'!AP11*EF!$H24)*kgtoGg=0,"NO",('Activity data'!AP11*EF!$H24)*kgtoGg)</f>
        <v>3.663308878376182E-2</v>
      </c>
      <c r="AQ24" s="27">
        <f>IF(('Activity data'!AQ11*EF!$H24)*kgtoGg=0,"NO",('Activity data'!AQ11*EF!$H24)*kgtoGg)</f>
        <v>3.66966145669788E-2</v>
      </c>
      <c r="AR24" s="27">
        <f>IF(('Activity data'!AR11*EF!$H24)*kgtoGg=0,"NO",('Activity data'!AR11*EF!$H24)*kgtoGg)</f>
        <v>3.6757568260761757E-2</v>
      </c>
      <c r="AS24" s="27">
        <f>IF(('Activity data'!AS11*EF!$H24)*kgtoGg=0,"NO",('Activity data'!AS11*EF!$H24)*kgtoGg)</f>
        <v>3.6816146514376355E-2</v>
      </c>
      <c r="AT24" s="27">
        <f>IF(('Activity data'!AT11*EF!$H24)*kgtoGg=0,"NO",('Activity data'!AT11*EF!$H24)*kgtoGg)</f>
        <v>3.6872269383598041E-2</v>
      </c>
      <c r="AU24" s="27">
        <f>IF(('Activity data'!AU11*EF!$H24)*kgtoGg=0,"NO",('Activity data'!AU11*EF!$H24)*kgtoGg)</f>
        <v>3.6927106456158189E-2</v>
      </c>
      <c r="AV24" s="27">
        <f>IF(('Activity data'!AV11*EF!$H24)*kgtoGg=0,"NO",('Activity data'!AV11*EF!$H24)*kgtoGg)</f>
        <v>3.6981458757835407E-2</v>
      </c>
      <c r="AW24" s="27">
        <f>IF(('Activity data'!AW11*EF!$H24)*kgtoGg=0,"NO",('Activity data'!AW11*EF!$H24)*kgtoGg)</f>
        <v>3.7034780933234084E-2</v>
      </c>
      <c r="AX24" s="27">
        <f>IF(('Activity data'!AX11*EF!$H24)*kgtoGg=0,"NO",('Activity data'!AX11*EF!$H24)*kgtoGg)</f>
        <v>3.7087839668251105E-2</v>
      </c>
      <c r="AY24" s="27">
        <f>IF(('Activity data'!AY11*EF!$H24)*kgtoGg=0,"NO",('Activity data'!AY11*EF!$H24)*kgtoGg)</f>
        <v>3.7140467817616069E-2</v>
      </c>
      <c r="AZ24" s="27">
        <f>IF(('Activity data'!AZ11*EF!$H24)*kgtoGg=0,"NO",('Activity data'!AZ11*EF!$H24)*kgtoGg)</f>
        <v>3.7192243691518308E-2</v>
      </c>
      <c r="BA24" s="27">
        <f>IF(('Activity data'!BA11*EF!$H24)*kgtoGg=0,"NO",('Activity data'!BA11*EF!$H24)*kgtoGg)</f>
        <v>3.7243395244831647E-2</v>
      </c>
      <c r="BB24" s="27">
        <f>IF(('Activity data'!BB11*EF!$H24)*kgtoGg=0,"NO",('Activity data'!BB11*EF!$H24)*kgtoGg)</f>
        <v>3.7293977063567109E-2</v>
      </c>
      <c r="BC24" s="27">
        <f>IF(('Activity data'!BC11*EF!$H24)*kgtoGg=0,"NO",('Activity data'!BC11*EF!$H24)*kgtoGg)</f>
        <v>3.7344160870083701E-2</v>
      </c>
      <c r="BD24" s="27">
        <f>IF(('Activity data'!BD11*EF!$H24)*kgtoGg=0,"NO",('Activity data'!BD11*EF!$H24)*kgtoGg)</f>
        <v>3.7392411139770994E-2</v>
      </c>
      <c r="BE24" s="27">
        <f>IF(('Activity data'!BE11*EF!$H24)*kgtoGg=0,"NO",('Activity data'!BE11*EF!$H24)*kgtoGg)</f>
        <v>3.743867142078007E-2</v>
      </c>
      <c r="BF24" s="27">
        <f>IF(('Activity data'!BF11*EF!$H24)*kgtoGg=0,"NO",('Activity data'!BF11*EF!$H24)*kgtoGg)</f>
        <v>3.7483374065557115E-2</v>
      </c>
      <c r="BG24" s="27">
        <f>IF(('Activity data'!BG11*EF!$H24)*kgtoGg=0,"NO",('Activity data'!BG11*EF!$H24)*kgtoGg)</f>
        <v>3.7526174858995696E-2</v>
      </c>
      <c r="BH24" s="27">
        <f>IF(('Activity data'!BH11*EF!$H24)*kgtoGg=0,"NO",('Activity data'!BH11*EF!$H24)*kgtoGg)</f>
        <v>3.7567151445085212E-2</v>
      </c>
      <c r="BI24" s="27">
        <f>IF(('Activity data'!BI11*EF!$H24)*kgtoGg=0,"NO",('Activity data'!BI11*EF!$H24)*kgtoGg)</f>
        <v>3.7606119264532091E-2</v>
      </c>
      <c r="BJ24" s="27">
        <f>IF(('Activity data'!BJ11*EF!$H24)*kgtoGg=0,"NO",('Activity data'!BJ11*EF!$H24)*kgtoGg)</f>
        <v>3.7642520684787982E-2</v>
      </c>
      <c r="BK24" s="27">
        <f>IF(('Activity data'!BK11*EF!$H24)*kgtoGg=0,"NO",('Activity data'!BK11*EF!$H24)*kgtoGg)</f>
        <v>3.7675838960014932E-2</v>
      </c>
      <c r="BL24" s="27">
        <f>IF(('Activity data'!BL11*EF!$H24)*kgtoGg=0,"NO",('Activity data'!BL11*EF!$H24)*kgtoGg)</f>
        <v>3.7706040429411586E-2</v>
      </c>
      <c r="BM24" s="27">
        <f>IF(('Activity data'!BM11*EF!$H24)*kgtoGg=0,"NO",('Activity data'!BM11*EF!$H24)*kgtoGg)</f>
        <v>3.7732893978113372E-2</v>
      </c>
      <c r="BN24" s="27">
        <f>IF(('Activity data'!BN11*EF!$H24)*kgtoGg=0,"NO",('Activity data'!BN11*EF!$H24)*kgtoGg)</f>
        <v>3.7756386655025911E-2</v>
      </c>
      <c r="BO24" s="27">
        <f>IF(('Activity data'!BO11*EF!$H24)*kgtoGg=0,"NO",('Activity data'!BO11*EF!$H24)*kgtoGg)</f>
        <v>3.7776968038330937E-2</v>
      </c>
      <c r="BP24" s="27">
        <f>IF(('Activity data'!BP11*EF!$H24)*kgtoGg=0,"NO",('Activity data'!BP11*EF!$H24)*kgtoGg)</f>
        <v>3.7791964878546927E-2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4.1773668344855536E-3</v>
      </c>
      <c r="AM25" s="27">
        <f>IF(('Activity data'!AM12*EF!$H25)*kgtoGg=0,"NO",('Activity data'!AM12*EF!$H25)*kgtoGg)</f>
        <v>4.1803736167419408E-3</v>
      </c>
      <c r="AN25" s="27">
        <f>IF(('Activity data'!AN12*EF!$H25)*kgtoGg=0,"NO",('Activity data'!AN12*EF!$H25)*kgtoGg)</f>
        <v>4.1793164961403135E-3</v>
      </c>
      <c r="AO25" s="27">
        <f>IF(('Activity data'!AO12*EF!$H25)*kgtoGg=0,"NO",('Activity data'!AO12*EF!$H25)*kgtoGg)</f>
        <v>4.1792403918886204E-3</v>
      </c>
      <c r="AP25" s="27">
        <f>IF(('Activity data'!AP12*EF!$H25)*kgtoGg=0,"NO",('Activity data'!AP12*EF!$H25)*kgtoGg)</f>
        <v>4.1836733517330218E-3</v>
      </c>
      <c r="AQ25" s="27">
        <f>IF(('Activity data'!AQ12*EF!$H25)*kgtoGg=0,"NO",('Activity data'!AQ12*EF!$H25)*kgtoGg)</f>
        <v>4.190928298973798E-3</v>
      </c>
      <c r="AR25" s="27">
        <f>IF(('Activity data'!AR12*EF!$H25)*kgtoGg=0,"NO",('Activity data'!AR12*EF!$H25)*kgtoGg)</f>
        <v>4.197889501341273E-3</v>
      </c>
      <c r="AS25" s="27">
        <f>IF(('Activity data'!AS12*EF!$H25)*kgtoGg=0,"NO",('Activity data'!AS12*EF!$H25)*kgtoGg)</f>
        <v>4.204579417118921E-3</v>
      </c>
      <c r="AT25" s="27">
        <f>IF(('Activity data'!AT12*EF!$H25)*kgtoGg=0,"NO",('Activity data'!AT12*EF!$H25)*kgtoGg)</f>
        <v>4.2109889162952416E-3</v>
      </c>
      <c r="AU25" s="27">
        <f>IF(('Activity data'!AU12*EF!$H25)*kgtoGg=0,"NO",('Activity data'!AU12*EF!$H25)*kgtoGg)</f>
        <v>4.2172515713640264E-3</v>
      </c>
      <c r="AV25" s="27">
        <f>IF(('Activity data'!AV12*EF!$H25)*kgtoGg=0,"NO",('Activity data'!AV12*EF!$H25)*kgtoGg)</f>
        <v>4.2234588632873099E-3</v>
      </c>
      <c r="AW25" s="27">
        <f>IF(('Activity data'!AW12*EF!$H25)*kgtoGg=0,"NO",('Activity data'!AW12*EF!$H25)*kgtoGg)</f>
        <v>4.2295485098794577E-3</v>
      </c>
      <c r="AX25" s="27">
        <f>IF(('Activity data'!AX12*EF!$H25)*kgtoGg=0,"NO",('Activity data'!AX12*EF!$H25)*kgtoGg)</f>
        <v>4.2356080703243246E-3</v>
      </c>
      <c r="AY25" s="27">
        <f>IF(('Activity data'!AY12*EF!$H25)*kgtoGg=0,"NO",('Activity data'!AY12*EF!$H25)*kgtoGg)</f>
        <v>4.2416184558353278E-3</v>
      </c>
      <c r="AZ25" s="27">
        <f>IF(('Activity data'!AZ12*EF!$H25)*kgtoGg=0,"NO",('Activity data'!AZ12*EF!$H25)*kgtoGg)</f>
        <v>4.247531507426093E-3</v>
      </c>
      <c r="BA25" s="27">
        <f>IF(('Activity data'!BA12*EF!$H25)*kgtoGg=0,"NO",('Activity data'!BA12*EF!$H25)*kgtoGg)</f>
        <v>4.2533732586297656E-3</v>
      </c>
      <c r="BB25" s="27">
        <f>IF(('Activity data'!BB12*EF!$H25)*kgtoGg=0,"NO",('Activity data'!BB12*EF!$H25)*kgtoGg)</f>
        <v>4.2591499434289888E-3</v>
      </c>
      <c r="BC25" s="27">
        <f>IF(('Activity data'!BC12*EF!$H25)*kgtoGg=0,"NO",('Activity data'!BC12*EF!$H25)*kgtoGg)</f>
        <v>4.2648811733356808E-3</v>
      </c>
      <c r="BD25" s="27">
        <f>IF(('Activity data'!BD12*EF!$H25)*kgtoGg=0,"NO",('Activity data'!BD12*EF!$H25)*kgtoGg)</f>
        <v>4.2703915841202098E-3</v>
      </c>
      <c r="BE25" s="27">
        <f>IF(('Activity data'!BE12*EF!$H25)*kgtoGg=0,"NO",('Activity data'!BE12*EF!$H25)*kgtoGg)</f>
        <v>4.2756747287123493E-3</v>
      </c>
      <c r="BF25" s="27">
        <f>IF(('Activity data'!BF12*EF!$H25)*kgtoGg=0,"NO",('Activity data'!BF12*EF!$H25)*kgtoGg)</f>
        <v>4.2807799838222773E-3</v>
      </c>
      <c r="BG25" s="27">
        <f>IF(('Activity data'!BG12*EF!$H25)*kgtoGg=0,"NO",('Activity data'!BG12*EF!$H25)*kgtoGg)</f>
        <v>4.2856680384441249E-3</v>
      </c>
      <c r="BH25" s="27">
        <f>IF(('Activity data'!BH12*EF!$H25)*kgtoGg=0,"NO",('Activity data'!BH12*EF!$H25)*kgtoGg)</f>
        <v>4.2903477598915749E-3</v>
      </c>
      <c r="BI25" s="27">
        <f>IF(('Activity data'!BI12*EF!$H25)*kgtoGg=0,"NO",('Activity data'!BI12*EF!$H25)*kgtoGg)</f>
        <v>4.2947980706135938E-3</v>
      </c>
      <c r="BJ25" s="27">
        <f>IF(('Activity data'!BJ12*EF!$H25)*kgtoGg=0,"NO",('Activity data'!BJ12*EF!$H25)*kgtoGg)</f>
        <v>4.2989552863151904E-3</v>
      </c>
      <c r="BK25" s="27">
        <f>IF(('Activity data'!BK12*EF!$H25)*kgtoGg=0,"NO",('Activity data'!BK12*EF!$H25)*kgtoGg)</f>
        <v>4.3027603921585852E-3</v>
      </c>
      <c r="BL25" s="27">
        <f>IF(('Activity data'!BL12*EF!$H25)*kgtoGg=0,"NO",('Activity data'!BL12*EF!$H25)*kgtoGg)</f>
        <v>4.3062095439198199E-3</v>
      </c>
      <c r="BM25" s="27">
        <f>IF(('Activity data'!BM12*EF!$H25)*kgtoGg=0,"NO",('Activity data'!BM12*EF!$H25)*kgtoGg)</f>
        <v>4.3092763471797441E-3</v>
      </c>
      <c r="BN25" s="27">
        <f>IF(('Activity data'!BN12*EF!$H25)*kgtoGg=0,"NO",('Activity data'!BN12*EF!$H25)*kgtoGg)</f>
        <v>4.3119593228616469E-3</v>
      </c>
      <c r="BO25" s="27">
        <f>IF(('Activity data'!BO12*EF!$H25)*kgtoGg=0,"NO",('Activity data'!BO12*EF!$H25)*kgtoGg)</f>
        <v>4.3143098149368113E-3</v>
      </c>
      <c r="BP25" s="27">
        <f>IF(('Activity data'!BP12*EF!$H25)*kgtoGg=0,"NO",('Activity data'!BP12*EF!$H25)*kgtoGg)</f>
        <v>4.3160225255723297E-3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1.5789672763163298E-2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1.623065478441902E-2</v>
      </c>
      <c r="AK26" s="27">
        <f>IF(('Activity data'!AK13*EF!$H26)*kgtoGg=0,"NO",('Activity data'!AK13*EF!$H26)*kgtoGg)</f>
        <v>1.6337439810579345E-2</v>
      </c>
      <c r="AL26" s="27">
        <f>IF(('Activity data'!AL13*EF!$H26)*kgtoGg=0,"NO",('Activity data'!AL13*EF!$H26)*kgtoGg)</f>
        <v>1.6297380650984187E-2</v>
      </c>
      <c r="AM26" s="27">
        <f>IF(('Activity data'!AM13*EF!$H26)*kgtoGg=0,"NO",('Activity data'!AM13*EF!$H26)*kgtoGg)</f>
        <v>1.6325395863941383E-2</v>
      </c>
      <c r="AN26" s="27">
        <f>IF(('Activity data'!AN13*EF!$H26)*kgtoGg=0,"NO",('Activity data'!AN13*EF!$H26)*kgtoGg)</f>
        <v>1.6328114418990985E-2</v>
      </c>
      <c r="AO26" s="27">
        <f>IF(('Activity data'!AO13*EF!$H26)*kgtoGg=0,"NO",('Activity data'!AO13*EF!$H26)*kgtoGg)</f>
        <v>1.6335588711282864E-2</v>
      </c>
      <c r="AP26" s="27">
        <f>IF(('Activity data'!AP13*EF!$H26)*kgtoGg=0,"NO",('Activity data'!AP13*EF!$H26)*kgtoGg)</f>
        <v>1.6368634589950044E-2</v>
      </c>
      <c r="AQ26" s="27">
        <f>IF(('Activity data'!AQ13*EF!$H26)*kgtoGg=0,"NO",('Activity data'!AQ13*EF!$H26)*kgtoGg)</f>
        <v>1.641724322972727E-2</v>
      </c>
      <c r="AR26" s="27">
        <f>IF(('Activity data'!AR13*EF!$H26)*kgtoGg=0,"NO",('Activity data'!AR13*EF!$H26)*kgtoGg)</f>
        <v>1.6463127220508685E-2</v>
      </c>
      <c r="AS26" s="27">
        <f>IF(('Activity data'!AS13*EF!$H26)*kgtoGg=0,"NO",('Activity data'!AS13*EF!$H26)*kgtoGg)</f>
        <v>1.6506502302245762E-2</v>
      </c>
      <c r="AT26" s="27">
        <f>IF(('Activity data'!AT13*EF!$H26)*kgtoGg=0,"NO",('Activity data'!AT13*EF!$H26)*kgtoGg)</f>
        <v>1.6547390676749981E-2</v>
      </c>
      <c r="AU26" s="27">
        <f>IF(('Activity data'!AU13*EF!$H26)*kgtoGg=0,"NO",('Activity data'!AU13*EF!$H26)*kgtoGg)</f>
        <v>1.6586638401151873E-2</v>
      </c>
      <c r="AV26" s="27">
        <f>IF(('Activity data'!AV13*EF!$H26)*kgtoGg=0,"NO",('Activity data'!AV13*EF!$H26)*kgtoGg)</f>
        <v>1.6624834346576634E-2</v>
      </c>
      <c r="AW26" s="27">
        <f>IF(('Activity data'!AW13*EF!$H26)*kgtoGg=0,"NO",('Activity data'!AW13*EF!$H26)*kgtoGg)</f>
        <v>1.6661666671952648E-2</v>
      </c>
      <c r="AX26" s="27">
        <f>IF(('Activity data'!AX13*EF!$H26)*kgtoGg=0,"NO",('Activity data'!AX13*EF!$H26)*kgtoGg)</f>
        <v>1.669768859843657E-2</v>
      </c>
      <c r="AY26" s="27">
        <f>IF(('Activity data'!AY13*EF!$H26)*kgtoGg=0,"NO",('Activity data'!AY13*EF!$H26)*kgtoGg)</f>
        <v>1.6732829718107738E-2</v>
      </c>
      <c r="AZ26" s="27">
        <f>IF(('Activity data'!AZ13*EF!$H26)*kgtoGg=0,"NO",('Activity data'!AZ13*EF!$H26)*kgtoGg)</f>
        <v>1.6766849576183976E-2</v>
      </c>
      <c r="BA26" s="27">
        <f>IF(('Activity data'!BA13*EF!$H26)*kgtoGg=0,"NO",('Activity data'!BA13*EF!$H26)*kgtoGg)</f>
        <v>1.6799933327571178E-2</v>
      </c>
      <c r="BB26" s="27">
        <f>IF(('Activity data'!BB13*EF!$H26)*kgtoGg=0,"NO",('Activity data'!BB13*EF!$H26)*kgtoGg)</f>
        <v>1.6832148555186801E-2</v>
      </c>
      <c r="BC26" s="27">
        <f>IF(('Activity data'!BC13*EF!$H26)*kgtoGg=0,"NO",('Activity data'!BC13*EF!$H26)*kgtoGg)</f>
        <v>1.6863636706256461E-2</v>
      </c>
      <c r="BD26" s="27">
        <f>IF(('Activity data'!BD13*EF!$H26)*kgtoGg=0,"NO",('Activity data'!BD13*EF!$H26)*kgtoGg)</f>
        <v>1.6893421474693429E-2</v>
      </c>
      <c r="BE26" s="27">
        <f>IF(('Activity data'!BE13*EF!$H26)*kgtoGg=0,"NO",('Activity data'!BE13*EF!$H26)*kgtoGg)</f>
        <v>1.6921495820142095E-2</v>
      </c>
      <c r="BF26" s="27">
        <f>IF(('Activity data'!BF13*EF!$H26)*kgtoGg=0,"NO",('Activity data'!BF13*EF!$H26)*kgtoGg)</f>
        <v>1.6948169002433171E-2</v>
      </c>
      <c r="BG26" s="27">
        <f>IF(('Activity data'!BG13*EF!$H26)*kgtoGg=0,"NO",('Activity data'!BG13*EF!$H26)*kgtoGg)</f>
        <v>1.6973242190360595E-2</v>
      </c>
      <c r="BH26" s="27">
        <f>IF(('Activity data'!BH13*EF!$H26)*kgtoGg=0,"NO",('Activity data'!BH13*EF!$H26)*kgtoGg)</f>
        <v>1.699679001880551E-2</v>
      </c>
      <c r="BI26" s="27">
        <f>IF(('Activity data'!BI13*EF!$H26)*kgtoGg=0,"NO",('Activity data'!BI13*EF!$H26)*kgtoGg)</f>
        <v>1.701871561452447E-2</v>
      </c>
      <c r="BJ26" s="27">
        <f>IF(('Activity data'!BJ13*EF!$H26)*kgtoGg=0,"NO",('Activity data'!BJ13*EF!$H26)*kgtoGg)</f>
        <v>1.7038680545756732E-2</v>
      </c>
      <c r="BK26" s="27">
        <f>IF(('Activity data'!BK13*EF!$H26)*kgtoGg=0,"NO",('Activity data'!BK13*EF!$H26)*kgtoGg)</f>
        <v>1.7056373927880512E-2</v>
      </c>
      <c r="BL26" s="27">
        <f>IF(('Activity data'!BL13*EF!$H26)*kgtoGg=0,"NO",('Activity data'!BL13*EF!$H26)*kgtoGg)</f>
        <v>1.7071796968078184E-2</v>
      </c>
      <c r="BM26" s="27">
        <f>IF(('Activity data'!BM13*EF!$H26)*kgtoGg=0,"NO",('Activity data'!BM13*EF!$H26)*kgtoGg)</f>
        <v>1.7084822941521471E-2</v>
      </c>
      <c r="BN26" s="27">
        <f>IF(('Activity data'!BN13*EF!$H26)*kgtoGg=0,"NO",('Activity data'!BN13*EF!$H26)*kgtoGg)</f>
        <v>1.7095465059373528E-2</v>
      </c>
      <c r="BO26" s="27">
        <f>IF(('Activity data'!BO13*EF!$H26)*kgtoGg=0,"NO",('Activity data'!BO13*EF!$H26)*kgtoGg)</f>
        <v>1.7104031992328298E-2</v>
      </c>
      <c r="BP26" s="27">
        <f>IF(('Activity data'!BP13*EF!$H26)*kgtoGg=0,"NO",('Activity data'!BP13*EF!$H26)*kgtoGg)</f>
        <v>1.7108831686205268E-2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2.6592218800664796E-2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2.7334899828466049E-2</v>
      </c>
      <c r="AK27" s="27">
        <f>IF(('Activity data'!AK14*EF!$H27)*kgtoGg=0,"NO",('Activity data'!AK14*EF!$H27)*kgtoGg)</f>
        <v>2.7514742110372921E-2</v>
      </c>
      <c r="AL27" s="27">
        <f>IF(('Activity data'!AL14*EF!$H27)*kgtoGg=0,"NO",('Activity data'!AL14*EF!$H27)*kgtoGg)</f>
        <v>2.7447276371664872E-2</v>
      </c>
      <c r="AM27" s="27">
        <f>IF(('Activity data'!AM14*EF!$H27)*kgtoGg=0,"NO",('Activity data'!AM14*EF!$H27)*kgtoGg)</f>
        <v>2.7494458266051122E-2</v>
      </c>
      <c r="AN27" s="27">
        <f>IF(('Activity data'!AN14*EF!$H27)*kgtoGg=0,"NO",('Activity data'!AN14*EF!$H27)*kgtoGg)</f>
        <v>2.7499036727668718E-2</v>
      </c>
      <c r="AO27" s="27">
        <f>IF(('Activity data'!AO14*EF!$H27)*kgtoGg=0,"NO",('Activity data'!AO14*EF!$H27)*kgtoGg)</f>
        <v>2.7511624576637288E-2</v>
      </c>
      <c r="AP27" s="27">
        <f>IF(('Activity data'!AP14*EF!$H27)*kgtoGg=0,"NO",('Activity data'!AP14*EF!$H27)*kgtoGg)</f>
        <v>2.7567278879874528E-2</v>
      </c>
      <c r="AQ27" s="27">
        <f>IF(('Activity data'!AQ14*EF!$H27)*kgtoGg=0,"NO",('Activity data'!AQ14*EF!$H27)*kgtoGg)</f>
        <v>2.7649143248056639E-2</v>
      </c>
      <c r="AR27" s="27">
        <f>IF(('Activity data'!AR14*EF!$H27)*kgtoGg=0,"NO",('Activity data'!AR14*EF!$H27)*kgtoGg)</f>
        <v>2.7726418891485655E-2</v>
      </c>
      <c r="AS27" s="27">
        <f>IF(('Activity data'!AS14*EF!$H27)*kgtoGg=0,"NO",('Activity data'!AS14*EF!$H27)*kgtoGg)</f>
        <v>2.7799469149166745E-2</v>
      </c>
      <c r="AT27" s="27">
        <f>IF(('Activity data'!AT14*EF!$H27)*kgtoGg=0,"NO",('Activity data'!AT14*EF!$H27)*kgtoGg)</f>
        <v>2.7868331412338937E-2</v>
      </c>
      <c r="AU27" s="27">
        <f>IF(('Activity data'!AU14*EF!$H27)*kgtoGg=0,"NO",('Activity data'!AU14*EF!$H27)*kgtoGg)</f>
        <v>2.7934430570337832E-2</v>
      </c>
      <c r="AV27" s="27">
        <f>IF(('Activity data'!AV14*EF!$H27)*kgtoGg=0,"NO",('Activity data'!AV14*EF!$H27)*kgtoGg)</f>
        <v>2.7998758372013564E-2</v>
      </c>
      <c r="AW27" s="27">
        <f>IF(('Activity data'!AW14*EF!$H27)*kgtoGg=0,"NO",('Activity data'!AW14*EF!$H27)*kgtoGg)</f>
        <v>2.8060789629407407E-2</v>
      </c>
      <c r="AX27" s="27">
        <f>IF(('Activity data'!AX14*EF!$H27)*kgtoGg=0,"NO",('Activity data'!AX14*EF!$H27)*kgtoGg)</f>
        <v>2.8121456051381433E-2</v>
      </c>
      <c r="AY27" s="27">
        <f>IF(('Activity data'!AY14*EF!$H27)*kgtoGg=0,"NO",('Activity data'!AY14*EF!$H27)*kgtoGg)</f>
        <v>2.8180639060251388E-2</v>
      </c>
      <c r="AZ27" s="27">
        <f>IF(('Activity data'!AZ14*EF!$H27)*kgtoGg=0,"NO",('Activity data'!AZ14*EF!$H27)*kgtoGg)</f>
        <v>2.8237933693465157E-2</v>
      </c>
      <c r="BA27" s="27">
        <f>IF(('Activity data'!BA14*EF!$H27)*kgtoGg=0,"NO",('Activity data'!BA14*EF!$H27)*kgtoGg)</f>
        <v>2.8293651780143172E-2</v>
      </c>
      <c r="BB27" s="27">
        <f>IF(('Activity data'!BB14*EF!$H27)*kgtoGg=0,"NO",('Activity data'!BB14*EF!$H27)*kgtoGg)</f>
        <v>2.8347907140233115E-2</v>
      </c>
      <c r="BC27" s="27">
        <f>IF(('Activity data'!BC14*EF!$H27)*kgtoGg=0,"NO",('Activity data'!BC14*EF!$H27)*kgtoGg)</f>
        <v>2.8400937992451046E-2</v>
      </c>
      <c r="BD27" s="27">
        <f>IF(('Activity data'!BD14*EF!$H27)*kgtoGg=0,"NO",('Activity data'!BD14*EF!$H27)*kgtoGg)</f>
        <v>2.845110008834013E-2</v>
      </c>
      <c r="BE27" s="27">
        <f>IF(('Activity data'!BE14*EF!$H27)*kgtoGg=0,"NO",('Activity data'!BE14*EF!$H27)*kgtoGg)</f>
        <v>2.8498381570866985E-2</v>
      </c>
      <c r="BF27" s="27">
        <f>IF(('Activity data'!BF14*EF!$H27)*kgtoGg=0,"NO",('Activity data'!BF14*EF!$H27)*kgtoGg)</f>
        <v>2.8543303280786723E-2</v>
      </c>
      <c r="BG27" s="27">
        <f>IF(('Activity data'!BG14*EF!$H27)*kgtoGg=0,"NO",('Activity data'!BG14*EF!$H27)*kgtoGg)</f>
        <v>2.8585530356002101E-2</v>
      </c>
      <c r="BH27" s="27">
        <f>IF(('Activity data'!BH14*EF!$H27)*kgtoGg=0,"NO",('Activity data'!BH14*EF!$H27)*kgtoGg)</f>
        <v>2.8625188493043956E-2</v>
      </c>
      <c r="BI27" s="27">
        <f>IF(('Activity data'!BI14*EF!$H27)*kgtoGg=0,"NO",('Activity data'!BI14*EF!$H27)*kgtoGg)</f>
        <v>2.8662114542585253E-2</v>
      </c>
      <c r="BJ27" s="27">
        <f>IF(('Activity data'!BJ14*EF!$H27)*kgtoGg=0,"NO",('Activity data'!BJ14*EF!$H27)*kgtoGg)</f>
        <v>2.8695738533888428E-2</v>
      </c>
      <c r="BK27" s="27">
        <f>IF(('Activity data'!BK14*EF!$H27)*kgtoGg=0,"NO",('Activity data'!BK14*EF!$H27)*kgtoGg)</f>
        <v>2.8725536889802242E-2</v>
      </c>
      <c r="BL27" s="27">
        <f>IF(('Activity data'!BL14*EF!$H27)*kgtoGg=0,"NO",('Activity data'!BL14*EF!$H27)*kgtoGg)</f>
        <v>2.8751511643406051E-2</v>
      </c>
      <c r="BM27" s="27">
        <f>IF(('Activity data'!BM14*EF!$H27)*kgtoGg=0,"NO",('Activity data'!BM14*EF!$H27)*kgtoGg)</f>
        <v>2.8773449370747915E-2</v>
      </c>
      <c r="BN27" s="27">
        <f>IF(('Activity data'!BN14*EF!$H27)*kgtoGg=0,"NO",('Activity data'!BN14*EF!$H27)*kgtoGg)</f>
        <v>2.8791372321442913E-2</v>
      </c>
      <c r="BO27" s="27">
        <f>IF(('Activity data'!BO14*EF!$H27)*kgtoGg=0,"NO",('Activity data'!BO14*EF!$H27)*kgtoGg)</f>
        <v>2.8805800344049892E-2</v>
      </c>
      <c r="BP27" s="27">
        <f>IF(('Activity data'!BP14*EF!$H27)*kgtoGg=0,"NO",('Activity data'!BP14*EF!$H27)*kgtoGg)</f>
        <v>2.8813883761082477E-2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4.1536453250924079E-3</v>
      </c>
      <c r="AF28" s="27">
        <f>IF(('Activity data'!AF15*EF!$H28)*kgtoGg=0,"NO",('Activity data'!AF15*EF!$H28)*kgtoGg)</f>
        <v>4.1840370126470525E-3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4.130408792135833E-3</v>
      </c>
      <c r="AL28" s="27">
        <f>IF(('Activity data'!AL15*EF!$H28)*kgtoGg=0,"NO",('Activity data'!AL15*EF!$H28)*kgtoGg)</f>
        <v>3.9434601312185527E-3</v>
      </c>
      <c r="AM28" s="27">
        <f>IF(('Activity data'!AM15*EF!$H28)*kgtoGg=0,"NO",('Activity data'!AM15*EF!$H28)*kgtoGg)</f>
        <v>4.0605746122765228E-3</v>
      </c>
      <c r="AN28" s="27">
        <f>IF(('Activity data'!AN15*EF!$H28)*kgtoGg=0,"NO",('Activity data'!AN15*EF!$H28)*kgtoGg)</f>
        <v>4.1189841670463273E-3</v>
      </c>
      <c r="AO28" s="27">
        <f>IF(('Activity data'!AO15*EF!$H28)*kgtoGg=0,"NO",('Activity data'!AO15*EF!$H28)*kgtoGg)</f>
        <v>4.1278057101270405E-3</v>
      </c>
      <c r="AP28" s="27">
        <f>IF(('Activity data'!AP15*EF!$H28)*kgtoGg=0,"NO",('Activity data'!AP15*EF!$H28)*kgtoGg)</f>
        <v>4.1355671321311174E-3</v>
      </c>
      <c r="AQ28" s="27">
        <f>IF(('Activity data'!AQ15*EF!$H28)*kgtoGg=0,"NO",('Activity data'!AQ15*EF!$H28)*kgtoGg)</f>
        <v>4.1543998592115791E-3</v>
      </c>
      <c r="AR28" s="27">
        <f>IF(('Activity data'!AR15*EF!$H28)*kgtoGg=0,"NO",('Activity data'!AR15*EF!$H28)*kgtoGg)</f>
        <v>4.1865458304734694E-3</v>
      </c>
      <c r="AS28" s="27">
        <f>IF(('Activity data'!AS15*EF!$H28)*kgtoGg=0,"NO",('Activity data'!AS15*EF!$H28)*kgtoGg)</f>
        <v>4.2253320128085251E-3</v>
      </c>
      <c r="AT28" s="27">
        <f>IF(('Activity data'!AT15*EF!$H28)*kgtoGg=0,"NO",('Activity data'!AT15*EF!$H28)*kgtoGg)</f>
        <v>4.272518274488683E-3</v>
      </c>
      <c r="AU28" s="27">
        <f>IF(('Activity data'!AU15*EF!$H28)*kgtoGg=0,"NO",('Activity data'!AU15*EF!$H28)*kgtoGg)</f>
        <v>4.3334009221617396E-3</v>
      </c>
      <c r="AV28" s="27">
        <f>IF(('Activity data'!AV15*EF!$H28)*kgtoGg=0,"NO",('Activity data'!AV15*EF!$H28)*kgtoGg)</f>
        <v>4.4071847194853781E-3</v>
      </c>
      <c r="AW28" s="27">
        <f>IF(('Activity data'!AW15*EF!$H28)*kgtoGg=0,"NO",('Activity data'!AW15*EF!$H28)*kgtoGg)</f>
        <v>4.4888905161837847E-3</v>
      </c>
      <c r="AX28" s="27">
        <f>IF(('Activity data'!AX15*EF!$H28)*kgtoGg=0,"NO",('Activity data'!AX15*EF!$H28)*kgtoGg)</f>
        <v>4.5781841431122572E-3</v>
      </c>
      <c r="AY28" s="27">
        <f>IF(('Activity data'!AY15*EF!$H28)*kgtoGg=0,"NO",('Activity data'!AY15*EF!$H28)*kgtoGg)</f>
        <v>4.6723057323312554E-3</v>
      </c>
      <c r="AZ28" s="27">
        <f>IF(('Activity data'!AZ15*EF!$H28)*kgtoGg=0,"NO",('Activity data'!AZ15*EF!$H28)*kgtoGg)</f>
        <v>4.7725702352352153E-3</v>
      </c>
      <c r="BA28" s="27">
        <f>IF(('Activity data'!BA15*EF!$H28)*kgtoGg=0,"NO",('Activity data'!BA15*EF!$H28)*kgtoGg)</f>
        <v>4.8776647477587476E-3</v>
      </c>
      <c r="BB28" s="27">
        <f>IF(('Activity data'!BB15*EF!$H28)*kgtoGg=0,"NO",('Activity data'!BB15*EF!$H28)*kgtoGg)</f>
        <v>4.9827957618803235E-3</v>
      </c>
      <c r="BC28" s="27">
        <f>IF(('Activity data'!BC15*EF!$H28)*kgtoGg=0,"NO",('Activity data'!BC15*EF!$H28)*kgtoGg)</f>
        <v>5.0948794457102743E-3</v>
      </c>
      <c r="BD28" s="27">
        <f>IF(('Activity data'!BD15*EF!$H28)*kgtoGg=0,"NO",('Activity data'!BD15*EF!$H28)*kgtoGg)</f>
        <v>5.2096806373507004E-3</v>
      </c>
      <c r="BE28" s="27">
        <f>IF(('Activity data'!BE15*EF!$H28)*kgtoGg=0,"NO",('Activity data'!BE15*EF!$H28)*kgtoGg)</f>
        <v>5.326887127790998E-3</v>
      </c>
      <c r="BF28" s="27">
        <f>IF(('Activity data'!BF15*EF!$H28)*kgtoGg=0,"NO",('Activity data'!BF15*EF!$H28)*kgtoGg)</f>
        <v>5.4485848360062324E-3</v>
      </c>
      <c r="BG28" s="27">
        <f>IF(('Activity data'!BG15*EF!$H28)*kgtoGg=0,"NO",('Activity data'!BG15*EF!$H28)*kgtoGg)</f>
        <v>5.5696508386077004E-3</v>
      </c>
      <c r="BH28" s="27">
        <f>IF(('Activity data'!BH15*EF!$H28)*kgtoGg=0,"NO",('Activity data'!BH15*EF!$H28)*kgtoGg)</f>
        <v>5.6973052536603251E-3</v>
      </c>
      <c r="BI28" s="27">
        <f>IF(('Activity data'!BI15*EF!$H28)*kgtoGg=0,"NO",('Activity data'!BI15*EF!$H28)*kgtoGg)</f>
        <v>5.8342669505017037E-3</v>
      </c>
      <c r="BJ28" s="27">
        <f>IF(('Activity data'!BJ15*EF!$H28)*kgtoGg=0,"NO",('Activity data'!BJ15*EF!$H28)*kgtoGg)</f>
        <v>5.9763033014494302E-3</v>
      </c>
      <c r="BK28" s="27">
        <f>IF(('Activity data'!BK15*EF!$H28)*kgtoGg=0,"NO",('Activity data'!BK15*EF!$H28)*kgtoGg)</f>
        <v>6.1238672356661557E-3</v>
      </c>
      <c r="BL28" s="27">
        <f>IF(('Activity data'!BL15*EF!$H28)*kgtoGg=0,"NO",('Activity data'!BL15*EF!$H28)*kgtoGg)</f>
        <v>6.2820427526668306E-3</v>
      </c>
      <c r="BM28" s="27">
        <f>IF(('Activity data'!BM15*EF!$H28)*kgtoGg=0,"NO",('Activity data'!BM15*EF!$H28)*kgtoGg)</f>
        <v>6.4494574929913678E-3</v>
      </c>
      <c r="BN28" s="27">
        <f>IF(('Activity data'!BN15*EF!$H28)*kgtoGg=0,"NO",('Activity data'!BN15*EF!$H28)*kgtoGg)</f>
        <v>6.6252174839876625E-3</v>
      </c>
      <c r="BO28" s="27">
        <f>IF(('Activity data'!BO15*EF!$H28)*kgtoGg=0,"NO",('Activity data'!BO15*EF!$H28)*kgtoGg)</f>
        <v>6.8126704322840365E-3</v>
      </c>
      <c r="BP28" s="27">
        <f>IF(('Activity data'!BP15*EF!$H28)*kgtoGg=0,"NO",('Activity data'!BP15*EF!$H28)*kgtoGg)</f>
        <v>6.9938267919267671E-3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22.60295118682059</v>
      </c>
      <c r="AI30" s="27">
        <f>IF(('Activity data'!AI17*EF!$H30)*kgtoGg=0,"NO",('Activity data'!AI17*EF!$H30)*kgtoGg)</f>
        <v>22.12653281137495</v>
      </c>
      <c r="AJ30" s="27">
        <f>IF(('Activity data'!AJ17*EF!$H30)*kgtoGg=0,"NO",('Activity data'!AJ17*EF!$H30)*kgtoGg)</f>
        <v>21.780600237355966</v>
      </c>
      <c r="AK30" s="27">
        <f>IF(('Activity data'!AK17*EF!$H30)*kgtoGg=0,"NO",('Activity data'!AK17*EF!$H30)*kgtoGg)</f>
        <v>21.465278056857684</v>
      </c>
      <c r="AL30" s="27">
        <f>IF(('Activity data'!AL17*EF!$H30)*kgtoGg=0,"NO",('Activity data'!AL17*EF!$H30)*kgtoGg)</f>
        <v>19.28268372841509</v>
      </c>
      <c r="AM30" s="27">
        <f>IF(('Activity data'!AM17*EF!$H30)*kgtoGg=0,"NO",('Activity data'!AM17*EF!$H30)*kgtoGg)</f>
        <v>20.154045022941879</v>
      </c>
      <c r="AN30" s="27">
        <f>IF(('Activity data'!AN17*EF!$H30)*kgtoGg=0,"NO",('Activity data'!AN17*EF!$H30)*kgtoGg)</f>
        <v>20.417483741296842</v>
      </c>
      <c r="AO30" s="27">
        <f>IF(('Activity data'!AO17*EF!$H30)*kgtoGg=0,"NO",('Activity data'!AO17*EF!$H30)*kgtoGg)</f>
        <v>20.215982998578138</v>
      </c>
      <c r="AP30" s="27">
        <f>IF(('Activity data'!AP17*EF!$H30)*kgtoGg=0,"NO",('Activity data'!AP17*EF!$H30)*kgtoGg)</f>
        <v>20.038764166788877</v>
      </c>
      <c r="AQ30" s="27">
        <f>IF(('Activity data'!AQ17*EF!$H30)*kgtoGg=0,"NO",('Activity data'!AQ17*EF!$H30)*kgtoGg)</f>
        <v>19.983994613990216</v>
      </c>
      <c r="AR30" s="27">
        <f>IF(('Activity data'!AR17*EF!$H30)*kgtoGg=0,"NO",('Activity data'!AR17*EF!$H30)*kgtoGg)</f>
        <v>20.046915484009698</v>
      </c>
      <c r="AS30" s="27">
        <f>IF(('Activity data'!AS17*EF!$H30)*kgtoGg=0,"NO",('Activity data'!AS17*EF!$H30)*kgtoGg)</f>
        <v>20.164111817793334</v>
      </c>
      <c r="AT30" s="27">
        <f>IF(('Activity data'!AT17*EF!$H30)*kgtoGg=0,"NO",('Activity data'!AT17*EF!$H30)*kgtoGg)</f>
        <v>20.348954154275784</v>
      </c>
      <c r="AU30" s="27">
        <f>IF(('Activity data'!AU17*EF!$H30)*kgtoGg=0,"NO",('Activity data'!AU17*EF!$H30)*kgtoGg)</f>
        <v>20.645885200839494</v>
      </c>
      <c r="AV30" s="27">
        <f>IF(('Activity data'!AV17*EF!$H30)*kgtoGg=0,"NO",('Activity data'!AV17*EF!$H30)*kgtoGg)</f>
        <v>21.044537894059989</v>
      </c>
      <c r="AW30" s="27">
        <f>IF(('Activity data'!AW17*EF!$H30)*kgtoGg=0,"NO",('Activity data'!AW17*EF!$H30)*kgtoGg)</f>
        <v>21.498264632191113</v>
      </c>
      <c r="AX30" s="27">
        <f>IF(('Activity data'!AX17*EF!$H30)*kgtoGg=0,"NO",('Activity data'!AX17*EF!$H30)*kgtoGg)</f>
        <v>22.002561256053959</v>
      </c>
      <c r="AY30" s="27">
        <f>IF(('Activity data'!AY17*EF!$H30)*kgtoGg=0,"NO",('Activity data'!AY17*EF!$H30)*kgtoGg)</f>
        <v>22.532202643318037</v>
      </c>
      <c r="AZ30" s="27">
        <f>IF(('Activity data'!AZ17*EF!$H30)*kgtoGg=0,"NO",('Activity data'!AZ17*EF!$H30)*kgtoGg)</f>
        <v>23.096284889499795</v>
      </c>
      <c r="BA30" s="27">
        <f>IF(('Activity data'!BA17*EF!$H30)*kgtoGg=0,"NO",('Activity data'!BA17*EF!$H30)*kgtoGg)</f>
        <v>23.682649825738739</v>
      </c>
      <c r="BB30" s="27">
        <f>IF(('Activity data'!BB17*EF!$H30)*kgtoGg=0,"NO",('Activity data'!BB17*EF!$H30)*kgtoGg)</f>
        <v>24.251675615546215</v>
      </c>
      <c r="BC30" s="27">
        <f>IF(('Activity data'!BC17*EF!$H30)*kgtoGg=0,"NO",('Activity data'!BC17*EF!$H30)*kgtoGg)</f>
        <v>24.858335489218973</v>
      </c>
      <c r="BD30" s="27">
        <f>IF(('Activity data'!BD17*EF!$H30)*kgtoGg=0,"NO",('Activity data'!BD17*EF!$H30)*kgtoGg)</f>
        <v>25.466205387661859</v>
      </c>
      <c r="BE30" s="27">
        <f>IF(('Activity data'!BE17*EF!$H30)*kgtoGg=0,"NO",('Activity data'!BE17*EF!$H30)*kgtoGg)</f>
        <v>26.072093806701385</v>
      </c>
      <c r="BF30" s="27">
        <f>IF(('Activity data'!BF17*EF!$H30)*kgtoGg=0,"NO",('Activity data'!BF17*EF!$H30)*kgtoGg)</f>
        <v>26.691678242844393</v>
      </c>
      <c r="BG30" s="27">
        <f>IF(('Activity data'!BG17*EF!$H30)*kgtoGg=0,"NO",('Activity data'!BG17*EF!$H30)*kgtoGg)</f>
        <v>27.284891345865745</v>
      </c>
      <c r="BH30" s="27">
        <f>IF(('Activity data'!BH17*EF!$H30)*kgtoGg=0,"NO",('Activity data'!BH17*EF!$H30)*kgtoGg)</f>
        <v>27.905654237830884</v>
      </c>
      <c r="BI30" s="27">
        <f>IF(('Activity data'!BI17*EF!$H30)*kgtoGg=0,"NO",('Activity data'!BI17*EF!$H30)*kgtoGg)</f>
        <v>28.571861719635045</v>
      </c>
      <c r="BJ30" s="27">
        <f>IF(('Activity data'!BJ17*EF!$H30)*kgtoGg=0,"NO",('Activity data'!BJ17*EF!$H30)*kgtoGg)</f>
        <v>29.249712050194997</v>
      </c>
      <c r="BK30" s="27">
        <f>IF(('Activity data'!BK17*EF!$H30)*kgtoGg=0,"NO",('Activity data'!BK17*EF!$H30)*kgtoGg)</f>
        <v>29.940451406740536</v>
      </c>
      <c r="BL30" s="27">
        <f>IF(('Activity data'!BL17*EF!$H30)*kgtoGg=0,"NO",('Activity data'!BL17*EF!$H30)*kgtoGg)</f>
        <v>30.678211789307159</v>
      </c>
      <c r="BM30" s="27">
        <f>IF(('Activity data'!BM17*EF!$H30)*kgtoGg=0,"NO",('Activity data'!BM17*EF!$H30)*kgtoGg)</f>
        <v>31.450149667179016</v>
      </c>
      <c r="BN30" s="27">
        <f>IF(('Activity data'!BN17*EF!$H30)*kgtoGg=0,"NO",('Activity data'!BN17*EF!$H30)*kgtoGg)</f>
        <v>32.247465982700263</v>
      </c>
      <c r="BO30" s="27">
        <f>IF(('Activity data'!BO17*EF!$H30)*kgtoGg=0,"NO",('Activity data'!BO17*EF!$H30)*kgtoGg)</f>
        <v>33.090843547510339</v>
      </c>
      <c r="BP30" s="27">
        <f>IF(('Activity data'!BP17*EF!$H30)*kgtoGg=0,"NO",('Activity data'!BP17*EF!$H30)*kgtoGg)</f>
        <v>33.85425291015099</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7.7543217949140569E-2</v>
      </c>
      <c r="AG31" s="27">
        <f>IF(('Activity data'!AG18*EF!$H31)*kgtoGg=0,"NO",('Activity data'!AG18*EF!$H31)*kgtoGg)</f>
        <v>7.6831311787104603E-2</v>
      </c>
      <c r="AH31" s="27">
        <f>IF(('Activity data'!AH18*EF!$H31)*kgtoGg=0,"NO",('Activity data'!AH18*EF!$H31)*kgtoGg)</f>
        <v>7.5668604825231994E-2</v>
      </c>
      <c r="AI31" s="27">
        <f>IF(('Activity data'!AI18*EF!$H31)*kgtoGg=0,"NO",('Activity data'!AI18*EF!$H31)*kgtoGg)</f>
        <v>7.4073684167079393E-2</v>
      </c>
      <c r="AJ31" s="27">
        <f>IF(('Activity data'!AJ18*EF!$H31)*kgtoGg=0,"NO",('Activity data'!AJ18*EF!$H31)*kgtoGg)</f>
        <v>7.291559489708703E-2</v>
      </c>
      <c r="AK31" s="27">
        <f>IF(('Activity data'!AK18*EF!$H31)*kgtoGg=0,"NO",('Activity data'!AK18*EF!$H31)*kgtoGg)</f>
        <v>7.1859980996426709E-2</v>
      </c>
      <c r="AL31" s="27">
        <f>IF(('Activity data'!AL18*EF!$H31)*kgtoGg=0,"NO",('Activity data'!AL18*EF!$H31)*kgtoGg)</f>
        <v>6.455324187339509E-2</v>
      </c>
      <c r="AM31" s="27">
        <f>IF(('Activity data'!AM18*EF!$H31)*kgtoGg=0,"NO",('Activity data'!AM18*EF!$H31)*kgtoGg)</f>
        <v>6.7470325262664888E-2</v>
      </c>
      <c r="AN31" s="27">
        <f>IF(('Activity data'!AN18*EF!$H31)*kgtoGg=0,"NO",('Activity data'!AN18*EF!$H31)*kgtoGg)</f>
        <v>6.8352247278516104E-2</v>
      </c>
      <c r="AO31" s="27">
        <f>IF(('Activity data'!AO18*EF!$H31)*kgtoGg=0,"NO",('Activity data'!AO18*EF!$H31)*kgtoGg)</f>
        <v>6.767767695596183E-2</v>
      </c>
      <c r="AP31" s="27">
        <f>IF(('Activity data'!AP18*EF!$H31)*kgtoGg=0,"NO",('Activity data'!AP18*EF!$H31)*kgtoGg)</f>
        <v>6.7084395944141104E-2</v>
      </c>
      <c r="AQ31" s="27">
        <f>IF(('Activity data'!AQ18*EF!$H31)*kgtoGg=0,"NO",('Activity data'!AQ18*EF!$H31)*kgtoGg)</f>
        <v>6.6901042203608638E-2</v>
      </c>
      <c r="AR31" s="27">
        <f>IF(('Activity data'!AR18*EF!$H31)*kgtoGg=0,"NO",('Activity data'!AR18*EF!$H31)*kgtoGg)</f>
        <v>6.7111684363095322E-2</v>
      </c>
      <c r="AS31" s="27">
        <f>IF(('Activity data'!AS18*EF!$H31)*kgtoGg=0,"NO",('Activity data'!AS18*EF!$H31)*kgtoGg)</f>
        <v>6.7504026185839727E-2</v>
      </c>
      <c r="AT31" s="27">
        <f>IF(('Activity data'!AT18*EF!$H31)*kgtoGg=0,"NO",('Activity data'!AT18*EF!$H31)*kgtoGg)</f>
        <v>6.8122828642149871E-2</v>
      </c>
      <c r="AU31" s="27">
        <f>IF(('Activity data'!AU18*EF!$H31)*kgtoGg=0,"NO",('Activity data'!AU18*EF!$H31)*kgtoGg)</f>
        <v>6.9116873969995066E-2</v>
      </c>
      <c r="AV31" s="27">
        <f>IF(('Activity data'!AV18*EF!$H31)*kgtoGg=0,"NO",('Activity data'!AV18*EF!$H31)*kgtoGg)</f>
        <v>7.0451456027731174E-2</v>
      </c>
      <c r="AW31" s="27">
        <f>IF(('Activity data'!AW18*EF!$H31)*kgtoGg=0,"NO",('Activity data'!AW18*EF!$H31)*kgtoGg)</f>
        <v>7.1970411183742145E-2</v>
      </c>
      <c r="AX31" s="27">
        <f>IF(('Activity data'!AX18*EF!$H31)*kgtoGg=0,"NO",('Activity data'!AX18*EF!$H31)*kgtoGg)</f>
        <v>7.3658660723829941E-2</v>
      </c>
      <c r="AY31" s="27">
        <f>IF(('Activity data'!AY18*EF!$H31)*kgtoGg=0,"NO",('Activity data'!AY18*EF!$H31)*kgtoGg)</f>
        <v>7.5431757719028575E-2</v>
      </c>
      <c r="AZ31" s="27">
        <f>IF(('Activity data'!AZ18*EF!$H31)*kgtoGg=0,"NO",('Activity data'!AZ18*EF!$H31)*kgtoGg)</f>
        <v>7.7320153452066526E-2</v>
      </c>
      <c r="BA31" s="27">
        <f>IF(('Activity data'!BA18*EF!$H31)*kgtoGg=0,"NO",('Activity data'!BA18*EF!$H31)*kgtoGg)</f>
        <v>7.9283145641754912E-2</v>
      </c>
      <c r="BB31" s="27">
        <f>IF(('Activity data'!BB18*EF!$H31)*kgtoGg=0,"NO",('Activity data'!BB18*EF!$H31)*kgtoGg)</f>
        <v>8.1188091030010831E-2</v>
      </c>
      <c r="BC31" s="27">
        <f>IF(('Activity data'!BC18*EF!$H31)*kgtoGg=0,"NO",('Activity data'!BC18*EF!$H31)*kgtoGg)</f>
        <v>8.3219025214881143E-2</v>
      </c>
      <c r="BD31" s="27">
        <f>IF(('Activity data'!BD18*EF!$H31)*kgtoGg=0,"NO",('Activity data'!BD18*EF!$H31)*kgtoGg)</f>
        <v>8.525401023742317E-2</v>
      </c>
      <c r="BE31" s="27">
        <f>IF(('Activity data'!BE18*EF!$H31)*kgtoGg=0,"NO",('Activity data'!BE18*EF!$H31)*kgtoGg)</f>
        <v>8.7282361799551011E-2</v>
      </c>
      <c r="BF31" s="27">
        <f>IF(('Activity data'!BF18*EF!$H31)*kgtoGg=0,"NO",('Activity data'!BF18*EF!$H31)*kgtoGg)</f>
        <v>8.9356563945406475E-2</v>
      </c>
      <c r="BG31" s="27">
        <f>IF(('Activity data'!BG18*EF!$H31)*kgtoGg=0,"NO",('Activity data'!BG18*EF!$H31)*kgtoGg)</f>
        <v>9.1342481956672425E-2</v>
      </c>
      <c r="BH31" s="27">
        <f>IF(('Activity data'!BH18*EF!$H31)*kgtoGg=0,"NO",('Activity data'!BH18*EF!$H31)*kgtoGg)</f>
        <v>9.3420629255847557E-2</v>
      </c>
      <c r="BI31" s="27">
        <f>IF(('Activity data'!BI18*EF!$H31)*kgtoGg=0,"NO",('Activity data'!BI18*EF!$H31)*kgtoGg)</f>
        <v>9.5650912826147239E-2</v>
      </c>
      <c r="BJ31" s="27">
        <f>IF(('Activity data'!BJ18*EF!$H31)*kgtoGg=0,"NO",('Activity data'!BJ18*EF!$H31)*kgtoGg)</f>
        <v>9.7920173524444973E-2</v>
      </c>
      <c r="BK31" s="27">
        <f>IF(('Activity data'!BK18*EF!$H31)*kgtoGg=0,"NO",('Activity data'!BK18*EF!$H31)*kgtoGg)</f>
        <v>0.10023258321712952</v>
      </c>
      <c r="BL31" s="27">
        <f>IF(('Activity data'!BL18*EF!$H31)*kgtoGg=0,"NO",('Activity data'!BL18*EF!$H31)*kgtoGg)</f>
        <v>0.1027024066655249</v>
      </c>
      <c r="BM31" s="27">
        <f>IF(('Activity data'!BM18*EF!$H31)*kgtoGg=0,"NO",('Activity data'!BM18*EF!$H31)*kgtoGg)</f>
        <v>0.10528664718117813</v>
      </c>
      <c r="BN31" s="27">
        <f>IF(('Activity data'!BN18*EF!$H31)*kgtoGg=0,"NO",('Activity data'!BN18*EF!$H31)*kgtoGg)</f>
        <v>0.10795584788427327</v>
      </c>
      <c r="BO31" s="27">
        <f>IF(('Activity data'!BO18*EF!$H31)*kgtoGg=0,"NO",('Activity data'!BO18*EF!$H31)*kgtoGg)</f>
        <v>0.11077924926857086</v>
      </c>
      <c r="BP31" s="27">
        <f>IF(('Activity data'!BP18*EF!$H31)*kgtoGg=0,"NO",('Activity data'!BP18*EF!$H31)*kgtoGg)</f>
        <v>0.11333493860772317</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0.59573243019488353</v>
      </c>
      <c r="AM32" s="27">
        <f>IF(('Activity data'!AM19*EF!$H32)*kgtoGg=0,"NO",('Activity data'!AM19*EF!$H32)*kgtoGg)</f>
        <v>0.62060528502680601</v>
      </c>
      <c r="AN32" s="27">
        <f>IF(('Activity data'!AN19*EF!$H32)*kgtoGg=0,"NO",('Activity data'!AN19*EF!$H32)*kgtoGg)</f>
        <v>0.63538739650332932</v>
      </c>
      <c r="AO32" s="27">
        <f>IF(('Activity data'!AO19*EF!$H32)*kgtoGg=0,"NO",('Activity data'!AO19*EF!$H32)*kgtoGg)</f>
        <v>0.64244306993256506</v>
      </c>
      <c r="AP32" s="27">
        <f>IF(('Activity data'!AP19*EF!$H32)*kgtoGg=0,"NO",('Activity data'!AP19*EF!$H32)*kgtoGg)</f>
        <v>0.65026805947534316</v>
      </c>
      <c r="AQ32" s="27">
        <f>IF(('Activity data'!AQ19*EF!$H32)*kgtoGg=0,"NO",('Activity data'!AQ19*EF!$H32)*kgtoGg)</f>
        <v>0.66047268102504608</v>
      </c>
      <c r="AR32" s="27">
        <f>IF(('Activity data'!AR19*EF!$H32)*kgtoGg=0,"NO",('Activity data'!AR19*EF!$H32)*kgtoGg)</f>
        <v>0.67275642094337218</v>
      </c>
      <c r="AS32" s="27">
        <f>IF(('Activity data'!AS19*EF!$H32)*kgtoGg=0,"NO",('Activity data'!AS19*EF!$H32)*kgtoGg)</f>
        <v>0.68607919631568115</v>
      </c>
      <c r="AT32" s="27">
        <f>IF(('Activity data'!AT19*EF!$H32)*kgtoGg=0,"NO",('Activity data'!AT19*EF!$H32)*kgtoGg)</f>
        <v>0.70076804403320936</v>
      </c>
      <c r="AU32" s="27">
        <f>IF(('Activity data'!AU19*EF!$H32)*kgtoGg=0,"NO",('Activity data'!AU19*EF!$H32)*kgtoGg)</f>
        <v>0.71779554918535993</v>
      </c>
      <c r="AV32" s="27">
        <f>IF(('Activity data'!AV19*EF!$H32)*kgtoGg=0,"NO",('Activity data'!AV19*EF!$H32)*kgtoGg)</f>
        <v>0.73711000301021679</v>
      </c>
      <c r="AW32" s="27">
        <f>IF(('Activity data'!AW19*EF!$H32)*kgtoGg=0,"NO",('Activity data'!AW19*EF!$H32)*kgtoGg)</f>
        <v>0.75788984228274747</v>
      </c>
      <c r="AX32" s="27">
        <f>IF(('Activity data'!AX19*EF!$H32)*kgtoGg=0,"NO",('Activity data'!AX19*EF!$H32)*kgtoGg)</f>
        <v>0.78013180876638377</v>
      </c>
      <c r="AY32" s="27">
        <f>IF(('Activity data'!AY19*EF!$H32)*kgtoGg=0,"NO",('Activity data'!AY19*EF!$H32)*kgtoGg)</f>
        <v>0.80337597870999389</v>
      </c>
      <c r="AZ32" s="27">
        <f>IF(('Activity data'!AZ19*EF!$H32)*kgtoGg=0,"NO",('Activity data'!AZ19*EF!$H32)*kgtoGg)</f>
        <v>0.82785833709156575</v>
      </c>
      <c r="BA32" s="27">
        <f>IF(('Activity data'!BA19*EF!$H32)*kgtoGg=0,"NO",('Activity data'!BA19*EF!$H32)*kgtoGg)</f>
        <v>0.85337321588031811</v>
      </c>
      <c r="BB32" s="27">
        <f>IF(('Activity data'!BB19*EF!$H32)*kgtoGg=0,"NO",('Activity data'!BB19*EF!$H32)*kgtoGg)</f>
        <v>0.87907798873871268</v>
      </c>
      <c r="BC32" s="27">
        <f>IF(('Activity data'!BC19*EF!$H32)*kgtoGg=0,"NO",('Activity data'!BC19*EF!$H32)*kgtoGg)</f>
        <v>0.90622461339542404</v>
      </c>
      <c r="BD32" s="27">
        <f>IF(('Activity data'!BD19*EF!$H32)*kgtoGg=0,"NO",('Activity data'!BD19*EF!$H32)*kgtoGg)</f>
        <v>0.93400977893113157</v>
      </c>
      <c r="BE32" s="27">
        <f>IF(('Activity data'!BE19*EF!$H32)*kgtoGg=0,"NO",('Activity data'!BE19*EF!$H32)*kgtoGg)</f>
        <v>0.96237643638695936</v>
      </c>
      <c r="BF32" s="27">
        <f>IF(('Activity data'!BF19*EF!$H32)*kgtoGg=0,"NO",('Activity data'!BF19*EF!$H32)*kgtoGg)</f>
        <v>0.99172546365777581</v>
      </c>
      <c r="BG32" s="27">
        <f>IF(('Activity data'!BG19*EF!$H32)*kgtoGg=0,"NO",('Activity data'!BG19*EF!$H32)*kgtoGg)</f>
        <v>1.0211032601995891</v>
      </c>
      <c r="BH32" s="27">
        <f>IF(('Activity data'!BH19*EF!$H32)*kgtoGg=0,"NO",('Activity data'!BH19*EF!$H32)*kgtoGg)</f>
        <v>1.0518470326965137</v>
      </c>
      <c r="BI32" s="27">
        <f>IF(('Activity data'!BI19*EF!$H32)*kgtoGg=0,"NO",('Activity data'!BI19*EF!$H32)*kgtoGg)</f>
        <v>1.0844705032412159</v>
      </c>
      <c r="BJ32" s="27">
        <f>IF(('Activity data'!BJ19*EF!$H32)*kgtoGg=0,"NO",('Activity data'!BJ19*EF!$H32)*kgtoGg)</f>
        <v>1.1181722864478278</v>
      </c>
      <c r="BK32" s="27">
        <f>IF(('Activity data'!BK19*EF!$H32)*kgtoGg=0,"NO",('Activity data'!BK19*EF!$H32)*kgtoGg)</f>
        <v>1.1530181967657136</v>
      </c>
      <c r="BL32" s="27">
        <f>IF(('Activity data'!BL19*EF!$H32)*kgtoGg=0,"NO",('Activity data'!BL19*EF!$H32)*kgtoGg)</f>
        <v>1.1899731342287589</v>
      </c>
      <c r="BM32" s="27">
        <f>IF(('Activity data'!BM19*EF!$H32)*kgtoGg=0,"NO",('Activity data'!BM19*EF!$H32)*kgtoGg)</f>
        <v>1.2287768115471775</v>
      </c>
      <c r="BN32" s="27">
        <f>IF(('Activity data'!BN19*EF!$H32)*kgtoGg=0,"NO",('Activity data'!BN19*EF!$H32)*kgtoGg)</f>
        <v>1.2692627400827883</v>
      </c>
      <c r="BO32" s="27">
        <f>IF(('Activity data'!BO19*EF!$H32)*kgtoGg=0,"NO",('Activity data'!BO19*EF!$H32)*kgtoGg)</f>
        <v>1.3120972726435587</v>
      </c>
      <c r="BP32" s="27">
        <f>IF(('Activity data'!BP19*EF!$H32)*kgtoGg=0,"NO",('Activity data'!BP19*EF!$H32)*kgtoGg)</f>
        <v>1.3536832016924076</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2.2858678822724814</v>
      </c>
      <c r="AG33" s="27">
        <f>IF(('Activity data'!AG20*EF!$H33)*kgtoGg=0,"NO",('Activity data'!AG20*EF!$H33)*kgtoGg)</f>
        <v>2.2992900748078591</v>
      </c>
      <c r="AH33" s="27">
        <f>IF(('Activity data'!AH20*EF!$H33)*kgtoGg=0,"NO",('Activity data'!AH20*EF!$H33)*kgtoGg)</f>
        <v>2.2910596881616558</v>
      </c>
      <c r="AI33" s="27">
        <f>IF(('Activity data'!AI20*EF!$H33)*kgtoGg=0,"NO",('Activity data'!AI20*EF!$H33)*kgtoGg)</f>
        <v>2.2612642885898917</v>
      </c>
      <c r="AJ33" s="27">
        <f>IF(('Activity data'!AJ20*EF!$H33)*kgtoGg=0,"NO",('Activity data'!AJ20*EF!$H33)*kgtoGg)</f>
        <v>2.2487211059946204</v>
      </c>
      <c r="AK33" s="27">
        <f>IF(('Activity data'!AK20*EF!$H33)*kgtoGg=0,"NO",('Activity data'!AK20*EF!$H33)*kgtoGg)</f>
        <v>2.2390235702415184</v>
      </c>
      <c r="AL33" s="27">
        <f>IF(('Activity data'!AL20*EF!$H33)*kgtoGg=0,"NO",('Activity data'!AL20*EF!$H33)*kgtoGg)</f>
        <v>1.9480109024353172</v>
      </c>
      <c r="AM33" s="27">
        <f>IF(('Activity data'!AM20*EF!$H33)*kgtoGg=0,"NO",('Activity data'!AM20*EF!$H33)*kgtoGg)</f>
        <v>2.1242573648526935</v>
      </c>
      <c r="AN33" s="27">
        <f>IF(('Activity data'!AN20*EF!$H33)*kgtoGg=0,"NO",('Activity data'!AN20*EF!$H33)*kgtoGg)</f>
        <v>2.2090616174503466</v>
      </c>
      <c r="AO33" s="27">
        <f>IF(('Activity data'!AO20*EF!$H33)*kgtoGg=0,"NO",('Activity data'!AO20*EF!$H33)*kgtoGg)</f>
        <v>2.219672639907655</v>
      </c>
      <c r="AP33" s="27">
        <f>IF(('Activity data'!AP20*EF!$H33)*kgtoGg=0,"NO",('Activity data'!AP20*EF!$H33)*kgtoGg)</f>
        <v>2.2319049749890385</v>
      </c>
      <c r="AQ33" s="27">
        <f>IF(('Activity data'!AQ20*EF!$H33)*kgtoGg=0,"NO",('Activity data'!AQ20*EF!$H33)*kgtoGg)</f>
        <v>2.2629262949362925</v>
      </c>
      <c r="AR33" s="27">
        <f>IF(('Activity data'!AR20*EF!$H33)*kgtoGg=0,"NO",('Activity data'!AR20*EF!$H33)*kgtoGg)</f>
        <v>2.3140044447008137</v>
      </c>
      <c r="AS33" s="27">
        <f>IF(('Activity data'!AS20*EF!$H33)*kgtoGg=0,"NO",('Activity data'!AS20*EF!$H33)*kgtoGg)</f>
        <v>2.3751177408865005</v>
      </c>
      <c r="AT33" s="27">
        <f>IF(('Activity data'!AT20*EF!$H33)*kgtoGg=0,"NO",('Activity data'!AT20*EF!$H33)*kgtoGg)</f>
        <v>2.4489635487241519</v>
      </c>
      <c r="AU33" s="27">
        <f>IF(('Activity data'!AU20*EF!$H33)*kgtoGg=0,"NO",('Activity data'!AU20*EF!$H33)*kgtoGg)</f>
        <v>2.5437406386090786</v>
      </c>
      <c r="AV33" s="27">
        <f>IF(('Activity data'!AV20*EF!$H33)*kgtoGg=0,"NO",('Activity data'!AV20*EF!$H33)*kgtoGg)</f>
        <v>2.6583677679701894</v>
      </c>
      <c r="AW33" s="27">
        <f>IF(('Activity data'!AW20*EF!$H33)*kgtoGg=0,"NO",('Activity data'!AW20*EF!$H33)*kgtoGg)</f>
        <v>2.7852398205087883</v>
      </c>
      <c r="AX33" s="27">
        <f>IF(('Activity data'!AX20*EF!$H33)*kgtoGg=0,"NO",('Activity data'!AX20*EF!$H33)*kgtoGg)</f>
        <v>2.9239358907782309</v>
      </c>
      <c r="AY33" s="27">
        <f>IF(('Activity data'!AY20*EF!$H33)*kgtoGg=0,"NO",('Activity data'!AY20*EF!$H33)*kgtoGg)</f>
        <v>3.0702342900973978</v>
      </c>
      <c r="AZ33" s="27">
        <f>IF(('Activity data'!AZ20*EF!$H33)*kgtoGg=0,"NO",('Activity data'!AZ20*EF!$H33)*kgtoGg)</f>
        <v>3.2260927445342245</v>
      </c>
      <c r="BA33" s="27">
        <f>IF(('Activity data'!BA20*EF!$H33)*kgtoGg=0,"NO",('Activity data'!BA20*EF!$H33)*kgtoGg)</f>
        <v>3.3895233708783912</v>
      </c>
      <c r="BB33" s="27">
        <f>IF(('Activity data'!BB20*EF!$H33)*kgtoGg=0,"NO",('Activity data'!BB20*EF!$H33)*kgtoGg)</f>
        <v>3.5531911169091885</v>
      </c>
      <c r="BC33" s="27">
        <f>IF(('Activity data'!BC20*EF!$H33)*kgtoGg=0,"NO",('Activity data'!BC20*EF!$H33)*kgtoGg)</f>
        <v>3.7276822125599338</v>
      </c>
      <c r="BD33" s="27">
        <f>IF(('Activity data'!BD20*EF!$H33)*kgtoGg=0,"NO",('Activity data'!BD20*EF!$H33)*kgtoGg)</f>
        <v>3.9062898323416295</v>
      </c>
      <c r="BE33" s="27">
        <f>IF(('Activity data'!BE20*EF!$H33)*kgtoGg=0,"NO",('Activity data'!BE20*EF!$H33)*kgtoGg)</f>
        <v>4.0884842597865152</v>
      </c>
      <c r="BF33" s="27">
        <f>IF(('Activity data'!BF20*EF!$H33)*kgtoGg=0,"NO",('Activity data'!BF20*EF!$H33)*kgtoGg)</f>
        <v>4.2774788120039364</v>
      </c>
      <c r="BG33" s="27">
        <f>IF(('Activity data'!BG20*EF!$H33)*kgtoGg=0,"NO",('Activity data'!BG20*EF!$H33)*kgtoGg)</f>
        <v>4.4653386243384539</v>
      </c>
      <c r="BH33" s="27">
        <f>IF(('Activity data'!BH20*EF!$H33)*kgtoGg=0,"NO",('Activity data'!BH20*EF!$H33)*kgtoGg)</f>
        <v>4.6630770817729719</v>
      </c>
      <c r="BI33" s="27">
        <f>IF(('Activity data'!BI20*EF!$H33)*kgtoGg=0,"NO",('Activity data'!BI20*EF!$H33)*kgtoGg)</f>
        <v>4.8747652719370373</v>
      </c>
      <c r="BJ33" s="27">
        <f>IF(('Activity data'!BJ20*EF!$H33)*kgtoGg=0,"NO",('Activity data'!BJ20*EF!$H33)*kgtoGg)</f>
        <v>5.0937607978342658</v>
      </c>
      <c r="BK33" s="27">
        <f>IF(('Activity data'!BK20*EF!$H33)*kgtoGg=0,"NO",('Activity data'!BK20*EF!$H33)*kgtoGg)</f>
        <v>5.3205750433635002</v>
      </c>
      <c r="BL33" s="27">
        <f>IF(('Activity data'!BL20*EF!$H33)*kgtoGg=0,"NO",('Activity data'!BL20*EF!$H33)*kgtoGg)</f>
        <v>5.5628565017727221</v>
      </c>
      <c r="BM33" s="27">
        <f>IF(('Activity data'!BM20*EF!$H33)*kgtoGg=0,"NO",('Activity data'!BM20*EF!$H33)*kgtoGg)</f>
        <v>5.8183308290473201</v>
      </c>
      <c r="BN33" s="27">
        <f>IF(('Activity data'!BN20*EF!$H33)*kgtoGg=0,"NO",('Activity data'!BN20*EF!$H33)*kgtoGg)</f>
        <v>6.0854872952292993</v>
      </c>
      <c r="BO33" s="27">
        <f>IF(('Activity data'!BO20*EF!$H33)*kgtoGg=0,"NO",('Activity data'!BO20*EF!$H33)*kgtoGg)</f>
        <v>6.3693601721837521</v>
      </c>
      <c r="BP33" s="27">
        <f>IF(('Activity data'!BP20*EF!$H33)*kgtoGg=0,"NO",('Activity data'!BP20*EF!$H33)*kgtoGg)</f>
        <v>6.641848924312276</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2.4944242822745922E-2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2.4822184591453505E-2</v>
      </c>
      <c r="AM34" s="27">
        <f>IF(('Activity data'!AM21*EF!$H34)*kgtoGg=0,"NO",('Activity data'!AM21*EF!$H34)*kgtoGg)</f>
        <v>2.5858553542783609E-2</v>
      </c>
      <c r="AN34" s="27">
        <f>IF(('Activity data'!AN21*EF!$H34)*kgtoGg=0,"NO",('Activity data'!AN21*EF!$H34)*kgtoGg)</f>
        <v>2.6474474854305419E-2</v>
      </c>
      <c r="AO34" s="27">
        <f>IF(('Activity data'!AO21*EF!$H34)*kgtoGg=0,"NO",('Activity data'!AO21*EF!$H34)*kgtoGg)</f>
        <v>2.6768461247190234E-2</v>
      </c>
      <c r="AP34" s="27">
        <f>IF(('Activity data'!AP21*EF!$H34)*kgtoGg=0,"NO",('Activity data'!AP21*EF!$H34)*kgtoGg)</f>
        <v>2.709450247813933E-2</v>
      </c>
      <c r="AQ34" s="27">
        <f>IF(('Activity data'!AQ21*EF!$H34)*kgtoGg=0,"NO",('Activity data'!AQ21*EF!$H34)*kgtoGg)</f>
        <v>2.751969504271028E-2</v>
      </c>
      <c r="AR34" s="27">
        <f>IF(('Activity data'!AR21*EF!$H34)*kgtoGg=0,"NO",('Activity data'!AR21*EF!$H34)*kgtoGg)</f>
        <v>2.8031517539307202E-2</v>
      </c>
      <c r="AS34" s="27">
        <f>IF(('Activity data'!AS21*EF!$H34)*kgtoGg=0,"NO",('Activity data'!AS21*EF!$H34)*kgtoGg)</f>
        <v>2.8586633179820076E-2</v>
      </c>
      <c r="AT34" s="27">
        <f>IF(('Activity data'!AT21*EF!$H34)*kgtoGg=0,"NO",('Activity data'!AT21*EF!$H34)*kgtoGg)</f>
        <v>2.9198668501383751E-2</v>
      </c>
      <c r="AU34" s="27">
        <f>IF(('Activity data'!AU21*EF!$H34)*kgtoGg=0,"NO",('Activity data'!AU21*EF!$H34)*kgtoGg)</f>
        <v>2.9908147882723356E-2</v>
      </c>
      <c r="AV34" s="27">
        <f>IF(('Activity data'!AV21*EF!$H34)*kgtoGg=0,"NO",('Activity data'!AV21*EF!$H34)*kgtoGg)</f>
        <v>3.0712916792092395E-2</v>
      </c>
      <c r="AW34" s="27">
        <f>IF(('Activity data'!AW21*EF!$H34)*kgtoGg=0,"NO",('Activity data'!AW21*EF!$H34)*kgtoGg)</f>
        <v>3.1578743428447839E-2</v>
      </c>
      <c r="AX34" s="27">
        <f>IF(('Activity data'!AX21*EF!$H34)*kgtoGg=0,"NO",('Activity data'!AX21*EF!$H34)*kgtoGg)</f>
        <v>3.250549203193269E-2</v>
      </c>
      <c r="AY34" s="27">
        <f>IF(('Activity data'!AY21*EF!$H34)*kgtoGg=0,"NO",('Activity data'!AY21*EF!$H34)*kgtoGg)</f>
        <v>3.3473999112916437E-2</v>
      </c>
      <c r="AZ34" s="27">
        <f>IF(('Activity data'!AZ21*EF!$H34)*kgtoGg=0,"NO",('Activity data'!AZ21*EF!$H34)*kgtoGg)</f>
        <v>3.4494097378815265E-2</v>
      </c>
      <c r="BA34" s="27">
        <f>IF(('Activity data'!BA21*EF!$H34)*kgtoGg=0,"NO",('Activity data'!BA21*EF!$H34)*kgtoGg)</f>
        <v>3.5557217328346623E-2</v>
      </c>
      <c r="BB34" s="27">
        <f>IF(('Activity data'!BB21*EF!$H34)*kgtoGg=0,"NO",('Activity data'!BB21*EF!$H34)*kgtoGg)</f>
        <v>3.6628249530779734E-2</v>
      </c>
      <c r="BC34" s="27">
        <f>IF(('Activity data'!BC21*EF!$H34)*kgtoGg=0,"NO",('Activity data'!BC21*EF!$H34)*kgtoGg)</f>
        <v>3.7759358891476039E-2</v>
      </c>
      <c r="BD34" s="27">
        <f>IF(('Activity data'!BD21*EF!$H34)*kgtoGg=0,"NO",('Activity data'!BD21*EF!$H34)*kgtoGg)</f>
        <v>3.8917074122130517E-2</v>
      </c>
      <c r="BE34" s="27">
        <f>IF(('Activity data'!BE21*EF!$H34)*kgtoGg=0,"NO",('Activity data'!BE21*EF!$H34)*kgtoGg)</f>
        <v>4.0099018182790006E-2</v>
      </c>
      <c r="BF34" s="27">
        <f>IF(('Activity data'!BF21*EF!$H34)*kgtoGg=0,"NO",('Activity data'!BF21*EF!$H34)*kgtoGg)</f>
        <v>4.1321894319074036E-2</v>
      </c>
      <c r="BG34" s="27">
        <f>IF(('Activity data'!BG21*EF!$H34)*kgtoGg=0,"NO",('Activity data'!BG21*EF!$H34)*kgtoGg)</f>
        <v>4.2545969174982913E-2</v>
      </c>
      <c r="BH34" s="27">
        <f>IF(('Activity data'!BH21*EF!$H34)*kgtoGg=0,"NO",('Activity data'!BH21*EF!$H34)*kgtoGg)</f>
        <v>4.382695969568811E-2</v>
      </c>
      <c r="BI34" s="27">
        <f>IF(('Activity data'!BI21*EF!$H34)*kgtoGg=0,"NO",('Activity data'!BI21*EF!$H34)*kgtoGg)</f>
        <v>4.5186270968384026E-2</v>
      </c>
      <c r="BJ34" s="27">
        <f>IF(('Activity data'!BJ21*EF!$H34)*kgtoGg=0,"NO",('Activity data'!BJ21*EF!$H34)*kgtoGg)</f>
        <v>4.6590511935326193E-2</v>
      </c>
      <c r="BK34" s="27">
        <f>IF(('Activity data'!BK21*EF!$H34)*kgtoGg=0,"NO",('Activity data'!BK21*EF!$H34)*kgtoGg)</f>
        <v>4.8042424865238111E-2</v>
      </c>
      <c r="BL34" s="27">
        <f>IF(('Activity data'!BL21*EF!$H34)*kgtoGg=0,"NO",('Activity data'!BL21*EF!$H34)*kgtoGg)</f>
        <v>4.958221392619834E-2</v>
      </c>
      <c r="BM34" s="27">
        <f>IF(('Activity data'!BM21*EF!$H34)*kgtoGg=0,"NO",('Activity data'!BM21*EF!$H34)*kgtoGg)</f>
        <v>5.1199033814465784E-2</v>
      </c>
      <c r="BN34" s="27">
        <f>IF(('Activity data'!BN21*EF!$H34)*kgtoGg=0,"NO",('Activity data'!BN21*EF!$H34)*kgtoGg)</f>
        <v>5.2885947503449555E-2</v>
      </c>
      <c r="BO34" s="27">
        <f>IF(('Activity data'!BO21*EF!$H34)*kgtoGg=0,"NO",('Activity data'!BO21*EF!$H34)*kgtoGg)</f>
        <v>5.4670719693481661E-2</v>
      </c>
      <c r="BP34" s="27">
        <f>IF(('Activity data'!BP21*EF!$H34)*kgtoGg=0,"NO",('Activity data'!BP21*EF!$H34)*kgtoGg)</f>
        <v>5.6403466737183702E-2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9.5244495094686812E-2</v>
      </c>
      <c r="AG35" s="27">
        <f>IF(('Activity data'!AG22*EF!$H35)*kgtoGg=0,"NO",('Activity data'!AG22*EF!$H35)*kgtoGg)</f>
        <v>9.5803753116994184E-2</v>
      </c>
      <c r="AH35" s="27">
        <f>IF(('Activity data'!AH22*EF!$H35)*kgtoGg=0,"NO",('Activity data'!AH22*EF!$H35)*kgtoGg)</f>
        <v>9.5460820340069058E-2</v>
      </c>
      <c r="AI35" s="27">
        <f>IF(('Activity data'!AI22*EF!$H35)*kgtoGg=0,"NO",('Activity data'!AI22*EF!$H35)*kgtoGg)</f>
        <v>9.4219345357912251E-2</v>
      </c>
      <c r="AJ35" s="27">
        <f>IF(('Activity data'!AJ22*EF!$H35)*kgtoGg=0,"NO",('Activity data'!AJ22*EF!$H35)*kgtoGg)</f>
        <v>9.3696712749775937E-2</v>
      </c>
      <c r="AK35" s="27">
        <f>IF(('Activity data'!AK22*EF!$H35)*kgtoGg=0,"NO",('Activity data'!AK22*EF!$H35)*kgtoGg)</f>
        <v>9.3292648760063338E-2</v>
      </c>
      <c r="AL35" s="27">
        <f>IF(('Activity data'!AL22*EF!$H35)*kgtoGg=0,"NO",('Activity data'!AL22*EF!$H35)*kgtoGg)</f>
        <v>8.1167120934804951E-2</v>
      </c>
      <c r="AM35" s="27">
        <f>IF(('Activity data'!AM22*EF!$H35)*kgtoGg=0,"NO",('Activity data'!AM22*EF!$H35)*kgtoGg)</f>
        <v>8.8510723535528968E-2</v>
      </c>
      <c r="AN35" s="27">
        <f>IF(('Activity data'!AN22*EF!$H35)*kgtoGg=0,"NO",('Activity data'!AN22*EF!$H35)*kgtoGg)</f>
        <v>9.2044234060431204E-2</v>
      </c>
      <c r="AO35" s="27">
        <f>IF(('Activity data'!AO22*EF!$H35)*kgtoGg=0,"NO",('Activity data'!AO22*EF!$H35)*kgtoGg)</f>
        <v>9.2486359996152387E-2</v>
      </c>
      <c r="AP35" s="27">
        <f>IF(('Activity data'!AP22*EF!$H35)*kgtoGg=0,"NO",('Activity data'!AP22*EF!$H35)*kgtoGg)</f>
        <v>9.299604062454335E-2</v>
      </c>
      <c r="AQ35" s="27">
        <f>IF(('Activity data'!AQ22*EF!$H35)*kgtoGg=0,"NO",('Activity data'!AQ22*EF!$H35)*kgtoGg)</f>
        <v>9.4288595622345608E-2</v>
      </c>
      <c r="AR35" s="27">
        <f>IF(('Activity data'!AR22*EF!$H35)*kgtoGg=0,"NO",('Activity data'!AR22*EF!$H35)*kgtoGg)</f>
        <v>9.6416851862533987E-2</v>
      </c>
      <c r="AS35" s="27">
        <f>IF(('Activity data'!AS22*EF!$H35)*kgtoGg=0,"NO",('Activity data'!AS22*EF!$H35)*kgtoGg)</f>
        <v>9.8963239203604281E-2</v>
      </c>
      <c r="AT35" s="27">
        <f>IF(('Activity data'!AT22*EF!$H35)*kgtoGg=0,"NO",('Activity data'!AT22*EF!$H35)*kgtoGg)</f>
        <v>0.1020401478635064</v>
      </c>
      <c r="AU35" s="27">
        <f>IF(('Activity data'!AU22*EF!$H35)*kgtoGg=0,"NO",('Activity data'!AU22*EF!$H35)*kgtoGg)</f>
        <v>0.10598919327537835</v>
      </c>
      <c r="AV35" s="27">
        <f>IF(('Activity data'!AV22*EF!$H35)*kgtoGg=0,"NO",('Activity data'!AV22*EF!$H35)*kgtoGg)</f>
        <v>0.11076532366542467</v>
      </c>
      <c r="AW35" s="27">
        <f>IF(('Activity data'!AW22*EF!$H35)*kgtoGg=0,"NO",('Activity data'!AW22*EF!$H35)*kgtoGg)</f>
        <v>0.11605165918786628</v>
      </c>
      <c r="AX35" s="27">
        <f>IF(('Activity data'!AX22*EF!$H35)*kgtoGg=0,"NO",('Activity data'!AX22*EF!$H35)*kgtoGg)</f>
        <v>0.12183066211575974</v>
      </c>
      <c r="AY35" s="27">
        <f>IF(('Activity data'!AY22*EF!$H35)*kgtoGg=0,"NO",('Activity data'!AY22*EF!$H35)*kgtoGg)</f>
        <v>0.12792642875405835</v>
      </c>
      <c r="AZ35" s="27">
        <f>IF(('Activity data'!AZ22*EF!$H35)*kgtoGg=0,"NO",('Activity data'!AZ22*EF!$H35)*kgtoGg)</f>
        <v>0.13442053102225948</v>
      </c>
      <c r="BA35" s="27">
        <f>IF(('Activity data'!BA22*EF!$H35)*kgtoGg=0,"NO",('Activity data'!BA22*EF!$H35)*kgtoGg)</f>
        <v>0.1412301404532664</v>
      </c>
      <c r="BB35" s="27">
        <f>IF(('Activity data'!BB22*EF!$H35)*kgtoGg=0,"NO",('Activity data'!BB22*EF!$H35)*kgtoGg)</f>
        <v>0.14804962987121634</v>
      </c>
      <c r="BC35" s="27">
        <f>IF(('Activity data'!BC22*EF!$H35)*kgtoGg=0,"NO",('Activity data'!BC22*EF!$H35)*kgtoGg)</f>
        <v>0.15532009218999737</v>
      </c>
      <c r="BD35" s="27">
        <f>IF(('Activity data'!BD22*EF!$H35)*kgtoGg=0,"NO",('Activity data'!BD22*EF!$H35)*kgtoGg)</f>
        <v>0.16276207634756804</v>
      </c>
      <c r="BE35" s="27">
        <f>IF(('Activity data'!BE22*EF!$H35)*kgtoGg=0,"NO",('Activity data'!BE22*EF!$H35)*kgtoGg)</f>
        <v>0.17035351082443828</v>
      </c>
      <c r="BF35" s="27">
        <f>IF(('Activity data'!BF22*EF!$H35)*kgtoGg=0,"NO",('Activity data'!BF22*EF!$H35)*kgtoGg)</f>
        <v>0.17822828383349751</v>
      </c>
      <c r="BG35" s="27">
        <f>IF(('Activity data'!BG22*EF!$H35)*kgtoGg=0,"NO",('Activity data'!BG22*EF!$H35)*kgtoGg)</f>
        <v>0.18605577601410239</v>
      </c>
      <c r="BH35" s="27">
        <f>IF(('Activity data'!BH22*EF!$H35)*kgtoGg=0,"NO",('Activity data'!BH22*EF!$H35)*kgtoGg)</f>
        <v>0.19429487840720733</v>
      </c>
      <c r="BI35" s="27">
        <f>IF(('Activity data'!BI22*EF!$H35)*kgtoGg=0,"NO",('Activity data'!BI22*EF!$H35)*kgtoGg)</f>
        <v>0.20311521966404342</v>
      </c>
      <c r="BJ35" s="27">
        <f>IF(('Activity data'!BJ22*EF!$H35)*kgtoGg=0,"NO",('Activity data'!BJ22*EF!$H35)*kgtoGg)</f>
        <v>0.21224003324309459</v>
      </c>
      <c r="BK35" s="27">
        <f>IF(('Activity data'!BK22*EF!$H35)*kgtoGg=0,"NO",('Activity data'!BK22*EF!$H35)*kgtoGg)</f>
        <v>0.22169062680681273</v>
      </c>
      <c r="BL35" s="27">
        <f>IF(('Activity data'!BL22*EF!$H35)*kgtoGg=0,"NO",('Activity data'!BL22*EF!$H35)*kgtoGg)</f>
        <v>0.23178568757386364</v>
      </c>
      <c r="BM35" s="27">
        <f>IF(('Activity data'!BM22*EF!$H35)*kgtoGg=0,"NO",('Activity data'!BM22*EF!$H35)*kgtoGg)</f>
        <v>0.24243045121030524</v>
      </c>
      <c r="BN35" s="27">
        <f>IF(('Activity data'!BN22*EF!$H35)*kgtoGg=0,"NO",('Activity data'!BN22*EF!$H35)*kgtoGg)</f>
        <v>0.25356197063455443</v>
      </c>
      <c r="BO35" s="27">
        <f>IF(('Activity data'!BO22*EF!$H35)*kgtoGg=0,"NO",('Activity data'!BO22*EF!$H35)*kgtoGg)</f>
        <v>0.26539000717432326</v>
      </c>
      <c r="BP35" s="27">
        <f>IF(('Activity data'!BP22*EF!$H35)*kgtoGg=0,"NO",('Activity data'!BP22*EF!$H35)*kgtoGg)</f>
        <v>0.27674370517967845</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5.9806569587962537E-2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5.9572576433389555E-2</v>
      </c>
      <c r="AM36" s="27">
        <f>IF(('Activity data'!AM5*EF!$H36*EF!L54)*NtoN2O*kgtoGg=0,"NO",('Activity data'!AM5*EF!$H36*EF!L54)*NtoN2O*kgtoGg)</f>
        <v>6.0773920175181823E-2</v>
      </c>
      <c r="AN36" s="27">
        <f>IF(('Activity data'!AN5*EF!$H36*EF!M54)*NtoN2O*kgtoGg=0,"NO",('Activity data'!AN5*EF!$H36*EF!M54)*NtoN2O*kgtoGg)</f>
        <v>6.1370278320054004E-2</v>
      </c>
      <c r="AO36" s="27">
        <f>IF(('Activity data'!AO5*EF!$H36*EF!N54)*NtoN2O*kgtoGg=0,"NO",('Activity data'!AO5*EF!$H36*EF!N54)*NtoN2O*kgtoGg)</f>
        <v>6.1526022860848524E-2</v>
      </c>
      <c r="AP36" s="27">
        <f>IF(('Activity data'!AP5*EF!$H36*EF!O54)*NtoN2O*kgtoGg=0,"NO",('Activity data'!AP5*EF!$H36*EF!O54)*NtoN2O*kgtoGg)</f>
        <v>6.174747330575011E-2</v>
      </c>
      <c r="AQ36" s="27">
        <f>IF(('Activity data'!AQ5*EF!$H36*EF!P54)*NtoN2O*kgtoGg=0,"NO",('Activity data'!AQ5*EF!$H36*EF!P54)*NtoN2O*kgtoGg)</f>
        <v>6.2119068821813103E-2</v>
      </c>
      <c r="AR36" s="27">
        <f>IF(('Activity data'!AR5*EF!$H36*EF!Q54)*NtoN2O*kgtoGg=0,"NO",('Activity data'!AR5*EF!$H36*EF!Q54)*NtoN2O*kgtoGg)</f>
        <v>6.2609959575984822E-2</v>
      </c>
      <c r="AS36" s="27">
        <f>IF(('Activity data'!AS5*EF!$H36*EF!R54)*NtoN2O*kgtoGg=0,"NO",('Activity data'!AS5*EF!$H36*EF!R54)*NtoN2O*kgtoGg)</f>
        <v>6.3159566495841341E-2</v>
      </c>
      <c r="AT36" s="27">
        <f>IF(('Activity data'!AT5*EF!$H36*EF!S54)*NtoN2O*kgtoGg=0,"NO",('Activity data'!AT5*EF!$H36*EF!S54)*NtoN2O*kgtoGg)</f>
        <v>6.3785199118486416E-2</v>
      </c>
      <c r="AU36" s="27">
        <f>IF(('Activity data'!AU5*EF!$H36*EF!T54)*NtoN2O*kgtoGg=0,"NO",('Activity data'!AU5*EF!$H36*EF!T54)*NtoN2O*kgtoGg)</f>
        <v>6.4540499300557705E-2</v>
      </c>
      <c r="AV36" s="27">
        <f>IF(('Activity data'!AV5*EF!$H36*EF!U54)*NtoN2O*kgtoGg=0,"NO",('Activity data'!AV5*EF!$H36*EF!U54)*NtoN2O*kgtoGg)</f>
        <v>6.5421079387025072E-2</v>
      </c>
      <c r="AW36" s="27">
        <f>IF(('Activity data'!AW5*EF!$H36*EF!V54)*NtoN2O*kgtoGg=0,"NO",('Activity data'!AW5*EF!$H36*EF!V54)*NtoN2O*kgtoGg)</f>
        <v>6.6379515175029838E-2</v>
      </c>
      <c r="AX36" s="27">
        <f>IF(('Activity data'!AX5*EF!$H36*EF!W54)*NtoN2O*kgtoGg=0,"NO",('Activity data'!AX5*EF!$H36*EF!W54)*NtoN2O*kgtoGg)</f>
        <v>6.7414940444444876E-2</v>
      </c>
      <c r="AY36" s="27">
        <f>IF(('Activity data'!AY5*EF!$H36*EF!X54)*NtoN2O*kgtoGg=0,"NO",('Activity data'!AY5*EF!$H36*EF!X54)*NtoN2O*kgtoGg)</f>
        <v>6.8501080209535048E-2</v>
      </c>
      <c r="AZ36" s="27">
        <f>IF(('Activity data'!AZ5*EF!$H36*EF!Y54)*NtoN2O*kgtoGg=0,"NO",('Activity data'!AZ5*EF!$H36*EF!Y54)*NtoN2O*kgtoGg)</f>
        <v>6.9650082739835181E-2</v>
      </c>
      <c r="BA36" s="27">
        <f>IF(('Activity data'!BA5*EF!$H36*EF!Z54)*NtoN2O*kgtoGg=0,"NO",('Activity data'!BA5*EF!$H36*EF!Z54)*NtoN2O*kgtoGg)</f>
        <v>7.085013376505013E-2</v>
      </c>
      <c r="BB36" s="27">
        <f>IF(('Activity data'!BB5*EF!$H36*EF!AA54)*NtoN2O*kgtoGg=0,"NO",('Activity data'!BB5*EF!$H36*EF!AA54)*NtoN2O*kgtoGg)</f>
        <v>7.2054990287027845E-2</v>
      </c>
      <c r="BC36" s="27">
        <f>IF(('Activity data'!BC5*EF!$H36*EF!AB54)*NtoN2O*kgtoGg=0,"NO",('Activity data'!BC5*EF!$H36*EF!AB54)*NtoN2O*kgtoGg)</f>
        <v>7.3332422489630317E-2</v>
      </c>
      <c r="BD36" s="27">
        <f>IF(('Activity data'!BD5*EF!$H36*EF!AC54)*NtoN2O*kgtoGg=0,"NO",('Activity data'!BD5*EF!$H36*EF!AC54)*NtoN2O*kgtoGg)</f>
        <v>7.4637775238334716E-2</v>
      </c>
      <c r="BE36" s="27">
        <f>IF(('Activity data'!BE5*EF!$H36*EF!AD54)*NtoN2O*kgtoGg=0,"NO",('Activity data'!BE5*EF!$H36*EF!AD54)*NtoN2O*kgtoGg)</f>
        <v>7.596772859981879E-2</v>
      </c>
      <c r="BF36" s="27">
        <f>IF(('Activity data'!BF5*EF!$H36*EF!AE54)*NtoN2O*kgtoGg=0,"NO",('Activity data'!BF5*EF!$H36*EF!AE54)*NtoN2O*kgtoGg)</f>
        <v>7.734370972563348E-2</v>
      </c>
      <c r="BG36" s="27">
        <f>IF(('Activity data'!BG5*EF!$H36*EF!AF54)*NtoN2O*kgtoGg=0,"NO",('Activity data'!BG5*EF!$H36*EF!AF54)*NtoN2O*kgtoGg)</f>
        <v>7.871435132056126E-2</v>
      </c>
      <c r="BH36" s="27">
        <f>IF(('Activity data'!BH5*EF!$H36*EF!AG54)*NtoN2O*kgtoGg=0,"NO",('Activity data'!BH5*EF!$H36*EF!AG54)*NtoN2O*kgtoGg)</f>
        <v>8.0150831900584182E-2</v>
      </c>
      <c r="BI36" s="27">
        <f>IF(('Activity data'!BI5*EF!$H36*EF!AH54)*NtoN2O*kgtoGg=0,"NO",('Activity data'!BI5*EF!$H36*EF!AH54)*NtoN2O*kgtoGg)</f>
        <v>8.1679672713355286E-2</v>
      </c>
      <c r="BJ36" s="27">
        <f>IF(('Activity data'!BJ5*EF!$H36*EF!AI54)*NtoN2O*kgtoGg=0,"NO",('Activity data'!BJ5*EF!$H36*EF!AI54)*NtoN2O*kgtoGg)</f>
        <v>8.3257530462489515E-2</v>
      </c>
      <c r="BK36" s="27">
        <f>IF(('Activity data'!BK5*EF!$H36*EF!AJ54)*NtoN2O*kgtoGg=0,"NO",('Activity data'!BK5*EF!$H36*EF!AJ54)*NtoN2O*kgtoGg)</f>
        <v>8.4887259744612836E-2</v>
      </c>
      <c r="BL36" s="27">
        <f>IF(('Activity data'!BL5*EF!$H36*EF!AK54)*NtoN2O*kgtoGg=0,"NO",('Activity data'!BL5*EF!$H36*EF!AK54)*NtoN2O*kgtoGg)</f>
        <v>8.6619011221600456E-2</v>
      </c>
      <c r="BM36" s="27">
        <f>IF(('Activity data'!BM5*EF!$H36*EF!AL54)*NtoN2O*kgtoGg=0,"NO",('Activity data'!BM5*EF!$H36*EF!AL54)*NtoN2O*kgtoGg)</f>
        <v>8.8438220768671E-2</v>
      </c>
      <c r="BN36" s="27">
        <f>IF(('Activity data'!BN5*EF!$H36*EF!AM54)*NtoN2O*kgtoGg=0,"NO",('Activity data'!BN5*EF!$H36*EF!AM54)*NtoN2O*kgtoGg)</f>
        <v>9.0335502519381064E-2</v>
      </c>
      <c r="BO36" s="27">
        <f>IF(('Activity data'!BO5*EF!$H36*EF!AN54)*NtoN2O*kgtoGg=0,"NO",('Activity data'!BO5*EF!$H36*EF!AN54)*NtoN2O*kgtoGg)</f>
        <v>9.2345044060296602E-2</v>
      </c>
      <c r="BP36" s="27">
        <f>IF(('Activity data'!BP5*EF!$H36*EF!AO54)*NtoN2O*kgtoGg=0,"NO",('Activity data'!BP5*EF!$H36*EF!AO54)*NtoN2O*kgtoGg)</f>
        <v>9.4278593479446449E-2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0.26187096745907495</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0.26084639751318123</v>
      </c>
      <c r="AM37" s="27">
        <f>IF(('Activity data'!AM6*EF!$H37*EF!L55)*NtoN2O*kgtoGg=0,"NO",('Activity data'!AM6*EF!$H37*EF!L55)*NtoN2O*kgtoGg)</f>
        <v>0.26610663982571414</v>
      </c>
      <c r="AN37" s="27">
        <f>IF(('Activity data'!AN6*EF!$H37*EF!M55)*NtoN2O*kgtoGg=0,"NO",('Activity data'!AN6*EF!$H37*EF!M55)*NtoN2O*kgtoGg)</f>
        <v>0.26871787276259229</v>
      </c>
      <c r="AO37" s="27">
        <f>IF(('Activity data'!AO6*EF!$H37*EF!N55)*NtoN2O*kgtoGg=0,"NO",('Activity data'!AO6*EF!$H37*EF!N55)*NtoN2O*kgtoGg)</f>
        <v>0.26939982081370628</v>
      </c>
      <c r="AP37" s="27">
        <f>IF(('Activity data'!AP6*EF!$H37*EF!O55)*NtoN2O*kgtoGg=0,"NO",('Activity data'!AP6*EF!$H37*EF!O55)*NtoN2O*kgtoGg)</f>
        <v>0.27036947084797774</v>
      </c>
      <c r="AQ37" s="27">
        <f>IF(('Activity data'!AQ6*EF!$H37*EF!P55)*NtoN2O*kgtoGg=0,"NO",('Activity data'!AQ6*EF!$H37*EF!P55)*NtoN2O*kgtoGg)</f>
        <v>0.27199655091569075</v>
      </c>
      <c r="AR37" s="27">
        <f>IF(('Activity data'!AR6*EF!$H37*EF!Q55)*NtoN2O*kgtoGg=0,"NO",('Activity data'!AR6*EF!$H37*EF!Q55)*NtoN2O*kgtoGg)</f>
        <v>0.27414598094649351</v>
      </c>
      <c r="AS37" s="27">
        <f>IF(('Activity data'!AS6*EF!$H37*EF!R55)*NtoN2O*kgtoGg=0,"NO",('Activity data'!AS6*EF!$H37*EF!R55)*NtoN2O*kgtoGg)</f>
        <v>0.27655250746718535</v>
      </c>
      <c r="AT37" s="27">
        <f>IF(('Activity data'!AT6*EF!$H37*EF!S55)*NtoN2O*kgtoGg=0,"NO",('Activity data'!AT6*EF!$H37*EF!S55)*NtoN2O*kgtoGg)</f>
        <v>0.27929192257316399</v>
      </c>
      <c r="AU37" s="27">
        <f>IF(('Activity data'!AU6*EF!$H37*EF!T55)*NtoN2O*kgtoGg=0,"NO",('Activity data'!AU6*EF!$H37*EF!T55)*NtoN2O*kgtoGg)</f>
        <v>0.28259910422166357</v>
      </c>
      <c r="AV37" s="27">
        <f>IF(('Activity data'!AV6*EF!$H37*EF!U55)*NtoN2O*kgtoGg=0,"NO",('Activity data'!AV6*EF!$H37*EF!U55)*NtoN2O*kgtoGg)</f>
        <v>0.28645484048537356</v>
      </c>
      <c r="AW37" s="27">
        <f>IF(('Activity data'!AW6*EF!$H37*EF!V55)*NtoN2O*kgtoGg=0,"NO",('Activity data'!AW6*EF!$H37*EF!V55)*NtoN2O*kgtoGg)</f>
        <v>0.29065147822569842</v>
      </c>
      <c r="AX37" s="27">
        <f>IF(('Activity data'!AX6*EF!$H37*EF!W55)*NtoN2O*kgtoGg=0,"NO",('Activity data'!AX6*EF!$H37*EF!W55)*NtoN2O*kgtoGg)</f>
        <v>0.29518522458335378</v>
      </c>
      <c r="AY37" s="27">
        <f>IF(('Activity data'!AY6*EF!$H37*EF!X55)*NtoN2O*kgtoGg=0,"NO",('Activity data'!AY6*EF!$H37*EF!X55)*NtoN2O*kgtoGg)</f>
        <v>0.2999410310614633</v>
      </c>
      <c r="AZ37" s="27">
        <f>IF(('Activity data'!AZ6*EF!$H37*EF!Y55)*NtoN2O*kgtoGg=0,"NO",('Activity data'!AZ6*EF!$H37*EF!Y55)*NtoN2O*kgtoGg)</f>
        <v>0.30497209046339202</v>
      </c>
      <c r="BA37" s="27">
        <f>IF(('Activity data'!BA6*EF!$H37*EF!Z55)*NtoN2O*kgtoGg=0,"NO",('Activity data'!BA6*EF!$H37*EF!Z55)*NtoN2O*kgtoGg)</f>
        <v>0.31022667244557844</v>
      </c>
      <c r="BB37" s="27">
        <f>IF(('Activity data'!BB6*EF!$H37*EF!AA55)*NtoN2O*kgtoGg=0,"NO",('Activity data'!BB6*EF!$H37*EF!AA55)*NtoN2O*kgtoGg)</f>
        <v>0.31550229593031343</v>
      </c>
      <c r="BC37" s="27">
        <f>IF(('Activity data'!BC6*EF!$H37*EF!AB55)*NtoN2O*kgtoGg=0,"NO",('Activity data'!BC6*EF!$H37*EF!AB55)*NtoN2O*kgtoGg)</f>
        <v>0.32109570162242335</v>
      </c>
      <c r="BD37" s="27">
        <f>IF(('Activity data'!BD6*EF!$H37*EF!AC55)*NtoN2O*kgtoGg=0,"NO",('Activity data'!BD6*EF!$H37*EF!AC55)*NtoN2O*kgtoGg)</f>
        <v>0.32681136111491149</v>
      </c>
      <c r="BE37" s="27">
        <f>IF(('Activity data'!BE6*EF!$H37*EF!AD55)*NtoN2O*kgtoGg=0,"NO",('Activity data'!BE6*EF!$H37*EF!AD55)*NtoN2O*kgtoGg)</f>
        <v>0.33263473764104773</v>
      </c>
      <c r="BF37" s="27">
        <f>IF(('Activity data'!BF6*EF!$H37*EF!AE55)*NtoN2O*kgtoGg=0,"NO",('Activity data'!BF6*EF!$H37*EF!AE55)*NtoN2O*kgtoGg)</f>
        <v>0.33865965281516675</v>
      </c>
      <c r="BG37" s="27">
        <f>IF(('Activity data'!BG6*EF!$H37*EF!AF55)*NtoN2O*kgtoGg=0,"NO",('Activity data'!BG6*EF!$H37*EF!AF55)*NtoN2O*kgtoGg)</f>
        <v>0.34466118814776064</v>
      </c>
      <c r="BH37" s="27">
        <f>IF(('Activity data'!BH6*EF!$H37*EF!AG55)*NtoN2O*kgtoGg=0,"NO",('Activity data'!BH6*EF!$H37*EF!AG55)*NtoN2O*kgtoGg)</f>
        <v>0.35095100817620256</v>
      </c>
      <c r="BI37" s="27">
        <f>IF(('Activity data'!BI6*EF!$H37*EF!AH55)*NtoN2O*kgtoGg=0,"NO",('Activity data'!BI6*EF!$H37*EF!AH55)*NtoN2O*kgtoGg)</f>
        <v>0.35764523968771644</v>
      </c>
      <c r="BJ37" s="27">
        <f>IF(('Activity data'!BJ6*EF!$H37*EF!AI55)*NtoN2O*kgtoGg=0,"NO",('Activity data'!BJ6*EF!$H37*EF!AI55)*NtoN2O*kgtoGg)</f>
        <v>0.36455409833193048</v>
      </c>
      <c r="BK37" s="27">
        <f>IF(('Activity data'!BK6*EF!$H37*EF!AJ55)*NtoN2O*kgtoGg=0,"NO",('Activity data'!BK6*EF!$H37*EF!AJ55)*NtoN2O*kgtoGg)</f>
        <v>0.37169008333736225</v>
      </c>
      <c r="BL37" s="27">
        <f>IF(('Activity data'!BL6*EF!$H37*EF!AK55)*NtoN2O*kgtoGg=0,"NO",('Activity data'!BL6*EF!$H37*EF!AK55)*NtoN2O*kgtoGg)</f>
        <v>0.37927278600367109</v>
      </c>
      <c r="BM37" s="27">
        <f>IF(('Activity data'!BM6*EF!$H37*EF!AL55)*NtoN2O*kgtoGg=0,"NO",('Activity data'!BM6*EF!$H37*EF!AL55)*NtoN2O*kgtoGg)</f>
        <v>0.38723843538607666</v>
      </c>
      <c r="BN37" s="27">
        <f>IF(('Activity data'!BN6*EF!$H37*EF!AM55)*NtoN2O*kgtoGg=0,"NO",('Activity data'!BN6*EF!$H37*EF!AM55)*NtoN2O*kgtoGg)</f>
        <v>0.39554593422815865</v>
      </c>
      <c r="BO37" s="27">
        <f>IF(('Activity data'!BO6*EF!$H37*EF!AN55)*NtoN2O*kgtoGg=0,"NO",('Activity data'!BO6*EF!$H37*EF!AN55)*NtoN2O*kgtoGg)</f>
        <v>0.4043449773950597</v>
      </c>
      <c r="BP37" s="27">
        <f>IF(('Activity data'!BP6*EF!$H37*EF!AO55)*NtoN2O*kgtoGg=0,"NO",('Activity data'!BP6*EF!$H37*EF!AO55)*NtoN2O*kgtoGg)</f>
        <v>0.41281127901561981</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1.1651711689683767E-2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1.1606124377232515E-2</v>
      </c>
      <c r="AM38" s="27">
        <f>IF(('Activity data'!AM7*EF!$H38*EF!L56)*NtoN2O*kgtoGg=0,"NO",('Activity data'!AM7*EF!$H38*EF!L56)*NtoN2O*kgtoGg)</f>
        <v>1.1840174098124497E-2</v>
      </c>
      <c r="AN38" s="27">
        <f>IF(('Activity data'!AN7*EF!$H38*EF!M56)*NtoN2O*kgtoGg=0,"NO",('Activity data'!AN7*EF!$H38*EF!M56)*NtoN2O*kgtoGg)</f>
        <v>1.1956358544343662E-2</v>
      </c>
      <c r="AO38" s="27">
        <f>IF(('Activity data'!AO7*EF!$H38*EF!N56)*NtoN2O*kgtoGg=0,"NO",('Activity data'!AO7*EF!$H38*EF!N56)*NtoN2O*kgtoGg)</f>
        <v>1.198670120567806E-2</v>
      </c>
      <c r="AP38" s="27">
        <f>IF(('Activity data'!AP7*EF!$H38*EF!O56)*NtoN2O*kgtoGg=0,"NO",('Activity data'!AP7*EF!$H38*EF!O56)*NtoN2O*kgtoGg)</f>
        <v>1.2029844906367174E-2</v>
      </c>
      <c r="AQ38" s="27">
        <f>IF(('Activity data'!AQ7*EF!$H38*EF!P56)*NtoN2O*kgtoGg=0,"NO",('Activity data'!AQ7*EF!$H38*EF!P56)*NtoN2O*kgtoGg)</f>
        <v>1.2102240361384485E-2</v>
      </c>
      <c r="AR38" s="27">
        <f>IF(('Activity data'!AR7*EF!$H38*EF!Q56)*NtoN2O*kgtoGg=0,"NO",('Activity data'!AR7*EF!$H38*EF!Q56)*NtoN2O*kgtoGg)</f>
        <v>1.2197877305254469E-2</v>
      </c>
      <c r="AS38" s="27">
        <f>IF(('Activity data'!AS7*EF!$H38*EF!R56)*NtoN2O*kgtoGg=0,"NO",('Activity data'!AS7*EF!$H38*EF!R56)*NtoN2O*kgtoGg)</f>
        <v>1.2304953524755821E-2</v>
      </c>
      <c r="AT38" s="27">
        <f>IF(('Activity data'!AT7*EF!$H38*EF!S56)*NtoN2O*kgtoGg=0,"NO",('Activity data'!AT7*EF!$H38*EF!S56)*NtoN2O*kgtoGg)</f>
        <v>1.2426841320577307E-2</v>
      </c>
      <c r="AU38" s="27">
        <f>IF(('Activity data'!AU7*EF!$H38*EF!T56)*NtoN2O*kgtoGg=0,"NO",('Activity data'!AU7*EF!$H38*EF!T56)*NtoN2O*kgtoGg)</f>
        <v>1.2573991374848796E-2</v>
      </c>
      <c r="AV38" s="27">
        <f>IF(('Activity data'!AV7*EF!$H38*EF!U56)*NtoN2O*kgtoGg=0,"NO",('Activity data'!AV7*EF!$H38*EF!U56)*NtoN2O*kgtoGg)</f>
        <v>1.2745548870252437E-2</v>
      </c>
      <c r="AW38" s="27">
        <f>IF(('Activity data'!AW7*EF!$H38*EF!V56)*NtoN2O*kgtoGg=0,"NO",('Activity data'!AW7*EF!$H38*EF!V56)*NtoN2O*kgtoGg)</f>
        <v>1.2932274468323759E-2</v>
      </c>
      <c r="AX38" s="27">
        <f>IF(('Activity data'!AX7*EF!$H38*EF!W56)*NtoN2O*kgtoGg=0,"NO",('Activity data'!AX7*EF!$H38*EF!W56)*NtoN2O*kgtoGg)</f>
        <v>1.3133999409221648E-2</v>
      </c>
      <c r="AY38" s="27">
        <f>IF(('Activity data'!AY7*EF!$H38*EF!X56)*NtoN2O*kgtoGg=0,"NO",('Activity data'!AY7*EF!$H38*EF!X56)*NtoN2O*kgtoGg)</f>
        <v>1.3345604714202703E-2</v>
      </c>
      <c r="AZ38" s="27">
        <f>IF(('Activity data'!AZ7*EF!$H38*EF!Y56)*NtoN2O*kgtoGg=0,"NO",('Activity data'!AZ7*EF!$H38*EF!Y56)*NtoN2O*kgtoGg)</f>
        <v>1.3569457148910296E-2</v>
      </c>
      <c r="BA38" s="27">
        <f>IF(('Activity data'!BA7*EF!$H38*EF!Z56)*NtoN2O*kgtoGg=0,"NO",('Activity data'!BA7*EF!$H38*EF!Z56)*NtoN2O*kgtoGg)</f>
        <v>1.3803255018526413E-2</v>
      </c>
      <c r="BB38" s="27">
        <f>IF(('Activity data'!BB7*EF!$H38*EF!AA56)*NtoN2O*kgtoGg=0,"NO",('Activity data'!BB7*EF!$H38*EF!AA56)*NtoN2O*kgtoGg)</f>
        <v>1.4037989110754724E-2</v>
      </c>
      <c r="BC38" s="27">
        <f>IF(('Activity data'!BC7*EF!$H38*EF!AB56)*NtoN2O*kgtoGg=0,"NO",('Activity data'!BC7*EF!$H38*EF!AB56)*NtoN2O*kgtoGg)</f>
        <v>1.4286862634690086E-2</v>
      </c>
      <c r="BD38" s="27">
        <f>IF(('Activity data'!BD7*EF!$H38*EF!AC56)*NtoN2O*kgtoGg=0,"NO",('Activity data'!BD7*EF!$H38*EF!AC56)*NtoN2O*kgtoGg)</f>
        <v>1.4541175730826956E-2</v>
      </c>
      <c r="BE38" s="27">
        <f>IF(('Activity data'!BE7*EF!$H38*EF!AD56)*NtoN2O*kgtoGg=0,"NO",('Activity data'!BE7*EF!$H38*EF!AD56)*NtoN2O*kgtoGg)</f>
        <v>1.4800281598886257E-2</v>
      </c>
      <c r="BF38" s="27">
        <f>IF(('Activity data'!BF7*EF!$H38*EF!AE56)*NtoN2O*kgtoGg=0,"NO",('Activity data'!BF7*EF!$H38*EF!AE56)*NtoN2O*kgtoGg)</f>
        <v>1.5068354746684156E-2</v>
      </c>
      <c r="BG38" s="27">
        <f>IF(('Activity data'!BG7*EF!$H38*EF!AF56)*NtoN2O*kgtoGg=0,"NO",('Activity data'!BG7*EF!$H38*EF!AF56)*NtoN2O*kgtoGg)</f>
        <v>1.533538762959342E-2</v>
      </c>
      <c r="BH38" s="27">
        <f>IF(('Activity data'!BH7*EF!$H38*EF!AG56)*NtoN2O*kgtoGg=0,"NO",('Activity data'!BH7*EF!$H38*EF!AG56)*NtoN2O*kgtoGg)</f>
        <v>1.5615247479131181E-2</v>
      </c>
      <c r="BI38" s="27">
        <f>IF(('Activity data'!BI7*EF!$H38*EF!AH56)*NtoN2O*kgtoGg=0,"NO",('Activity data'!BI7*EF!$H38*EF!AH56)*NtoN2O*kgtoGg)</f>
        <v>1.5913101251593929E-2</v>
      </c>
      <c r="BJ38" s="27">
        <f>IF(('Activity data'!BJ7*EF!$H38*EF!AI56)*NtoN2O*kgtoGg=0,"NO",('Activity data'!BJ7*EF!$H38*EF!AI56)*NtoN2O*kgtoGg)</f>
        <v>1.6220504664076991E-2</v>
      </c>
      <c r="BK38" s="27">
        <f>IF(('Activity data'!BK7*EF!$H38*EF!AJ56)*NtoN2O*kgtoGg=0,"NO",('Activity data'!BK7*EF!$H38*EF!AJ56)*NtoN2O*kgtoGg)</f>
        <v>1.6538013858440784E-2</v>
      </c>
      <c r="BL38" s="27">
        <f>IF(('Activity data'!BL7*EF!$H38*EF!AK56)*NtoN2O*kgtoGg=0,"NO",('Activity data'!BL7*EF!$H38*EF!AK56)*NtoN2O*kgtoGg)</f>
        <v>1.6875399350821628E-2</v>
      </c>
      <c r="BM38" s="27">
        <f>IF(('Activity data'!BM7*EF!$H38*EF!AL56)*NtoN2O*kgtoGg=0,"NO",('Activity data'!BM7*EF!$H38*EF!AL56)*NtoN2O*kgtoGg)</f>
        <v>1.7229823710747674E-2</v>
      </c>
      <c r="BN38" s="27">
        <f>IF(('Activity data'!BN7*EF!$H38*EF!AM56)*NtoN2O*kgtoGg=0,"NO",('Activity data'!BN7*EF!$H38*EF!AM56)*NtoN2O*kgtoGg)</f>
        <v>1.7599458352989747E-2</v>
      </c>
      <c r="BO38" s="27">
        <f>IF(('Activity data'!BO7*EF!$H38*EF!AN56)*NtoN2O*kgtoGg=0,"NO",('Activity data'!BO7*EF!$H38*EF!AN56)*NtoN2O*kgtoGg)</f>
        <v>1.7990963815090407E-2</v>
      </c>
      <c r="BP38" s="27">
        <f>IF(('Activity data'!BP7*EF!$H38*EF!AO56)*NtoN2O*kgtoGg=0,"NO",('Activity data'!BP7*EF!$H38*EF!AO56)*NtoN2O*kgtoGg)</f>
        <v>1.836766424323575E-2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0.52069690445710348</v>
      </c>
      <c r="AF39" s="27">
        <f>IF(('Activity data'!AF8*EF!$H39*EF!$H57)*NtoN2O*kgtoGg=0,"NO",('Activity data'!AF8*EF!$H39*EF!$H57)*NtoN2O*kgtoGg)</f>
        <v>0.51896282251134851</v>
      </c>
      <c r="AG39" s="27">
        <f>IF(('Activity data'!AG8*EF!$H39*EF!$H57)*NtoN2O*kgtoGg=0,"NO",('Activity data'!AG8*EF!$H39*EF!$H57)*NtoN2O*kgtoGg)</f>
        <v>0.51203275332440912</v>
      </c>
      <c r="AH39" s="27">
        <f>IF(('Activity data'!AH8*EF!$H39*EF!$H57)*NtoN2O*kgtoGg=0,"NO",('Activity data'!AH8*EF!$H39*EF!$H57)*NtoN2O*kgtoGg)</f>
        <v>0.50197358865556663</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0.41885745966075799</v>
      </c>
      <c r="AM39" s="27">
        <f>IF(('Activity data'!AM8*EF!$H39*EF!$H57)*NtoN2O*kgtoGg=0,"NO",('Activity data'!AM8*EF!$H39*EF!L57)*NtoN2O*kgtoGg)</f>
        <v>0.43888316121589754</v>
      </c>
      <c r="AN39" s="27">
        <f>IF(('Activity data'!AN8*EF!$H39*EF!$H57)*NtoN2O*kgtoGg=0,"NO",('Activity data'!AN8*EF!$H39*EF!M57)*NtoN2O*kgtoGg)</f>
        <v>0.44581606294816456</v>
      </c>
      <c r="AO39" s="27">
        <f>IF(('Activity data'!AO8*EF!$H39*EF!$H57)*NtoN2O*kgtoGg=0,"NO",('Activity data'!AO8*EF!$H39*EF!N57)*NtoN2O*kgtoGg)</f>
        <v>0.4428053451992871</v>
      </c>
      <c r="AP39" s="27">
        <f>IF(('Activity data'!AP8*EF!$H39*EF!$H57)*NtoN2O*kgtoGg=0,"NO",('Activity data'!AP8*EF!$H39*EF!O57)*NtoN2O*kgtoGg)</f>
        <v>0.44035633830428106</v>
      </c>
      <c r="AQ39" s="27">
        <f>IF(('Activity data'!AQ8*EF!$H39*EF!$H57)*NtoN2O*kgtoGg=0,"NO",('Activity data'!AQ8*EF!$H39*EF!P57)*NtoN2O*kgtoGg)</f>
        <v>0.44051721103792468</v>
      </c>
      <c r="AR39" s="27">
        <f>IF(('Activity data'!AR8*EF!$H39*EF!$H57)*NtoN2O*kgtoGg=0,"NO",('Activity data'!AR8*EF!$H39*EF!Q57)*NtoN2O*kgtoGg)</f>
        <v>0.44310396179359002</v>
      </c>
      <c r="AS39" s="27">
        <f>IF(('Activity data'!AS8*EF!$H39*EF!$H57)*NtoN2O*kgtoGg=0,"NO",('Activity data'!AS8*EF!$H39*EF!R57)*NtoN2O*kgtoGg)</f>
        <v>0.4467743835824281</v>
      </c>
      <c r="AT39" s="27">
        <f>IF(('Activity data'!AT8*EF!$H39*EF!$H57)*NtoN2O*kgtoGg=0,"NO",('Activity data'!AT8*EF!$H39*EF!S57)*NtoN2O*kgtoGg)</f>
        <v>0.45182412453822507</v>
      </c>
      <c r="AU39" s="27">
        <f>IF(('Activity data'!AU8*EF!$H39*EF!$H57)*NtoN2O*kgtoGg=0,"NO",('Activity data'!AU8*EF!$H39*EF!T57)*NtoN2O*kgtoGg)</f>
        <v>0.4592210041031291</v>
      </c>
      <c r="AV39" s="27">
        <f>IF(('Activity data'!AV8*EF!$H39*EF!$H57)*NtoN2O*kgtoGg=0,"NO",('Activity data'!AV8*EF!$H39*EF!U57)*NtoN2O*kgtoGg)</f>
        <v>0.46875611727926397</v>
      </c>
      <c r="AW39" s="27">
        <f>IF(('Activity data'!AW8*EF!$H39*EF!$H57)*NtoN2O*kgtoGg=0,"NO",('Activity data'!AW8*EF!$H39*EF!V57)*NtoN2O*kgtoGg)</f>
        <v>0.47540395120736983</v>
      </c>
      <c r="AX39" s="27">
        <f>IF(('Activity data'!AX8*EF!$H39*EF!$H57)*NtoN2O*kgtoGg=0,"NO",('Activity data'!AX8*EF!$H39*EF!W57)*NtoN2O*kgtoGg)</f>
        <v>0.48283708354051091</v>
      </c>
      <c r="AY39" s="27">
        <f>IF(('Activity data'!AY8*EF!$H39*EF!$H57)*NtoN2O*kgtoGg=0,"NO",('Activity data'!AY8*EF!$H39*EF!X57)*NtoN2O*kgtoGg)</f>
        <v>0.49049534376627268</v>
      </c>
      <c r="AZ39" s="27">
        <f>IF(('Activity data'!AZ8*EF!$H39*EF!$H57)*NtoN2O*kgtoGg=0,"NO",('Activity data'!AZ8*EF!$H39*EF!Y57)*NtoN2O*kgtoGg)</f>
        <v>0.49854885128886806</v>
      </c>
      <c r="BA39" s="27">
        <f>IF(('Activity data'!BA8*EF!$H39*EF!$H57)*NtoN2O*kgtoGg=0,"NO",('Activity data'!BA8*EF!$H39*EF!Z57)*NtoN2O*kgtoGg)</f>
        <v>0.50672298371374713</v>
      </c>
      <c r="BB39" s="27">
        <f>IF(('Activity data'!BB8*EF!$H39*EF!$H57)*NtoN2O*kgtoGg=0,"NO",('Activity data'!BB8*EF!$H39*EF!AA57)*NtoN2O*kgtoGg)</f>
        <v>0.51418741913189581</v>
      </c>
      <c r="BC39" s="27">
        <f>IF(('Activity data'!BC8*EF!$H39*EF!$H57)*NtoN2O*kgtoGg=0,"NO",('Activity data'!BC8*EF!$H39*EF!AB57)*NtoN2O*kgtoGg)</f>
        <v>0.52206102854310632</v>
      </c>
      <c r="BD39" s="27">
        <f>IF(('Activity data'!BD8*EF!$H39*EF!$H57)*NtoN2O*kgtoGg=0,"NO",('Activity data'!BD8*EF!$H39*EF!AC57)*NtoN2O*kgtoGg)</f>
        <v>0.52957812188119258</v>
      </c>
      <c r="BE39" s="27">
        <f>IF(('Activity data'!BE8*EF!$H39*EF!$H57)*NtoN2O*kgtoGg=0,"NO",('Activity data'!BE8*EF!$H39*EF!AD57)*NtoN2O*kgtoGg)</f>
        <v>0.53666628025365293</v>
      </c>
      <c r="BF39" s="27">
        <f>IF(('Activity data'!BF8*EF!$H39*EF!$H57)*NtoN2O*kgtoGg=0,"NO",('Activity data'!BF8*EF!$H39*EF!AE57)*NtoN2O*kgtoGg)</f>
        <v>0.543628496445968</v>
      </c>
      <c r="BG39" s="27">
        <f>IF(('Activity data'!BG8*EF!$H39*EF!$H57)*NtoN2O*kgtoGg=0,"NO",('Activity data'!BG8*EF!$H39*EF!AF57)*NtoN2O*kgtoGg)</f>
        <v>0.55246945736606723</v>
      </c>
      <c r="BH39" s="27">
        <f>IF(('Activity data'!BH8*EF!$H39*EF!$H57)*NtoN2O*kgtoGg=0,"NO",('Activity data'!BH8*EF!$H39*EF!AG57)*NtoN2O*kgtoGg)</f>
        <v>0.56161375103123634</v>
      </c>
      <c r="BI39" s="27">
        <f>IF(('Activity data'!BI8*EF!$H39*EF!$H57)*NtoN2O*kgtoGg=0,"NO",('Activity data'!BI8*EF!$H39*EF!AH57)*NtoN2O*kgtoGg)</f>
        <v>0.57139369130463846</v>
      </c>
      <c r="BJ39" s="27">
        <f>IF(('Activity data'!BJ8*EF!$H39*EF!$H57)*NtoN2O*kgtoGg=0,"NO",('Activity data'!BJ8*EF!$H39*EF!AI57)*NtoN2O*kgtoGg)</f>
        <v>0.58113558104968666</v>
      </c>
      <c r="BK39" s="27">
        <f>IF(('Activity data'!BK8*EF!$H39*EF!$H57)*NtoN2O*kgtoGg=0,"NO",('Activity data'!BK8*EF!$H39*EF!AJ57)*NtoN2O*kgtoGg)</f>
        <v>0.59085206465758344</v>
      </c>
      <c r="BL39" s="27">
        <f>IF(('Activity data'!BL8*EF!$H39*EF!$H57)*NtoN2O*kgtoGg=0,"NO",('Activity data'!BL8*EF!$H39*EF!AK57)*NtoN2O*kgtoGg)</f>
        <v>0.6011817102296716</v>
      </c>
      <c r="BM39" s="27">
        <f>IF(('Activity data'!BM8*EF!$H39*EF!$H57)*NtoN2O*kgtoGg=0,"NO",('Activity data'!BM8*EF!$H39*EF!AL57)*NtoN2O*kgtoGg)</f>
        <v>0.61185705718445471</v>
      </c>
      <c r="BN39" s="27">
        <f>IF(('Activity data'!BN8*EF!$H39*EF!$H57)*NtoN2O*kgtoGg=0,"NO",('Activity data'!BN8*EF!$H39*EF!AM57)*NtoN2O*kgtoGg)</f>
        <v>0.6226925043907553</v>
      </c>
      <c r="BO39" s="27">
        <f>IF(('Activity data'!BO8*EF!$H39*EF!$H57)*NtoN2O*kgtoGg=0,"NO",('Activity data'!BO8*EF!$H39*EF!AN57)*NtoN2O*kgtoGg)</f>
        <v>0.63405678889252681</v>
      </c>
      <c r="BP39" s="27">
        <f>IF(('Activity data'!BP8*EF!$H39*EF!$H57)*NtoN2O*kgtoGg=0,"NO",('Activity data'!BP8*EF!$H39*EF!AO57)*NtoN2O*kgtoGg)</f>
        <v>0.64358432778937325</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0.80452586370517842</v>
      </c>
      <c r="AE40" s="27">
        <f>IF(('Activity data'!AE9*EF!$H40*EF!$H58)*NtoN2O*kgtoGg=0,"NO",('Activity data'!AE9*EF!$H40*EF!$H58)*NtoN2O*kgtoGg)</f>
        <v>0.79754846782098032</v>
      </c>
      <c r="AF40" s="27">
        <f>IF(('Activity data'!AF9*EF!$H40*EF!$H58)*NtoN2O*kgtoGg=0,"NO",('Activity data'!AF9*EF!$H40*EF!$H58)*NtoN2O*kgtoGg)</f>
        <v>0.79489238443144161</v>
      </c>
      <c r="AG40" s="27">
        <f>IF(('Activity data'!AG9*EF!$H40*EF!$H58)*NtoN2O*kgtoGg=0,"NO",('Activity data'!AG9*EF!$H40*EF!$H58)*NtoN2O*kgtoGg)</f>
        <v>0.78427763712907439</v>
      </c>
      <c r="AH40" s="27">
        <f>IF(('Activity data'!AH9*EF!$H40*EF!$H58)*NtoN2O*kgtoGg=0,"NO",('Activity data'!AH9*EF!$H40*EF!$H58)*NtoN2O*kgtoGg)</f>
        <v>0.76887007218962278</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0.64156157320759799</v>
      </c>
      <c r="AM40" s="27">
        <f>IF(('Activity data'!AM9*EF!$H40*EF!L58)*NtoN2O*kgtoGg=0,"NO",('Activity data'!AM9*EF!$H40*EF!L58)*NtoN2O*kgtoGg)</f>
        <v>0.67223482564222559</v>
      </c>
      <c r="AN40" s="27">
        <f>IF(('Activity data'!AN9*EF!$H40*EF!M58)*NtoN2O*kgtoGg=0,"NO",('Activity data'!AN9*EF!$H40*EF!M58)*NtoN2O*kgtoGg)</f>
        <v>0.68285391153805586</v>
      </c>
      <c r="AO40" s="27">
        <f>IF(('Activity data'!AO9*EF!$H40*EF!N58)*NtoN2O*kgtoGg=0,"NO",('Activity data'!AO9*EF!$H40*EF!N58)*NtoN2O*kgtoGg)</f>
        <v>0.67824241239699168</v>
      </c>
      <c r="AP40" s="27">
        <f>IF(('Activity data'!AP9*EF!$H40*EF!O58)*NtoN2O*kgtoGg=0,"NO",('Activity data'!AP9*EF!$H40*EF!O58)*NtoN2O*kgtoGg)</f>
        <v>0.67449128255528179</v>
      </c>
      <c r="AQ40" s="27">
        <f>IF(('Activity data'!AQ9*EF!$H40*EF!P58)*NtoN2O*kgtoGg=0,"NO",('Activity data'!AQ9*EF!$H40*EF!P58)*NtoN2O*kgtoGg)</f>
        <v>0.67473769040048559</v>
      </c>
      <c r="AR40" s="27">
        <f>IF(('Activity data'!AR9*EF!$H40*EF!Q58)*NtoN2O*kgtoGg=0,"NO",('Activity data'!AR9*EF!$H40*EF!Q58)*NtoN2O*kgtoGg)</f>
        <v>0.67869980172505096</v>
      </c>
      <c r="AS40" s="27">
        <f>IF(('Activity data'!AS9*EF!$H40*EF!R58)*NtoN2O*kgtoGg=0,"NO",('Activity data'!AS9*EF!$H40*EF!R58)*NtoN2O*kgtoGg)</f>
        <v>0.68432176576763859</v>
      </c>
      <c r="AT40" s="27">
        <f>IF(('Activity data'!AT9*EF!$H40*EF!S58)*NtoN2O*kgtoGg=0,"NO",('Activity data'!AT9*EF!$H40*EF!S58)*NtoN2O*kgtoGg)</f>
        <v>0.69205642508232745</v>
      </c>
      <c r="AU40" s="27">
        <f>IF(('Activity data'!AU9*EF!$H40*EF!T58)*NtoN2O*kgtoGg=0,"NO",('Activity data'!AU9*EF!$H40*EF!T58)*NtoN2O*kgtoGg)</f>
        <v>0.70338618316836132</v>
      </c>
      <c r="AV40" s="27">
        <f>IF(('Activity data'!AV9*EF!$H40*EF!U58)*NtoN2O*kgtoGg=0,"NO",('Activity data'!AV9*EF!$H40*EF!U58)*NtoN2O*kgtoGg)</f>
        <v>0.71799106143637159</v>
      </c>
      <c r="AW40" s="27">
        <f>IF(('Activity data'!AW9*EF!$H40*EF!V58)*NtoN2O*kgtoGg=0,"NO",('Activity data'!AW9*EF!$H40*EF!V58)*NtoN2O*kgtoGg)</f>
        <v>0.72817351060844282</v>
      </c>
      <c r="AX40" s="27">
        <f>IF(('Activity data'!AX9*EF!$H40*EF!W58)*NtoN2O*kgtoGg=0,"NO",('Activity data'!AX9*EF!$H40*EF!W58)*NtoN2O*kgtoGg)</f>
        <v>0.7395587968520555</v>
      </c>
      <c r="AY40" s="27">
        <f>IF(('Activity data'!AY9*EF!$H40*EF!X58)*NtoN2O*kgtoGg=0,"NO",('Activity data'!AY9*EF!$H40*EF!X58)*NtoN2O*kgtoGg)</f>
        <v>0.75128891020004818</v>
      </c>
      <c r="AZ40" s="27">
        <f>IF(('Activity data'!AZ9*EF!$H40*EF!Y58)*NtoN2O*kgtoGg=0,"NO",('Activity data'!AZ9*EF!$H40*EF!Y58)*NtoN2O*kgtoGg)</f>
        <v>0.76362442157000243</v>
      </c>
      <c r="BA40" s="27">
        <f>IF(('Activity data'!BA9*EF!$H40*EF!Z58)*NtoN2O*kgtoGg=0,"NO",('Activity data'!BA9*EF!$H40*EF!Z58)*NtoN2O*kgtoGg)</f>
        <v>0.77614469341226622</v>
      </c>
      <c r="BB40" s="27">
        <f>IF(('Activity data'!BB9*EF!$H40*EF!AA58)*NtoN2O*kgtoGg=0,"NO",('Activity data'!BB9*EF!$H40*EF!AA58)*NtoN2O*kgtoGg)</f>
        <v>0.78757792641199043</v>
      </c>
      <c r="BC40" s="27">
        <f>IF(('Activity data'!BC9*EF!$H40*EF!AB58)*NtoN2O*kgtoGg=0,"NO",('Activity data'!BC9*EF!$H40*EF!AB58)*NtoN2O*kgtoGg)</f>
        <v>0.79963788887456544</v>
      </c>
      <c r="BD40" s="27">
        <f>IF(('Activity data'!BD9*EF!$H40*EF!AC58)*NtoN2O*kgtoGg=0,"NO",('Activity data'!BD9*EF!$H40*EF!AC58)*NtoN2O*kgtoGg)</f>
        <v>0.81115177770881697</v>
      </c>
      <c r="BE40" s="27">
        <f>IF(('Activity data'!BE9*EF!$H40*EF!AD58)*NtoN2O*kgtoGg=0,"NO",('Activity data'!BE9*EF!$H40*EF!AD58)*NtoN2O*kgtoGg)</f>
        <v>0.82200866931166305</v>
      </c>
      <c r="BF40" s="27">
        <f>IF(('Activity data'!BF9*EF!$H40*EF!AE58)*NtoN2O*kgtoGg=0,"NO",('Activity data'!BF9*EF!$H40*EF!AE58)*NtoN2O*kgtoGg)</f>
        <v>0.83267265599813822</v>
      </c>
      <c r="BG40" s="27">
        <f>IF(('Activity data'!BG9*EF!$H40*EF!AF58)*NtoN2O*kgtoGg=0,"NO",('Activity data'!BG9*EF!$H40*EF!AF58)*NtoN2O*kgtoGg)</f>
        <v>0.84621430522926222</v>
      </c>
      <c r="BH40" s="27">
        <f>IF(('Activity data'!BH9*EF!$H40*EF!AG58)*NtoN2O*kgtoGg=0,"NO",('Activity data'!BH9*EF!$H40*EF!AG58)*NtoN2O*kgtoGg)</f>
        <v>0.86022056748957776</v>
      </c>
      <c r="BI40" s="27">
        <f>IF(('Activity data'!BI9*EF!$H40*EF!AH58)*NtoN2O*kgtoGg=0,"NO",('Activity data'!BI9*EF!$H40*EF!AH58)*NtoN2O*kgtoGg)</f>
        <v>0.87520044602095726</v>
      </c>
      <c r="BJ40" s="27">
        <f>IF(('Activity data'!BJ9*EF!$H40*EF!AI58)*NtoN2O*kgtoGg=0,"NO",('Activity data'!BJ9*EF!$H40*EF!AI58)*NtoN2O*kgtoGg)</f>
        <v>0.89012204277587748</v>
      </c>
      <c r="BK40" s="27">
        <f>IF(('Activity data'!BK9*EF!$H40*EF!AJ58)*NtoN2O*kgtoGg=0,"NO",('Activity data'!BK9*EF!$H40*EF!AJ58)*NtoN2O*kgtoGg)</f>
        <v>0.90500472509596042</v>
      </c>
      <c r="BL40" s="27">
        <f>IF(('Activity data'!BL9*EF!$H40*EF!AK58)*NtoN2O*kgtoGg=0,"NO",('Activity data'!BL9*EF!$H40*EF!AK58)*NtoN2O*kgtoGg)</f>
        <v>0.92082658408654217</v>
      </c>
      <c r="BM40" s="27">
        <f>IF(('Activity data'!BM9*EF!$H40*EF!AL58)*NtoN2O*kgtoGg=0,"NO",('Activity data'!BM9*EF!$H40*EF!AL58)*NtoN2O*kgtoGg)</f>
        <v>0.93717795190602593</v>
      </c>
      <c r="BN40" s="27">
        <f>IF(('Activity data'!BN9*EF!$H40*EF!AM58)*NtoN2O*kgtoGg=0,"NO",('Activity data'!BN9*EF!$H40*EF!AM58)*NtoN2O*kgtoGg)</f>
        <v>0.95377454436426301</v>
      </c>
      <c r="BO40" s="27">
        <f>IF(('Activity data'!BO9*EF!$H40*EF!AN58)*NtoN2O*kgtoGg=0,"NO",('Activity data'!BO9*EF!$H40*EF!AN58)*NtoN2O*kgtoGg)</f>
        <v>0.97118115388063697</v>
      </c>
      <c r="BP40" s="27">
        <f>IF(('Activity data'!BP9*EF!$H40*EF!AO58)*NtoN2O*kgtoGg=0,"NO",('Activity data'!BP9*EF!$H40*EF!AO58)*NtoN2O*kgtoGg)</f>
        <v>0.98577443066842085</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0.97926119892671459</v>
      </c>
      <c r="AE41" s="27">
        <f>IF(('Activity data'!AE10*EF!$H41*EF!$H59)*NtoN2O*kgtoGg=0,"NO",('Activity data'!AE10*EF!$H41*EF!$H59)*NtoN2O*kgtoGg)</f>
        <v>1.0122801448609138</v>
      </c>
      <c r="AF41" s="27">
        <f>IF(('Activity data'!AF10*EF!$H41*EF!$H59)*NtoN2O*kgtoGg=0,"NO",('Activity data'!AF10*EF!$H41*EF!$H59)*NtoN2O*kgtoGg)</f>
        <v>1.0514701788925804</v>
      </c>
      <c r="AG41" s="27">
        <f>IF(('Activity data'!AG10*EF!$H41*EF!$H59)*NtoN2O*kgtoGg=0,"NO",('Activity data'!AG10*EF!$H41*EF!$H59)*NtoN2O*kgtoGg)</f>
        <v>1.0806972456941148</v>
      </c>
      <c r="AH41" s="27">
        <f>IF(('Activity data'!AH10*EF!$H41*EF!$H59)*NtoN2O*kgtoGg=0,"NO",('Activity data'!AH10*EF!$H41*EF!$H59)*NtoN2O*kgtoGg)</f>
        <v>1.103236794343371</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1.0797349387647497</v>
      </c>
      <c r="AM41" s="27">
        <f>IF(('Activity data'!AM10*EF!$H41*EF!L59)*NtoN2O*kgtoGg=0,"NO",('Activity data'!AM10*EF!$H41*EF!L59)*NtoN2O*kgtoGg)</f>
        <v>1.1586148391754056</v>
      </c>
      <c r="AN41" s="27">
        <f>IF(('Activity data'!AN10*EF!$H41*EF!M59)*NtoN2O*kgtoGg=0,"NO",('Activity data'!AN10*EF!$H41*EF!M59)*NtoN2O*kgtoGg)</f>
        <v>1.2048828534043301</v>
      </c>
      <c r="AO41" s="27">
        <f>IF(('Activity data'!AO10*EF!$H41*EF!N59)*NtoN2O*kgtoGg=0,"NO",('Activity data'!AO10*EF!$H41*EF!N59)*NtoN2O*kgtoGg)</f>
        <v>1.2248214292243891</v>
      </c>
      <c r="AP41" s="27">
        <f>IF(('Activity data'!AP10*EF!$H41*EF!O59)*NtoN2O*kgtoGg=0,"NO",('Activity data'!AP10*EF!$H41*EF!O59)*NtoN2O*kgtoGg)</f>
        <v>1.2462862134810584</v>
      </c>
      <c r="AQ41" s="27">
        <f>IF(('Activity data'!AQ10*EF!$H41*EF!P59)*NtoN2O*kgtoGg=0,"NO",('Activity data'!AQ10*EF!$H41*EF!P59)*NtoN2O*kgtoGg)</f>
        <v>1.2753304123156213</v>
      </c>
      <c r="AR41" s="27">
        <f>IF(('Activity data'!AR10*EF!$H41*EF!Q59)*NtoN2O*kgtoGg=0,"NO",('Activity data'!AR10*EF!$H41*EF!Q59)*NtoN2O*kgtoGg)</f>
        <v>1.3119382309958816</v>
      </c>
      <c r="AS41" s="27">
        <f>IF(('Activity data'!AS10*EF!$H41*EF!R59)*NtoN2O*kgtoGg=0,"NO",('Activity data'!AS10*EF!$H41*EF!R59)*NtoN2O*kgtoGg)</f>
        <v>1.352551168014529</v>
      </c>
      <c r="AT41" s="27">
        <f>IF(('Activity data'!AT10*EF!$H41*EF!S59)*NtoN2O*kgtoGg=0,"NO",('Activity data'!AT10*EF!$H41*EF!S59)*NtoN2O*kgtoGg)</f>
        <v>1.3983302277222904</v>
      </c>
      <c r="AU41" s="27">
        <f>IF(('Activity data'!AU10*EF!$H41*EF!T59)*NtoN2O*kgtoGg=0,"NO",('Activity data'!AU10*EF!$H41*EF!T59)*NtoN2O*kgtoGg)</f>
        <v>1.45265003311069</v>
      </c>
      <c r="AV41" s="27">
        <f>IF(('Activity data'!AV10*EF!$H41*EF!U59)*NtoN2O*kgtoGg=0,"NO",('Activity data'!AV10*EF!$H41*EF!U59)*NtoN2O*kgtoGg)</f>
        <v>1.5153587089508171</v>
      </c>
      <c r="AW41" s="27">
        <f>IF(('Activity data'!AW10*EF!$H41*EF!V59)*NtoN2O*kgtoGg=0,"NO",('Activity data'!AW10*EF!$H41*EF!V59)*NtoN2O*kgtoGg)</f>
        <v>1.5878154020260862</v>
      </c>
      <c r="AX41" s="27">
        <f>IF(('Activity data'!AX10*EF!$H41*EF!W59)*NtoN2O*kgtoGg=0,"NO",('Activity data'!AX10*EF!$H41*EF!W59)*NtoN2O*kgtoGg)</f>
        <v>1.6662236213187609</v>
      </c>
      <c r="AY41" s="27">
        <f>IF(('Activity data'!AY10*EF!$H41*EF!X59)*NtoN2O*kgtoGg=0,"NO",('Activity data'!AY10*EF!$H41*EF!X59)*NtoN2O*kgtoGg)</f>
        <v>1.7490356868363826</v>
      </c>
      <c r="AZ41" s="27">
        <f>IF(('Activity data'!AZ10*EF!$H41*EF!Y59)*NtoN2O*kgtoGg=0,"NO",('Activity data'!AZ10*EF!$H41*EF!Y59)*NtoN2O*kgtoGg)</f>
        <v>1.8371605385940195</v>
      </c>
      <c r="BA41" s="27">
        <f>IF(('Activity data'!BA10*EF!$H41*EF!Z59)*NtoN2O*kgtoGg=0,"NO",('Activity data'!BA10*EF!$H41*EF!Z59)*NtoN2O*kgtoGg)</f>
        <v>1.9299179853404884</v>
      </c>
      <c r="BB41" s="27">
        <f>IF(('Activity data'!BB10*EF!$H41*EF!AA59)*NtoN2O*kgtoGg=0,"NO",('Activity data'!BB10*EF!$H41*EF!AA59)*NtoN2O*kgtoGg)</f>
        <v>2.0243264887955772</v>
      </c>
      <c r="BC41" s="27">
        <f>IF(('Activity data'!BC10*EF!$H41*EF!AB59)*NtoN2O*kgtoGg=0,"NO",('Activity data'!BC10*EF!$H41*EF!AB59)*NtoN2O*kgtoGg)</f>
        <v>2.1249172544227406</v>
      </c>
      <c r="BD41" s="27">
        <f>IF(('Activity data'!BD10*EF!$H41*EF!AC59)*NtoN2O*kgtoGg=0,"NO",('Activity data'!BD10*EF!$H41*EF!AC59)*NtoN2O*kgtoGg)</f>
        <v>2.2289075077368197</v>
      </c>
      <c r="BE41" s="27">
        <f>IF(('Activity data'!BE10*EF!$H41*EF!AD59)*NtoN2O*kgtoGg=0,"NO",('Activity data'!BE10*EF!$H41*EF!AD59)*NtoN2O*kgtoGg)</f>
        <v>2.3361255764589468</v>
      </c>
      <c r="BF41" s="27">
        <f>IF(('Activity data'!BF10*EF!$H41*EF!AE59)*NtoN2O*kgtoGg=0,"NO",('Activity data'!BF10*EF!$H41*EF!AE59)*NtoN2O*kgtoGg)</f>
        <v>2.4480579395389377</v>
      </c>
      <c r="BG41" s="27">
        <f>IF(('Activity data'!BG10*EF!$H41*EF!AF59)*NtoN2O*kgtoGg=0,"NO",('Activity data'!BG10*EF!$H41*EF!AF59)*NtoN2O*kgtoGg)</f>
        <v>2.5580662421643461</v>
      </c>
      <c r="BH41" s="27">
        <f>IF(('Activity data'!BH10*EF!$H41*EF!AG59)*NtoN2O*kgtoGg=0,"NO",('Activity data'!BH10*EF!$H41*EF!AG59)*NtoN2O*kgtoGg)</f>
        <v>2.6740312374133999</v>
      </c>
      <c r="BI41" s="27">
        <f>IF(('Activity data'!BI10*EF!$H41*EF!AH59)*NtoN2O*kgtoGg=0,"NO",('Activity data'!BI10*EF!$H41*EF!AH59)*NtoN2O*kgtoGg)</f>
        <v>2.7979244732629738</v>
      </c>
      <c r="BJ41" s="27">
        <f>IF(('Activity data'!BJ10*EF!$H41*EF!AI59)*NtoN2O*kgtoGg=0,"NO",('Activity data'!BJ10*EF!$H41*EF!AI59)*NtoN2O*kgtoGg)</f>
        <v>2.9268588582276069</v>
      </c>
      <c r="BK41" s="27">
        <f>IF(('Activity data'!BK10*EF!$H41*EF!AJ59)*NtoN2O*kgtoGg=0,"NO",('Activity data'!BK10*EF!$H41*EF!AJ59)*NtoN2O*kgtoGg)</f>
        <v>3.0611473278848456</v>
      </c>
      <c r="BL41" s="27">
        <f>IF(('Activity data'!BL10*EF!$H41*EF!AK59)*NtoN2O*kgtoGg=0,"NO",('Activity data'!BL10*EF!$H41*EF!AK59)*NtoN2O*kgtoGg)</f>
        <v>3.2044630996439452</v>
      </c>
      <c r="BM41" s="27">
        <f>IF(('Activity data'!BM10*EF!$H41*EF!AL59)*NtoN2O*kgtoGg=0,"NO",('Activity data'!BM10*EF!$H41*EF!AL59)*NtoN2O*kgtoGg)</f>
        <v>3.3559228759421229</v>
      </c>
      <c r="BN41" s="27">
        <f>IF(('Activity data'!BN10*EF!$H41*EF!AM59)*NtoN2O*kgtoGg=0,"NO",('Activity data'!BN10*EF!$H41*EF!AM59)*NtoN2O*kgtoGg)</f>
        <v>3.5149748258951519</v>
      </c>
      <c r="BO41" s="27">
        <f>IF(('Activity data'!BO10*EF!$H41*EF!AN59)*NtoN2O*kgtoGg=0,"NO",('Activity data'!BO10*EF!$H41*EF!AN59)*NtoN2O*kgtoGg)</f>
        <v>3.6841999883853953</v>
      </c>
      <c r="BP41" s="27">
        <f>IF(('Activity data'!BP10*EF!$H41*EF!AO59)*NtoN2O*kgtoGg=0,"NO",('Activity data'!BP10*EF!$H41*EF!AO59)*NtoN2O*kgtoGg)</f>
        <v>3.8501065426145096</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0.11888884787446641</v>
      </c>
      <c r="AM42" s="27">
        <f>IF(('Activity data'!AM11*EF!$H42*EF!L60)*NtoN2O*kgtoGg=0,"NO",('Activity data'!AM11*EF!$H42*EF!L60)*NtoN2O*kgtoGg)</f>
        <v>0.11897442160845599</v>
      </c>
      <c r="AN42" s="27">
        <f>IF(('Activity data'!AN11*EF!$H42*EF!M60)*NtoN2O*kgtoGg=0,"NO",('Activity data'!AN11*EF!$H42*EF!M60)*NtoN2O*kgtoGg)</f>
        <v>0.11894433570617077</v>
      </c>
      <c r="AO42" s="27">
        <f>IF(('Activity data'!AO11*EF!$H42*EF!N60)*NtoN2O*kgtoGg=0,"NO",('Activity data'!AO11*EF!$H42*EF!N60)*NtoN2O*kgtoGg)</f>
        <v>0.11894216976117228</v>
      </c>
      <c r="AP42" s="27">
        <f>IF(('Activity data'!AP11*EF!$H42*EF!O60)*NtoN2O*kgtoGg=0,"NO",('Activity data'!AP11*EF!$H42*EF!O60)*NtoN2O*kgtoGg)</f>
        <v>0.11906833284654554</v>
      </c>
      <c r="AQ42" s="27">
        <f>IF(('Activity data'!AQ11*EF!$H42*EF!P60)*NtoN2O*kgtoGg=0,"NO",('Activity data'!AQ11*EF!$H42*EF!P60)*NtoN2O*kgtoGg)</f>
        <v>0.1192748103604965</v>
      </c>
      <c r="AR42" s="27">
        <f>IF(('Activity data'!AR11*EF!$H42*EF!Q60)*NtoN2O*kgtoGg=0,"NO",('Activity data'!AR11*EF!$H42*EF!Q60)*NtoN2O*kgtoGg)</f>
        <v>0.11947292782589553</v>
      </c>
      <c r="AS42" s="27">
        <f>IF(('Activity data'!AS11*EF!$H42*EF!R60)*NtoN2O*kgtoGg=0,"NO",('Activity data'!AS11*EF!$H42*EF!R60)*NtoN2O*kgtoGg)</f>
        <v>0.11966332441080059</v>
      </c>
      <c r="AT42" s="27">
        <f>IF(('Activity data'!AT11*EF!$H42*EF!S60)*NtoN2O*kgtoGg=0,"NO",('Activity data'!AT11*EF!$H42*EF!S60)*NtoN2O*kgtoGg)</f>
        <v>0.11984574027292559</v>
      </c>
      <c r="AU42" s="27">
        <f>IF(('Activity data'!AU11*EF!$H42*EF!T60)*NtoN2O*kgtoGg=0,"NO",('Activity data'!AU11*EF!$H42*EF!T60)*NtoN2O*kgtoGg)</f>
        <v>0.12002397691702794</v>
      </c>
      <c r="AV42" s="27">
        <f>IF(('Activity data'!AV11*EF!$H42*EF!U60)*NtoN2O*kgtoGg=0,"NO",('Activity data'!AV11*EF!$H42*EF!U60)*NtoN2O*kgtoGg)</f>
        <v>0.12020063791291828</v>
      </c>
      <c r="AW42" s="27">
        <f>IF(('Activity data'!AW11*EF!$H42*EF!V60)*NtoN2O*kgtoGg=0,"NO",('Activity data'!AW11*EF!$H42*EF!V60)*NtoN2O*kgtoGg)</f>
        <v>0.12037395069486655</v>
      </c>
      <c r="AX42" s="27">
        <f>IF(('Activity data'!AX11*EF!$H42*EF!W60)*NtoN2O*kgtoGg=0,"NO",('Activity data'!AX11*EF!$H42*EF!W60)*NtoN2O*kgtoGg)</f>
        <v>0.12054640721794915</v>
      </c>
      <c r="AY42" s="27">
        <f>IF(('Activity data'!AY11*EF!$H42*EF!X60)*NtoN2O*kgtoGg=0,"NO",('Activity data'!AY11*EF!$H42*EF!X60)*NtoN2O*kgtoGg)</f>
        <v>0.12071746421078627</v>
      </c>
      <c r="AZ42" s="27">
        <f>IF(('Activity data'!AZ11*EF!$H42*EF!Y60)*NtoN2O*kgtoGg=0,"NO",('Activity data'!AZ11*EF!$H42*EF!Y60)*NtoN2O*kgtoGg)</f>
        <v>0.12088575105723816</v>
      </c>
      <c r="BA42" s="27">
        <f>IF(('Activity data'!BA11*EF!$H42*EF!Z60)*NtoN2O*kgtoGg=0,"NO",('Activity data'!BA11*EF!$H42*EF!Z60)*NtoN2O*kgtoGg)</f>
        <v>0.12105200867781399</v>
      </c>
      <c r="BB42" s="27">
        <f>IF(('Activity data'!BB11*EF!$H42*EF!AA60)*NtoN2O*kgtoGg=0,"NO",('Activity data'!BB11*EF!$H42*EF!AA60)*NtoN2O*kgtoGg)</f>
        <v>0.12121641449313381</v>
      </c>
      <c r="BC42" s="27">
        <f>IF(('Activity data'!BC11*EF!$H42*EF!AB60)*NtoN2O*kgtoGg=0,"NO",('Activity data'!BC11*EF!$H42*EF!AB60)*NtoN2O*kgtoGg)</f>
        <v>0.12137952665146406</v>
      </c>
      <c r="BD42" s="27">
        <f>IF(('Activity data'!BD11*EF!$H42*EF!AC60)*NtoN2O*kgtoGg=0,"NO",('Activity data'!BD11*EF!$H42*EF!AC60)*NtoN2O*kgtoGg)</f>
        <v>0.12153635424536353</v>
      </c>
      <c r="BE42" s="27">
        <f>IF(('Activity data'!BE11*EF!$H42*EF!AD60)*NtoN2O*kgtoGg=0,"NO",('Activity data'!BE11*EF!$H42*EF!AD60)*NtoN2O*kgtoGg)</f>
        <v>0.12168671378968904</v>
      </c>
      <c r="BF42" s="27">
        <f>IF(('Activity data'!BF11*EF!$H42*EF!AE60)*NtoN2O*kgtoGg=0,"NO",('Activity data'!BF11*EF!$H42*EF!AE60)*NtoN2O*kgtoGg)</f>
        <v>0.12183201055728769</v>
      </c>
      <c r="BG42" s="27">
        <f>IF(('Activity data'!BG11*EF!$H42*EF!AF60)*NtoN2O*kgtoGg=0,"NO",('Activity data'!BG11*EF!$H42*EF!AF60)*NtoN2O*kgtoGg)</f>
        <v>0.12197112574763715</v>
      </c>
      <c r="BH42" s="27">
        <f>IF(('Activity data'!BH11*EF!$H42*EF!AG60)*NtoN2O*kgtoGg=0,"NO",('Activity data'!BH11*EF!$H42*EF!AG60)*NtoN2O*kgtoGg)</f>
        <v>0.12210431172658152</v>
      </c>
      <c r="BI42" s="27">
        <f>IF(('Activity data'!BI11*EF!$H42*EF!AH60)*NtoN2O*kgtoGg=0,"NO",('Activity data'!BI11*EF!$H42*EF!AH60)*NtoN2O*kgtoGg)</f>
        <v>0.12223096862203452</v>
      </c>
      <c r="BJ42" s="27">
        <f>IF(('Activity data'!BJ11*EF!$H42*EF!AI60)*NtoN2O*kgtoGg=0,"NO",('Activity data'!BJ11*EF!$H42*EF!AI60)*NtoN2O*kgtoGg)</f>
        <v>0.12234928396390207</v>
      </c>
      <c r="BK42" s="27">
        <f>IF(('Activity data'!BK11*EF!$H42*EF!AJ60)*NtoN2O*kgtoGg=0,"NO",('Activity data'!BK11*EF!$H42*EF!AJ60)*NtoN2O*kgtoGg)</f>
        <v>0.12245757817594662</v>
      </c>
      <c r="BL42" s="27">
        <f>IF(('Activity data'!BL11*EF!$H42*EF!AK60)*NtoN2O*kgtoGg=0,"NO",('Activity data'!BL11*EF!$H42*EF!AK60)*NtoN2O*kgtoGg)</f>
        <v>0.12255574185064526</v>
      </c>
      <c r="BM42" s="27">
        <f>IF(('Activity data'!BM11*EF!$H42*EF!AL60)*NtoN2O*kgtoGg=0,"NO",('Activity data'!BM11*EF!$H42*EF!AL60)*NtoN2O*kgtoGg)</f>
        <v>0.12264302379658787</v>
      </c>
      <c r="BN42" s="27">
        <f>IF(('Activity data'!BN11*EF!$H42*EF!AM60)*NtoN2O*kgtoGg=0,"NO",('Activity data'!BN11*EF!$H42*EF!AM60)*NtoN2O*kgtoGg)</f>
        <v>0.12271938191890155</v>
      </c>
      <c r="BO42" s="27">
        <f>IF(('Activity data'!BO11*EF!$H42*EF!AN60)*NtoN2O*kgtoGg=0,"NO",('Activity data'!BO11*EF!$H42*EF!AN60)*NtoN2O*kgtoGg)</f>
        <v>0.12278627747914957</v>
      </c>
      <c r="BP42" s="27">
        <f>IF(('Activity data'!BP11*EF!$H42*EF!AO60)*NtoN2O*kgtoGg=0,"NO",('Activity data'!BP11*EF!$H42*EF!AO60)*NtoN2O*kgtoGg)</f>
        <v>0.12283502162881774</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6.3574794121898134E-2</v>
      </c>
      <c r="AM43" s="27">
        <f>IF(('Activity data'!AM12*EF!$H43*EF!L61)*NtoN2O*kgtoGg=0,"NO",('Activity data'!AM12*EF!$H43*EF!L61)*NtoN2O*kgtoGg)</f>
        <v>6.362055394393272E-2</v>
      </c>
      <c r="AN43" s="27">
        <f>IF(('Activity data'!AN12*EF!$H43*EF!M61)*NtoN2O*kgtoGg=0,"NO",('Activity data'!AN12*EF!$H43*EF!M61)*NtoN2O*kgtoGg)</f>
        <v>6.3604465765117371E-2</v>
      </c>
      <c r="AO43" s="27">
        <f>IF(('Activity data'!AO12*EF!$H43*EF!N61)*NtoN2O*kgtoGg=0,"NO",('Activity data'!AO12*EF!$H43*EF!N61)*NtoN2O*kgtoGg)</f>
        <v>6.3603307544562435E-2</v>
      </c>
      <c r="AP43" s="27">
        <f>IF(('Activity data'!AP12*EF!$H43*EF!O61)*NtoN2O*kgtoGg=0,"NO",('Activity data'!AP12*EF!$H43*EF!O61)*NtoN2O*kgtoGg)</f>
        <v>6.3670772174944407E-2</v>
      </c>
      <c r="AQ43" s="27">
        <f>IF(('Activity data'!AQ12*EF!$H43*EF!P61)*NtoN2O*kgtoGg=0,"NO",('Activity data'!AQ12*EF!$H43*EF!P61)*NtoN2O*kgtoGg)</f>
        <v>6.3781184258793491E-2</v>
      </c>
      <c r="AR43" s="27">
        <f>IF(('Activity data'!AR12*EF!$H43*EF!Q61)*NtoN2O*kgtoGg=0,"NO",('Activity data'!AR12*EF!$H43*EF!Q61)*NtoN2O*kgtoGg)</f>
        <v>6.3887125878212575E-2</v>
      </c>
      <c r="AS43" s="27">
        <f>IF(('Activity data'!AS12*EF!$H43*EF!R61)*NtoN2O*kgtoGg=0,"NO",('Activity data'!AS12*EF!$H43*EF!R61)*NtoN2O*kgtoGg)</f>
        <v>6.3988938822851713E-2</v>
      </c>
      <c r="AT43" s="27">
        <f>IF(('Activity data'!AT12*EF!$H43*EF!S61)*NtoN2O*kgtoGg=0,"NO",('Activity data'!AT12*EF!$H43*EF!S61)*NtoN2O*kgtoGg)</f>
        <v>6.4086484144271705E-2</v>
      </c>
      <c r="AU43" s="27">
        <f>IF(('Activity data'!AU12*EF!$H43*EF!T61)*NtoN2O*kgtoGg=0,"NO",('Activity data'!AU12*EF!$H43*EF!T61)*NtoN2O*kgtoGg)</f>
        <v>6.4181794664613767E-2</v>
      </c>
      <c r="AV43" s="27">
        <f>IF(('Activity data'!AV12*EF!$H43*EF!U61)*NtoN2O*kgtoGg=0,"NO",('Activity data'!AV12*EF!$H43*EF!U61)*NtoN2O*kgtoGg)</f>
        <v>6.4276262620556607E-2</v>
      </c>
      <c r="AW43" s="27">
        <f>IF(('Activity data'!AW12*EF!$H43*EF!V61)*NtoN2O*kgtoGg=0,"NO",('Activity data'!AW12*EF!$H43*EF!V61)*NtoN2O*kgtoGg)</f>
        <v>6.4368940147743067E-2</v>
      </c>
      <c r="AX43" s="27">
        <f>IF(('Activity data'!AX12*EF!$H43*EF!W61)*NtoN2O*kgtoGg=0,"NO",('Activity data'!AX12*EF!$H43*EF!W61)*NtoN2O*kgtoGg)</f>
        <v>6.4461159797827752E-2</v>
      </c>
      <c r="AY43" s="27">
        <f>IF(('Activity data'!AY12*EF!$H43*EF!X61)*NtoN2O*kgtoGg=0,"NO",('Activity data'!AY12*EF!$H43*EF!X61)*NtoN2O*kgtoGg)</f>
        <v>6.4552631061088828E-2</v>
      </c>
      <c r="AZ43" s="27">
        <f>IF(('Activity data'!AZ12*EF!$H43*EF!Y61)*NtoN2O*kgtoGg=0,"NO",('Activity data'!AZ12*EF!$H43*EF!Y61)*NtoN2O*kgtoGg)</f>
        <v>6.4642621012273305E-2</v>
      </c>
      <c r="BA43" s="27">
        <f>IF(('Activity data'!BA12*EF!$H43*EF!Z61)*NtoN2O*kgtoGg=0,"NO",('Activity data'!BA12*EF!$H43*EF!Z61)*NtoN2O*kgtoGg)</f>
        <v>6.4731525852283742E-2</v>
      </c>
      <c r="BB43" s="27">
        <f>IF(('Activity data'!BB12*EF!$H43*EF!AA61)*NtoN2O*kgtoGg=0,"NO",('Activity data'!BB12*EF!$H43*EF!AA61)*NtoN2O*kgtoGg)</f>
        <v>6.4819440455278599E-2</v>
      </c>
      <c r="BC43" s="27">
        <f>IF(('Activity data'!BC12*EF!$H43*EF!AB61)*NtoN2O*kgtoGg=0,"NO",('Activity data'!BC12*EF!$H43*EF!AB61)*NtoN2O*kgtoGg)</f>
        <v>6.4906663286267555E-2</v>
      </c>
      <c r="BD43" s="27">
        <f>IF(('Activity data'!BD12*EF!$H43*EF!AC61)*NtoN2O*kgtoGg=0,"NO",('Activity data'!BD12*EF!$H43*EF!AC61)*NtoN2O*kgtoGg)</f>
        <v>6.499052550020136E-2</v>
      </c>
      <c r="BE43" s="27">
        <f>IF(('Activity data'!BE12*EF!$H43*EF!AD61)*NtoN2O*kgtoGg=0,"NO",('Activity data'!BE12*EF!$H43*EF!AD61)*NtoN2O*kgtoGg)</f>
        <v>6.5070928979969703E-2</v>
      </c>
      <c r="BF43" s="27">
        <f>IF(('Activity data'!BF12*EF!$H43*EF!AE61)*NtoN2O*kgtoGg=0,"NO",('Activity data'!BF12*EF!$H43*EF!AE61)*NtoN2O*kgtoGg)</f>
        <v>6.5148625183203274E-2</v>
      </c>
      <c r="BG43" s="27">
        <f>IF(('Activity data'!BG12*EF!$H43*EF!AF61)*NtoN2O*kgtoGg=0,"NO",('Activity data'!BG12*EF!$H43*EF!AF61)*NtoN2O*kgtoGg)</f>
        <v>6.5223015840895862E-2</v>
      </c>
      <c r="BH43" s="27">
        <f>IF(('Activity data'!BH12*EF!$H43*EF!AG61)*NtoN2O*kgtoGg=0,"NO",('Activity data'!BH12*EF!$H43*EF!AG61)*NtoN2O*kgtoGg)</f>
        <v>6.5294235903523207E-2</v>
      </c>
      <c r="BI43" s="27">
        <f>IF(('Activity data'!BI12*EF!$H43*EF!AH61)*NtoN2O*kgtoGg=0,"NO",('Activity data'!BI12*EF!$H43*EF!AH61)*NtoN2O*kgtoGg)</f>
        <v>6.5361964594620001E-2</v>
      </c>
      <c r="BJ43" s="27">
        <f>IF(('Activity data'!BJ12*EF!$H43*EF!AI61)*NtoN2O*kgtoGg=0,"NO",('Activity data'!BJ12*EF!$H43*EF!AI61)*NtoN2O*kgtoGg)</f>
        <v>6.542523271131194E-2</v>
      </c>
      <c r="BK43" s="27">
        <f>IF(('Activity data'!BK12*EF!$H43*EF!AJ61)*NtoN2O*kgtoGg=0,"NO",('Activity data'!BK12*EF!$H43*EF!AJ61)*NtoN2O*kgtoGg)</f>
        <v>6.548314211457737E-2</v>
      </c>
      <c r="BL43" s="27">
        <f>IF(('Activity data'!BL12*EF!$H43*EF!AK61)*NtoN2O*kgtoGg=0,"NO",('Activity data'!BL12*EF!$H43*EF!AK61)*NtoN2O*kgtoGg)</f>
        <v>6.5535634299679582E-2</v>
      </c>
      <c r="BM43" s="27">
        <f>IF(('Activity data'!BM12*EF!$H43*EF!AL61)*NtoN2O*kgtoGg=0,"NO",('Activity data'!BM12*EF!$H43*EF!AL61)*NtoN2O*kgtoGg)</f>
        <v>6.5582307573439622E-2</v>
      </c>
      <c r="BN43" s="27">
        <f>IF(('Activity data'!BN12*EF!$H43*EF!AM61)*NtoN2O*kgtoGg=0,"NO",('Activity data'!BN12*EF!$H43*EF!AM61)*NtoN2O*kgtoGg)</f>
        <v>6.5623139425984384E-2</v>
      </c>
      <c r="BO43" s="27">
        <f>IF(('Activity data'!BO12*EF!$H43*EF!AN61)*NtoN2O*kgtoGg=0,"NO",('Activity data'!BO12*EF!$H43*EF!AN61)*NtoN2O*kgtoGg)</f>
        <v>6.5658911254431448E-2</v>
      </c>
      <c r="BP43" s="27">
        <f>IF(('Activity data'!BP12*EF!$H43*EF!AO61)*NtoN2O*kgtoGg=0,"NO",('Activity data'!BP12*EF!$H43*EF!AO61)*NtoN2O*kgtoGg)</f>
        <v>6.5684976771384518E-2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1.4486129996083083E-2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1.4890706011157254E-2</v>
      </c>
      <c r="AK44" s="27">
        <f>IF(('Activity data'!AK13*EF!$H44*EF!J62)*NtoN2O*kgtoGg=0,"NO",('Activity data'!AK13*EF!$H44*EF!J62)*NtoN2O*kgtoGg)</f>
        <v>1.4988675221399694E-2</v>
      </c>
      <c r="AL44" s="27">
        <f>IF(('Activity data'!AL13*EF!$H44*EF!K62)*NtoN2O*kgtoGg=0,"NO",('Activity data'!AL13*EF!$H44*EF!K62)*NtoN2O*kgtoGg)</f>
        <v>1.4951923212530764E-2</v>
      </c>
      <c r="AM44" s="27">
        <f>IF(('Activity data'!AM13*EF!$H44*EF!L62)*NtoN2O*kgtoGg=0,"NO",('Activity data'!AM13*EF!$H44*EF!L62)*NtoN2O*kgtoGg)</f>
        <v>1.4977625582861876E-2</v>
      </c>
      <c r="AN44" s="27">
        <f>IF(('Activity data'!AN13*EF!$H44*EF!M62)*NtoN2O*kgtoGg=0,"NO",('Activity data'!AN13*EF!$H44*EF!M62)*NtoN2O*kgtoGg)</f>
        <v>1.4980119703065675E-2</v>
      </c>
      <c r="AO44" s="27">
        <f>IF(('Activity data'!AO13*EF!$H44*EF!N62)*NtoN2O*kgtoGg=0,"NO",('Activity data'!AO13*EF!$H44*EF!N62)*NtoN2O*kgtoGg)</f>
        <v>1.4986976942692673E-2</v>
      </c>
      <c r="AP44" s="27">
        <f>IF(('Activity data'!AP13*EF!$H44*EF!O62)*NtoN2O*kgtoGg=0,"NO",('Activity data'!AP13*EF!$H44*EF!O62)*NtoN2O*kgtoGg)</f>
        <v>1.5017294663736542E-2</v>
      </c>
      <c r="AQ44" s="27">
        <f>IF(('Activity data'!AQ13*EF!$H44*EF!P62)*NtoN2O*kgtoGg=0,"NO",('Activity data'!AQ13*EF!$H44*EF!P62)*NtoN2O*kgtoGg)</f>
        <v>1.5061890336193319E-2</v>
      </c>
      <c r="AR44" s="27">
        <f>IF(('Activity data'!AR13*EF!$H44*EF!Q62)*NtoN2O*kgtoGg=0,"NO",('Activity data'!AR13*EF!$H44*EF!Q62)*NtoN2O*kgtoGg)</f>
        <v>1.5103986297595969E-2</v>
      </c>
      <c r="AS44" s="27">
        <f>IF(('Activity data'!AS13*EF!$H44*EF!R62)*NtoN2O*kgtoGg=0,"NO",('Activity data'!AS13*EF!$H44*EF!R62)*NtoN2O*kgtoGg)</f>
        <v>1.5143780477124499E-2</v>
      </c>
      <c r="AT44" s="27">
        <f>IF(('Activity data'!AT13*EF!$H44*EF!S62)*NtoN2O*kgtoGg=0,"NO",('Activity data'!AT13*EF!$H44*EF!S62)*NtoN2O*kgtoGg)</f>
        <v>1.518129324368281E-2</v>
      </c>
      <c r="AU44" s="27">
        <f>IF(('Activity data'!AU13*EF!$H44*EF!T62)*NtoN2O*kgtoGg=0,"NO",('Activity data'!AU13*EF!$H44*EF!T62)*NtoN2O*kgtoGg)</f>
        <v>1.5217300806744069E-2</v>
      </c>
      <c r="AV44" s="27">
        <f>IF(('Activity data'!AV13*EF!$H44*EF!U62)*NtoN2O*kgtoGg=0,"NO",('Activity data'!AV13*EF!$H44*EF!U62)*NtoN2O*kgtoGg)</f>
        <v>1.5252343422195683E-2</v>
      </c>
      <c r="AW44" s="27">
        <f>IF(('Activity data'!AW13*EF!$H44*EF!V62)*NtoN2O*kgtoGg=0,"NO",('Activity data'!AW13*EF!$H44*EF!V62)*NtoN2O*kgtoGg)</f>
        <v>1.528613499352576E-2</v>
      </c>
      <c r="AX44" s="27">
        <f>IF(('Activity data'!AX13*EF!$H44*EF!W62)*NtoN2O*kgtoGg=0,"NO",('Activity data'!AX13*EF!$H44*EF!W62)*NtoN2O*kgtoGg)</f>
        <v>1.5319183069795761E-2</v>
      </c>
      <c r="AY44" s="27">
        <f>IF(('Activity data'!AY13*EF!$H44*EF!X62)*NtoN2O*kgtoGg=0,"NO",('Activity data'!AY13*EF!$H44*EF!X62)*NtoN2O*kgtoGg)</f>
        <v>1.5351423055728343E-2</v>
      </c>
      <c r="AZ44" s="27">
        <f>IF(('Activity data'!AZ13*EF!$H44*EF!Y62)*NtoN2O*kgtoGg=0,"NO",('Activity data'!AZ13*EF!$H44*EF!Y62)*NtoN2O*kgtoGg)</f>
        <v>1.5382634347686872E-2</v>
      </c>
      <c r="BA44" s="27">
        <f>IF(('Activity data'!BA13*EF!$H44*EF!Z62)*NtoN2O*kgtoGg=0,"NO",('Activity data'!BA13*EF!$H44*EF!Z62)*NtoN2O*kgtoGg)</f>
        <v>1.5412986814805201E-2</v>
      </c>
      <c r="BB44" s="27">
        <f>IF(('Activity data'!BB13*EF!$H44*EF!AA62)*NtoN2O*kgtoGg=0,"NO",('Activity data'!BB13*EF!$H44*EF!AA62)*NtoN2O*kgtoGg)</f>
        <v>1.5442542460580333E-2</v>
      </c>
      <c r="BC44" s="27">
        <f>IF(('Activity data'!BC13*EF!$H44*EF!AB62)*NtoN2O*kgtoGg=0,"NO",('Activity data'!BC13*EF!$H44*EF!AB62)*NtoN2O*kgtoGg)</f>
        <v>1.5471431054826285E-2</v>
      </c>
      <c r="BD44" s="27">
        <f>IF(('Activity data'!BD13*EF!$H44*EF!AC62)*NtoN2O*kgtoGg=0,"NO",('Activity data'!BD13*EF!$H44*EF!AC62)*NtoN2O*kgtoGg)</f>
        <v>1.5498756892033489E-2</v>
      </c>
      <c r="BE44" s="27">
        <f>IF(('Activity data'!BE13*EF!$H44*EF!AD62)*NtoN2O*kgtoGg=0,"NO",('Activity data'!BE13*EF!$H44*EF!AD62)*NtoN2O*kgtoGg)</f>
        <v>1.5524513513074619E-2</v>
      </c>
      <c r="BF44" s="27">
        <f>IF(('Activity data'!BF13*EF!$H44*EF!AE62)*NtoN2O*kgtoGg=0,"NO",('Activity data'!BF13*EF!$H44*EF!AE62)*NtoN2O*kgtoGg)</f>
        <v>1.5548984646319333E-2</v>
      </c>
      <c r="BG44" s="27">
        <f>IF(('Activity data'!BG13*EF!$H44*EF!AF62)*NtoN2O*kgtoGg=0,"NO",('Activity data'!BG13*EF!$H44*EF!AF62)*NtoN2O*kgtoGg)</f>
        <v>1.5571987875403363E-2</v>
      </c>
      <c r="BH44" s="27">
        <f>IF(('Activity data'!BH13*EF!$H44*EF!AG62)*NtoN2O*kgtoGg=0,"NO",('Activity data'!BH13*EF!$H44*EF!AG62)*NtoN2O*kgtoGg)</f>
        <v>1.5593591673600768E-2</v>
      </c>
      <c r="BI44" s="27">
        <f>IF(('Activity data'!BI13*EF!$H44*EF!AH62)*NtoN2O*kgtoGg=0,"NO",('Activity data'!BI13*EF!$H44*EF!AH62)*NtoN2O*kgtoGg)</f>
        <v>1.5613707165200276E-2</v>
      </c>
      <c r="BJ44" s="27">
        <f>IF(('Activity data'!BJ13*EF!$H44*EF!AI62)*NtoN2O*kgtoGg=0,"NO",('Activity data'!BJ13*EF!$H44*EF!AI62)*NtoN2O*kgtoGg)</f>
        <v>1.5632023858239551E-2</v>
      </c>
      <c r="BK44" s="27">
        <f>IF(('Activity data'!BK13*EF!$H44*EF!AJ62)*NtoN2O*kgtoGg=0,"NO",('Activity data'!BK13*EF!$H44*EF!AJ62)*NtoN2O*kgtoGg)</f>
        <v>1.5648256533695205E-2</v>
      </c>
      <c r="BL44" s="27">
        <f>IF(('Activity data'!BL13*EF!$H44*EF!AK62)*NtoN2O*kgtoGg=0,"NO",('Activity data'!BL13*EF!$H44*EF!AK62)*NtoN2O*kgtoGg)</f>
        <v>1.5662406299088667E-2</v>
      </c>
      <c r="BM44" s="27">
        <f>IF(('Activity data'!BM13*EF!$H44*EF!AL62)*NtoN2O*kgtoGg=0,"NO",('Activity data'!BM13*EF!$H44*EF!AL62)*NtoN2O*kgtoGg)</f>
        <v>1.5674356891571192E-2</v>
      </c>
      <c r="BN44" s="27">
        <f>IF(('Activity data'!BN13*EF!$H44*EF!AM62)*NtoN2O*kgtoGg=0,"NO",('Activity data'!BN13*EF!$H44*EF!AM62)*NtoN2O*kgtoGg)</f>
        <v>1.568412043163633E-2</v>
      </c>
      <c r="BO44" s="27">
        <f>IF(('Activity data'!BO13*EF!$H44*EF!AN62)*NtoN2O*kgtoGg=0,"NO",('Activity data'!BO13*EF!$H44*EF!AN62)*NtoN2O*kgtoGg)</f>
        <v>1.5691980107154113E-2</v>
      </c>
      <c r="BP44" s="27">
        <f>IF(('Activity data'!BP13*EF!$H44*EF!AO62)*NtoN2O*kgtoGg=0,"NO",('Activity data'!BP13*EF!$H44*EF!AO62)*NtoN2O*kgtoGg)</f>
        <v>1.5696383554298719E-2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0.11805182815822723</v>
      </c>
      <c r="AK45" s="27">
        <f>IF(('Activity data'!AK14*EF!$H45*EF!J63)*NtoN2O*kgtoGg=0,"NO",('Activity data'!AK14*EF!$H45*EF!J63)*NtoN2O*kgtoGg)</f>
        <v>0.11882851694408277</v>
      </c>
      <c r="AL45" s="27">
        <f>IF(('Activity data'!AL14*EF!$H45*EF!K63)*NtoN2O*kgtoGg=0,"NO",('Activity data'!AL14*EF!$H45*EF!K63)*NtoN2O*kgtoGg)</f>
        <v>0.11853715118666242</v>
      </c>
      <c r="AM45" s="27">
        <f>IF(('Activity data'!AM14*EF!$H45*EF!L63)*NtoN2O*kgtoGg=0,"NO",('Activity data'!AM14*EF!$H45*EF!L63)*NtoN2O*kgtoGg)</f>
        <v>0.11874091666314918</v>
      </c>
      <c r="AN45" s="27">
        <f>IF(('Activity data'!AN14*EF!$H45*EF!M63)*NtoN2O*kgtoGg=0,"NO",('Activity data'!AN14*EF!$H45*EF!M63)*NtoN2O*kgtoGg)</f>
        <v>0.11876068976520925</v>
      </c>
      <c r="AO45" s="27">
        <f>IF(('Activity data'!AO14*EF!$H45*EF!N63)*NtoN2O*kgtoGg=0,"NO",('Activity data'!AO14*EF!$H45*EF!N63)*NtoN2O*kgtoGg)</f>
        <v>0.11881505318313448</v>
      </c>
      <c r="AP45" s="27">
        <f>IF(('Activity data'!AP14*EF!$H45*EF!O63)*NtoN2O*kgtoGg=0,"NO",('Activity data'!AP14*EF!$H45*EF!O63)*NtoN2O*kgtoGg)</f>
        <v>0.11905540863653861</v>
      </c>
      <c r="AQ45" s="27">
        <f>IF(('Activity data'!AQ14*EF!$H45*EF!P63)*NtoN2O*kgtoGg=0,"NO",('Activity data'!AQ14*EF!$H45*EF!P63)*NtoN2O*kgtoGg)</f>
        <v>0.11940895806915272</v>
      </c>
      <c r="AR45" s="27">
        <f>IF(('Activity data'!AR14*EF!$H45*EF!Q63)*NtoN2O*kgtoGg=0,"NO",('Activity data'!AR14*EF!$H45*EF!Q63)*NtoN2O*kgtoGg)</f>
        <v>0.11974269007607956</v>
      </c>
      <c r="AS45" s="27">
        <f>IF(('Activity data'!AS14*EF!$H45*EF!R63)*NtoN2O*kgtoGg=0,"NO",('Activity data'!AS14*EF!$H45*EF!R63)*NtoN2O*kgtoGg)</f>
        <v>0.12005817381740651</v>
      </c>
      <c r="AT45" s="27">
        <f>IF(('Activity data'!AT14*EF!$H45*EF!S63)*NtoN2O*kgtoGg=0,"NO",('Activity data'!AT14*EF!$H45*EF!S63)*NtoN2O*kgtoGg)</f>
        <v>0.12035557077549322</v>
      </c>
      <c r="AU45" s="27">
        <f>IF(('Activity data'!AU14*EF!$H45*EF!T63)*NtoN2O*kgtoGg=0,"NO",('Activity data'!AU14*EF!$H45*EF!T63)*NtoN2O*kgtoGg)</f>
        <v>0.12064103465099509</v>
      </c>
      <c r="AV45" s="27">
        <f>IF(('Activity data'!AV14*EF!$H45*EF!U63)*NtoN2O*kgtoGg=0,"NO",('Activity data'!AV14*EF!$H45*EF!U63)*NtoN2O*kgtoGg)</f>
        <v>0.12091884853130468</v>
      </c>
      <c r="AW45" s="27">
        <f>IF(('Activity data'!AW14*EF!$H45*EF!V63)*NtoN2O*kgtoGg=0,"NO",('Activity data'!AW14*EF!$H45*EF!V63)*NtoN2O*kgtoGg)</f>
        <v>0.12118674427572847</v>
      </c>
      <c r="AX45" s="27">
        <f>IF(('Activity data'!AX14*EF!$H45*EF!W63)*NtoN2O*kgtoGg=0,"NO",('Activity data'!AX14*EF!$H45*EF!W63)*NtoN2O*kgtoGg)</f>
        <v>0.12144874567565288</v>
      </c>
      <c r="AY45" s="27">
        <f>IF(('Activity data'!AY14*EF!$H45*EF!X63)*NtoN2O*kgtoGg=0,"NO",('Activity data'!AY14*EF!$H45*EF!X63)*NtoN2O*kgtoGg)</f>
        <v>0.1217043406270464</v>
      </c>
      <c r="AZ45" s="27">
        <f>IF(('Activity data'!AZ14*EF!$H45*EF!Y63)*NtoN2O*kgtoGg=0,"NO",('Activity data'!AZ14*EF!$H45*EF!Y63)*NtoN2O*kgtoGg)</f>
        <v>0.12195178020930149</v>
      </c>
      <c r="BA45" s="27">
        <f>IF(('Activity data'!BA14*EF!$H45*EF!Z63)*NtoN2O*kgtoGg=0,"NO",('Activity data'!BA14*EF!$H45*EF!Z63)*NtoN2O*kgtoGg)</f>
        <v>0.12219241112564265</v>
      </c>
      <c r="BB45" s="27">
        <f>IF(('Activity data'!BB14*EF!$H45*EF!AA63)*NtoN2O*kgtoGg=0,"NO",('Activity data'!BB14*EF!$H45*EF!AA63)*NtoN2O*kgtoGg)</f>
        <v>0.1224267249327608</v>
      </c>
      <c r="BC45" s="27">
        <f>IF(('Activity data'!BC14*EF!$H45*EF!AB63)*NtoN2O*kgtoGg=0,"NO",('Activity data'!BC14*EF!$H45*EF!AB63)*NtoN2O*kgtoGg)</f>
        <v>0.1226557504310213</v>
      </c>
      <c r="BD45" s="27">
        <f>IF(('Activity data'!BD14*EF!$H45*EF!AC63)*NtoN2O*kgtoGg=0,"NO",('Activity data'!BD14*EF!$H45*EF!AC63)*NtoN2O*kgtoGg)</f>
        <v>0.12287238656874688</v>
      </c>
      <c r="BE45" s="27">
        <f>IF(('Activity data'!BE14*EF!$H45*EF!AD63)*NtoN2O*kgtoGg=0,"NO",('Activity data'!BE14*EF!$H45*EF!AD63)*NtoN2O*kgtoGg)</f>
        <v>0.12307658213870883</v>
      </c>
      <c r="BF45" s="27">
        <f>IF(('Activity data'!BF14*EF!$H45*EF!AE63)*NtoN2O*kgtoGg=0,"NO",('Activity data'!BF14*EF!$H45*EF!AE63)*NtoN2O*kgtoGg)</f>
        <v>0.1232705865072376</v>
      </c>
      <c r="BG45" s="27">
        <f>IF(('Activity data'!BG14*EF!$H45*EF!AF63)*NtoN2O*kgtoGg=0,"NO",('Activity data'!BG14*EF!$H45*EF!AF63)*NtoN2O*kgtoGg)</f>
        <v>0.12345295349808931</v>
      </c>
      <c r="BH45" s="27">
        <f>IF(('Activity data'!BH14*EF!$H45*EF!AG63)*NtoN2O*kgtoGg=0,"NO",('Activity data'!BH14*EF!$H45*EF!AG63)*NtoN2O*kgtoGg)</f>
        <v>0.12362422595961356</v>
      </c>
      <c r="BI45" s="27">
        <f>IF(('Activity data'!BI14*EF!$H45*EF!AH63)*NtoN2O*kgtoGg=0,"NO",('Activity data'!BI14*EF!$H45*EF!AH63)*NtoN2O*kgtoGg)</f>
        <v>0.12378369929525287</v>
      </c>
      <c r="BJ45" s="27">
        <f>IF(('Activity data'!BJ14*EF!$H45*EF!AI63)*NtoN2O*kgtoGg=0,"NO",('Activity data'!BJ14*EF!$H45*EF!AI63)*NtoN2O*kgtoGg)</f>
        <v>0.12392891195994982</v>
      </c>
      <c r="BK45" s="27">
        <f>IF(('Activity data'!BK14*EF!$H45*EF!AJ63)*NtoN2O*kgtoGg=0,"NO",('Activity data'!BK14*EF!$H45*EF!AJ63)*NtoN2O*kgtoGg)</f>
        <v>0.12405760276964035</v>
      </c>
      <c r="BL45" s="27">
        <f>IF(('Activity data'!BL14*EF!$H45*EF!AK63)*NtoN2O*kgtoGg=0,"NO",('Activity data'!BL14*EF!$H45*EF!AK63)*NtoN2O*kgtoGg)</f>
        <v>0.12416978050462869</v>
      </c>
      <c r="BM45" s="27">
        <f>IF(('Activity data'!BM14*EF!$H45*EF!AL63)*NtoN2O*kgtoGg=0,"NO",('Activity data'!BM14*EF!$H45*EF!AL63)*NtoN2O*kgtoGg)</f>
        <v>0.12426452344623794</v>
      </c>
      <c r="BN45" s="27">
        <f>IF(('Activity data'!BN14*EF!$H45*EF!AM63)*NtoN2O*kgtoGg=0,"NO",('Activity data'!BN14*EF!$H45*EF!AM63)*NtoN2O*kgtoGg)</f>
        <v>0.12434192768436619</v>
      </c>
      <c r="BO45" s="27">
        <f>IF(('Activity data'!BO14*EF!$H45*EF!AN63)*NtoN2O*kgtoGg=0,"NO",('Activity data'!BO14*EF!$H45*EF!AN63)*NtoN2O*kgtoGg)</f>
        <v>0.1244042383003242</v>
      </c>
      <c r="BP45" s="27">
        <f>IF(('Activity data'!BP14*EF!$H45*EF!AO63)*NtoN2O*kgtoGg=0,"NO",('Activity data'!BP14*EF!$H45*EF!AO63)*NtoN2O*kgtoGg)</f>
        <v>0.12443914832979021</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9.6937181363551519E-2</v>
      </c>
      <c r="AF48" s="27">
        <f>IF(('Activity data'!AF17*EF!$H48*EF!$H66)*NtoN2O*kgtoGg=0,"NO",('Activity data'!AF17*EF!$H48*EF!$H66)*NtoN2O*kgtoGg)</f>
        <v>9.6980665528366566E-2</v>
      </c>
      <c r="AG48" s="27">
        <f>IF(('Activity data'!AG17*EF!$H48*EF!$H66)*NtoN2O*kgtoGg=0,"NO",('Activity data'!AG17*EF!$H48*EF!$H66)*NtoN2O*kgtoGg)</f>
        <v>9.6090308702663552E-2</v>
      </c>
      <c r="AH48" s="27">
        <f>IF(('Activity data'!AH17*EF!$H48*EF!$H66)*NtoN2O*kgtoGg=0,"NO",('Activity data'!AH17*EF!$H48*EF!$H66)*NtoN2O*kgtoGg)</f>
        <v>9.4636150647850456E-2</v>
      </c>
      <c r="AI48" s="27">
        <f>IF(('Activity data'!AI17*EF!$H48*EF!H66)*NtoN2O*kgtoGg=0,"NO",('Activity data'!AI17*EF!$H48*EF!H66)*NtoN2O*kgtoGg)</f>
        <v>9.2641437622218339E-2</v>
      </c>
      <c r="AJ48" s="27">
        <f>IF(('Activity data'!AJ17*EF!$H48*EF!I66)*NtoN2O*kgtoGg=0,"NO",('Activity data'!AJ17*EF!$H48*EF!I66)*NtoN2O*kgtoGg)</f>
        <v>9.1193054757597189E-2</v>
      </c>
      <c r="AK48" s="27">
        <f>IF(('Activity data'!AK17*EF!$H48*EF!J66)*NtoN2O*kgtoGg=0,"NO",('Activity data'!AK17*EF!$H48*EF!J66)*NtoN2O*kgtoGg)</f>
        <v>8.9872834352323586E-2</v>
      </c>
      <c r="AL48" s="27">
        <f>IF(('Activity data'!AL17*EF!$H48*EF!K66)*NtoN2O*kgtoGg=0,"NO",('Activity data'!AL17*EF!$H48*EF!K66)*NtoN2O*kgtoGg)</f>
        <v>8.0734544225409766E-2</v>
      </c>
      <c r="AM48" s="27">
        <f>IF(('Activity data'!AM17*EF!$H48*EF!L66)*NtoN2O*kgtoGg=0,"NO",('Activity data'!AM17*EF!$H48*EF!L66)*NtoN2O*kgtoGg)</f>
        <v>8.4382841213531623E-2</v>
      </c>
      <c r="AN48" s="27">
        <f>IF(('Activity data'!AN17*EF!$H48*EF!M66)*NtoN2O*kgtoGg=0,"NO",('Activity data'!AN17*EF!$H48*EF!M66)*NtoN2O*kgtoGg)</f>
        <v>8.5485831085546846E-2</v>
      </c>
      <c r="AO48" s="27">
        <f>IF(('Activity data'!AO17*EF!$H48*EF!N66)*NtoN2O*kgtoGg=0,"NO",('Activity data'!AO17*EF!$H48*EF!N66)*NtoN2O*kgtoGg)</f>
        <v>8.4642168924532232E-2</v>
      </c>
      <c r="AP48" s="27">
        <f>IF(('Activity data'!AP17*EF!$H48*EF!O66)*NtoN2O*kgtoGg=0,"NO",('Activity data'!AP17*EF!$H48*EF!O66)*NtoN2O*kgtoGg)</f>
        <v>8.3900172539890919E-2</v>
      </c>
      <c r="AQ48" s="27">
        <f>IF(('Activity data'!AQ17*EF!$H48*EF!P66)*NtoN2O*kgtoGg=0,"NO",('Activity data'!AQ17*EF!$H48*EF!P66)*NtoN2O*kgtoGg)</f>
        <v>8.3670858252268526E-2</v>
      </c>
      <c r="AR48" s="27">
        <f>IF(('Activity data'!AR17*EF!$H48*EF!Q66)*NtoN2O*kgtoGg=0,"NO",('Activity data'!AR17*EF!$H48*EF!Q66)*NtoN2O*kgtoGg)</f>
        <v>8.3934301237427442E-2</v>
      </c>
      <c r="AS48" s="27">
        <f>IF(('Activity data'!AS17*EF!$H48*EF!R66)*NtoN2O*kgtoGg=0,"NO",('Activity data'!AS17*EF!$H48*EF!R66)*NtoN2O*kgtoGg)</f>
        <v>8.44249898120146E-2</v>
      </c>
      <c r="AT48" s="27">
        <f>IF(('Activity data'!AT17*EF!$H48*EF!S66)*NtoN2O*kgtoGg=0,"NO",('Activity data'!AT17*EF!$H48*EF!S66)*NtoN2O*kgtoGg)</f>
        <v>8.5198904999322256E-2</v>
      </c>
      <c r="AU48" s="27">
        <f>IF(('Activity data'!AU17*EF!$H48*EF!T66)*NtoN2O*kgtoGg=0,"NO",('Activity data'!AU17*EF!$H48*EF!T66)*NtoN2O*kgtoGg)</f>
        <v>8.6442123684456251E-2</v>
      </c>
      <c r="AV48" s="27">
        <f>IF(('Activity data'!AV17*EF!$H48*EF!U66)*NtoN2O*kgtoGg=0,"NO",('Activity data'!AV17*EF!$H48*EF!U66)*NtoN2O*kgtoGg)</f>
        <v>8.8111240076380506E-2</v>
      </c>
      <c r="AW48" s="27">
        <f>IF(('Activity data'!AW17*EF!$H48*EF!V66)*NtoN2O*kgtoGg=0,"NO",('Activity data'!AW17*EF!$H48*EF!V66)*NtoN2O*kgtoGg)</f>
        <v>9.001094563198829E-2</v>
      </c>
      <c r="AX48" s="27">
        <f>IF(('Activity data'!AX17*EF!$H48*EF!W66)*NtoN2O*kgtoGg=0,"NO",('Activity data'!AX17*EF!$H48*EF!W66)*NtoN2O*kgtoGg)</f>
        <v>9.2122381916242821E-2</v>
      </c>
      <c r="AY48" s="27">
        <f>IF(('Activity data'!AY17*EF!$H48*EF!X66)*NtoN2O*kgtoGg=0,"NO",('Activity data'!AY17*EF!$H48*EF!X66)*NtoN2O*kgtoGg)</f>
        <v>9.433993402703468E-2</v>
      </c>
      <c r="AZ48" s="27">
        <f>IF(('Activity data'!AZ17*EF!$H48*EF!Y66)*NtoN2O*kgtoGg=0,"NO",('Activity data'!AZ17*EF!$H48*EF!Y66)*NtoN2O*kgtoGg)</f>
        <v>9.6701686348057328E-2</v>
      </c>
      <c r="BA48" s="27">
        <f>IF(('Activity data'!BA17*EF!$H48*EF!Z66)*NtoN2O*kgtoGg=0,"NO",('Activity data'!BA17*EF!$H48*EF!Z66)*NtoN2O*kgtoGg)</f>
        <v>9.9156733920468212E-2</v>
      </c>
      <c r="BB48" s="27">
        <f>IF(('Activity data'!BB17*EF!$H48*EF!AA66)*NtoN2O*kgtoGg=0,"NO",('Activity data'!BB17*EF!$H48*EF!AA66)*NtoN2O*kgtoGg)</f>
        <v>0.10153918433243618</v>
      </c>
      <c r="BC48" s="27">
        <f>IF(('Activity data'!BC17*EF!$H48*EF!AB66)*NtoN2O*kgtoGg=0,"NO",('Activity data'!BC17*EF!$H48*EF!AB66)*NtoN2O*kgtoGg)</f>
        <v>0.10407920464758763</v>
      </c>
      <c r="BD48" s="27">
        <f>IF(('Activity data'!BD17*EF!$H48*EF!AC66)*NtoN2O*kgtoGg=0,"NO",('Activity data'!BD17*EF!$H48*EF!AC66)*NtoN2O*kgtoGg)</f>
        <v>0.10662429120765052</v>
      </c>
      <c r="BE48" s="27">
        <f>IF(('Activity data'!BE17*EF!$H48*EF!AD66)*NtoN2O*kgtoGg=0,"NO",('Activity data'!BE17*EF!$H48*EF!AD66)*NtoN2O*kgtoGg)</f>
        <v>0.10916108152437015</v>
      </c>
      <c r="BF48" s="27">
        <f>IF(('Activity data'!BF17*EF!$H48*EF!AE66)*NtoN2O*kgtoGg=0,"NO",('Activity data'!BF17*EF!$H48*EF!AE66)*NtoN2O*kgtoGg)</f>
        <v>0.11175521560682936</v>
      </c>
      <c r="BG48" s="27">
        <f>IF(('Activity data'!BG17*EF!$H48*EF!AF66)*NtoN2O*kgtoGg=0,"NO",('Activity data'!BG17*EF!$H48*EF!AF66)*NtoN2O*kgtoGg)</f>
        <v>0.11423893572460501</v>
      </c>
      <c r="BH48" s="27">
        <f>IF(('Activity data'!BH17*EF!$H48*EF!AG66)*NtoN2O*kgtoGg=0,"NO",('Activity data'!BH17*EF!$H48*EF!AG66)*NtoN2O*kgtoGg)</f>
        <v>0.11683800387615073</v>
      </c>
      <c r="BI48" s="27">
        <f>IF(('Activity data'!BI17*EF!$H48*EF!AH66)*NtoN2O*kgtoGg=0,"NO",('Activity data'!BI17*EF!$H48*EF!AH66)*NtoN2O*kgtoGg)</f>
        <v>0.11962734368800265</v>
      </c>
      <c r="BJ48" s="27">
        <f>IF(('Activity data'!BJ17*EF!$H48*EF!AI66)*NtoN2O*kgtoGg=0,"NO",('Activity data'!BJ17*EF!$H48*EF!AI66)*NtoN2O*kgtoGg)</f>
        <v>0.12246543086827189</v>
      </c>
      <c r="BK48" s="27">
        <f>IF(('Activity data'!BK17*EF!$H48*EF!AJ66)*NtoN2O*kgtoGg=0,"NO",('Activity data'!BK17*EF!$H48*EF!AJ66)*NtoN2O*kgtoGg)</f>
        <v>0.12535748302837027</v>
      </c>
      <c r="BL48" s="27">
        <f>IF(('Activity data'!BL17*EF!$H48*EF!AK66)*NtoN2O*kgtoGg=0,"NO",('Activity data'!BL17*EF!$H48*EF!AK66)*NtoN2O*kgtoGg)</f>
        <v>0.12844640721926534</v>
      </c>
      <c r="BM48" s="27">
        <f>IF(('Activity data'!BM17*EF!$H48*EF!AL66)*NtoN2O*kgtoGg=0,"NO",('Activity data'!BM17*EF!$H48*EF!AL66)*NtoN2O*kgtoGg)</f>
        <v>0.13167842894497958</v>
      </c>
      <c r="BN48" s="27">
        <f>IF(('Activity data'!BN17*EF!$H48*EF!AM66)*NtoN2O*kgtoGg=0,"NO",('Activity data'!BN17*EF!$H48*EF!AM66)*NtoN2O*kgtoGg)</f>
        <v>0.13501670748772379</v>
      </c>
      <c r="BO48" s="27">
        <f>IF(('Activity data'!BO17*EF!$H48*EF!AN66)*NtoN2O*kgtoGg=0,"NO",('Activity data'!BO17*EF!$H48*EF!AN66)*NtoN2O*kgtoGg)</f>
        <v>0.13854783957825018</v>
      </c>
      <c r="BP48" s="27">
        <f>IF(('Activity data'!BP17*EF!$H48*EF!AO66)*NtoN2O*kgtoGg=0,"NO",('Activity data'!BP17*EF!$H48*EF!AO66)*NtoN2O*kgtoGg)</f>
        <v>0.14174415331850926</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3.794079990159023E-2</v>
      </c>
      <c r="AG49" s="27">
        <f>IF(('Activity data'!AG18*EF!$H49*EF!$H67)*NtoN2O*kgtoGg=0,"NO",('Activity data'!AG18*EF!$H49*EF!$H67)*NtoN2O*kgtoGg)</f>
        <v>3.7592474284510076E-2</v>
      </c>
      <c r="AH49" s="27">
        <f>IF(('Activity data'!AH18*EF!$H49*EF!$H67)*NtoN2O*kgtoGg=0,"NO",('Activity data'!AH18*EF!$H49*EF!$H67)*NtoN2O*kgtoGg)</f>
        <v>3.7023578211438556E-2</v>
      </c>
      <c r="AI49" s="27">
        <f>IF(('Activity data'!AI18*EF!$H49*EF!H67)*NtoN2O*kgtoGg=0,"NO",('Activity data'!AI18*EF!$H49*EF!H67)*NtoN2O*kgtoGg)</f>
        <v>3.6243206089281214E-2</v>
      </c>
      <c r="AJ49" s="27">
        <f>IF(('Activity data'!AJ18*EF!$H49*EF!I67)*NtoN2O*kgtoGg=0,"NO",('Activity data'!AJ18*EF!$H49*EF!I67)*NtoN2O*kgtoGg)</f>
        <v>3.5676569387541837E-2</v>
      </c>
      <c r="AK49" s="27">
        <f>IF(('Activity data'!AK18*EF!$H49*EF!J67)*NtoN2O*kgtoGg=0,"NO",('Activity data'!AK18*EF!$H49*EF!J67)*NtoN2O*kgtoGg)</f>
        <v>3.5160072434777263E-2</v>
      </c>
      <c r="AL49" s="27">
        <f>IF(('Activity data'!AL18*EF!$H49*EF!K67)*NtoN2O*kgtoGg=0,"NO",('Activity data'!AL18*EF!$H49*EF!K67)*NtoN2O*kgtoGg)</f>
        <v>3.1584988316113387E-2</v>
      </c>
      <c r="AM49" s="27">
        <f>IF(('Activity data'!AM18*EF!$H49*EF!L67)*NtoN2O*kgtoGg=0,"NO",('Activity data'!AM18*EF!$H49*EF!L67)*NtoN2O*kgtoGg)</f>
        <v>3.3012275964159274E-2</v>
      </c>
      <c r="AN49" s="27">
        <f>IF(('Activity data'!AN18*EF!$H49*EF!M67)*NtoN2O*kgtoGg=0,"NO",('Activity data'!AN18*EF!$H49*EF!M67)*NtoN2O*kgtoGg)</f>
        <v>3.3443787934092799E-2</v>
      </c>
      <c r="AO49" s="27">
        <f>IF(('Activity data'!AO18*EF!$H49*EF!N67)*NtoN2O*kgtoGg=0,"NO",('Activity data'!AO18*EF!$H49*EF!N67)*NtoN2O*kgtoGg)</f>
        <v>3.3113730215255661E-2</v>
      </c>
      <c r="AP49" s="27">
        <f>IF(('Activity data'!AP18*EF!$H49*EF!O67)*NtoN2O*kgtoGg=0,"NO",('Activity data'!AP18*EF!$H49*EF!O67)*NtoN2O*kgtoGg)</f>
        <v>3.2823446206541117E-2</v>
      </c>
      <c r="AQ49" s="27">
        <f>IF(('Activity data'!AQ18*EF!$H49*EF!P67)*NtoN2O*kgtoGg=0,"NO",('Activity data'!AQ18*EF!$H49*EF!P67)*NtoN2O*kgtoGg)</f>
        <v>3.2733733814345668E-2</v>
      </c>
      <c r="AR49" s="27">
        <f>IF(('Activity data'!AR18*EF!$H49*EF!Q67)*NtoN2O*kgtoGg=0,"NO",('Activity data'!AR18*EF!$H49*EF!Q67)*NtoN2O*kgtoGg)</f>
        <v>3.2836798044013883E-2</v>
      </c>
      <c r="AS49" s="27">
        <f>IF(('Activity data'!AS18*EF!$H49*EF!R67)*NtoN2O*kgtoGg=0,"NO",('Activity data'!AS18*EF!$H49*EF!R67)*NtoN2O*kgtoGg)</f>
        <v>3.3028765349259512E-2</v>
      </c>
      <c r="AT49" s="27">
        <f>IF(('Activity data'!AT18*EF!$H49*EF!S67)*NtoN2O*kgtoGg=0,"NO",('Activity data'!AT18*EF!$H49*EF!S67)*NtoN2O*kgtoGg)</f>
        <v>3.3331536639830336E-2</v>
      </c>
      <c r="AU49" s="27">
        <f>IF(('Activity data'!AU18*EF!$H49*EF!T67)*NtoN2O*kgtoGg=0,"NO",('Activity data'!AU18*EF!$H49*EF!T67)*NtoN2O*kgtoGg)</f>
        <v>3.3817908960638868E-2</v>
      </c>
      <c r="AV49" s="27">
        <f>IF(('Activity data'!AV18*EF!$H49*EF!U67)*NtoN2O*kgtoGg=0,"NO",('Activity data'!AV18*EF!$H49*EF!U67)*NtoN2O*kgtoGg)</f>
        <v>3.4470901087403957E-2</v>
      </c>
      <c r="AW49" s="27">
        <f>IF(('Activity data'!AW18*EF!$H49*EF!V67)*NtoN2O*kgtoGg=0,"NO",('Activity data'!AW18*EF!$H49*EF!V67)*NtoN2O*kgtoGg)</f>
        <v>3.5214104363691767E-2</v>
      </c>
      <c r="AX49" s="27">
        <f>IF(('Activity data'!AX18*EF!$H49*EF!W67)*NtoN2O*kgtoGg=0,"NO",('Activity data'!AX18*EF!$H49*EF!W67)*NtoN2O*kgtoGg)</f>
        <v>3.6040140987893189E-2</v>
      </c>
      <c r="AY49" s="27">
        <f>IF(('Activity data'!AY18*EF!$H49*EF!X67)*NtoN2O*kgtoGg=0,"NO",('Activity data'!AY18*EF!$H49*EF!X67)*NtoN2O*kgtoGg)</f>
        <v>3.6907692271940552E-2</v>
      </c>
      <c r="AZ49" s="27">
        <f>IF(('Activity data'!AZ18*EF!$H49*EF!Y67)*NtoN2O*kgtoGg=0,"NO",('Activity data'!AZ18*EF!$H49*EF!Y67)*NtoN2O*kgtoGg)</f>
        <v>3.7831657597821179E-2</v>
      </c>
      <c r="BA49" s="27">
        <f>IF(('Activity data'!BA18*EF!$H49*EF!Z67)*NtoN2O*kgtoGg=0,"NO",('Activity data'!BA18*EF!$H49*EF!Z67)*NtoN2O*kgtoGg)</f>
        <v>3.879212191497397E-2</v>
      </c>
      <c r="BB49" s="27">
        <f>IF(('Activity data'!BB18*EF!$H49*EF!AA67)*NtoN2O*kgtoGg=0,"NO",('Activity data'!BB18*EF!$H49*EF!AA67)*NtoN2O*kgtoGg)</f>
        <v>3.9724184753102243E-2</v>
      </c>
      <c r="BC49" s="27">
        <f>IF(('Activity data'!BC18*EF!$H49*EF!AB67)*NtoN2O*kgtoGg=0,"NO",('Activity data'!BC18*EF!$H49*EF!AB67)*NtoN2O*kgtoGg)</f>
        <v>4.0717892127640175E-2</v>
      </c>
      <c r="BD49" s="27">
        <f>IF(('Activity data'!BD18*EF!$H49*EF!AC67)*NtoN2O*kgtoGg=0,"NO",('Activity data'!BD18*EF!$H49*EF!AC67)*NtoN2O*kgtoGg)</f>
        <v>4.1713581519762656E-2</v>
      </c>
      <c r="BE49" s="27">
        <f>IF(('Activity data'!BE18*EF!$H49*EF!AD67)*NtoN2O*kgtoGg=0,"NO",('Activity data'!BE18*EF!$H49*EF!AD67)*NtoN2O*kgtoGg)</f>
        <v>4.270602525351698E-2</v>
      </c>
      <c r="BF49" s="27">
        <f>IF(('Activity data'!BF18*EF!$H49*EF!AE67)*NtoN2O*kgtoGg=0,"NO",('Activity data'!BF18*EF!$H49*EF!AE67)*NtoN2O*kgtoGg)</f>
        <v>4.3720903029455652E-2</v>
      </c>
      <c r="BG49" s="27">
        <f>IF(('Activity data'!BG18*EF!$H49*EF!AF67)*NtoN2O*kgtoGg=0,"NO",('Activity data'!BG18*EF!$H49*EF!AF67)*NtoN2O*kgtoGg)</f>
        <v>4.4692584626882061E-2</v>
      </c>
      <c r="BH49" s="27">
        <f>IF(('Activity data'!BH18*EF!$H49*EF!AG67)*NtoN2O*kgtoGg=0,"NO",('Activity data'!BH18*EF!$H49*EF!AG67)*NtoN2O*kgtoGg)</f>
        <v>4.5709392710546422E-2</v>
      </c>
      <c r="BI49" s="27">
        <f>IF(('Activity data'!BI18*EF!$H49*EF!AH67)*NtoN2O*kgtoGg=0,"NO",('Activity data'!BI18*EF!$H49*EF!AH67)*NtoN2O*kgtoGg)</f>
        <v>4.6800638920112353E-2</v>
      </c>
      <c r="BJ49" s="27">
        <f>IF(('Activity data'!BJ18*EF!$H49*EF!AI67)*NtoN2O*kgtoGg=0,"NO",('Activity data'!BJ18*EF!$H49*EF!AI67)*NtoN2O*kgtoGg)</f>
        <v>4.791095608718076E-2</v>
      </c>
      <c r="BK49" s="27">
        <f>IF(('Activity data'!BK18*EF!$H49*EF!AJ67)*NtoN2O*kgtoGg=0,"NO",('Activity data'!BK18*EF!$H49*EF!AJ67)*NtoN2O*kgtoGg)</f>
        <v>4.9042385446975784E-2</v>
      </c>
      <c r="BL49" s="27">
        <f>IF(('Activity data'!BL18*EF!$H49*EF!AK67)*NtoN2O*kgtoGg=0,"NO",('Activity data'!BL18*EF!$H49*EF!AK67)*NtoN2O*kgtoGg)</f>
        <v>5.0250835131244558E-2</v>
      </c>
      <c r="BM49" s="27">
        <f>IF(('Activity data'!BM18*EF!$H49*EF!AL67)*NtoN2O*kgtoGg=0,"NO",('Activity data'!BM18*EF!$H49*EF!AL67)*NtoN2O*kgtoGg)</f>
        <v>5.1515267468399954E-2</v>
      </c>
      <c r="BN49" s="27">
        <f>IF(('Activity data'!BN18*EF!$H49*EF!AM67)*NtoN2O*kgtoGg=0,"NO",('Activity data'!BN18*EF!$H49*EF!AM67)*NtoN2O*kgtoGg)</f>
        <v>5.2821269623736601E-2</v>
      </c>
      <c r="BO49" s="27">
        <f>IF(('Activity data'!BO18*EF!$H49*EF!AN67)*NtoN2O*kgtoGg=0,"NO",('Activity data'!BO18*EF!$H49*EF!AN67)*NtoN2O*kgtoGg)</f>
        <v>5.4202719991630371E-2</v>
      </c>
      <c r="BP49" s="27">
        <f>IF(('Activity data'!BP18*EF!$H49*EF!AO67)*NtoN2O*kgtoGg=0,"NO",('Activity data'!BP18*EF!$H49*EF!AO67)*NtoN2O*kgtoGg)</f>
        <v>5.5453182641903707E-2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0.35135538223408885</v>
      </c>
      <c r="AM50" s="27">
        <f>IF(('Activity data'!AM19*EF!$H50*EF!L68)*NtoN2O*kgtoGg=0,"NO",('Activity data'!AM19*EF!$H50*EF!L68)*NtoN2O*kgtoGg)</f>
        <v>0.3660250744881503</v>
      </c>
      <c r="AN50" s="27">
        <f>IF(('Activity data'!AN19*EF!$H50*EF!M68)*NtoN2O*kgtoGg=0,"NO",('Activity data'!AN19*EF!$H50*EF!M68)*NtoN2O*kgtoGg)</f>
        <v>0.3747433751291977</v>
      </c>
      <c r="AO50" s="27">
        <f>IF(('Activity data'!AO19*EF!$H50*EF!N68)*NtoN2O*kgtoGg=0,"NO",('Activity data'!AO19*EF!$H50*EF!N68)*NtoN2O*kgtoGg)</f>
        <v>0.37890472124533414</v>
      </c>
      <c r="AP50" s="27">
        <f>IF(('Activity data'!AP19*EF!$H50*EF!O68)*NtoN2O*kgtoGg=0,"NO",('Activity data'!AP19*EF!$H50*EF!O68)*NtoN2O*kgtoGg)</f>
        <v>0.38351980018418114</v>
      </c>
      <c r="AQ50" s="27">
        <f>IF(('Activity data'!AQ19*EF!$H50*EF!P68)*NtoN2O*kgtoGg=0,"NO",('Activity data'!AQ19*EF!$H50*EF!P68)*NtoN2O*kgtoGg)</f>
        <v>0.38953835570243145</v>
      </c>
      <c r="AR50" s="27">
        <f>IF(('Activity data'!AR19*EF!$H50*EF!Q68)*NtoN2O*kgtoGg=0,"NO",('Activity data'!AR19*EF!$H50*EF!Q68)*NtoN2O*kgtoGg)</f>
        <v>0.39678314869255904</v>
      </c>
      <c r="AS50" s="27">
        <f>IF(('Activity data'!AS19*EF!$H50*EF!R68)*NtoN2O*kgtoGg=0,"NO",('Activity data'!AS19*EF!$H50*EF!R68)*NtoN2O*kgtoGg)</f>
        <v>0.40464075152916346</v>
      </c>
      <c r="AT50" s="27">
        <f>IF(('Activity data'!AT19*EF!$H50*EF!S68)*NtoN2O*kgtoGg=0,"NO",('Activity data'!AT19*EF!$H50*EF!S68)*NtoN2O*kgtoGg)</f>
        <v>0.41330404639575669</v>
      </c>
      <c r="AU50" s="27">
        <f>IF(('Activity data'!AU19*EF!$H50*EF!T68)*NtoN2O*kgtoGg=0,"NO",('Activity data'!AU19*EF!$H50*EF!T68)*NtoN2O*kgtoGg)</f>
        <v>0.42334665156208889</v>
      </c>
      <c r="AV50" s="27">
        <f>IF(('Activity data'!AV19*EF!$H50*EF!U68)*NtoN2O*kgtoGg=0,"NO",('Activity data'!AV19*EF!$H50*EF!U68)*NtoN2O*kgtoGg)</f>
        <v>0.43473806986049379</v>
      </c>
      <c r="AW50" s="27">
        <f>IF(('Activity data'!AW19*EF!$H50*EF!V68)*NtoN2O*kgtoGg=0,"NO",('Activity data'!AW19*EF!$H50*EF!V68)*NtoN2O*kgtoGg)</f>
        <v>0.44699375378888861</v>
      </c>
      <c r="AX50" s="27">
        <f>IF(('Activity data'!AX19*EF!$H50*EF!W68)*NtoN2O*kgtoGg=0,"NO",('Activity data'!AX19*EF!$H50*EF!W68)*NtoN2O*kgtoGg)</f>
        <v>0.46011178168093952</v>
      </c>
      <c r="AY50" s="27">
        <f>IF(('Activity data'!AY19*EF!$H50*EF!X68)*NtoN2O*kgtoGg=0,"NO",('Activity data'!AY19*EF!$H50*EF!X68)*NtoN2O*kgtoGg)</f>
        <v>0.47382089637959635</v>
      </c>
      <c r="AZ50" s="27">
        <f>IF(('Activity data'!AZ19*EF!$H50*EF!Y68)*NtoN2O*kgtoGg=0,"NO",('Activity data'!AZ19*EF!$H50*EF!Y68)*NtoN2O*kgtoGg)</f>
        <v>0.48826027881230222</v>
      </c>
      <c r="BA50" s="27">
        <f>IF(('Activity data'!BA19*EF!$H50*EF!Z68)*NtoN2O*kgtoGg=0,"NO",('Activity data'!BA19*EF!$H50*EF!Z68)*NtoN2O*kgtoGg)</f>
        <v>0.50330862860005154</v>
      </c>
      <c r="BB50" s="27">
        <f>IF(('Activity data'!BB19*EF!$H50*EF!AA68)*NtoN2O*kgtoGg=0,"NO",('Activity data'!BB19*EF!$H50*EF!AA68)*NtoN2O*kgtoGg)</f>
        <v>0.5184689754858961</v>
      </c>
      <c r="BC50" s="27">
        <f>IF(('Activity data'!BC19*EF!$H50*EF!AB68)*NtoN2O*kgtoGg=0,"NO",('Activity data'!BC19*EF!$H50*EF!AB68)*NtoN2O*kgtoGg)</f>
        <v>0.53447970815576928</v>
      </c>
      <c r="BD50" s="27">
        <f>IF(('Activity data'!BD19*EF!$H50*EF!AC68)*NtoN2O*kgtoGg=0,"NO",('Activity data'!BD19*EF!$H50*EF!AC68)*NtoN2O*kgtoGg)</f>
        <v>0.55086704408448872</v>
      </c>
      <c r="BE50" s="27">
        <f>IF(('Activity data'!BE19*EF!$H50*EF!AD68)*NtoN2O*kgtoGg=0,"NO",('Activity data'!BE19*EF!$H50*EF!AD68)*NtoN2O*kgtoGg)</f>
        <v>0.56759733652439393</v>
      </c>
      <c r="BF50" s="27">
        <f>IF(('Activity data'!BF19*EF!$H50*EF!AE68)*NtoN2O*kgtoGg=0,"NO",('Activity data'!BF19*EF!$H50*EF!AE68)*NtoN2O*kgtoGg)</f>
        <v>0.58490701814028823</v>
      </c>
      <c r="BG50" s="27">
        <f>IF(('Activity data'!BG19*EF!$H50*EF!AF68)*NtoN2O*kgtoGg=0,"NO",('Activity data'!BG19*EF!$H50*EF!AF68)*NtoN2O*kgtoGg)</f>
        <v>0.60223366750494911</v>
      </c>
      <c r="BH50" s="27">
        <f>IF(('Activity data'!BH19*EF!$H50*EF!AG68)*NtoN2O*kgtoGg=0,"NO",('Activity data'!BH19*EF!$H50*EF!AG68)*NtoN2O*kgtoGg)</f>
        <v>0.62036595204994383</v>
      </c>
      <c r="BI50" s="27">
        <f>IF(('Activity data'!BI19*EF!$H50*EF!AH68)*NtoN2O*kgtoGg=0,"NO",('Activity data'!BI19*EF!$H50*EF!AH68)*NtoN2O*kgtoGg)</f>
        <v>0.63960685850737242</v>
      </c>
      <c r="BJ50" s="27">
        <f>IF(('Activity data'!BJ19*EF!$H50*EF!AI68)*NtoN2O*kgtoGg=0,"NO",('Activity data'!BJ19*EF!$H50*EF!AI68)*NtoN2O*kgtoGg)</f>
        <v>0.65948374000710175</v>
      </c>
      <c r="BK50" s="27">
        <f>IF(('Activity data'!BK19*EF!$H50*EF!AJ68)*NtoN2O*kgtoGg=0,"NO",('Activity data'!BK19*EF!$H50*EF!AJ68)*NtoN2O*kgtoGg)</f>
        <v>0.68003541307118265</v>
      </c>
      <c r="BL50" s="27">
        <f>IF(('Activity data'!BL19*EF!$H50*EF!AK68)*NtoN2O*kgtoGg=0,"NO",('Activity data'!BL19*EF!$H50*EF!AK68)*NtoN2O*kgtoGg)</f>
        <v>0.70183096342172768</v>
      </c>
      <c r="BM50" s="27">
        <f>IF(('Activity data'!BM19*EF!$H50*EF!AL68)*NtoN2O*kgtoGg=0,"NO",('Activity data'!BM19*EF!$H50*EF!AL68)*NtoN2O*kgtoGg)</f>
        <v>0.72471687693803755</v>
      </c>
      <c r="BN50" s="27">
        <f>IF(('Activity data'!BN19*EF!$H50*EF!AM68)*NtoN2O*kgtoGg=0,"NO",('Activity data'!BN19*EF!$H50*EF!AM68)*NtoN2O*kgtoGg)</f>
        <v>0.74859496074669962</v>
      </c>
      <c r="BO50" s="27">
        <f>IF(('Activity data'!BO19*EF!$H50*EF!AN68)*NtoN2O*kgtoGg=0,"NO",('Activity data'!BO19*EF!$H50*EF!AN68)*NtoN2O*kgtoGg)</f>
        <v>0.77385822122722236</v>
      </c>
      <c r="BP50" s="27">
        <f>IF(('Activity data'!BP19*EF!$H50*EF!AO68)*NtoN2O*kgtoGg=0,"NO",('Activity data'!BP19*EF!$H50*EF!AO68)*NtoN2O*kgtoGg)</f>
        <v>0.79838507129603287</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1.7601182693498105</v>
      </c>
      <c r="AG51" s="27">
        <f>IF(('Activity data'!AG20*EF!$H51*EF!$H69)*NtoN2O*kgtoGg=0,"NO",('Activity data'!AG20*EF!$H51*EF!$H69)*NtoN2O*kgtoGg)</f>
        <v>1.7704533576020511</v>
      </c>
      <c r="AH51" s="27">
        <f>IF(('Activity data'!AH20*EF!$H51*EF!$H69)*NtoN2O*kgtoGg=0,"NO",('Activity data'!AH20*EF!$H51*EF!$H69)*NtoN2O*kgtoGg)</f>
        <v>1.7641159598844747</v>
      </c>
      <c r="AI51" s="27">
        <f>IF(('Activity data'!AI20*EF!$H51*EF!H69)*NtoN2O*kgtoGg=0,"NO",('Activity data'!AI20*EF!$H51*EF!H69)*NtoN2O*kgtoGg)</f>
        <v>1.7411735022142167</v>
      </c>
      <c r="AJ51" s="27">
        <f>IF(('Activity data'!AJ20*EF!$H51*EF!I69)*NtoN2O*kgtoGg=0,"NO",('Activity data'!AJ20*EF!$H51*EF!I69)*NtoN2O*kgtoGg)</f>
        <v>1.7315152516158574</v>
      </c>
      <c r="AK51" s="27">
        <f>IF(('Activity data'!AK20*EF!$H51*EF!J69)*NtoN2O*kgtoGg=0,"NO",('Activity data'!AK20*EF!$H51*EF!J69)*NtoN2O*kgtoGg)</f>
        <v>1.7240481490859689</v>
      </c>
      <c r="AL51" s="27">
        <f>IF(('Activity data'!AL20*EF!$H51*EF!K69)*NtoN2O*kgtoGg=0,"NO",('Activity data'!AL20*EF!$H51*EF!K69)*NtoN2O*kgtoGg)</f>
        <v>1.4999683948751941</v>
      </c>
      <c r="AM51" s="27">
        <f>IF(('Activity data'!AM20*EF!$H51*EF!L69)*NtoN2O*kgtoGg=0,"NO",('Activity data'!AM20*EF!$H51*EF!L69)*NtoN2O*kgtoGg)</f>
        <v>1.635678170936574</v>
      </c>
      <c r="AN51" s="27">
        <f>IF(('Activity data'!AN20*EF!$H51*EF!M69)*NtoN2O*kgtoGg=0,"NO",('Activity data'!AN20*EF!$H51*EF!M69)*NtoN2O*kgtoGg)</f>
        <v>1.7009774454367668</v>
      </c>
      <c r="AO51" s="27">
        <f>IF(('Activity data'!AO20*EF!$H51*EF!N69)*NtoN2O*kgtoGg=0,"NO",('Activity data'!AO20*EF!$H51*EF!N69)*NtoN2O*kgtoGg)</f>
        <v>1.7091479327288939</v>
      </c>
      <c r="AP51" s="27">
        <f>IF(('Activity data'!AP20*EF!$H51*EF!O69)*NtoN2O*kgtoGg=0,"NO",('Activity data'!AP20*EF!$H51*EF!O69)*NtoN2O*kgtoGg)</f>
        <v>1.7185668307415591</v>
      </c>
      <c r="AQ51" s="27">
        <f>IF(('Activity data'!AQ20*EF!$H51*EF!P69)*NtoN2O*kgtoGg=0,"NO",('Activity data'!AQ20*EF!$H51*EF!P69)*NtoN2O*kgtoGg)</f>
        <v>1.7424532471009451</v>
      </c>
      <c r="AR51" s="27">
        <f>IF(('Activity data'!AR20*EF!$H51*EF!Q69)*NtoN2O*kgtoGg=0,"NO",('Activity data'!AR20*EF!$H51*EF!Q69)*NtoN2O*kgtoGg)</f>
        <v>1.7817834224196265</v>
      </c>
      <c r="AS51" s="27">
        <f>IF(('Activity data'!AS20*EF!$H51*EF!R69)*NtoN2O*kgtoGg=0,"NO",('Activity data'!AS20*EF!$H51*EF!R69)*NtoN2O*kgtoGg)</f>
        <v>1.8288406604826053</v>
      </c>
      <c r="AT51" s="27">
        <f>IF(('Activity data'!AT20*EF!$H51*EF!S69)*NtoN2O*kgtoGg=0,"NO",('Activity data'!AT20*EF!$H51*EF!S69)*NtoN2O*kgtoGg)</f>
        <v>1.885701932517597</v>
      </c>
      <c r="AU51" s="27">
        <f>IF(('Activity data'!AU20*EF!$H51*EF!T69)*NtoN2O*kgtoGg=0,"NO",('Activity data'!AU20*EF!$H51*EF!T69)*NtoN2O*kgtoGg)</f>
        <v>1.9586802917289898</v>
      </c>
      <c r="AV51" s="27">
        <f>IF(('Activity data'!AV20*EF!$H51*EF!U69)*NtoN2O*kgtoGg=0,"NO",('Activity data'!AV20*EF!$H51*EF!U69)*NtoN2O*kgtoGg)</f>
        <v>2.0469431813370456</v>
      </c>
      <c r="AW51" s="27">
        <f>IF(('Activity data'!AW20*EF!$H51*EF!V69)*NtoN2O*kgtoGg=0,"NO",('Activity data'!AW20*EF!$H51*EF!V69)*NtoN2O*kgtoGg)</f>
        <v>2.1446346617917671</v>
      </c>
      <c r="AX51" s="27">
        <f>IF(('Activity data'!AX20*EF!$H51*EF!W69)*NtoN2O*kgtoGg=0,"NO",('Activity data'!AX20*EF!$H51*EF!W69)*NtoN2O*kgtoGg)</f>
        <v>2.2514306358992373</v>
      </c>
      <c r="AY51" s="27">
        <f>IF(('Activity data'!AY20*EF!$H51*EF!X69)*NtoN2O*kgtoGg=0,"NO",('Activity data'!AY20*EF!$H51*EF!X69)*NtoN2O*kgtoGg)</f>
        <v>2.364080403374996</v>
      </c>
      <c r="AZ51" s="27">
        <f>IF(('Activity data'!AZ20*EF!$H51*EF!Y69)*NtoN2O*kgtoGg=0,"NO",('Activity data'!AZ20*EF!$H51*EF!Y69)*NtoN2O*kgtoGg)</f>
        <v>2.4840914132913525</v>
      </c>
      <c r="BA51" s="27">
        <f>IF(('Activity data'!BA20*EF!$H51*EF!Z69)*NtoN2O*kgtoGg=0,"NO",('Activity data'!BA20*EF!$H51*EF!Z69)*NtoN2O*kgtoGg)</f>
        <v>2.609932995576361</v>
      </c>
      <c r="BB51" s="27">
        <f>IF(('Activity data'!BB20*EF!$H51*EF!AA69)*NtoN2O*kgtoGg=0,"NO",('Activity data'!BB20*EF!$H51*EF!AA69)*NtoN2O*kgtoGg)</f>
        <v>2.7359571600200745</v>
      </c>
      <c r="BC51" s="27">
        <f>IF(('Activity data'!BC20*EF!$H51*EF!AB69)*NtoN2O*kgtoGg=0,"NO",('Activity data'!BC20*EF!$H51*EF!AB69)*NtoN2O*kgtoGg)</f>
        <v>2.870315303671148</v>
      </c>
      <c r="BD51" s="27">
        <f>IF(('Activity data'!BD20*EF!$H51*EF!AC69)*NtoN2O*kgtoGg=0,"NO",('Activity data'!BD20*EF!$H51*EF!AC69)*NtoN2O*kgtoGg)</f>
        <v>3.0078431709030542</v>
      </c>
      <c r="BE51" s="27">
        <f>IF(('Activity data'!BE20*EF!$H51*EF!AD69)*NtoN2O*kgtoGg=0,"NO",('Activity data'!BE20*EF!$H51*EF!AD69)*NtoN2O*kgtoGg)</f>
        <v>3.1481328800356168</v>
      </c>
      <c r="BF51" s="27">
        <f>IF(('Activity data'!BF20*EF!$H51*EF!AE69)*NtoN2O*kgtoGg=0,"NO",('Activity data'!BF20*EF!$H51*EF!AE69)*NtoN2O*kgtoGg)</f>
        <v>3.293658685243031</v>
      </c>
      <c r="BG51" s="27">
        <f>IF(('Activity data'!BG20*EF!$H51*EF!AF69)*NtoN2O*kgtoGg=0,"NO",('Activity data'!BG20*EF!$H51*EF!AF69)*NtoN2O*kgtoGg)</f>
        <v>3.4383107407406079</v>
      </c>
      <c r="BH51" s="27">
        <f>IF(('Activity data'!BH20*EF!$H51*EF!AG69)*NtoN2O*kgtoGg=0,"NO",('Activity data'!BH20*EF!$H51*EF!AG69)*NtoN2O*kgtoGg)</f>
        <v>3.5905693529651876</v>
      </c>
      <c r="BI51" s="27">
        <f>IF(('Activity data'!BI20*EF!$H51*EF!AH69)*NtoN2O*kgtoGg=0,"NO",('Activity data'!BI20*EF!$H51*EF!AH69)*NtoN2O*kgtoGg)</f>
        <v>3.7535692593915186</v>
      </c>
      <c r="BJ51" s="27">
        <f>IF(('Activity data'!BJ20*EF!$H51*EF!AI69)*NtoN2O*kgtoGg=0,"NO",('Activity data'!BJ20*EF!$H51*EF!AI69)*NtoN2O*kgtoGg)</f>
        <v>3.922195814332385</v>
      </c>
      <c r="BK51" s="27">
        <f>IF(('Activity data'!BK20*EF!$H51*EF!AJ69)*NtoN2O*kgtoGg=0,"NO",('Activity data'!BK20*EF!$H51*EF!AJ69)*NtoN2O*kgtoGg)</f>
        <v>4.0968427833898948</v>
      </c>
      <c r="BL51" s="27">
        <f>IF(('Activity data'!BL20*EF!$H51*EF!AK69)*NtoN2O*kgtoGg=0,"NO",('Activity data'!BL20*EF!$H51*EF!AK69)*NtoN2O*kgtoGg)</f>
        <v>4.2833995063649954</v>
      </c>
      <c r="BM51" s="27">
        <f>IF(('Activity data'!BM20*EF!$H51*EF!AL69)*NtoN2O*kgtoGg=0,"NO",('Activity data'!BM20*EF!$H51*EF!AL69)*NtoN2O*kgtoGg)</f>
        <v>4.4801147383664359</v>
      </c>
      <c r="BN51" s="27">
        <f>IF(('Activity data'!BN20*EF!$H51*EF!AM69)*NtoN2O*kgtoGg=0,"NO",('Activity data'!BN20*EF!$H51*EF!AM69)*NtoN2O*kgtoGg)</f>
        <v>4.6858252173265607</v>
      </c>
      <c r="BO51" s="27">
        <f>IF(('Activity data'!BO20*EF!$H51*EF!AN69)*NtoN2O*kgtoGg=0,"NO",('Activity data'!BO20*EF!$H51*EF!AN69)*NtoN2O*kgtoGg)</f>
        <v>4.9044073325814885</v>
      </c>
      <c r="BP51" s="27">
        <f>IF(('Activity data'!BP20*EF!$H51*EF!AO69)*NtoN2O*kgtoGg=0,"NO",('Activity data'!BP20*EF!$H51*EF!AO69)*NtoN2O*kgtoGg)</f>
        <v>5.1142236717204526</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1.4711795979713126E-2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1.4639807593087044E-2</v>
      </c>
      <c r="AM52" s="27">
        <f>IF(('Activity data'!AM21*EF!$H52*EF!L70)*NtoN2O*kgtoGg=0,"NO",('Activity data'!AM21*EF!$H52*EF!L70)*NtoN2O*kgtoGg)</f>
        <v>1.525104477033961E-2</v>
      </c>
      <c r="AN52" s="27">
        <f>IF(('Activity data'!AN21*EF!$H52*EF!M70)*NtoN2O*kgtoGg=0,"NO",('Activity data'!AN21*EF!$H52*EF!M70)*NtoN2O*kgtoGg)</f>
        <v>1.5614307297049917E-2</v>
      </c>
      <c r="AO52" s="27">
        <f>IF(('Activity data'!AO21*EF!$H52*EF!N70)*NtoN2O*kgtoGg=0,"NO",('Activity data'!AO21*EF!$H52*EF!N70)*NtoN2O*kgtoGg)</f>
        <v>1.5787696718555604E-2</v>
      </c>
      <c r="AP52" s="27">
        <f>IF(('Activity data'!AP21*EF!$H52*EF!O70)*NtoN2O*kgtoGg=0,"NO",('Activity data'!AP21*EF!$H52*EF!O70)*NtoN2O*kgtoGg)</f>
        <v>1.5979991674340898E-2</v>
      </c>
      <c r="AQ52" s="27">
        <f>IF(('Activity data'!AQ21*EF!$H52*EF!P70)*NtoN2O*kgtoGg=0,"NO",('Activity data'!AQ21*EF!$H52*EF!P70)*NtoN2O*kgtoGg)</f>
        <v>1.6230764820934659E-2</v>
      </c>
      <c r="AR52" s="27">
        <f>IF(('Activity data'!AR21*EF!$H52*EF!Q70)*NtoN2O*kgtoGg=0,"NO",('Activity data'!AR21*EF!$H52*EF!Q70)*NtoN2O*kgtoGg)</f>
        <v>1.6532631195523312E-2</v>
      </c>
      <c r="AS52" s="27">
        <f>IF(('Activity data'!AS21*EF!$H52*EF!R70)*NtoN2O*kgtoGg=0,"NO",('Activity data'!AS21*EF!$H52*EF!R70)*NtoN2O*kgtoGg)</f>
        <v>1.6860031313715163E-2</v>
      </c>
      <c r="AT52" s="27">
        <f>IF(('Activity data'!AT21*EF!$H52*EF!S70)*NtoN2O*kgtoGg=0,"NO",('Activity data'!AT21*EF!$H52*EF!S70)*NtoN2O*kgtoGg)</f>
        <v>1.7221001933156545E-2</v>
      </c>
      <c r="AU52" s="27">
        <f>IF(('Activity data'!AU21*EF!$H52*EF!T70)*NtoN2O*kgtoGg=0,"NO",('Activity data'!AU21*EF!$H52*EF!T70)*NtoN2O*kgtoGg)</f>
        <v>1.7639443815087055E-2</v>
      </c>
      <c r="AV52" s="27">
        <f>IF(('Activity data'!AV21*EF!$H52*EF!U70)*NtoN2O*kgtoGg=0,"NO",('Activity data'!AV21*EF!$H52*EF!U70)*NtoN2O*kgtoGg)</f>
        <v>1.8114086244187262E-2</v>
      </c>
      <c r="AW52" s="27">
        <f>IF(('Activity data'!AW21*EF!$H52*EF!V70)*NtoN2O*kgtoGg=0,"NO",('Activity data'!AW21*EF!$H52*EF!V70)*NtoN2O*kgtoGg)</f>
        <v>1.8624739741203704E-2</v>
      </c>
      <c r="AX52" s="27">
        <f>IF(('Activity data'!AX21*EF!$H52*EF!W70)*NtoN2O*kgtoGg=0,"NO",('Activity data'!AX21*EF!$H52*EF!W70)*NtoN2O*kgtoGg)</f>
        <v>1.9171324236705832E-2</v>
      </c>
      <c r="AY52" s="27">
        <f>IF(('Activity data'!AY21*EF!$H52*EF!X70)*NtoN2O*kgtoGg=0,"NO",('Activity data'!AY21*EF!$H52*EF!X70)*NtoN2O*kgtoGg)</f>
        <v>1.9742537349149866E-2</v>
      </c>
      <c r="AZ52" s="27">
        <f>IF(('Activity data'!AZ21*EF!$H52*EF!Y70)*NtoN2O*kgtoGg=0,"NO",('Activity data'!AZ21*EF!$H52*EF!Y70)*NtoN2O*kgtoGg)</f>
        <v>2.0344178283845944E-2</v>
      </c>
      <c r="BA52" s="27">
        <f>IF(('Activity data'!BA21*EF!$H52*EF!Z70)*NtoN2O*kgtoGg=0,"NO",('Activity data'!BA21*EF!$H52*EF!Z70)*NtoN2O*kgtoGg)</f>
        <v>2.09711928583355E-2</v>
      </c>
      <c r="BB52" s="27">
        <f>IF(('Activity data'!BB21*EF!$H52*EF!AA70)*NtoN2O*kgtoGg=0,"NO",('Activity data'!BB21*EF!$H52*EF!AA70)*NtoN2O*kgtoGg)</f>
        <v>2.1602873978579022E-2</v>
      </c>
      <c r="BC52" s="27">
        <f>IF(('Activity data'!BC21*EF!$H52*EF!AB70)*NtoN2O*kgtoGg=0,"NO",('Activity data'!BC21*EF!$H52*EF!AB70)*NtoN2O*kgtoGg)</f>
        <v>2.226998783982374E-2</v>
      </c>
      <c r="BD52" s="27">
        <f>IF(('Activity data'!BD21*EF!$H52*EF!AC70)*NtoN2O*kgtoGg=0,"NO",('Activity data'!BD21*EF!$H52*EF!AC70)*NtoN2O*kgtoGg)</f>
        <v>2.2952793503520384E-2</v>
      </c>
      <c r="BE52" s="27">
        <f>IF(('Activity data'!BE21*EF!$H52*EF!AD70)*NtoN2O*kgtoGg=0,"NO",('Activity data'!BE21*EF!$H52*EF!AD70)*NtoN2O*kgtoGg)</f>
        <v>2.3649889021849769E-2</v>
      </c>
      <c r="BF52" s="27">
        <f>IF(('Activity data'!BF21*EF!$H52*EF!AE70)*NtoN2O*kgtoGg=0,"NO",('Activity data'!BF21*EF!$H52*EF!AE70)*NtoN2O*kgtoGg)</f>
        <v>2.4371125755845373E-2</v>
      </c>
      <c r="BG52" s="27">
        <f>IF(('Activity data'!BG21*EF!$H52*EF!AF70)*NtoN2O*kgtoGg=0,"NO",('Activity data'!BG21*EF!$H52*EF!AF70)*NtoN2O*kgtoGg)</f>
        <v>2.5093069479372905E-2</v>
      </c>
      <c r="BH52" s="27">
        <f>IF(('Activity data'!BH21*EF!$H52*EF!AG70)*NtoN2O*kgtoGg=0,"NO",('Activity data'!BH21*EF!$H52*EF!AG70)*NtoN2O*kgtoGg)</f>
        <v>2.5848581335414348E-2</v>
      </c>
      <c r="BI52" s="27">
        <f>IF(('Activity data'!BI21*EF!$H52*EF!AH70)*NtoN2O*kgtoGg=0,"NO",('Activity data'!BI21*EF!$H52*EF!AH70)*NtoN2O*kgtoGg)</f>
        <v>2.665028577114054E-2</v>
      </c>
      <c r="BJ52" s="27">
        <f>IF(('Activity data'!BJ21*EF!$H52*EF!AI70)*NtoN2O*kgtoGg=0,"NO",('Activity data'!BJ21*EF!$H52*EF!AI70)*NtoN2O*kgtoGg)</f>
        <v>2.7478489166962602E-2</v>
      </c>
      <c r="BK52" s="27">
        <f>IF(('Activity data'!BK21*EF!$H52*EF!AJ70)*NtoN2O*kgtoGg=0,"NO",('Activity data'!BK21*EF!$H52*EF!AJ70)*NtoN2O*kgtoGg)</f>
        <v>2.8334808877965974E-2</v>
      </c>
      <c r="BL52" s="27">
        <f>IF(('Activity data'!BL21*EF!$H52*EF!AK70)*NtoN2O*kgtoGg=0,"NO",('Activity data'!BL21*EF!$H52*EF!AK70)*NtoN2O*kgtoGg)</f>
        <v>2.924295680923868E-2</v>
      </c>
      <c r="BM52" s="27">
        <f>IF(('Activity data'!BM21*EF!$H52*EF!AL70)*NtoN2O*kgtoGg=0,"NO",('Activity data'!BM21*EF!$H52*EF!AL70)*NtoN2O*kgtoGg)</f>
        <v>3.0196536539084926E-2</v>
      </c>
      <c r="BN52" s="27">
        <f>IF(('Activity data'!BN21*EF!$H52*EF!AM70)*NtoN2O*kgtoGg=0,"NO",('Activity data'!BN21*EF!$H52*EF!AM70)*NtoN2O*kgtoGg)</f>
        <v>3.1191456697779184E-2</v>
      </c>
      <c r="BO52" s="27">
        <f>IF(('Activity data'!BO21*EF!$H52*EF!AN70)*NtoN2O*kgtoGg=0,"NO",('Activity data'!BO21*EF!$H52*EF!AN70)*NtoN2O*kgtoGg)</f>
        <v>3.2244092551134286E-2</v>
      </c>
      <c r="BP52" s="27">
        <f>IF(('Activity data'!BP21*EF!$H52*EF!AO70)*NtoN2O*kgtoGg=0,"NO",('Activity data'!BP21*EF!$H52*EF!AO70)*NtoN2O*kgtoGg)</f>
        <v>3.3266044637334728E-2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7.3338261222908846E-2</v>
      </c>
      <c r="AG53" s="27">
        <f>IF(('Activity data'!AG22*EF!$H53*EF!$H71)*NtoN2O*kgtoGg=0,"NO",('Activity data'!AG22*EF!$H53*EF!$H71)*NtoN2O*kgtoGg)</f>
        <v>7.3768889900085524E-2</v>
      </c>
      <c r="AH53" s="27">
        <f>IF(('Activity data'!AH22*EF!$H53*EF!$H71)*NtoN2O*kgtoGg=0,"NO",('Activity data'!AH22*EF!$H53*EF!$H71)*NtoN2O*kgtoGg)</f>
        <v>7.3504831661853176E-2</v>
      </c>
      <c r="AI53" s="27">
        <f>IF(('Activity data'!AI22*EF!$H53*EF!H71)*NtoN2O*kgtoGg=0,"NO",('Activity data'!AI22*EF!$H53*EF!H71)*NtoN2O*kgtoGg)</f>
        <v>7.2548895925592424E-2</v>
      </c>
      <c r="AJ53" s="27">
        <f>IF(('Activity data'!AJ22*EF!$H53*EF!I71)*NtoN2O*kgtoGg=0,"NO",('Activity data'!AJ22*EF!$H53*EF!I71)*NtoN2O*kgtoGg)</f>
        <v>7.2146468817327461E-2</v>
      </c>
      <c r="AK53" s="27">
        <f>IF(('Activity data'!AK22*EF!$H53*EF!J71)*NtoN2O*kgtoGg=0,"NO",('Activity data'!AK22*EF!$H53*EF!J71)*NtoN2O*kgtoGg)</f>
        <v>7.1835339545248775E-2</v>
      </c>
      <c r="AL53" s="27">
        <f>IF(('Activity data'!AL22*EF!$H53*EF!K71)*NtoN2O*kgtoGg=0,"NO",('Activity data'!AL22*EF!$H53*EF!K71)*NtoN2O*kgtoGg)</f>
        <v>6.2498683119799801E-2</v>
      </c>
      <c r="AM53" s="27">
        <f>IF(('Activity data'!AM22*EF!$H53*EF!L71)*NtoN2O*kgtoGg=0,"NO",('Activity data'!AM22*EF!$H53*EF!L71)*NtoN2O*kgtoGg)</f>
        <v>6.81532571223573E-2</v>
      </c>
      <c r="AN53" s="27">
        <f>IF(('Activity data'!AN22*EF!$H53*EF!M71)*NtoN2O*kgtoGg=0,"NO",('Activity data'!AN22*EF!$H53*EF!M71)*NtoN2O*kgtoGg)</f>
        <v>7.0874060226532018E-2</v>
      </c>
      <c r="AO53" s="27">
        <f>IF(('Activity data'!AO22*EF!$H53*EF!N71)*NtoN2O*kgtoGg=0,"NO",('Activity data'!AO22*EF!$H53*EF!N71)*NtoN2O*kgtoGg)</f>
        <v>7.1214497197037332E-2</v>
      </c>
      <c r="AP53" s="27">
        <f>IF(('Activity data'!AP22*EF!$H53*EF!O71)*NtoN2O*kgtoGg=0,"NO",('Activity data'!AP22*EF!$H53*EF!O71)*NtoN2O*kgtoGg)</f>
        <v>7.1606951280898362E-2</v>
      </c>
      <c r="AQ53" s="27">
        <f>IF(('Activity data'!AQ22*EF!$H53*EF!P71)*NtoN2O*kgtoGg=0,"NO",('Activity data'!AQ22*EF!$H53*EF!P71)*NtoN2O*kgtoGg)</f>
        <v>7.26022186292061E-2</v>
      </c>
      <c r="AR53" s="27">
        <f>IF(('Activity data'!AR22*EF!$H53*EF!Q71)*NtoN2O*kgtoGg=0,"NO",('Activity data'!AR22*EF!$H53*EF!Q71)*NtoN2O*kgtoGg)</f>
        <v>7.4240975934151174E-2</v>
      </c>
      <c r="AS53" s="27">
        <f>IF(('Activity data'!AS22*EF!$H53*EF!R71)*NtoN2O*kgtoGg=0,"NO",('Activity data'!AS22*EF!$H53*EF!R71)*NtoN2O*kgtoGg)</f>
        <v>7.620169418677529E-2</v>
      </c>
      <c r="AT53" s="27">
        <f>IF(('Activity data'!AT22*EF!$H53*EF!S71)*NtoN2O*kgtoGg=0,"NO",('Activity data'!AT22*EF!$H53*EF!S71)*NtoN2O*kgtoGg)</f>
        <v>7.8570913854899935E-2</v>
      </c>
      <c r="AU53" s="27">
        <f>IF(('Activity data'!AU22*EF!$H53*EF!T71)*NtoN2O*kgtoGg=0,"NO",('Activity data'!AU22*EF!$H53*EF!T71)*NtoN2O*kgtoGg)</f>
        <v>8.1611678822041331E-2</v>
      </c>
      <c r="AV53" s="27">
        <f>IF(('Activity data'!AV22*EF!$H53*EF!U71)*NtoN2O*kgtoGg=0,"NO",('Activity data'!AV22*EF!$H53*EF!U71)*NtoN2O*kgtoGg)</f>
        <v>8.5289299222376991E-2</v>
      </c>
      <c r="AW53" s="27">
        <f>IF(('Activity data'!AW22*EF!$H53*EF!V71)*NtoN2O*kgtoGg=0,"NO",('Activity data'!AW22*EF!$H53*EF!V71)*NtoN2O*kgtoGg)</f>
        <v>8.9359777574657032E-2</v>
      </c>
      <c r="AX53" s="27">
        <f>IF(('Activity data'!AX22*EF!$H53*EF!W71)*NtoN2O*kgtoGg=0,"NO",('Activity data'!AX22*EF!$H53*EF!W71)*NtoN2O*kgtoGg)</f>
        <v>9.3809609829134971E-2</v>
      </c>
      <c r="AY53" s="27">
        <f>IF(('Activity data'!AY22*EF!$H53*EF!X71)*NtoN2O*kgtoGg=0,"NO",('Activity data'!AY22*EF!$H53*EF!X71)*NtoN2O*kgtoGg)</f>
        <v>9.8503350140624904E-2</v>
      </c>
      <c r="AZ53" s="27">
        <f>IF(('Activity data'!AZ22*EF!$H53*EF!Y71)*NtoN2O*kgtoGg=0,"NO",('Activity data'!AZ22*EF!$H53*EF!Y71)*NtoN2O*kgtoGg)</f>
        <v>0.10350380888713978</v>
      </c>
      <c r="BA53" s="27">
        <f>IF(('Activity data'!BA22*EF!$H53*EF!Z71)*NtoN2O*kgtoGg=0,"NO",('Activity data'!BA22*EF!$H53*EF!Z71)*NtoN2O*kgtoGg)</f>
        <v>0.10874720814901513</v>
      </c>
      <c r="BB53" s="27">
        <f>IF(('Activity data'!BB22*EF!$H53*EF!AA71)*NtoN2O*kgtoGg=0,"NO",('Activity data'!BB22*EF!$H53*EF!AA71)*NtoN2O*kgtoGg)</f>
        <v>0.11399821500083657</v>
      </c>
      <c r="BC53" s="27">
        <f>IF(('Activity data'!BC22*EF!$H53*EF!AB71)*NtoN2O*kgtoGg=0,"NO",('Activity data'!BC22*EF!$H53*EF!AB71)*NtoN2O*kgtoGg)</f>
        <v>0.11959647098629794</v>
      </c>
      <c r="BD53" s="27">
        <f>IF(('Activity data'!BD22*EF!$H53*EF!AC71)*NtoN2O*kgtoGg=0,"NO",('Activity data'!BD22*EF!$H53*EF!AC71)*NtoN2O*kgtoGg)</f>
        <v>0.12532679878762737</v>
      </c>
      <c r="BE53" s="27">
        <f>IF(('Activity data'!BE22*EF!$H53*EF!AD71)*NtoN2O*kgtoGg=0,"NO",('Activity data'!BE22*EF!$H53*EF!AD71)*NtoN2O*kgtoGg)</f>
        <v>0.13117220333481747</v>
      </c>
      <c r="BF53" s="27">
        <f>IF(('Activity data'!BF22*EF!$H53*EF!AE71)*NtoN2O*kgtoGg=0,"NO",('Activity data'!BF22*EF!$H53*EF!AE71)*NtoN2O*kgtoGg)</f>
        <v>0.13723577855179306</v>
      </c>
      <c r="BG53" s="27">
        <f>IF(('Activity data'!BG22*EF!$H53*EF!AF71)*NtoN2O*kgtoGg=0,"NO",('Activity data'!BG22*EF!$H53*EF!AF71)*NtoN2O*kgtoGg)</f>
        <v>0.1432629475308588</v>
      </c>
      <c r="BH53" s="27">
        <f>IF(('Activity data'!BH22*EF!$H53*EF!AG71)*NtoN2O*kgtoGg=0,"NO",('Activity data'!BH22*EF!$H53*EF!AG71)*NtoN2O*kgtoGg)</f>
        <v>0.14960705637354962</v>
      </c>
      <c r="BI53" s="27">
        <f>IF(('Activity data'!BI22*EF!$H53*EF!AH71)*NtoN2O*kgtoGg=0,"NO",('Activity data'!BI22*EF!$H53*EF!AH71)*NtoN2O*kgtoGg)</f>
        <v>0.15639871914131342</v>
      </c>
      <c r="BJ53" s="27">
        <f>IF(('Activity data'!BJ22*EF!$H53*EF!AI71)*NtoN2O*kgtoGg=0,"NO",('Activity data'!BJ22*EF!$H53*EF!AI71)*NtoN2O*kgtoGg)</f>
        <v>0.16342482559718283</v>
      </c>
      <c r="BK53" s="27">
        <f>IF(('Activity data'!BK22*EF!$H53*EF!AJ71)*NtoN2O*kgtoGg=0,"NO",('Activity data'!BK22*EF!$H53*EF!AJ71)*NtoN2O*kgtoGg)</f>
        <v>0.1707017826412458</v>
      </c>
      <c r="BL53" s="27">
        <f>IF(('Activity data'!BL22*EF!$H53*EF!AK71)*NtoN2O*kgtoGg=0,"NO",('Activity data'!BL22*EF!$H53*EF!AK71)*NtoN2O*kgtoGg)</f>
        <v>0.17847497943187501</v>
      </c>
      <c r="BM53" s="27">
        <f>IF(('Activity data'!BM22*EF!$H53*EF!AL71)*NtoN2O*kgtoGg=0,"NO",('Activity data'!BM22*EF!$H53*EF!AL71)*NtoN2O*kgtoGg)</f>
        <v>0.18667144743193501</v>
      </c>
      <c r="BN53" s="27">
        <f>IF(('Activity data'!BN22*EF!$H53*EF!AM71)*NtoN2O*kgtoGg=0,"NO",('Activity data'!BN22*EF!$H53*EF!AM71)*NtoN2O*kgtoGg)</f>
        <v>0.19524271738860685</v>
      </c>
      <c r="BO53" s="27">
        <f>IF(('Activity data'!BO22*EF!$H53*EF!AN71)*NtoN2O*kgtoGg=0,"NO",('Activity data'!BO22*EF!$H53*EF!AN71)*NtoN2O*kgtoGg)</f>
        <v>0.20435030552422884</v>
      </c>
      <c r="BP53" s="27">
        <f>IF(('Activity data'!BP22*EF!$H53*EF!AO71)*NtoN2O*kgtoGg=0,"NO",('Activity data'!BP22*EF!$H53*EF!AO71)*NtoN2O*kgtoGg)</f>
        <v>0.21309265298835234</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893.63599451516268</v>
      </c>
      <c r="AN86" s="22">
        <f>'Activity data'!AN45*EF!$H$149*CtoCO2*ttoGg</f>
        <v>901.53557284553392</v>
      </c>
      <c r="AO86" s="22">
        <f>'Activity data'!AO45*EF!$H$149*CtoCO2*ttoGg</f>
        <v>905.89010059598195</v>
      </c>
      <c r="AP86" s="22">
        <f>'Activity data'!AP45*EF!$H$149*CtoCO2*ttoGg</f>
        <v>907.58009218117843</v>
      </c>
      <c r="AQ86" s="22">
        <f>'Activity data'!AQ45*EF!$H$149*CtoCO2*ttoGg</f>
        <v>909.40288860123439</v>
      </c>
      <c r="AR86" s="22">
        <f>'Activity data'!AR45*EF!$H$149*CtoCO2*ttoGg</f>
        <v>911.92422757648922</v>
      </c>
      <c r="AS86" s="22">
        <f>'Activity data'!AS45*EF!$H$149*CtoCO2*ttoGg</f>
        <v>915.10313656095923</v>
      </c>
      <c r="AT86" s="22">
        <f>'Activity data'!AT45*EF!$H$149*CtoCO2*ttoGg</f>
        <v>918.57833095683384</v>
      </c>
      <c r="AU86" s="22">
        <f>'Activity data'!AU45*EF!$H$149*CtoCO2*ttoGg</f>
        <v>922.43403487282035</v>
      </c>
      <c r="AV86" s="22">
        <f>'Activity data'!AV45*EF!$H$149*CtoCO2*ttoGg</f>
        <v>926.93686062638631</v>
      </c>
      <c r="AW86" s="22">
        <f>'Activity data'!AW45*EF!$H$149*CtoCO2*ttoGg</f>
        <v>932.02307525086815</v>
      </c>
      <c r="AX86" s="22">
        <f>'Activity data'!AX45*EF!$H$149*CtoCO2*ttoGg</f>
        <v>937.4114004614803</v>
      </c>
      <c r="AY86" s="22">
        <f>'Activity data'!AY45*EF!$H$149*CtoCO2*ttoGg</f>
        <v>943.0703615154913</v>
      </c>
      <c r="AZ86" s="22">
        <f>'Activity data'!AZ45*EF!$H$149*CtoCO2*ttoGg</f>
        <v>948.84872324168452</v>
      </c>
      <c r="BA86" s="22">
        <f>'Activity data'!BA45*EF!$H$149*CtoCO2*ttoGg</f>
        <v>954.79399041296358</v>
      </c>
      <c r="BB86" s="22">
        <f>'Activity data'!BB45*EF!$H$149*CtoCO2*ttoGg</f>
        <v>960.83317350344373</v>
      </c>
      <c r="BC86" s="22">
        <f>'Activity data'!BC45*EF!$H$149*CtoCO2*ttoGg</f>
        <v>966.74459566725386</v>
      </c>
      <c r="BD86" s="22">
        <f>'Activity data'!BD45*EF!$H$149*CtoCO2*ttoGg</f>
        <v>972.83250351153242</v>
      </c>
      <c r="BE86" s="22">
        <f>'Activity data'!BE45*EF!$H$149*CtoCO2*ttoGg</f>
        <v>978.89306599922156</v>
      </c>
      <c r="BF86" s="22">
        <f>'Activity data'!BF45*EF!$H$149*CtoCO2*ttoGg</f>
        <v>984.91027811786876</v>
      </c>
      <c r="BG86" s="22">
        <f>'Activity data'!BG45*EF!$H$149*CtoCO2*ttoGg</f>
        <v>990.96854669159461</v>
      </c>
      <c r="BH86" s="22">
        <f>'Activity data'!BH45*EF!$H$149*CtoCO2*ttoGg</f>
        <v>996.85817227544851</v>
      </c>
      <c r="BI86" s="22">
        <f>'Activity data'!BI45*EF!$H$149*CtoCO2*ttoGg</f>
        <v>1002.8620363509766</v>
      </c>
      <c r="BJ86" s="22">
        <f>'Activity data'!BJ45*EF!$H$149*CtoCO2*ttoGg</f>
        <v>1009.0666625916243</v>
      </c>
      <c r="BK86" s="22">
        <f>'Activity data'!BK45*EF!$H$149*CtoCO2*ttoGg</f>
        <v>1015.2950621882683</v>
      </c>
      <c r="BL86" s="22">
        <f>'Activity data'!BL45*EF!$H$149*CtoCO2*ttoGg</f>
        <v>1021.5521396290935</v>
      </c>
      <c r="BM86" s="22">
        <f>'Activity data'!BM45*EF!$H$149*CtoCO2*ttoGg</f>
        <v>1028.0026193966835</v>
      </c>
      <c r="BN86" s="22">
        <f>'Activity data'!BN45*EF!$H$149*CtoCO2*ttoGg</f>
        <v>1034.5766203170861</v>
      </c>
      <c r="BO86" s="22">
        <f>'Activity data'!BO45*EF!$H$149*CtoCO2*ttoGg</f>
        <v>1041.2271453774342</v>
      </c>
      <c r="BP86" s="22">
        <f>'Activity data'!BP45*EF!$H$149*CtoCO2*ttoGg</f>
        <v>1048.046646803637</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469.91487835797898</v>
      </c>
      <c r="AN87" s="22">
        <f>'Activity data'!AN46*EF!$H$150*CtoCO2*ttoGg</f>
        <v>469.71584189716231</v>
      </c>
      <c r="AO87" s="22">
        <f>'Activity data'!AO46*EF!$H$150*CtoCO2*ttoGg</f>
        <v>469.60612594072387</v>
      </c>
      <c r="AP87" s="22">
        <f>'Activity data'!AP46*EF!$H$150*CtoCO2*ttoGg</f>
        <v>469.56354519402316</v>
      </c>
      <c r="AQ87" s="22">
        <f>'Activity data'!AQ46*EF!$H$150*CtoCO2*ttoGg</f>
        <v>469.51761831880731</v>
      </c>
      <c r="AR87" s="22">
        <f>'Activity data'!AR46*EF!$H$150*CtoCO2*ttoGg</f>
        <v>469.45409108163506</v>
      </c>
      <c r="AS87" s="22">
        <f>'Activity data'!AS46*EF!$H$150*CtoCO2*ttoGg</f>
        <v>469.37399581995572</v>
      </c>
      <c r="AT87" s="22">
        <f>'Activity data'!AT46*EF!$H$150*CtoCO2*ttoGg</f>
        <v>469.28643540036416</v>
      </c>
      <c r="AU87" s="22">
        <f>'Activity data'!AU46*EF!$H$150*CtoCO2*ttoGg</f>
        <v>469.18928772623514</v>
      </c>
      <c r="AV87" s="22">
        <f>'Activity data'!AV46*EF!$H$150*CtoCO2*ttoGg</f>
        <v>469.07583527799261</v>
      </c>
      <c r="AW87" s="22">
        <f>'Activity data'!AW46*EF!$H$150*CtoCO2*ttoGg</f>
        <v>468.94768386085701</v>
      </c>
      <c r="AX87" s="22">
        <f>'Activity data'!AX46*EF!$H$150*CtoCO2*ttoGg</f>
        <v>468.81192051567615</v>
      </c>
      <c r="AY87" s="22">
        <f>'Activity data'!AY46*EF!$H$150*CtoCO2*ttoGg</f>
        <v>468.66933827482927</v>
      </c>
      <c r="AZ87" s="22">
        <f>'Activity data'!AZ46*EF!$H$150*CtoCO2*ttoGg</f>
        <v>468.523747634519</v>
      </c>
      <c r="BA87" s="22">
        <f>'Activity data'!BA46*EF!$H$150*CtoCO2*ttoGg</f>
        <v>468.37395167239384</v>
      </c>
      <c r="BB87" s="22">
        <f>'Activity data'!BB46*EF!$H$150*CtoCO2*ttoGg</f>
        <v>468.22178942039972</v>
      </c>
      <c r="BC87" s="22">
        <f>'Activity data'!BC46*EF!$H$150*CtoCO2*ttoGg</f>
        <v>468.07284621144964</v>
      </c>
      <c r="BD87" s="22">
        <f>'Activity data'!BD46*EF!$H$150*CtoCO2*ttoGg</f>
        <v>467.91945629866859</v>
      </c>
      <c r="BE87" s="22">
        <f>'Activity data'!BE46*EF!$H$150*CtoCO2*ttoGg</f>
        <v>467.76675537494071</v>
      </c>
      <c r="BF87" s="22">
        <f>'Activity data'!BF46*EF!$H$150*CtoCO2*ttoGg</f>
        <v>467.61514669989612</v>
      </c>
      <c r="BG87" s="22">
        <f>'Activity data'!BG46*EF!$H$150*CtoCO2*ttoGg</f>
        <v>467.46250357324266</v>
      </c>
      <c r="BH87" s="22">
        <f>'Activity data'!BH46*EF!$H$150*CtoCO2*ttoGg</f>
        <v>467.31410954729336</v>
      </c>
      <c r="BI87" s="22">
        <f>'Activity data'!BI46*EF!$H$150*CtoCO2*ttoGg</f>
        <v>467.16283718732154</v>
      </c>
      <c r="BJ87" s="22">
        <f>'Activity data'!BJ46*EF!$H$150*CtoCO2*ttoGg</f>
        <v>467.00650645725204</v>
      </c>
      <c r="BK87" s="22">
        <f>'Activity data'!BK46*EF!$H$150*CtoCO2*ttoGg</f>
        <v>466.84957673766149</v>
      </c>
      <c r="BL87" s="22">
        <f>'Activity data'!BL46*EF!$H$150*CtoCO2*ttoGg</f>
        <v>466.6919244558822</v>
      </c>
      <c r="BM87" s="22">
        <f>'Activity data'!BM46*EF!$H$150*CtoCO2*ttoGg</f>
        <v>466.52939924126719</v>
      </c>
      <c r="BN87" s="22">
        <f>'Activity data'!BN46*EF!$H$150*CtoCO2*ttoGg</f>
        <v>466.36376180824482</v>
      </c>
      <c r="BO87" s="22">
        <f>'Activity data'!BO46*EF!$H$150*CtoCO2*ttoGg</f>
        <v>466.19619628572883</v>
      </c>
      <c r="BP87" s="22">
        <f>'Activity data'!BP46*EF!$H$150*CtoCO2*ttoGg</f>
        <v>466.02437326282302</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6.603634243590573</v>
      </c>
      <c r="AN88" s="22">
        <f>'Activity data'!AN47*ttokg*SNEF*NtoN2O*kgtoGg</f>
        <v>6.6004971859529533</v>
      </c>
      <c r="AO88" s="22">
        <f>'Activity data'!AO47*ttokg*SNEF*NtoN2O*kgtoGg</f>
        <v>6.5987679285209158</v>
      </c>
      <c r="AP88" s="22">
        <f>'Activity data'!AP47*ttokg*SNEF*NtoN2O*kgtoGg</f>
        <v>6.5980968039636112</v>
      </c>
      <c r="AQ88" s="22">
        <f>'Activity data'!AQ47*ttokg*SNEF*NtoN2O*kgtoGg</f>
        <v>6.5973729403354264</v>
      </c>
      <c r="AR88" s="22">
        <f>'Activity data'!AR47*ttokg*SNEF*NtoN2O*kgtoGg</f>
        <v>6.5963716735135058</v>
      </c>
      <c r="AS88" s="22">
        <f>'Activity data'!AS47*ttokg*SNEF*NtoN2O*kgtoGg</f>
        <v>6.5951092743964939</v>
      </c>
      <c r="AT88" s="22">
        <f>'Activity data'!AT47*ttokg*SNEF*NtoN2O*kgtoGg</f>
        <v>6.5937292152761398</v>
      </c>
      <c r="AU88" s="22">
        <f>'Activity data'!AU47*ttokg*SNEF*NtoN2O*kgtoGg</f>
        <v>6.5921980493186423</v>
      </c>
      <c r="AV88" s="22">
        <f>'Activity data'!AV47*ttokg*SNEF*NtoN2O*kgtoGg</f>
        <v>6.5904099002136718</v>
      </c>
      <c r="AW88" s="22">
        <f>'Activity data'!AW47*ttokg*SNEF*NtoN2O*kgtoGg</f>
        <v>6.5883900774121225</v>
      </c>
      <c r="AX88" s="22">
        <f>'Activity data'!AX47*ttokg*SNEF*NtoN2O*kgtoGg</f>
        <v>6.5862502813307362</v>
      </c>
      <c r="AY88" s="22">
        <f>'Activity data'!AY47*ttokg*SNEF*NtoN2O*kgtoGg</f>
        <v>6.5840030111280692</v>
      </c>
      <c r="AZ88" s="22">
        <f>'Activity data'!AZ47*ttokg*SNEF*NtoN2O*kgtoGg</f>
        <v>6.5817083248767299</v>
      </c>
      <c r="BA88" s="22">
        <f>'Activity data'!BA47*ttokg*SNEF*NtoN2O*kgtoGg</f>
        <v>6.5793473576190653</v>
      </c>
      <c r="BB88" s="22">
        <f>'Activity data'!BB47*ttokg*SNEF*NtoN2O*kgtoGg</f>
        <v>6.5769490947439282</v>
      </c>
      <c r="BC88" s="22">
        <f>'Activity data'!BC47*ttokg*SNEF*NtoN2O*kgtoGg</f>
        <v>6.5746015679174796</v>
      </c>
      <c r="BD88" s="22">
        <f>'Activity data'!BD47*ttokg*SNEF*NtoN2O*kgtoGg</f>
        <v>6.5721839556094164</v>
      </c>
      <c r="BE88" s="22">
        <f>'Activity data'!BE47*ttokg*SNEF*NtoN2O*kgtoGg</f>
        <v>6.5697772026100587</v>
      </c>
      <c r="BF88" s="22">
        <f>'Activity data'!BF47*ttokg*SNEF*NtoN2O*kgtoGg</f>
        <v>6.5673876647835385</v>
      </c>
      <c r="BG88" s="22">
        <f>'Activity data'!BG47*ttokg*SNEF*NtoN2O*kgtoGg</f>
        <v>6.5649818227366428</v>
      </c>
      <c r="BH88" s="22">
        <f>'Activity data'!BH47*ttokg*SNEF*NtoN2O*kgtoGg</f>
        <v>6.5626429517048157</v>
      </c>
      <c r="BI88" s="22">
        <f>'Activity data'!BI47*ttokg*SNEF*NtoN2O*kgtoGg</f>
        <v>6.5602587146144691</v>
      </c>
      <c r="BJ88" s="22">
        <f>'Activity data'!BJ47*ttokg*SNEF*NtoN2O*kgtoGg</f>
        <v>6.557794751435325</v>
      </c>
      <c r="BK88" s="22">
        <f>'Activity data'!BK47*ttokg*SNEF*NtoN2O*kgtoGg</f>
        <v>6.5553213474499907</v>
      </c>
      <c r="BL88" s="22">
        <f>'Activity data'!BL47*ttokg*SNEF*NtoN2O*kgtoGg</f>
        <v>6.552836555002342</v>
      </c>
      <c r="BM88" s="22">
        <f>'Activity data'!BM47*ttokg*SNEF*NtoN2O*kgtoGg</f>
        <v>6.5502749591835583</v>
      </c>
      <c r="BN88" s="22">
        <f>'Activity data'!BN47*ttokg*SNEF*NtoN2O*kgtoGg</f>
        <v>6.5476643110027855</v>
      </c>
      <c r="BO88" s="22">
        <f>'Activity data'!BO47*ttokg*SNEF*NtoN2O*kgtoGg</f>
        <v>6.5450232737774749</v>
      </c>
      <c r="BP88" s="22">
        <f>'Activity data'!BP47*ttokg*SNEF*NtoN2O*kgtoGg</f>
        <v>6.5423151331477944</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4.3583986007697799E-2</v>
      </c>
      <c r="AN89" s="22">
        <f>'Activity data'!AN48*ttokg*ONEF*NtoN2O*kgtoGg</f>
        <v>4.3563281427289505E-2</v>
      </c>
      <c r="AO89" s="22">
        <f>'Activity data'!AO48*ttokg*ONEF*NtoN2O*kgtoGg</f>
        <v>4.3551868328238041E-2</v>
      </c>
      <c r="AP89" s="22">
        <f>'Activity data'!AP48*ttokg*ONEF*NtoN2O*kgtoGg</f>
        <v>4.3547438906159849E-2</v>
      </c>
      <c r="AQ89" s="22">
        <f>'Activity data'!AQ48*ttokg*ONEF*NtoN2O*kgtoGg</f>
        <v>4.3542661406213816E-2</v>
      </c>
      <c r="AR89" s="22">
        <f>'Activity data'!AR48*ttokg*ONEF*NtoN2O*kgtoGg</f>
        <v>4.3536053045189142E-2</v>
      </c>
      <c r="AS89" s="22">
        <f>'Activity data'!AS48*ttokg*ONEF*NtoN2O*kgtoGg</f>
        <v>4.3527721211016876E-2</v>
      </c>
      <c r="AT89" s="22">
        <f>'Activity data'!AT48*ttokg*ONEF*NtoN2O*kgtoGg</f>
        <v>4.3518612820822526E-2</v>
      </c>
      <c r="AU89" s="22">
        <f>'Activity data'!AU48*ttokg*ONEF*NtoN2O*kgtoGg</f>
        <v>4.3508507125503047E-2</v>
      </c>
      <c r="AV89" s="22">
        <f>'Activity data'!AV48*ttokg*ONEF*NtoN2O*kgtoGg</f>
        <v>4.349670534141023E-2</v>
      </c>
      <c r="AW89" s="22">
        <f>'Activity data'!AW48*ttokg*ONEF*NtoN2O*kgtoGg</f>
        <v>4.3483374510920013E-2</v>
      </c>
      <c r="AX89" s="22">
        <f>'Activity data'!AX48*ttokg*ONEF*NtoN2O*kgtoGg</f>
        <v>4.3469251856782874E-2</v>
      </c>
      <c r="AY89" s="22">
        <f>'Activity data'!AY48*ttokg*ONEF*NtoN2O*kgtoGg</f>
        <v>4.3454419873445269E-2</v>
      </c>
      <c r="AZ89" s="22">
        <f>'Activity data'!AZ48*ttokg*ONEF*NtoN2O*kgtoGg</f>
        <v>4.3439274944186416E-2</v>
      </c>
      <c r="BA89" s="22">
        <f>'Activity data'!BA48*ttokg*ONEF*NtoN2O*kgtoGg</f>
        <v>4.3423692560285852E-2</v>
      </c>
      <c r="BB89" s="22">
        <f>'Activity data'!BB48*ttokg*ONEF*NtoN2O*kgtoGg</f>
        <v>4.3407864025309932E-2</v>
      </c>
      <c r="BC89" s="22">
        <f>'Activity data'!BC48*ttokg*ONEF*NtoN2O*kgtoGg</f>
        <v>4.3392370348255375E-2</v>
      </c>
      <c r="BD89" s="22">
        <f>'Activity data'!BD48*ttokg*ONEF*NtoN2O*kgtoGg</f>
        <v>4.3376414107022157E-2</v>
      </c>
      <c r="BE89" s="22">
        <f>'Activity data'!BE48*ttokg*ONEF*NtoN2O*kgtoGg</f>
        <v>4.336052953722639E-2</v>
      </c>
      <c r="BF89" s="22">
        <f>'Activity data'!BF48*ttokg*ONEF*NtoN2O*kgtoGg</f>
        <v>4.3344758587571364E-2</v>
      </c>
      <c r="BG89" s="22">
        <f>'Activity data'!BG48*ttokg*ONEF*NtoN2O*kgtoGg</f>
        <v>4.3328880030061849E-2</v>
      </c>
      <c r="BH89" s="22">
        <f>'Activity data'!BH48*ttokg*ONEF*NtoN2O*kgtoGg</f>
        <v>4.3313443481251802E-2</v>
      </c>
      <c r="BI89" s="22">
        <f>'Activity data'!BI48*ttokg*ONEF*NtoN2O*kgtoGg</f>
        <v>4.3297707516455515E-2</v>
      </c>
      <c r="BJ89" s="22">
        <f>'Activity data'!BJ48*ttokg*ONEF*NtoN2O*kgtoGg</f>
        <v>4.3281445359473161E-2</v>
      </c>
      <c r="BK89" s="22">
        <f>'Activity data'!BK48*ttokg*ONEF*NtoN2O*kgtoGg</f>
        <v>4.3265120893169952E-2</v>
      </c>
      <c r="BL89" s="22">
        <f>'Activity data'!BL48*ttokg*ONEF*NtoN2O*kgtoGg</f>
        <v>4.324872126301546E-2</v>
      </c>
      <c r="BM89" s="22">
        <f>'Activity data'!BM48*ttokg*ONEF*NtoN2O*kgtoGg</f>
        <v>4.3231814730611481E-2</v>
      </c>
      <c r="BN89" s="22">
        <f>'Activity data'!BN48*ttokg*ONEF*NtoN2O*kgtoGg</f>
        <v>4.3214584452618394E-2</v>
      </c>
      <c r="BO89" s="22">
        <f>'Activity data'!BO48*ttokg*ONEF*NtoN2O*kgtoGg</f>
        <v>4.3197153606931347E-2</v>
      </c>
      <c r="BP89" s="22">
        <f>'Activity data'!BP48*ttokg*ONEF*NtoN2O*kgtoGg</f>
        <v>4.3179279878775449E-2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2.9705633438591348</v>
      </c>
      <c r="AN90" s="22">
        <f>'Activity data'!AN85*CREF*NtoN2O*kgtoGg</f>
        <v>2.9939833213378622</v>
      </c>
      <c r="AO90" s="22">
        <f>'Activity data'!AO85*CREF*NtoN2O*kgtoGg</f>
        <v>3.0068932435616724</v>
      </c>
      <c r="AP90" s="22">
        <f>'Activity data'!AP85*CREF*NtoN2O*kgtoGg</f>
        <v>3.0119035824948748</v>
      </c>
      <c r="AQ90" s="22">
        <f>'Activity data'!AQ85*CREF*NtoN2O*kgtoGg</f>
        <v>3.0173076495628459</v>
      </c>
      <c r="AR90" s="22">
        <f>'Activity data'!AR85*CREF*NtoN2O*kgtoGg</f>
        <v>3.0247826943750078</v>
      </c>
      <c r="AS90" s="22">
        <f>'Activity data'!AS85*CREF*NtoN2O*kgtoGg</f>
        <v>3.0342072451180488</v>
      </c>
      <c r="AT90" s="22">
        <f>'Activity data'!AT85*CREF*NtoN2O*kgtoGg</f>
        <v>3.0445101968810144</v>
      </c>
      <c r="AU90" s="22">
        <f>'Activity data'!AU85*CREF*NtoN2O*kgtoGg</f>
        <v>3.0559412499196137</v>
      </c>
      <c r="AV90" s="22">
        <f>'Activity data'!AV85*CREF*NtoN2O*kgtoGg</f>
        <v>3.0692908330655531</v>
      </c>
      <c r="AW90" s="22">
        <f>'Activity data'!AW85*CREF*NtoN2O*kgtoGg</f>
        <v>3.0843699964051159</v>
      </c>
      <c r="AX90" s="22">
        <f>'Activity data'!AX85*CREF*NtoN2O*kgtoGg</f>
        <v>3.1003448307320856</v>
      </c>
      <c r="AY90" s="22">
        <f>'Activity data'!AY85*CREF*NtoN2O*kgtoGg</f>
        <v>3.1171220224878007</v>
      </c>
      <c r="AZ90" s="22">
        <f>'Activity data'!AZ85*CREF*NtoN2O*kgtoGg</f>
        <v>3.1342532028915815</v>
      </c>
      <c r="BA90" s="22">
        <f>'Activity data'!BA85*CREF*NtoN2O*kgtoGg</f>
        <v>3.1518792099305966</v>
      </c>
      <c r="BB90" s="22">
        <f>'Activity data'!BB85*CREF*NtoN2O*kgtoGg</f>
        <v>3.1697836506556398</v>
      </c>
      <c r="BC90" s="22">
        <f>'Activity data'!BC85*CREF*NtoN2O*kgtoGg</f>
        <v>3.1873093169828417</v>
      </c>
      <c r="BD90" s="22">
        <f>'Activity data'!BD85*CREF*NtoN2O*kgtoGg</f>
        <v>3.2053582125874849</v>
      </c>
      <c r="BE90" s="22">
        <f>'Activity data'!BE85*CREF*NtoN2O*kgtoGg</f>
        <v>3.2233260370755845</v>
      </c>
      <c r="BF90" s="22">
        <f>'Activity data'!BF85*CREF*NtoN2O*kgtoGg</f>
        <v>3.2411653401889731</v>
      </c>
      <c r="BG90" s="22">
        <f>'Activity data'!BG85*CREF*NtoN2O*kgtoGg</f>
        <v>3.2591263638820034</v>
      </c>
      <c r="BH90" s="22">
        <f>'Activity data'!BH85*CREF*NtoN2O*kgtoGg</f>
        <v>3.2765874096193026</v>
      </c>
      <c r="BI90" s="22">
        <f>'Activity data'!BI85*CREF*NtoN2O*kgtoGg</f>
        <v>3.294387139624336</v>
      </c>
      <c r="BJ90" s="22">
        <f>'Activity data'!BJ85*CREF*NtoN2O*kgtoGg</f>
        <v>3.3127820717007999</v>
      </c>
      <c r="BK90" s="22">
        <f>'Activity data'!BK85*CREF*NtoN2O*kgtoGg</f>
        <v>3.3312474849395168</v>
      </c>
      <c r="BL90" s="22">
        <f>'Activity data'!BL85*CREF*NtoN2O*kgtoGg</f>
        <v>3.3497979197372052</v>
      </c>
      <c r="BM90" s="22">
        <f>'Activity data'!BM85*CREF*NtoN2O*kgtoGg</f>
        <v>3.3689217368026219</v>
      </c>
      <c r="BN90" s="22">
        <f>'Activity data'!BN85*CREF*NtoN2O*kgtoGg</f>
        <v>3.3884117585559377</v>
      </c>
      <c r="BO90" s="22">
        <f>'Activity data'!BO85*CREF*NtoN2O*kgtoGg</f>
        <v>3.4081286523724397</v>
      </c>
      <c r="BP90" s="22">
        <f>'Activity data'!BP85*CREF*NtoN2O*kgtoGg</f>
        <v>3.4283465125085661</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0.32056321299147922</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0.31930900968296799</v>
      </c>
      <c r="AM91" s="22">
        <f>'Activity data'!AM50*ManureNEF*NtoN2O*kgtoGg</f>
        <v>0.32574821213897459</v>
      </c>
      <c r="AN91" s="22">
        <f>'Activity data'!AN50*ManureNEF*NtoN2O*kgtoGg</f>
        <v>0.32894469179548952</v>
      </c>
      <c r="AO91" s="22">
        <f>'Activity data'!AO50*ManureNEF*NtoN2O*kgtoGg</f>
        <v>0.32977948253414807</v>
      </c>
      <c r="AP91" s="22">
        <f>'Activity data'!AP50*ManureNEF*NtoN2O*kgtoGg</f>
        <v>0.3309664569188206</v>
      </c>
      <c r="AQ91" s="22">
        <f>'Activity data'!AQ50*ManureNEF*NtoN2O*kgtoGg</f>
        <v>0.33295820888491823</v>
      </c>
      <c r="AR91" s="22">
        <f>'Activity data'!AR50*ManureNEF*NtoN2O*kgtoGg</f>
        <v>0.33558938332727861</v>
      </c>
      <c r="AS91" s="22">
        <f>'Activity data'!AS50*ManureNEF*NtoN2O*kgtoGg</f>
        <v>0.33853527641770959</v>
      </c>
      <c r="AT91" s="22">
        <f>'Activity data'!AT50*ManureNEF*NtoN2O*kgtoGg</f>
        <v>0.34188866727508727</v>
      </c>
      <c r="AU91" s="22">
        <f>'Activity data'!AU50*ManureNEF*NtoN2O*kgtoGg</f>
        <v>0.34593707625098935</v>
      </c>
      <c r="AV91" s="22">
        <f>'Activity data'!AV50*ManureNEF*NtoN2O*kgtoGg</f>
        <v>0.35065698551445434</v>
      </c>
      <c r="AW91" s="22">
        <f>'Activity data'!AW50*ManureNEF*NtoN2O*kgtoGg</f>
        <v>0.35579420133815998</v>
      </c>
      <c r="AX91" s="22">
        <f>'Activity data'!AX50*ManureNEF*NtoN2O*kgtoGg</f>
        <v>0.36134408078222452</v>
      </c>
      <c r="AY91" s="22">
        <f>'Activity data'!AY50*ManureNEF*NtoN2O*kgtoGg</f>
        <v>0.36716578992310794</v>
      </c>
      <c r="AZ91" s="22">
        <f>'Activity data'!AZ50*ManureNEF*NtoN2O*kgtoGg</f>
        <v>0.37332444348551658</v>
      </c>
      <c r="BA91" s="22">
        <f>'Activity data'!BA50*ManureNEF*NtoN2O*kgtoGg</f>
        <v>0.37975671698066876</v>
      </c>
      <c r="BB91" s="22">
        <f>'Activity data'!BB50*ManureNEF*NtoN2O*kgtoGg</f>
        <v>0.38621474793846927</v>
      </c>
      <c r="BC91" s="22">
        <f>'Activity data'!BC50*ManureNEF*NtoN2O*kgtoGg</f>
        <v>0.39306178454441848</v>
      </c>
      <c r="BD91" s="22">
        <f>'Activity data'!BD50*ManureNEF*NtoN2O*kgtoGg</f>
        <v>0.40005847527747412</v>
      </c>
      <c r="BE91" s="22">
        <f>'Activity data'!BE50*ManureNEF*NtoN2O*kgtoGg</f>
        <v>0.4071870252950287</v>
      </c>
      <c r="BF91" s="22">
        <f>'Activity data'!BF50*ManureNEF*NtoN2O*kgtoGg</f>
        <v>0.41456228412939544</v>
      </c>
      <c r="BG91" s="22">
        <f>'Activity data'!BG50*ManureNEF*NtoN2O*kgtoGg</f>
        <v>0.42190892307820843</v>
      </c>
      <c r="BH91" s="22">
        <f>'Activity data'!BH50*ManureNEF*NtoN2O*kgtoGg</f>
        <v>0.42960845898713129</v>
      </c>
      <c r="BI91" s="22">
        <f>'Activity data'!BI50*ManureNEF*NtoN2O*kgtoGg</f>
        <v>0.43780304574358431</v>
      </c>
      <c r="BJ91" s="22">
        <f>'Activity data'!BJ50*ManureNEF*NtoN2O*kgtoGg</f>
        <v>0.44626036327894386</v>
      </c>
      <c r="BK91" s="22">
        <f>'Activity data'!BK50*ManureNEF*NtoN2O*kgtoGg</f>
        <v>0.45499571223112473</v>
      </c>
      <c r="BL91" s="22">
        <f>'Activity data'!BL50*ManureNEF*NtoN2O*kgtoGg</f>
        <v>0.46427790014777842</v>
      </c>
      <c r="BM91" s="22">
        <f>'Activity data'!BM50*ManureNEF*NtoN2O*kgtoGg</f>
        <v>0.4740288633200766</v>
      </c>
      <c r="BN91" s="22">
        <f>'Activity data'!BN50*ManureNEF*NtoN2O*kgtoGg</f>
        <v>0.48419829350388255</v>
      </c>
      <c r="BO91" s="22">
        <f>'Activity data'!BO50*ManureNEF*NtoN2O*kgtoGg</f>
        <v>0.49496943616318984</v>
      </c>
      <c r="BP91" s="22">
        <f>'Activity data'!BP50*ManureNEF*NtoN2O*kgtoGg</f>
        <v>0.50533326104983312</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0.93731746283627526</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0.96141917889497153</v>
      </c>
      <c r="AL92" s="22">
        <f>'Activity data'!AL51*ManureNEF*NtoN2O*kgtoGg</f>
        <v>0.93365020902993845</v>
      </c>
      <c r="AM92" s="22">
        <f>'Activity data'!AM51*ManureNEF*NtoN2O*kgtoGg</f>
        <v>0.95247824875548714</v>
      </c>
      <c r="AN92" s="22">
        <f>'Activity data'!AN51*ManureNEF*NtoN2O*kgtoGg</f>
        <v>0.96182466181920945</v>
      </c>
      <c r="AO92" s="22">
        <f>'Activity data'!AO51*ManureNEF*NtoN2O*kgtoGg</f>
        <v>0.96426556553319687</v>
      </c>
      <c r="AP92" s="22">
        <f>'Activity data'!AP51*ManureNEF*NtoN2O*kgtoGg</f>
        <v>0.96773624393172708</v>
      </c>
      <c r="AQ92" s="22">
        <f>'Activity data'!AQ51*ManureNEF*NtoN2O*kgtoGg</f>
        <v>0.97356006844995502</v>
      </c>
      <c r="AR92" s="22">
        <f>'Activity data'!AR51*ManureNEF*NtoN2O*kgtoGg</f>
        <v>0.98125354559469047</v>
      </c>
      <c r="AS92" s="22">
        <f>'Activity data'!AS51*ManureNEF*NtoN2O*kgtoGg</f>
        <v>0.9898672508653048</v>
      </c>
      <c r="AT92" s="22">
        <f>'Activity data'!AT51*ManureNEF*NtoN2O*kgtoGg</f>
        <v>0.99967246769291085</v>
      </c>
      <c r="AU92" s="22">
        <f>'Activity data'!AU51*ManureNEF*NtoN2O*kgtoGg</f>
        <v>1.0115098971796095</v>
      </c>
      <c r="AV92" s="22">
        <f>'Activity data'!AV51*ManureNEF*NtoN2O*kgtoGg</f>
        <v>1.0253107738752334</v>
      </c>
      <c r="AW92" s="22">
        <f>'Activity data'!AW51*ManureNEF*NtoN2O*kgtoGg</f>
        <v>1.0403318427526722</v>
      </c>
      <c r="AX92" s="22">
        <f>'Activity data'!AX51*ManureNEF*NtoN2O*kgtoGg</f>
        <v>1.0565595279914524</v>
      </c>
      <c r="AY92" s="22">
        <f>'Activity data'!AY51*ManureNEF*NtoN2O*kgtoGg</f>
        <v>1.0735820353165477</v>
      </c>
      <c r="AZ92" s="22">
        <f>'Activity data'!AZ51*ManureNEF*NtoN2O*kgtoGg</f>
        <v>1.0915897582793135</v>
      </c>
      <c r="BA92" s="22">
        <f>'Activity data'!BA51*ManureNEF*NtoN2O*kgtoGg</f>
        <v>1.1103975379258981</v>
      </c>
      <c r="BB92" s="22">
        <f>'Activity data'!BB51*ManureNEF*NtoN2O*kgtoGg</f>
        <v>1.1292806316402249</v>
      </c>
      <c r="BC92" s="22">
        <f>'Activity data'!BC51*ManureNEF*NtoN2O*kgtoGg</f>
        <v>1.1493011664968118</v>
      </c>
      <c r="BD92" s="22">
        <f>'Activity data'!BD51*ManureNEF*NtoN2O*kgtoGg</f>
        <v>1.1697592856457866</v>
      </c>
      <c r="BE92" s="22">
        <f>'Activity data'!BE51*ManureNEF*NtoN2O*kgtoGg</f>
        <v>1.190602957487612</v>
      </c>
      <c r="BF92" s="22">
        <f>'Activity data'!BF51*ManureNEF*NtoN2O*kgtoGg</f>
        <v>1.2121679986970451</v>
      </c>
      <c r="BG92" s="22">
        <f>'Activity data'!BG51*ManureNEF*NtoN2O*kgtoGg</f>
        <v>1.2336493561978465</v>
      </c>
      <c r="BH92" s="22">
        <f>'Activity data'!BH51*ManureNEF*NtoN2O*kgtoGg</f>
        <v>1.2561625740927527</v>
      </c>
      <c r="BI92" s="22">
        <f>'Activity data'!BI51*ManureNEF*NtoN2O*kgtoGg</f>
        <v>1.2801233061925847</v>
      </c>
      <c r="BJ92" s="22">
        <f>'Activity data'!BJ51*ManureNEF*NtoN2O*kgtoGg</f>
        <v>1.3048522554087716</v>
      </c>
      <c r="BK92" s="22">
        <f>'Activity data'!BK51*ManureNEF*NtoN2O*kgtoGg</f>
        <v>1.3303941603592482</v>
      </c>
      <c r="BL92" s="22">
        <f>'Activity data'!BL51*ManureNEF*NtoN2O*kgtoGg</f>
        <v>1.3575350064545193</v>
      </c>
      <c r="BM92" s="22">
        <f>'Activity data'!BM51*ManureNEF*NtoN2O*kgtoGg</f>
        <v>1.3860465376922328</v>
      </c>
      <c r="BN92" s="22">
        <f>'Activity data'!BN51*ManureNEF*NtoN2O*kgtoGg</f>
        <v>1.4157816542373405</v>
      </c>
      <c r="BO92" s="22">
        <f>'Activity data'!BO51*ManureNEF*NtoN2O*kgtoGg</f>
        <v>1.4472761604692133</v>
      </c>
      <c r="BP92" s="22">
        <f>'Activity data'!BP51*ManureNEF*NtoN2O*kgtoGg</f>
        <v>1.4775796814421152</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5.0141199304605817E-2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5.1430505218981189E-2</v>
      </c>
      <c r="AL93" s="22">
        <f>'Activity data'!AL52*ManureNEF*NtoN2O*kgtoGg</f>
        <v>4.9945021903357263E-2</v>
      </c>
      <c r="AM93" s="22">
        <f>'Activity data'!AM52*ManureNEF*NtoN2O*kgtoGg</f>
        <v>5.0952215868929084E-2</v>
      </c>
      <c r="AN93" s="22">
        <f>'Activity data'!AN52*ManureNEF*NtoN2O*kgtoGg</f>
        <v>5.1452196269158888E-2</v>
      </c>
      <c r="AO93" s="22">
        <f>'Activity data'!AO52*ManureNEF*NtoN2O*kgtoGg</f>
        <v>5.1582770855101254E-2</v>
      </c>
      <c r="AP93" s="22">
        <f>'Activity data'!AP52*ManureNEF*NtoN2O*kgtoGg</f>
        <v>5.1768432580400064E-2</v>
      </c>
      <c r="AQ93" s="22">
        <f>'Activity data'!AQ52*ManureNEF*NtoN2O*kgtoGg</f>
        <v>5.2079974355157911E-2</v>
      </c>
      <c r="AR93" s="22">
        <f>'Activity data'!AR52*ManureNEF*NtoN2O*kgtoGg</f>
        <v>5.2491532003611736E-2</v>
      </c>
      <c r="AS93" s="22">
        <f>'Activity data'!AS52*ManureNEF*NtoN2O*kgtoGg</f>
        <v>5.2952316668199217E-2</v>
      </c>
      <c r="AT93" s="22">
        <f>'Activity data'!AT52*ManureNEF*NtoN2O*kgtoGg</f>
        <v>5.3476840482884362E-2</v>
      </c>
      <c r="AU93" s="22">
        <f>'Activity data'!AU52*ManureNEF*NtoN2O*kgtoGg</f>
        <v>5.4110076216432663E-2</v>
      </c>
      <c r="AV93" s="22">
        <f>'Activity data'!AV52*ManureNEF*NtoN2O*kgtoGg</f>
        <v>5.4848345304986328E-2</v>
      </c>
      <c r="AW93" s="22">
        <f>'Activity data'!AW52*ManureNEF*NtoN2O*kgtoGg</f>
        <v>5.5651887795353253E-2</v>
      </c>
      <c r="AX93" s="22">
        <f>'Activity data'!AX52*ManureNEF*NtoN2O*kgtoGg</f>
        <v>5.651997745768382E-2</v>
      </c>
      <c r="AY93" s="22">
        <f>'Activity data'!AY52*ManureNEF*NtoN2O*kgtoGg</f>
        <v>5.7430585620118969E-2</v>
      </c>
      <c r="AZ93" s="22">
        <f>'Activity data'!AZ52*ManureNEF*NtoN2O*kgtoGg</f>
        <v>5.8393897264143985E-2</v>
      </c>
      <c r="BA93" s="22">
        <f>'Activity data'!BA52*ManureNEF*NtoN2O*kgtoGg</f>
        <v>5.9400007429725336E-2</v>
      </c>
      <c r="BB93" s="22">
        <f>'Activity data'!BB52*ManureNEF*NtoN2O*kgtoGg</f>
        <v>6.0410146473281176E-2</v>
      </c>
      <c r="BC93" s="22">
        <f>'Activity data'!BC52*ManureNEF*NtoN2O*kgtoGg</f>
        <v>6.1481132204616346E-2</v>
      </c>
      <c r="BD93" s="22">
        <f>'Activity data'!BD52*ManureNEF*NtoN2O*kgtoGg</f>
        <v>6.2575526228325351E-2</v>
      </c>
      <c r="BE93" s="22">
        <f>'Activity data'!BE52*ManureNEF*NtoN2O*kgtoGg</f>
        <v>6.3690545147207192E-2</v>
      </c>
      <c r="BF93" s="22">
        <f>'Activity data'!BF52*ManureNEF*NtoN2O*kgtoGg</f>
        <v>6.4844153259897494E-2</v>
      </c>
      <c r="BG93" s="22">
        <f>'Activity data'!BG52*ManureNEF*NtoN2O*kgtoGg</f>
        <v>6.5993284766017041E-2</v>
      </c>
      <c r="BH93" s="22">
        <f>'Activity data'!BH52*ManureNEF*NtoN2O*kgtoGg</f>
        <v>6.7197614985194512E-2</v>
      </c>
      <c r="BI93" s="22">
        <f>'Activity data'!BI52*ManureNEF*NtoN2O*kgtoGg</f>
        <v>6.8479379052692538E-2</v>
      </c>
      <c r="BJ93" s="22">
        <f>'Activity data'!BJ52*ManureNEF*NtoN2O*kgtoGg</f>
        <v>6.9802238404411326E-2</v>
      </c>
      <c r="BK93" s="22">
        <f>'Activity data'!BK52*ManureNEF*NtoN2O*kgtoGg</f>
        <v>7.1168586304156845E-2</v>
      </c>
      <c r="BL93" s="22">
        <f>'Activity data'!BL52*ManureNEF*NtoN2O*kgtoGg</f>
        <v>7.2620468539702415E-2</v>
      </c>
      <c r="BM93" s="22">
        <f>'Activity data'!BM52*ManureNEF*NtoN2O*kgtoGg</f>
        <v>7.4145674701917505E-2</v>
      </c>
      <c r="BN93" s="22">
        <f>'Activity data'!BN52*ManureNEF*NtoN2O*kgtoGg</f>
        <v>7.5736335779032549E-2</v>
      </c>
      <c r="BO93" s="22">
        <f>'Activity data'!BO52*ManureNEF*NtoN2O*kgtoGg</f>
        <v>7.742111428427241E-2</v>
      </c>
      <c r="BP93" s="22">
        <f>'Activity data'!BP52*ManureNEF*NtoN2O*kgtoGg</f>
        <v>7.9042181793391189E-2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0.39653071954810187</v>
      </c>
      <c r="AF94" s="22">
        <f>'Activity data'!AF53*ManureNEF*NtoN2O*kgtoGg</f>
        <v>0.39521014945095007</v>
      </c>
      <c r="AG94" s="22">
        <f>'Activity data'!AG53*ManureNEF*NtoN2O*kgtoGg</f>
        <v>0.38993263522397309</v>
      </c>
      <c r="AH94" s="22">
        <f>'Activity data'!AH53*ManureNEF*NtoN2O*kgtoGg</f>
        <v>0.38227219443770077</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0.31897606543396184</v>
      </c>
      <c r="AM94" s="22">
        <f>'Activity data'!AM53*ManureNEF*NtoN2O*kgtoGg</f>
        <v>0.33422640738749132</v>
      </c>
      <c r="AN94" s="22">
        <f>'Activity data'!AN53*ManureNEF*NtoN2O*kgtoGg</f>
        <v>0.3395060787066792</v>
      </c>
      <c r="AO94" s="22">
        <f>'Activity data'!AO53*ManureNEF*NtoN2O*kgtoGg</f>
        <v>0.33721330134407257</v>
      </c>
      <c r="AP94" s="22">
        <f>'Activity data'!AP53*ManureNEF*NtoN2O*kgtoGg</f>
        <v>0.33534828840095249</v>
      </c>
      <c r="AQ94" s="22">
        <f>'Activity data'!AQ53*ManureNEF*NtoN2O*kgtoGg</f>
        <v>0.33547079917503503</v>
      </c>
      <c r="AR94" s="22">
        <f>'Activity data'!AR53*ManureNEF*NtoN2O*kgtoGg</f>
        <v>0.33744070936588777</v>
      </c>
      <c r="AS94" s="22">
        <f>'Activity data'!AS53*ManureNEF*NtoN2O*kgtoGg</f>
        <v>0.34023587672815686</v>
      </c>
      <c r="AT94" s="22">
        <f>'Activity data'!AT53*ManureNEF*NtoN2O*kgtoGg</f>
        <v>0.34408144868680218</v>
      </c>
      <c r="AU94" s="22">
        <f>'Activity data'!AU53*ManureNEF*NtoN2O*kgtoGg</f>
        <v>0.34971445697084458</v>
      </c>
      <c r="AV94" s="22">
        <f>'Activity data'!AV53*ManureNEF*NtoN2O*kgtoGg</f>
        <v>0.35697581238959336</v>
      </c>
      <c r="AW94" s="22">
        <f>'Activity data'!AW53*ManureNEF*NtoN2O*kgtoGg</f>
        <v>0.36203839361176637</v>
      </c>
      <c r="AX94" s="22">
        <f>'Activity data'!AX53*ManureNEF*NtoN2O*kgtoGg</f>
        <v>0.36769900977315834</v>
      </c>
      <c r="AY94" s="22">
        <f>'Activity data'!AY53*ManureNEF*NtoN2O*kgtoGg</f>
        <v>0.37353106948354631</v>
      </c>
      <c r="AZ94" s="22">
        <f>'Activity data'!AZ53*ManureNEF*NtoN2O*kgtoGg</f>
        <v>0.37966412521229187</v>
      </c>
      <c r="BA94" s="22">
        <f>'Activity data'!BA53*ManureNEF*NtoN2O*kgtoGg</f>
        <v>0.38588904144354591</v>
      </c>
      <c r="BB94" s="22">
        <f>'Activity data'!BB53*ManureNEF*NtoN2O*kgtoGg</f>
        <v>0.39157349610813613</v>
      </c>
      <c r="BC94" s="22">
        <f>'Activity data'!BC53*ManureNEF*NtoN2O*kgtoGg</f>
        <v>0.39756955250590403</v>
      </c>
      <c r="BD94" s="22">
        <f>'Activity data'!BD53*ManureNEF*NtoN2O*kgtoGg</f>
        <v>0.40329410820183131</v>
      </c>
      <c r="BE94" s="22">
        <f>'Activity data'!BE53*ManureNEF*NtoN2O*kgtoGg</f>
        <v>0.4086920134239358</v>
      </c>
      <c r="BF94" s="22">
        <f>'Activity data'!BF53*ManureNEF*NtoN2O*kgtoGg</f>
        <v>0.41399400883192944</v>
      </c>
      <c r="BG94" s="22">
        <f>'Activity data'!BG53*ManureNEF*NtoN2O*kgtoGg</f>
        <v>0.42072674060954357</v>
      </c>
      <c r="BH94" s="22">
        <f>'Activity data'!BH53*ManureNEF*NtoN2O*kgtoGg</f>
        <v>0.42769047193917231</v>
      </c>
      <c r="BI94" s="22">
        <f>'Activity data'!BI53*ManureNEF*NtoN2O*kgtoGg</f>
        <v>0.43513827260891708</v>
      </c>
      <c r="BJ94" s="22">
        <f>'Activity data'!BJ53*ManureNEF*NtoN2O*kgtoGg</f>
        <v>0.44255709633783841</v>
      </c>
      <c r="BK94" s="22">
        <f>'Activity data'!BK53*ManureNEF*NtoN2O*kgtoGg</f>
        <v>0.44995657231615971</v>
      </c>
      <c r="BL94" s="22">
        <f>'Activity data'!BL53*ManureNEF*NtoN2O*kgtoGg</f>
        <v>0.45782299471336541</v>
      </c>
      <c r="BM94" s="22">
        <f>'Activity data'!BM53*ManureNEF*NtoN2O*kgtoGg</f>
        <v>0.46595268200970025</v>
      </c>
      <c r="BN94" s="22">
        <f>'Activity data'!BN53*ManureNEF*NtoN2O*kgtoGg</f>
        <v>0.47420429180526752</v>
      </c>
      <c r="BO94" s="22">
        <f>'Activity data'!BO53*ManureNEF*NtoN2O*kgtoGg</f>
        <v>0.48285863154123199</v>
      </c>
      <c r="BP94" s="22">
        <f>'Activity data'!BP53*ManureNEF*NtoN2O*kgtoGg</f>
        <v>0.4901142188549843</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2.6602988559851233</v>
      </c>
      <c r="AE95" s="22">
        <f>'Activity data'!AE54*ManureNEF*NtoN2O*kgtoGg</f>
        <v>2.6372269335947083</v>
      </c>
      <c r="AF95" s="22">
        <f>'Activity data'!AF54*ManureNEF*NtoN2O*kgtoGg</f>
        <v>2.6284441511866339</v>
      </c>
      <c r="AG95" s="22">
        <f>'Activity data'!AG54*ManureNEF*NtoN2O*kgtoGg</f>
        <v>2.5933447201068058</v>
      </c>
      <c r="AH95" s="22">
        <f>'Activity data'!AH54*ManureNEF*NtoN2O*kgtoGg</f>
        <v>2.5423970387070192</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2.1214302687397906</v>
      </c>
      <c r="AM95" s="22">
        <f>'Activity data'!AM54*ManureNEF*NtoN2O*kgtoGg</f>
        <v>2.2228564901236254</v>
      </c>
      <c r="AN95" s="22">
        <f>'Activity data'!AN54*ManureNEF*NtoN2O*kgtoGg</f>
        <v>2.2579702674858382</v>
      </c>
      <c r="AO95" s="22">
        <f>'Activity data'!AO54*ManureNEF*NtoN2O*kgtoGg</f>
        <v>2.2427215769927198</v>
      </c>
      <c r="AP95" s="22">
        <f>'Activity data'!AP54*ManureNEF*NtoN2O*kgtoGg</f>
        <v>2.230317840982798</v>
      </c>
      <c r="AQ95" s="22">
        <f>'Activity data'!AQ54*ManureNEF*NtoN2O*kgtoGg</f>
        <v>2.2311326295909391</v>
      </c>
      <c r="AR95" s="22">
        <f>'Activity data'!AR54*ManureNEF*NtoN2O*kgtoGg</f>
        <v>2.2442340110375012</v>
      </c>
      <c r="AS95" s="22">
        <f>'Activity data'!AS54*ManureNEF*NtoN2O*kgtoGg</f>
        <v>2.2628239721383245</v>
      </c>
      <c r="AT95" s="22">
        <f>'Activity data'!AT54*ManureNEF*NtoN2O*kgtoGg</f>
        <v>2.2883999122722289</v>
      </c>
      <c r="AU95" s="22">
        <f>'Activity data'!AU54*ManureNEF*NtoN2O*kgtoGg</f>
        <v>2.3258636456767143</v>
      </c>
      <c r="AV95" s="22">
        <f>'Activity data'!AV54*ManureNEF*NtoN2O*kgtoGg</f>
        <v>2.3741571098162688</v>
      </c>
      <c r="AW95" s="22">
        <f>'Activity data'!AW54*ManureNEF*NtoN2O*kgtoGg</f>
        <v>2.4078270750785844</v>
      </c>
      <c r="AX95" s="22">
        <f>'Activity data'!AX54*ManureNEF*NtoN2O*kgtoGg</f>
        <v>2.4454744215907969</v>
      </c>
      <c r="AY95" s="22">
        <f>'Activity data'!AY54*ManureNEF*NtoN2O*kgtoGg</f>
        <v>2.4842619963948258</v>
      </c>
      <c r="AZ95" s="22">
        <f>'Activity data'!AZ54*ManureNEF*NtoN2O*kgtoGg</f>
        <v>2.5250514206581411</v>
      </c>
      <c r="BA95" s="22">
        <f>'Activity data'!BA54*ManureNEF*NtoN2O*kgtoGg</f>
        <v>2.5664517862165597</v>
      </c>
      <c r="BB95" s="22">
        <f>'Activity data'!BB54*ManureNEF*NtoN2O*kgtoGg</f>
        <v>2.6042576766689809</v>
      </c>
      <c r="BC95" s="22">
        <f>'Activity data'!BC54*ManureNEF*NtoN2O*kgtoGg</f>
        <v>2.6441359525452293</v>
      </c>
      <c r="BD95" s="22">
        <f>'Activity data'!BD54*ManureNEF*NtoN2O*kgtoGg</f>
        <v>2.6822085449571547</v>
      </c>
      <c r="BE95" s="22">
        <f>'Activity data'!BE54*ManureNEF*NtoN2O*kgtoGg</f>
        <v>2.7181086665238992</v>
      </c>
      <c r="BF95" s="22">
        <f>'Activity data'!BF54*ManureNEF*NtoN2O*kgtoGg</f>
        <v>2.7533709158338433</v>
      </c>
      <c r="BG95" s="22">
        <f>'Activity data'!BG54*ManureNEF*NtoN2O*kgtoGg</f>
        <v>2.7981486359580932</v>
      </c>
      <c r="BH95" s="22">
        <f>'Activity data'!BH54*ManureNEF*NtoN2O*kgtoGg</f>
        <v>2.8444626764988703</v>
      </c>
      <c r="BI95" s="22">
        <f>'Activity data'!BI54*ManureNEF*NtoN2O*kgtoGg</f>
        <v>2.8939961415092981</v>
      </c>
      <c r="BJ95" s="22">
        <f>'Activity data'!BJ54*ManureNEF*NtoN2O*kgtoGg</f>
        <v>2.9433368881122353</v>
      </c>
      <c r="BK95" s="22">
        <f>'Activity data'!BK54*ManureNEF*NtoN2O*kgtoGg</f>
        <v>2.9925489576506421</v>
      </c>
      <c r="BL95" s="22">
        <f>'Activity data'!BL54*ManureNEF*NtoN2O*kgtoGg</f>
        <v>3.0448665713794991</v>
      </c>
      <c r="BM95" s="22">
        <f>'Activity data'!BM54*ManureNEF*NtoN2O*kgtoGg</f>
        <v>3.0989350943025911</v>
      </c>
      <c r="BN95" s="22">
        <f>'Activity data'!BN54*ManureNEF*NtoN2O*kgtoGg</f>
        <v>3.1538144933644965</v>
      </c>
      <c r="BO95" s="22">
        <f>'Activity data'!BO54*ManureNEF*NtoN2O*kgtoGg</f>
        <v>3.211372348831973</v>
      </c>
      <c r="BP95" s="22">
        <f>'Activity data'!BP54*ManureNEF*NtoN2O*kgtoGg</f>
        <v>3.2596274507435776</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0.34358078636628725</v>
      </c>
      <c r="AE96" s="22">
        <f>'Activity data'!AE55*ManureNEF*NtoN2O*kgtoGg</f>
        <v>0.35516571939691488</v>
      </c>
      <c r="AF96" s="22">
        <f>'Activity data'!AF55*ManureNEF*NtoN2O*kgtoGg</f>
        <v>0.36891582276573964</v>
      </c>
      <c r="AG96" s="22">
        <f>'Activity data'!AG55*ManureNEF*NtoN2O*kgtoGg</f>
        <v>0.37917034791782084</v>
      </c>
      <c r="AH96" s="22">
        <f>'Activity data'!AH55*ManureNEF*NtoN2O*kgtoGg</f>
        <v>0.3870785095581884</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0.37883271565803223</v>
      </c>
      <c r="AM96" s="22">
        <f>'Activity data'!AM55*ManureNEF*NtoN2O*kgtoGg</f>
        <v>0.40650829214497081</v>
      </c>
      <c r="AN96" s="22">
        <f>'Activity data'!AN55*ManureNEF*NtoN2O*kgtoGg</f>
        <v>0.42274175542300491</v>
      </c>
      <c r="AO96" s="22">
        <f>'Activity data'!AO55*ManureNEF*NtoN2O*kgtoGg</f>
        <v>0.42973734716787138</v>
      </c>
      <c r="AP96" s="22">
        <f>'Activity data'!AP55*ManureNEF*NtoN2O*kgtoGg</f>
        <v>0.43726842004421129</v>
      </c>
      <c r="AQ96" s="22">
        <f>'Activity data'!AQ55*ManureNEF*NtoN2O*kgtoGg</f>
        <v>0.44745878466388073</v>
      </c>
      <c r="AR96" s="22">
        <f>'Activity data'!AR55*ManureNEF*NtoN2O*kgtoGg</f>
        <v>0.46030289933226931</v>
      </c>
      <c r="AS96" s="22">
        <f>'Activity data'!AS55*ManureNEF*NtoN2O*kgtoGg</f>
        <v>0.47455223837766919</v>
      </c>
      <c r="AT96" s="22">
        <f>'Activity data'!AT55*ManureNEF*NtoN2O*kgtoGg</f>
        <v>0.4906141484694207</v>
      </c>
      <c r="AU96" s="22">
        <f>'Activity data'!AU55*ManureNEF*NtoN2O*kgtoGg</f>
        <v>0.50967264018855052</v>
      </c>
      <c r="AV96" s="22">
        <f>'Activity data'!AV55*ManureNEF*NtoN2O*kgtoGg</f>
        <v>0.53167442702617229</v>
      </c>
      <c r="AW96" s="22">
        <f>'Activity data'!AW55*ManureNEF*NtoN2O*kgtoGg</f>
        <v>0.55709637533943834</v>
      </c>
      <c r="AX96" s="22">
        <f>'Activity data'!AX55*ManureNEF*NtoN2O*kgtoGg</f>
        <v>0.58460645913698228</v>
      </c>
      <c r="AY96" s="22">
        <f>'Activity data'!AY55*ManureNEF*NtoN2O*kgtoGg</f>
        <v>0.61366166383859366</v>
      </c>
      <c r="AZ96" s="22">
        <f>'Activity data'!AZ55*ManureNEF*NtoN2O*kgtoGg</f>
        <v>0.64458089754098746</v>
      </c>
      <c r="BA96" s="22">
        <f>'Activity data'!BA55*ManureNEF*NtoN2O*kgtoGg</f>
        <v>0.67712551028517698</v>
      </c>
      <c r="BB96" s="22">
        <f>'Activity data'!BB55*ManureNEF*NtoN2O*kgtoGg</f>
        <v>0.71024940806884818</v>
      </c>
      <c r="BC96" s="22">
        <f>'Activity data'!BC55*ManureNEF*NtoN2O*kgtoGg</f>
        <v>0.74554239669460731</v>
      </c>
      <c r="BD96" s="22">
        <f>'Activity data'!BD55*ManureNEF*NtoN2O*kgtoGg</f>
        <v>0.78202811985737553</v>
      </c>
      <c r="BE96" s="22">
        <f>'Activity data'!BE55*ManureNEF*NtoN2O*kgtoGg</f>
        <v>0.81964634511188172</v>
      </c>
      <c r="BF96" s="22">
        <f>'Activity data'!BF55*ManureNEF*NtoN2O*kgtoGg</f>
        <v>0.85891861421537574</v>
      </c>
      <c r="BG96" s="22">
        <f>'Activity data'!BG55*ManureNEF*NtoN2O*kgtoGg</f>
        <v>0.89751581296509064</v>
      </c>
      <c r="BH96" s="22">
        <f>'Activity data'!BH55*ManureNEF*NtoN2O*kgtoGg</f>
        <v>0.93820295986961577</v>
      </c>
      <c r="BI96" s="22">
        <f>'Activity data'!BI55*ManureNEF*NtoN2O*kgtoGg</f>
        <v>0.98167178661912335</v>
      </c>
      <c r="BJ96" s="22">
        <f>'Activity data'!BJ55*ManureNEF*NtoN2O*kgtoGg</f>
        <v>1.0269093365438573</v>
      </c>
      <c r="BK96" s="22">
        <f>'Activity data'!BK55*ManureNEF*NtoN2O*kgtoGg</f>
        <v>1.0740254053264544</v>
      </c>
      <c r="BL96" s="22">
        <f>'Activity data'!BL55*ManureNEF*NtoN2O*kgtoGg</f>
        <v>1.1243087675322185</v>
      </c>
      <c r="BM96" s="22">
        <f>'Activity data'!BM55*ManureNEF*NtoN2O*kgtoGg</f>
        <v>1.1774495119019792</v>
      </c>
      <c r="BN96" s="22">
        <f>'Activity data'!BN55*ManureNEF*NtoN2O*kgtoGg</f>
        <v>1.2332540246283563</v>
      </c>
      <c r="BO96" s="22">
        <f>'Activity data'!BO55*ManureNEF*NtoN2O*kgtoGg</f>
        <v>1.2926278816392183</v>
      </c>
      <c r="BP96" s="22">
        <f>'Activity data'!BP55*ManureNEF*NtoN2O*kgtoGg</f>
        <v>1.3508373812373191</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5.9206646241484272E-2</v>
      </c>
      <c r="AM97" s="22">
        <f>'Activity data'!AM56*ManureNEF*NtoN2O*kgtoGg</f>
        <v>5.9249261961011081E-2</v>
      </c>
      <c r="AN97" s="22">
        <f>'Activity data'!AN56*ManureNEF*NtoN2O*kgtoGg</f>
        <v>5.9234279181673045E-2</v>
      </c>
      <c r="AO97" s="22">
        <f>'Activity data'!AO56*ManureNEF*NtoN2O*kgtoGg</f>
        <v>5.9233200541063784E-2</v>
      </c>
      <c r="AP97" s="22">
        <f>'Activity data'!AP56*ManureNEF*NtoN2O*kgtoGg</f>
        <v>5.9296029757579687E-2</v>
      </c>
      <c r="AQ97" s="22">
        <f>'Activity data'!AQ56*ManureNEF*NtoN2O*kgtoGg</f>
        <v>5.9398855559527265E-2</v>
      </c>
      <c r="AR97" s="22">
        <f>'Activity data'!AR56*ManureNEF*NtoN2O*kgtoGg</f>
        <v>5.9497518057295966E-2</v>
      </c>
      <c r="AS97" s="22">
        <f>'Activity data'!AS56*ManureNEF*NtoN2O*kgtoGg</f>
        <v>5.9592335556578689E-2</v>
      </c>
      <c r="AT97" s="22">
        <f>'Activity data'!AT56*ManureNEF*NtoN2O*kgtoGg</f>
        <v>5.9683178655916949E-2</v>
      </c>
      <c r="AU97" s="22">
        <f>'Activity data'!AU56*ManureNEF*NtoN2O*kgtoGg</f>
        <v>5.9771940504679918E-2</v>
      </c>
      <c r="AV97" s="22">
        <f>'Activity data'!AV56*ManureNEF*NtoN2O*kgtoGg</f>
        <v>5.9859917680633305E-2</v>
      </c>
      <c r="AW97" s="22">
        <f>'Activity data'!AW56*ManureNEF*NtoN2O*kgtoGg</f>
        <v>5.994622744604354E-2</v>
      </c>
      <c r="AX97" s="22">
        <f>'Activity data'!AX56*ManureNEF*NtoN2O*kgtoGg</f>
        <v>6.0032110794538678E-2</v>
      </c>
      <c r="AY97" s="22">
        <f>'Activity data'!AY56*ManureNEF*NtoN2O*kgtoGg</f>
        <v>6.0117297176971563E-2</v>
      </c>
      <c r="AZ97" s="22">
        <f>'Activity data'!AZ56*ManureNEF*NtoN2O*kgtoGg</f>
        <v>6.0201104026504609E-2</v>
      </c>
      <c r="BA97" s="22">
        <f>'Activity data'!BA56*ManureNEF*NtoN2O*kgtoGg</f>
        <v>6.0283900321551377E-2</v>
      </c>
      <c r="BB97" s="22">
        <f>'Activity data'!BB56*ManureNEF*NtoN2O*kgtoGg</f>
        <v>6.0365774417580641E-2</v>
      </c>
      <c r="BC97" s="22">
        <f>'Activity data'!BC56*ManureNEF*NtoN2O*kgtoGg</f>
        <v>6.0447004272429113E-2</v>
      </c>
      <c r="BD97" s="22">
        <f>'Activity data'!BD56*ManureNEF*NtoN2O*kgtoGg</f>
        <v>6.0525104414191039E-2</v>
      </c>
      <c r="BE97" s="22">
        <f>'Activity data'!BE56*ManureNEF*NtoN2O*kgtoGg</f>
        <v>6.0599983467265146E-2</v>
      </c>
      <c r="BF97" s="22">
        <f>'Activity data'!BF56*ManureNEF*NtoN2O*kgtoGg</f>
        <v>6.0672341257529266E-2</v>
      </c>
      <c r="BG97" s="22">
        <f>'Activity data'!BG56*ManureNEF*NtoN2O*kgtoGg</f>
        <v>6.0741620622323307E-2</v>
      </c>
      <c r="BH97" s="22">
        <f>'Activity data'!BH56*ManureNEF*NtoN2O*kgtoGg</f>
        <v>6.0807947239837602E-2</v>
      </c>
      <c r="BI97" s="22">
        <f>'Activity data'!BI56*ManureNEF*NtoN2O*kgtoGg</f>
        <v>6.0871022373773183E-2</v>
      </c>
      <c r="BJ97" s="22">
        <f>'Activity data'!BJ56*ManureNEF*NtoN2O*kgtoGg</f>
        <v>6.0929943414023247E-2</v>
      </c>
      <c r="BK97" s="22">
        <f>'Activity data'!BK56*ManureNEF*NtoN2O*kgtoGg</f>
        <v>6.098387393162142E-2</v>
      </c>
      <c r="BL97" s="22">
        <f>'Activity data'!BL56*ManureNEF*NtoN2O*kgtoGg</f>
        <v>6.1032759441621343E-2</v>
      </c>
      <c r="BM97" s="22">
        <f>'Activity data'!BM56*ManureNEF*NtoN2O*kgtoGg</f>
        <v>6.1076225850700765E-2</v>
      </c>
      <c r="BN97" s="22">
        <f>'Activity data'!BN56*ManureNEF*NtoN2O*kgtoGg</f>
        <v>6.1114252195612971E-2</v>
      </c>
      <c r="BO97" s="22">
        <f>'Activity data'!BO56*ManureNEF*NtoN2O*kgtoGg</f>
        <v>6.1147566184616489E-2</v>
      </c>
      <c r="BP97" s="22">
        <f>'Activity data'!BP56*ManureNEF*NtoN2O*kgtoGg</f>
        <v>6.1171840771151238E-2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4.8186162011392024E-2</v>
      </c>
      <c r="AM98" s="22">
        <f>'Activity data'!AM57*ManureNEF*NtoN2O*kgtoGg</f>
        <v>4.8220845414281899E-2</v>
      </c>
      <c r="AN98" s="22">
        <f>'Activity data'!AN57*ManureNEF*NtoN2O*kgtoGg</f>
        <v>4.8208651468527576E-2</v>
      </c>
      <c r="AO98" s="22">
        <f>'Activity data'!AO57*ManureNEF*NtoN2O*kgtoGg</f>
        <v>4.8207773601692518E-2</v>
      </c>
      <c r="AP98" s="22">
        <f>'Activity data'!AP57*ManureNEF*NtoN2O*kgtoGg</f>
        <v>4.8258908043487037E-2</v>
      </c>
      <c r="AQ98" s="22">
        <f>'Activity data'!AQ57*ManureNEF*NtoN2O*kgtoGg</f>
        <v>4.8342594269039987E-2</v>
      </c>
      <c r="AR98" s="22">
        <f>'Activity data'!AR57*ManureNEF*NtoN2O*kgtoGg</f>
        <v>4.8422892130914143E-2</v>
      </c>
      <c r="AS98" s="22">
        <f>'Activity data'!AS57*ManureNEF*NtoN2O*kgtoGg</f>
        <v>4.8500060686675887E-2</v>
      </c>
      <c r="AT98" s="22">
        <f>'Activity data'!AT57*ManureNEF*NtoN2O*kgtoGg</f>
        <v>4.8573994621127721E-2</v>
      </c>
      <c r="AU98" s="22">
        <f>'Activity data'!AU57*ManureNEF*NtoN2O*kgtoGg</f>
        <v>4.8646234700518105E-2</v>
      </c>
      <c r="AV98" s="22">
        <f>'Activity data'!AV57*ManureNEF*NtoN2O*kgtoGg</f>
        <v>4.8717836162902997E-2</v>
      </c>
      <c r="AW98" s="22">
        <f>'Activity data'!AW57*ManureNEF*NtoN2O*kgtoGg</f>
        <v>4.8788080579758822E-2</v>
      </c>
      <c r="AX98" s="22">
        <f>'Activity data'!AX57*ManureNEF*NtoN2O*kgtoGg</f>
        <v>4.8857977951209122E-2</v>
      </c>
      <c r="AY98" s="22">
        <f>'Activity data'!AY57*ManureNEF*NtoN2O*kgtoGg</f>
        <v>4.8927308087024161E-2</v>
      </c>
      <c r="AZ98" s="22">
        <f>'Activity data'!AZ57*ManureNEF*NtoN2O*kgtoGg</f>
        <v>4.8995515470580273E-2</v>
      </c>
      <c r="BA98" s="22">
        <f>'Activity data'!BA57*ManureNEF*NtoN2O*kgtoGg</f>
        <v>4.9062900400150392E-2</v>
      </c>
      <c r="BB98" s="22">
        <f>'Activity data'!BB57*ManureNEF*NtoN2O*kgtoGg</f>
        <v>4.9129534785075896E-2</v>
      </c>
      <c r="BC98" s="22">
        <f>'Activity data'!BC57*ManureNEF*NtoN2O*kgtoGg</f>
        <v>4.9195644845252684E-2</v>
      </c>
      <c r="BD98" s="22">
        <f>'Activity data'!BD57*ManureNEF*NtoN2O*kgtoGg</f>
        <v>4.9259207744402629E-2</v>
      </c>
      <c r="BE98" s="22">
        <f>'Activity data'!BE57*ManureNEF*NtoN2O*kgtoGg</f>
        <v>4.9320149115207046E-2</v>
      </c>
      <c r="BF98" s="22">
        <f>'Activity data'!BF57*ManureNEF*NtoN2O*kgtoGg</f>
        <v>4.9379038520802346E-2</v>
      </c>
      <c r="BG98" s="22">
        <f>'Activity data'!BG57*ManureNEF*NtoN2O*kgtoGg</f>
        <v>4.9435422506519014E-2</v>
      </c>
      <c r="BH98" s="22">
        <f>'Activity data'!BH57*ManureNEF*NtoN2O*kgtoGg</f>
        <v>4.9489403357320404E-2</v>
      </c>
      <c r="BI98" s="22">
        <f>'Activity data'!BI57*ManureNEF*NtoN2O*kgtoGg</f>
        <v>4.9540737942466703E-2</v>
      </c>
      <c r="BJ98" s="22">
        <f>'Activity data'!BJ57*ManureNEF*NtoN2O*kgtoGg</f>
        <v>4.9588691660023831E-2</v>
      </c>
      <c r="BK98" s="22">
        <f>'Activity data'!BK57*ManureNEF*NtoN2O*kgtoGg</f>
        <v>4.9632583770509955E-2</v>
      </c>
      <c r="BL98" s="22">
        <f>'Activity data'!BL57*ManureNEF*NtoN2O*kgtoGg</f>
        <v>4.9672369930584929E-2</v>
      </c>
      <c r="BM98" s="22">
        <f>'Activity data'!BM57*ManureNEF*NtoN2O*kgtoGg</f>
        <v>4.9707745679135391E-2</v>
      </c>
      <c r="BN98" s="22">
        <f>'Activity data'!BN57*ManureNEF*NtoN2O*kgtoGg</f>
        <v>4.9738693954928054E-2</v>
      </c>
      <c r="BO98" s="22">
        <f>'Activity data'!BO57*ManureNEF*NtoN2O*kgtoGg</f>
        <v>4.9765807013567136E-2</v>
      </c>
      <c r="BP98" s="22">
        <f>'Activity data'!BP57*ManureNEF*NtoN2O*kgtoGg</f>
        <v>4.9785563227333289E-2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7.2140927380493743E-3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7.4155715935563127E-3</v>
      </c>
      <c r="AK99" s="22">
        <f>'Activity data'!AK58*ManureNEF*NtoN2O*kgtoGg</f>
        <v>7.4643602602570466E-3</v>
      </c>
      <c r="AL99" s="22">
        <f>'Activity data'!AL58*ManureNEF*NtoN2O*kgtoGg</f>
        <v>7.446057759840319E-3</v>
      </c>
      <c r="AM99" s="22">
        <f>'Activity data'!AM58*ManureNEF*NtoN2O*kgtoGg</f>
        <v>7.4588575402652147E-3</v>
      </c>
      <c r="AN99" s="22">
        <f>'Activity data'!AN58*ManureNEF*NtoN2O*kgtoGg</f>
        <v>7.4600996121267065E-3</v>
      </c>
      <c r="AO99" s="22">
        <f>'Activity data'!AO58*ManureNEF*NtoN2O*kgtoGg</f>
        <v>7.4635145174609509E-3</v>
      </c>
      <c r="AP99" s="22">
        <f>'Activity data'!AP58*ManureNEF*NtoN2O*kgtoGg</f>
        <v>7.478612742540797E-3</v>
      </c>
      <c r="AQ99" s="22">
        <f>'Activity data'!AQ58*ManureNEF*NtoN2O*kgtoGg</f>
        <v>7.5008213874242727E-3</v>
      </c>
      <c r="AR99" s="22">
        <f>'Activity data'!AR58*ManureNEF*NtoN2O*kgtoGg</f>
        <v>7.521785176202795E-3</v>
      </c>
      <c r="AS99" s="22">
        <f>'Activity data'!AS58*ManureNEF*NtoN2O*kgtoGg</f>
        <v>7.5416026776079998E-3</v>
      </c>
      <c r="AT99" s="22">
        <f>'Activity data'!AT58*ManureNEF*NtoN2O*kgtoGg</f>
        <v>7.5602840353540396E-3</v>
      </c>
      <c r="AU99" s="22">
        <f>'Activity data'!AU58*ManureNEF*NtoN2O*kgtoGg</f>
        <v>7.5782158017585468E-3</v>
      </c>
      <c r="AV99" s="22">
        <f>'Activity data'!AV58*ManureNEF*NtoN2O*kgtoGg</f>
        <v>7.5956670242534503E-3</v>
      </c>
      <c r="AW99" s="22">
        <f>'Activity data'!AW58*ManureNEF*NtoN2O*kgtoGg</f>
        <v>7.6124952267758277E-3</v>
      </c>
      <c r="AX99" s="22">
        <f>'Activity data'!AX58*ManureNEF*NtoN2O*kgtoGg</f>
        <v>7.6289531687582885E-3</v>
      </c>
      <c r="AY99" s="22">
        <f>'Activity data'!AY58*ManureNEF*NtoN2O*kgtoGg</f>
        <v>7.6450086817527159E-3</v>
      </c>
      <c r="AZ99" s="22">
        <f>'Activity data'!AZ58*ManureNEF*NtoN2O*kgtoGg</f>
        <v>7.6605519051480614E-3</v>
      </c>
      <c r="BA99" s="22">
        <f>'Activity data'!BA58*ManureNEF*NtoN2O*kgtoGg</f>
        <v>7.6756674337729895E-3</v>
      </c>
      <c r="BB99" s="22">
        <f>'Activity data'!BB58*ManureNEF*NtoN2O*kgtoGg</f>
        <v>7.6903861453690046E-3</v>
      </c>
      <c r="BC99" s="22">
        <f>'Activity data'!BC58*ManureNEF*NtoN2O*kgtoGg</f>
        <v>7.7047726653034906E-3</v>
      </c>
      <c r="BD99" s="22">
        <f>'Activity data'!BD58*ManureNEF*NtoN2O*kgtoGg</f>
        <v>7.7183809322326768E-3</v>
      </c>
      <c r="BE99" s="22">
        <f>'Activity data'!BE58*ManureNEF*NtoN2O*kgtoGg</f>
        <v>7.7312077295111602E-3</v>
      </c>
      <c r="BF99" s="22">
        <f>'Activity data'!BF58*ManureNEF*NtoN2O*kgtoGg</f>
        <v>7.7433943538670266E-3</v>
      </c>
      <c r="BG99" s="22">
        <f>'Activity data'!BG58*ManureNEF*NtoN2O*kgtoGg</f>
        <v>7.7548499619508725E-3</v>
      </c>
      <c r="BH99" s="22">
        <f>'Activity data'!BH58*ManureNEF*NtoN2O*kgtoGg</f>
        <v>7.7656086534531824E-3</v>
      </c>
      <c r="BI99" s="22">
        <f>'Activity data'!BI58*ManureNEF*NtoN2O*kgtoGg</f>
        <v>7.7756261682697366E-3</v>
      </c>
      <c r="BJ99" s="22">
        <f>'Activity data'!BJ58*ManureNEF*NtoN2O*kgtoGg</f>
        <v>7.7847478814032966E-3</v>
      </c>
      <c r="BK99" s="22">
        <f>'Activity data'!BK58*ManureNEF*NtoN2O*kgtoGg</f>
        <v>7.7928317537802119E-3</v>
      </c>
      <c r="BL99" s="22">
        <f>'Activity data'!BL58*ManureNEF*NtoN2O*kgtoGg</f>
        <v>7.7998783369461555E-3</v>
      </c>
      <c r="BM99" s="22">
        <f>'Activity data'!BM58*ManureNEF*NtoN2O*kgtoGg</f>
        <v>7.8058297320024528E-3</v>
      </c>
      <c r="BN99" s="22">
        <f>'Activity data'!BN58*ManureNEF*NtoN2O*kgtoGg</f>
        <v>7.8106919749548918E-3</v>
      </c>
      <c r="BO99" s="22">
        <f>'Activity data'!BO58*ManureNEF*NtoN2O*kgtoGg</f>
        <v>7.8146060933627498E-3</v>
      </c>
      <c r="BP99" s="22">
        <f>'Activity data'!BP58*ManureNEF*NtoN2O*kgtoGg</f>
        <v>7.8167990100407609E-3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8.7045671471293523E-2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8.8412215452112072E-2</v>
      </c>
      <c r="AI100" s="22">
        <f>'Activity data'!AI59*ManureNEF*NtoN2O*kgtoGg</f>
        <v>8.8924932944132923E-2</v>
      </c>
      <c r="AJ100" s="22">
        <f>'Activity data'!AJ59*ManureNEF*NtoN2O*kgtoGg</f>
        <v>8.9476727309038565E-2</v>
      </c>
      <c r="AK100" s="22">
        <f>'Activity data'!AK59*ManureNEF*NtoN2O*kgtoGg</f>
        <v>9.0065414259340087E-2</v>
      </c>
      <c r="AL100" s="22">
        <f>'Activity data'!AL59*ManureNEF*NtoN2O*kgtoGg</f>
        <v>8.9844575202202001E-2</v>
      </c>
      <c r="AM100" s="22">
        <f>'Activity data'!AM59*ManureNEF*NtoN2O*kgtoGg</f>
        <v>8.9999018113074689E-2</v>
      </c>
      <c r="AN100" s="22">
        <f>'Activity data'!AN59*ManureNEF*NtoN2O*kgtoGg</f>
        <v>9.0014005025930557E-2</v>
      </c>
      <c r="AO100" s="22">
        <f>'Activity data'!AO59*ManureNEF*NtoN2O*kgtoGg</f>
        <v>9.0055209476527981E-2</v>
      </c>
      <c r="AP100" s="22">
        <f>'Activity data'!AP59*ManureNEF*NtoN2O*kgtoGg</f>
        <v>9.0237385557127583E-2</v>
      </c>
      <c r="AQ100" s="22">
        <f>'Activity data'!AQ59*ManureNEF*NtoN2O*kgtoGg</f>
        <v>9.0505356385413932E-2</v>
      </c>
      <c r="AR100" s="22">
        <f>'Activity data'!AR59*ManureNEF*NtoN2O*kgtoGg</f>
        <v>9.0758306705997438E-2</v>
      </c>
      <c r="AS100" s="22">
        <f>'Activity data'!AS59*ManureNEF*NtoN2O*kgtoGg</f>
        <v>9.0997425855048733E-2</v>
      </c>
      <c r="AT100" s="22">
        <f>'Activity data'!AT59*ManureNEF*NtoN2O*kgtoGg</f>
        <v>9.122283622722524E-2</v>
      </c>
      <c r="AU100" s="22">
        <f>'Activity data'!AU59*ManureNEF*NtoN2O*kgtoGg</f>
        <v>9.1439201985751464E-2</v>
      </c>
      <c r="AV100" s="22">
        <f>'Activity data'!AV59*ManureNEF*NtoN2O*kgtoGg</f>
        <v>9.1649769472921652E-2</v>
      </c>
      <c r="AW100" s="22">
        <f>'Activity data'!AW59*ManureNEF*NtoN2O*kgtoGg</f>
        <v>9.1852819564097965E-2</v>
      </c>
      <c r="AX100" s="22">
        <f>'Activity data'!AX59*ManureNEF*NtoN2O*kgtoGg</f>
        <v>9.2051402069607366E-2</v>
      </c>
      <c r="AY100" s="22">
        <f>'Activity data'!AY59*ManureNEF*NtoN2O*kgtoGg</f>
        <v>9.224512884304413E-2</v>
      </c>
      <c r="AZ100" s="22">
        <f>'Activity data'!AZ59*ManureNEF*NtoN2O*kgtoGg</f>
        <v>9.2432674299750023E-2</v>
      </c>
      <c r="BA100" s="22">
        <f>'Activity data'!BA59*ManureNEF*NtoN2O*kgtoGg</f>
        <v>9.261505916595239E-2</v>
      </c>
      <c r="BB100" s="22">
        <f>'Activity data'!BB59*ManureNEF*NtoN2O*kgtoGg</f>
        <v>9.2792656014314204E-2</v>
      </c>
      <c r="BC100" s="22">
        <f>'Activity data'!BC59*ManureNEF*NtoN2O*kgtoGg</f>
        <v>9.2966244618356883E-2</v>
      </c>
      <c r="BD100" s="22">
        <f>'Activity data'!BD59*ManureNEF*NtoN2O*kgtoGg</f>
        <v>9.3130442775411881E-2</v>
      </c>
      <c r="BE100" s="22">
        <f>'Activity data'!BE59*ManureNEF*NtoN2O*kgtoGg</f>
        <v>9.3285211673244717E-2</v>
      </c>
      <c r="BF100" s="22">
        <f>'Activity data'!BF59*ManureNEF*NtoN2O*kgtoGg</f>
        <v>9.3432256206569059E-2</v>
      </c>
      <c r="BG100" s="22">
        <f>'Activity data'!BG59*ManureNEF*NtoN2O*kgtoGg</f>
        <v>9.3570480254135169E-2</v>
      </c>
      <c r="BH100" s="22">
        <f>'Activity data'!BH59*ManureNEF*NtoN2O*kgtoGg</f>
        <v>9.3700295264833783E-2</v>
      </c>
      <c r="BI100" s="22">
        <f>'Activity data'!BI59*ManureNEF*NtoN2O*kgtoGg</f>
        <v>9.3821167193618646E-2</v>
      </c>
      <c r="BJ100" s="22">
        <f>'Activity data'!BJ59*ManureNEF*NtoN2O*kgtoGg</f>
        <v>9.3931230326088647E-2</v>
      </c>
      <c r="BK100" s="22">
        <f>'Activity data'!BK59*ManureNEF*NtoN2O*kgtoGg</f>
        <v>9.4028770810344664E-2</v>
      </c>
      <c r="BL100" s="22">
        <f>'Activity data'!BL59*ManureNEF*NtoN2O*kgtoGg</f>
        <v>9.4113795301369402E-2</v>
      </c>
      <c r="BM100" s="22">
        <f>'Activity data'!BM59*ManureNEF*NtoN2O*kgtoGg</f>
        <v>9.4185605187612459E-2</v>
      </c>
      <c r="BN100" s="22">
        <f>'Activity data'!BN59*ManureNEF*NtoN2O*kgtoGg</f>
        <v>9.4244273299878237E-2</v>
      </c>
      <c r="BO100" s="22">
        <f>'Activity data'!BO59*ManureNEF*NtoN2O*kgtoGg</f>
        <v>9.429150128507352E-2</v>
      </c>
      <c r="BP100" s="22">
        <f>'Activity data'!BP59*ManureNEF*NtoN2O*kgtoGg</f>
        <v>9.4317961147962676E-2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0.12395129293471774</v>
      </c>
      <c r="AF103" s="22">
        <f>'Activity data'!AF62*ManureNEF*NtoN2O*kgtoGg</f>
        <v>0.1240068951131099</v>
      </c>
      <c r="AG103" s="22">
        <f>'Activity data'!AG62*ManureNEF*NtoN2O*kgtoGg</f>
        <v>0.12286841678965583</v>
      </c>
      <c r="AH103" s="22">
        <f>'Activity data'!AH62*ManureNEF*NtoN2O*kgtoGg</f>
        <v>0.12100901910044995</v>
      </c>
      <c r="AI103" s="22">
        <f>'Activity data'!AI62*ManureNEF*NtoN2O*kgtoGg</f>
        <v>0.11845842648899831</v>
      </c>
      <c r="AJ103" s="22">
        <f>'Activity data'!AJ62*ManureNEF*NtoN2O*kgtoGg</f>
        <v>0.11660641339960404</v>
      </c>
      <c r="AK103" s="22">
        <f>'Activity data'!AK62*ManureNEF*NtoN2O*kgtoGg</f>
        <v>0.11491827863139022</v>
      </c>
      <c r="AL103" s="22">
        <f>'Activity data'!AL62*ManureNEF*NtoN2O*kgtoGg</f>
        <v>0.10323336206469676</v>
      </c>
      <c r="AM103" s="22">
        <f>'Activity data'!AM62*ManureNEF*NtoN2O*kgtoGg</f>
        <v>0.10789835358112609</v>
      </c>
      <c r="AN103" s="22">
        <f>'Activity data'!AN62*ManureNEF*NtoN2O*kgtoGg</f>
        <v>0.10930872077776907</v>
      </c>
      <c r="AO103" s="22">
        <f>'Activity data'!AO62*ManureNEF*NtoN2O*kgtoGg</f>
        <v>0.10822994982335406</v>
      </c>
      <c r="AP103" s="22">
        <f>'Activity data'!AP62*ManureNEF*NtoN2O*kgtoGg</f>
        <v>0.10728117650505167</v>
      </c>
      <c r="AQ103" s="22">
        <f>'Activity data'!AQ62*ManureNEF*NtoN2O*kgtoGg</f>
        <v>0.10698795772109922</v>
      </c>
      <c r="AR103" s="22">
        <f>'Activity data'!AR62*ManureNEF*NtoN2O*kgtoGg</f>
        <v>0.10732481606756347</v>
      </c>
      <c r="AS103" s="22">
        <f>'Activity data'!AS62*ManureNEF*NtoN2O*kgtoGg</f>
        <v>0.10795224800227457</v>
      </c>
      <c r="AT103" s="22">
        <f>'Activity data'!AT62*ManureNEF*NtoN2O*kgtoGg</f>
        <v>0.10894183514251574</v>
      </c>
      <c r="AU103" s="22">
        <f>'Activity data'!AU62*ManureNEF*NtoN2O*kgtoGg</f>
        <v>0.11053150962299221</v>
      </c>
      <c r="AV103" s="22">
        <f>'Activity data'!AV62*ManureNEF*NtoN2O*kgtoGg</f>
        <v>0.1126657694800189</v>
      </c>
      <c r="AW103" s="22">
        <f>'Activity data'!AW62*ManureNEF*NtoN2O*kgtoGg</f>
        <v>0.11509487827502032</v>
      </c>
      <c r="AX103" s="22">
        <f>'Activity data'!AX62*ManureNEF*NtoN2O*kgtoGg</f>
        <v>0.11779472217084282</v>
      </c>
      <c r="AY103" s="22">
        <f>'Activity data'!AY62*ManureNEF*NtoN2O*kgtoGg</f>
        <v>0.12063025387721567</v>
      </c>
      <c r="AZ103" s="22">
        <f>'Activity data'!AZ62*ManureNEF*NtoN2O*kgtoGg</f>
        <v>0.12365017099946446</v>
      </c>
      <c r="BA103" s="22">
        <f>'Activity data'!BA62*ManureNEF*NtoN2O*kgtoGg</f>
        <v>0.12678938256448105</v>
      </c>
      <c r="BB103" s="22">
        <f>'Activity data'!BB62*ManureNEF*NtoN2O*kgtoGg</f>
        <v>0.1298357658486077</v>
      </c>
      <c r="BC103" s="22">
        <f>'Activity data'!BC62*ManureNEF*NtoN2O*kgtoGg</f>
        <v>0.13308363006040799</v>
      </c>
      <c r="BD103" s="22">
        <f>'Activity data'!BD62*ManureNEF*NtoN2O*kgtoGg</f>
        <v>0.13633797236037076</v>
      </c>
      <c r="BE103" s="22">
        <f>'Activity data'!BE62*ManureNEF*NtoN2O*kgtoGg</f>
        <v>0.1395817064491762</v>
      </c>
      <c r="BF103" s="22">
        <f>'Activity data'!BF62*ManureNEF*NtoN2O*kgtoGg</f>
        <v>0.1428987646619678</v>
      </c>
      <c r="BG103" s="22">
        <f>'Activity data'!BG62*ManureNEF*NtoN2O*kgtoGg</f>
        <v>0.14607463913609417</v>
      </c>
      <c r="BH103" s="22">
        <f>'Activity data'!BH62*ManureNEF*NtoN2O*kgtoGg</f>
        <v>0.14939800642693096</v>
      </c>
      <c r="BI103" s="22">
        <f>'Activity data'!BI62*ManureNEF*NtoN2O*kgtoGg</f>
        <v>0.15296466961282101</v>
      </c>
      <c r="BJ103" s="22">
        <f>'Activity data'!BJ62*ManureNEF*NtoN2O*kgtoGg</f>
        <v>0.1565936649117094</v>
      </c>
      <c r="BK103" s="22">
        <f>'Activity data'!BK62*ManureNEF*NtoN2O*kgtoGg</f>
        <v>0.16029166396054106</v>
      </c>
      <c r="BL103" s="22">
        <f>'Activity data'!BL62*ManureNEF*NtoN2O*kgtoGg</f>
        <v>0.16424139864286944</v>
      </c>
      <c r="BM103" s="22">
        <f>'Activity data'!BM62*ManureNEF*NtoN2O*kgtoGg</f>
        <v>0.1683741087759702</v>
      </c>
      <c r="BN103" s="22">
        <f>'Activity data'!BN62*ManureNEF*NtoN2O*kgtoGg</f>
        <v>0.17264268700084681</v>
      </c>
      <c r="BO103" s="22">
        <f>'Activity data'!BO62*ManureNEF*NtoN2O*kgtoGg</f>
        <v>0.17715786251954191</v>
      </c>
      <c r="BP103" s="22">
        <f>'Activity data'!BP62*ManureNEF*NtoN2O*kgtoGg</f>
        <v>0.1812449136918291</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3.1446916354757493E-2</v>
      </c>
      <c r="AF104" s="22">
        <f>'Activity data'!AF63*ManureNEF*NtoN2O*kgtoGg</f>
        <v>3.1461022839745605E-2</v>
      </c>
      <c r="AG104" s="22">
        <f>'Activity data'!AG63*ManureNEF*NtoN2O*kgtoGg</f>
        <v>3.1172186541537569E-2</v>
      </c>
      <c r="AH104" s="22">
        <f>'Activity data'!AH63*ManureNEF*NtoN2O*kgtoGg</f>
        <v>3.0700450247237818E-2</v>
      </c>
      <c r="AI104" s="22">
        <f>'Activity data'!AI63*ManureNEF*NtoN2O*kgtoGg</f>
        <v>3.0053355161673637E-2</v>
      </c>
      <c r="AJ104" s="22">
        <f>'Activity data'!AJ63*ManureNEF*NtoN2O*kgtoGg</f>
        <v>2.9583492368545926E-2</v>
      </c>
      <c r="AK104" s="22">
        <f>'Activity data'!AK63*ManureNEF*NtoN2O*kgtoGg</f>
        <v>2.9155206131309685E-2</v>
      </c>
      <c r="AL104" s="22">
        <f>'Activity data'!AL63*ManureNEF*NtoN2O*kgtoGg</f>
        <v>2.6190698176732228E-2</v>
      </c>
      <c r="AM104" s="22">
        <f>'Activity data'!AM63*ManureNEF*NtoN2O*kgtoGg</f>
        <v>2.7374224338819714E-2</v>
      </c>
      <c r="AN104" s="22">
        <f>'Activity data'!AN63*ManureNEF*NtoN2O*kgtoGg</f>
        <v>2.773203988242751E-2</v>
      </c>
      <c r="AO104" s="22">
        <f>'Activity data'!AO63*ManureNEF*NtoN2O*kgtoGg</f>
        <v>2.7458351571751329E-2</v>
      </c>
      <c r="AP104" s="22">
        <f>'Activity data'!AP63*ManureNEF*NtoN2O*kgtoGg</f>
        <v>2.7217644157783535E-2</v>
      </c>
      <c r="AQ104" s="22">
        <f>'Activity data'!AQ63*ManureNEF*NtoN2O*kgtoGg</f>
        <v>2.7143253432569785E-2</v>
      </c>
      <c r="AR104" s="22">
        <f>'Activity data'!AR63*ManureNEF*NtoN2O*kgtoGg</f>
        <v>2.7228715681440727E-2</v>
      </c>
      <c r="AS104" s="22">
        <f>'Activity data'!AS63*ManureNEF*NtoN2O*kgtoGg</f>
        <v>2.7387897559273622E-2</v>
      </c>
      <c r="AT104" s="22">
        <f>'Activity data'!AT63*ManureNEF*NtoN2O*kgtoGg</f>
        <v>2.7638959595724485E-2</v>
      </c>
      <c r="AU104" s="22">
        <f>'Activity data'!AU63*ManureNEF*NtoN2O*kgtoGg</f>
        <v>2.8042266081967953E-2</v>
      </c>
      <c r="AV104" s="22">
        <f>'Activity data'!AV63*ManureNEF*NtoN2O*kgtoGg</f>
        <v>2.8583735957869796E-2</v>
      </c>
      <c r="AW104" s="22">
        <f>'Activity data'!AW63*ManureNEF*NtoN2O*kgtoGg</f>
        <v>2.9200010135285986E-2</v>
      </c>
      <c r="AX104" s="22">
        <f>'Activity data'!AX63*ManureNEF*NtoN2O*kgtoGg</f>
        <v>2.988497084164626E-2</v>
      </c>
      <c r="AY104" s="22">
        <f>'Activity data'!AY63*ManureNEF*NtoN2O*kgtoGg</f>
        <v>3.0604356063699028E-2</v>
      </c>
      <c r="AZ104" s="22">
        <f>'Activity data'!AZ63*ManureNEF*NtoN2O*kgtoGg</f>
        <v>3.1370520569878685E-2</v>
      </c>
      <c r="BA104" s="22">
        <f>'Activity data'!BA63*ManureNEF*NtoN2O*kgtoGg</f>
        <v>3.2166950531742462E-2</v>
      </c>
      <c r="BB104" s="22">
        <f>'Activity data'!BB63*ManureNEF*NtoN2O*kgtoGg</f>
        <v>3.2939829604257814E-2</v>
      </c>
      <c r="BC104" s="22">
        <f>'Activity data'!BC63*ManureNEF*NtoN2O*kgtoGg</f>
        <v>3.376382515752635E-2</v>
      </c>
      <c r="BD104" s="22">
        <f>'Activity data'!BD63*ManureNEF*NtoN2O*kgtoGg</f>
        <v>3.4589464226499819E-2</v>
      </c>
      <c r="BE104" s="22">
        <f>'Activity data'!BE63*ManureNEF*NtoN2O*kgtoGg</f>
        <v>3.5412411951792733E-2</v>
      </c>
      <c r="BF104" s="22">
        <f>'Activity data'!BF63*ManureNEF*NtoN2O*kgtoGg</f>
        <v>3.625396228734637E-2</v>
      </c>
      <c r="BG104" s="22">
        <f>'Activity data'!BG63*ManureNEF*NtoN2O*kgtoGg</f>
        <v>3.705969376925726E-2</v>
      </c>
      <c r="BH104" s="22">
        <f>'Activity data'!BH63*ManureNEF*NtoN2O*kgtoGg</f>
        <v>3.7902844742003665E-2</v>
      </c>
      <c r="BI104" s="22">
        <f>'Activity data'!BI63*ManureNEF*NtoN2O*kgtoGg</f>
        <v>3.8807720812407763E-2</v>
      </c>
      <c r="BJ104" s="22">
        <f>'Activity data'!BJ63*ManureNEF*NtoN2O*kgtoGg</f>
        <v>3.9728410777909444E-2</v>
      </c>
      <c r="BK104" s="22">
        <f>'Activity data'!BK63*ManureNEF*NtoN2O*kgtoGg</f>
        <v>4.0666607258278795E-2</v>
      </c>
      <c r="BL104" s="22">
        <f>'Activity data'!BL63*ManureNEF*NtoN2O*kgtoGg</f>
        <v>4.1668670030178073E-2</v>
      </c>
      <c r="BM104" s="22">
        <f>'Activity data'!BM63*ManureNEF*NtoN2O*kgtoGg</f>
        <v>4.2717154372673226E-2</v>
      </c>
      <c r="BN104" s="22">
        <f>'Activity data'!BN63*ManureNEF*NtoN2O*kgtoGg</f>
        <v>4.380010896889619E-2</v>
      </c>
      <c r="BO104" s="22">
        <f>'Activity data'!BO63*ManureNEF*NtoN2O*kgtoGg</f>
        <v>4.4945626240250815E-2</v>
      </c>
      <c r="BP104" s="22">
        <f>'Activity data'!BP63*ManureNEF*NtoN2O*kgtoGg</f>
        <v>4.5982526730028013E-2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0.17531753251219057</v>
      </c>
      <c r="AL105" s="22">
        <f>'Activity data'!AL64*ManureNEF*NtoN2O*kgtoGg</f>
        <v>0.16826815584544114</v>
      </c>
      <c r="AM105" s="22">
        <f>'Activity data'!AM64*ManureNEF*NtoN2O*kgtoGg</f>
        <v>0.17529364111541346</v>
      </c>
      <c r="AN105" s="22">
        <f>'Activity data'!AN64*ManureNEF*NtoN2O*kgtoGg</f>
        <v>0.179468936116296</v>
      </c>
      <c r="AO105" s="22">
        <f>'Activity data'!AO64*ManureNEF*NtoN2O*kgtoGg</f>
        <v>0.18146185289572461</v>
      </c>
      <c r="AP105" s="22">
        <f>'Activity data'!AP64*ManureNEF*NtoN2O*kgtoGg</f>
        <v>0.18367206757119967</v>
      </c>
      <c r="AQ105" s="22">
        <f>'Activity data'!AQ64*ManureNEF*NtoN2O*kgtoGg</f>
        <v>0.18655442341123246</v>
      </c>
      <c r="AR105" s="22">
        <f>'Activity data'!AR64*ManureNEF*NtoN2O*kgtoGg</f>
        <v>0.19002403855752484</v>
      </c>
      <c r="AS105" s="22">
        <f>'Activity data'!AS64*ManureNEF*NtoN2O*kgtoGg</f>
        <v>0.19378713542621159</v>
      </c>
      <c r="AT105" s="22">
        <f>'Activity data'!AT64*ManureNEF*NtoN2O*kgtoGg</f>
        <v>0.19793608752558689</v>
      </c>
      <c r="AU105" s="22">
        <f>'Activity data'!AU64*ManureNEF*NtoN2O*kgtoGg</f>
        <v>0.20274560727871463</v>
      </c>
      <c r="AV105" s="22">
        <f>'Activity data'!AV64*ManureNEF*NtoN2O*kgtoGg</f>
        <v>0.2082010892393113</v>
      </c>
      <c r="AW105" s="22">
        <f>'Activity data'!AW64*ManureNEF*NtoN2O*kgtoGg</f>
        <v>0.21407047800501874</v>
      </c>
      <c r="AX105" s="22">
        <f>'Activity data'!AX64*ManureNEF*NtoN2O*kgtoGg</f>
        <v>0.22035285326760637</v>
      </c>
      <c r="AY105" s="22">
        <f>'Activity data'!AY64*ManureNEF*NtoN2O*kgtoGg</f>
        <v>0.22691830683757538</v>
      </c>
      <c r="AZ105" s="22">
        <f>'Activity data'!AZ64*ManureNEF*NtoN2O*kgtoGg</f>
        <v>0.23383349407065357</v>
      </c>
      <c r="BA105" s="22">
        <f>'Activity data'!BA64*ManureNEF*NtoN2O*kgtoGg</f>
        <v>0.24104032281254165</v>
      </c>
      <c r="BB105" s="22">
        <f>'Activity data'!BB64*ManureNEF*NtoN2O*kgtoGg</f>
        <v>0.24830078825991211</v>
      </c>
      <c r="BC105" s="22">
        <f>'Activity data'!BC64*ManureNEF*NtoN2O*kgtoGg</f>
        <v>0.25596851329364728</v>
      </c>
      <c r="BD105" s="22">
        <f>'Activity data'!BD64*ManureNEF*NtoN2O*kgtoGg</f>
        <v>0.26381659798331969</v>
      </c>
      <c r="BE105" s="22">
        <f>'Activity data'!BE64*ManureNEF*NtoN2O*kgtoGg</f>
        <v>0.27182892851236273</v>
      </c>
      <c r="BF105" s="22">
        <f>'Activity data'!BF64*ManureNEF*NtoN2O*kgtoGg</f>
        <v>0.28011873521820613</v>
      </c>
      <c r="BG105" s="22">
        <f>'Activity data'!BG64*ManureNEF*NtoN2O*kgtoGg</f>
        <v>0.28841666797515925</v>
      </c>
      <c r="BH105" s="22">
        <f>'Activity data'!BH64*ManureNEF*NtoN2O*kgtoGg</f>
        <v>0.29710042873684378</v>
      </c>
      <c r="BI105" s="22">
        <f>'Activity data'!BI64*ManureNEF*NtoN2O*kgtoGg</f>
        <v>0.30631512135319056</v>
      </c>
      <c r="BJ105" s="22">
        <f>'Activity data'!BJ64*ManureNEF*NtoN2O*kgtoGg</f>
        <v>0.31583438977210859</v>
      </c>
      <c r="BK105" s="22">
        <f>'Activity data'!BK64*ManureNEF*NtoN2O*kgtoGg</f>
        <v>0.32567682367490652</v>
      </c>
      <c r="BL105" s="22">
        <f>'Activity data'!BL64*ManureNEF*NtoN2O*kgtoGg</f>
        <v>0.33611496479516756</v>
      </c>
      <c r="BM105" s="22">
        <f>'Activity data'!BM64*ManureNEF*NtoN2O*kgtoGg</f>
        <v>0.34707529344515536</v>
      </c>
      <c r="BN105" s="22">
        <f>'Activity data'!BN64*ManureNEF*NtoN2O*kgtoGg</f>
        <v>0.35851078392222901</v>
      </c>
      <c r="BO105" s="22">
        <f>'Activity data'!BO64*ManureNEF*NtoN2O*kgtoGg</f>
        <v>0.37060965152650638</v>
      </c>
      <c r="BP105" s="22">
        <f>'Activity data'!BP64*ManureNEF*NtoN2O*kgtoGg</f>
        <v>0.38235584366830411</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0.81318534024672107</v>
      </c>
      <c r="AG106" s="22">
        <f>'Activity data'!AG65*ManureNEF*NtoN2O*kgtoGg</f>
        <v>0.81796021384654038</v>
      </c>
      <c r="AH106" s="22">
        <f>'Activity data'!AH65*ManureNEF*NtoN2O*kgtoGg</f>
        <v>0.81503229757580586</v>
      </c>
      <c r="AI106" s="22">
        <f>'Activity data'!AI65*ManureNEF*NtoN2O*kgtoGg</f>
        <v>0.80443274266431908</v>
      </c>
      <c r="AJ106" s="22">
        <f>'Activity data'!AJ65*ManureNEF*NtoN2O*kgtoGg</f>
        <v>0.79997057217510736</v>
      </c>
      <c r="AK106" s="22">
        <f>'Activity data'!AK65*ManureNEF*NtoN2O*kgtoGg</f>
        <v>0.79652072541357855</v>
      </c>
      <c r="AL106" s="22">
        <f>'Activity data'!AL65*ManureNEF*NtoN2O*kgtoGg</f>
        <v>0.6929945167812448</v>
      </c>
      <c r="AM106" s="22">
        <f>'Activity data'!AM65*ManureNEF*NtoN2O*kgtoGg</f>
        <v>0.75569325830504319</v>
      </c>
      <c r="AN106" s="22">
        <f>'Activity data'!AN65*ManureNEF*NtoN2O*kgtoGg</f>
        <v>0.78586192008020839</v>
      </c>
      <c r="AO106" s="22">
        <f>'Activity data'!AO65*ManureNEF*NtoN2O*kgtoGg</f>
        <v>0.78963673487778696</v>
      </c>
      <c r="AP106" s="22">
        <f>'Activity data'!AP65*ManureNEF*NtoN2O*kgtoGg</f>
        <v>0.79398832301737687</v>
      </c>
      <c r="AQ106" s="22">
        <f>'Activity data'!AQ65*ManureNEF*NtoN2O*kgtoGg</f>
        <v>0.80502399258159163</v>
      </c>
      <c r="AR106" s="22">
        <f>'Activity data'!AR65*ManureNEF*NtoN2O*kgtoGg</f>
        <v>0.82319477266803398</v>
      </c>
      <c r="AS106" s="22">
        <f>'Activity data'!AS65*ManureNEF*NtoN2O*kgtoGg</f>
        <v>0.84493550271536799</v>
      </c>
      <c r="AT106" s="22">
        <f>'Activity data'!AT65*ManureNEF*NtoN2O*kgtoGg</f>
        <v>0.87120575605676209</v>
      </c>
      <c r="AU106" s="22">
        <f>'Activity data'!AU65*ManureNEF*NtoN2O*kgtoGg</f>
        <v>0.90492220164986781</v>
      </c>
      <c r="AV106" s="22">
        <f>'Activity data'!AV65*ManureNEF*NtoN2O*kgtoGg</f>
        <v>0.94570019320131005</v>
      </c>
      <c r="AW106" s="22">
        <f>'Activity data'!AW65*ManureNEF*NtoN2O*kgtoGg</f>
        <v>0.9908342510405731</v>
      </c>
      <c r="AX106" s="22">
        <f>'Activity data'!AX65*ManureNEF*NtoN2O*kgtoGg</f>
        <v>1.0401746402938727</v>
      </c>
      <c r="AY106" s="22">
        <f>'Activity data'!AY65*ManureNEF*NtoN2O*kgtoGg</f>
        <v>1.0922195176686915</v>
      </c>
      <c r="AZ106" s="22">
        <f>'Activity data'!AZ65*ManureNEF*NtoN2O*kgtoGg</f>
        <v>1.1476653338002605</v>
      </c>
      <c r="BA106" s="22">
        <f>'Activity data'!BA65*ManureNEF*NtoN2O*kgtoGg</f>
        <v>1.2058049098103554</v>
      </c>
      <c r="BB106" s="22">
        <f>'Activity data'!BB65*ManureNEF*NtoN2O*kgtoGg</f>
        <v>1.2640288398876942</v>
      </c>
      <c r="BC106" s="22">
        <f>'Activity data'!BC65*ManureNEF*NtoN2O*kgtoGg</f>
        <v>1.3261031190213208</v>
      </c>
      <c r="BD106" s="22">
        <f>'Activity data'!BD65*ManureNEF*NtoN2O*kgtoGg</f>
        <v>1.3896418297181288</v>
      </c>
      <c r="BE106" s="22">
        <f>'Activity data'!BE65*ManureNEF*NtoN2O*kgtoGg</f>
        <v>1.4544565281623518</v>
      </c>
      <c r="BF106" s="22">
        <f>'Activity data'!BF65*ManureNEF*NtoN2O*kgtoGg</f>
        <v>1.521690334823528</v>
      </c>
      <c r="BG106" s="22">
        <f>'Activity data'!BG65*ManureNEF*NtoN2O*kgtoGg</f>
        <v>1.5885204638072115</v>
      </c>
      <c r="BH106" s="22">
        <f>'Activity data'!BH65*ManureNEF*NtoN2O*kgtoGg</f>
        <v>1.6588648682392355</v>
      </c>
      <c r="BI106" s="22">
        <f>'Activity data'!BI65*ManureNEF*NtoN2O*kgtoGg</f>
        <v>1.7341718158890906</v>
      </c>
      <c r="BJ106" s="22">
        <f>'Activity data'!BJ65*ManureNEF*NtoN2O*kgtoGg</f>
        <v>1.812078309357211</v>
      </c>
      <c r="BK106" s="22">
        <f>'Activity data'!BK65*ManureNEF*NtoN2O*kgtoGg</f>
        <v>1.8927662707454833</v>
      </c>
      <c r="BL106" s="22">
        <f>'Activity data'!BL65*ManureNEF*NtoN2O*kgtoGg</f>
        <v>1.9789566108434027</v>
      </c>
      <c r="BM106" s="22">
        <f>'Activity data'!BM65*ManureNEF*NtoN2O*kgtoGg</f>
        <v>2.0698402438653445</v>
      </c>
      <c r="BN106" s="22">
        <f>'Activity data'!BN65*ManureNEF*NtoN2O*kgtoGg</f>
        <v>2.1648797356645511</v>
      </c>
      <c r="BO106" s="22">
        <f>'Activity data'!BO65*ManureNEF*NtoN2O*kgtoGg</f>
        <v>2.2658660016789853</v>
      </c>
      <c r="BP106" s="22">
        <f>'Activity data'!BP65*ManureNEF*NtoN2O*kgtoGg</f>
        <v>2.3628024258404521</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1.0836040032789309</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1.1114672588381174</v>
      </c>
      <c r="AL108" s="22">
        <f>'Activity data'!AL67*UDCPPEF*NtoN2O*kgtoGg</f>
        <v>1.0793644035028189</v>
      </c>
      <c r="AM108" s="22">
        <f>'Activity data'!AM67*UDCPPEF*NtoN2O*kgtoGg</f>
        <v>1.1011309234167481</v>
      </c>
      <c r="AN108" s="22">
        <f>'Activity data'!AN67*UDCPPEF*NtoN2O*kgtoGg</f>
        <v>1.1119360252245196</v>
      </c>
      <c r="AO108" s="22">
        <f>'Activity data'!AO67*UDCPPEF*NtoN2O*kgtoGg</f>
        <v>1.1147578792291293</v>
      </c>
      <c r="AP108" s="22">
        <f>'Activity data'!AP67*UDCPPEF*NtoN2O*kgtoGg</f>
        <v>1.1187702241985282</v>
      </c>
      <c r="AQ108" s="22">
        <f>'Activity data'!AQ67*UDCPPEF*NtoN2O*kgtoGg</f>
        <v>1.1255029693063063</v>
      </c>
      <c r="AR108" s="22">
        <f>'Activity data'!AR67*UDCPPEF*NtoN2O*kgtoGg</f>
        <v>1.1343971625372145</v>
      </c>
      <c r="AS108" s="22">
        <f>'Activity data'!AS67*UDCPPEF*NtoN2O*kgtoGg</f>
        <v>1.1443552033124911</v>
      </c>
      <c r="AT108" s="22">
        <f>'Activity data'!AT67*UDCPPEF*NtoN2O*kgtoGg</f>
        <v>1.1556907140958508</v>
      </c>
      <c r="AU108" s="22">
        <f>'Activity data'!AU67*UDCPPEF*NtoN2O*kgtoGg</f>
        <v>1.1693756036758489</v>
      </c>
      <c r="AV108" s="22">
        <f>'Activity data'!AV67*UDCPPEF*NtoN2O*kgtoGg</f>
        <v>1.1853303744222352</v>
      </c>
      <c r="AW108" s="22">
        <f>'Activity data'!AW67*UDCPPEF*NtoN2O*kgtoGg</f>
        <v>1.202695771968407</v>
      </c>
      <c r="AX108" s="22">
        <f>'Activity data'!AX67*UDCPPEF*NtoN2O*kgtoGg</f>
        <v>1.2214561017242225</v>
      </c>
      <c r="AY108" s="22">
        <f>'Activity data'!AY67*UDCPPEF*NtoN2O*kgtoGg</f>
        <v>1.2411353009439861</v>
      </c>
      <c r="AZ108" s="22">
        <f>'Activity data'!AZ67*UDCPPEF*NtoN2O*kgtoGg</f>
        <v>1.2619534777795529</v>
      </c>
      <c r="BA108" s="22">
        <f>'Activity data'!BA67*UDCPPEF*NtoN2O*kgtoGg</f>
        <v>1.2836965756368759</v>
      </c>
      <c r="BB108" s="22">
        <f>'Activity data'!BB67*UDCPPEF*NtoN2O*kgtoGg</f>
        <v>1.3055267417806069</v>
      </c>
      <c r="BC108" s="22">
        <f>'Activity data'!BC67*UDCPPEF*NtoN2O*kgtoGg</f>
        <v>1.3286718687824415</v>
      </c>
      <c r="BD108" s="22">
        <f>'Activity data'!BD67*UDCPPEF*NtoN2O*kgtoGg</f>
        <v>1.3523228735789439</v>
      </c>
      <c r="BE108" s="22">
        <f>'Activity data'!BE67*UDCPPEF*NtoN2O*kgtoGg</f>
        <v>1.3764196040319214</v>
      </c>
      <c r="BF108" s="22">
        <f>'Activity data'!BF67*UDCPPEF*NtoN2O*kgtoGg</f>
        <v>1.4013502875110349</v>
      </c>
      <c r="BG108" s="22">
        <f>'Activity data'!BG67*UDCPPEF*NtoN2O*kgtoGg</f>
        <v>1.4261842268183196</v>
      </c>
      <c r="BH108" s="22">
        <f>'Activity data'!BH67*UDCPPEF*NtoN2O*kgtoGg</f>
        <v>1.4522110683153209</v>
      </c>
      <c r="BI108" s="22">
        <f>'Activity data'!BI67*UDCPPEF*NtoN2O*kgtoGg</f>
        <v>1.4799113366388263</v>
      </c>
      <c r="BJ108" s="22">
        <f>'Activity data'!BJ67*UDCPPEF*NtoN2O*kgtoGg</f>
        <v>1.5084997172355739</v>
      </c>
      <c r="BK108" s="22">
        <f>'Activity data'!BK67*UDCPPEF*NtoN2O*kgtoGg</f>
        <v>1.538027931051154</v>
      </c>
      <c r="BL108" s="22">
        <f>'Activity data'!BL67*UDCPPEF*NtoN2O*kgtoGg</f>
        <v>1.5694046317393286</v>
      </c>
      <c r="BM108" s="22">
        <f>'Activity data'!BM67*UDCPPEF*NtoN2O*kgtoGg</f>
        <v>1.602365939528593</v>
      </c>
      <c r="BN108" s="22">
        <f>'Activity data'!BN67*UDCPPEF*NtoN2O*kgtoGg</f>
        <v>1.6367417968061735</v>
      </c>
      <c r="BO108" s="22">
        <f>'Activity data'!BO67*UDCPPEF*NtoN2O*kgtoGg</f>
        <v>1.673151630600247</v>
      </c>
      <c r="BP108" s="22">
        <f>'Activity data'!BP67*UDCPPEF*NtoN2O*kgtoGg</f>
        <v>1.7081846028232541</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0.73794174034663862</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0.75691680802528449</v>
      </c>
      <c r="AL109" s="22">
        <f>'Activity data'!AL68*UDCPPEF*NtoN2O*kgtoGg</f>
        <v>0.73505454389139269</v>
      </c>
      <c r="AM109" s="22">
        <f>'Activity data'!AM68*UDCPPEF*NtoN2O*kgtoGg</f>
        <v>0.74987769288121808</v>
      </c>
      <c r="AN109" s="22">
        <f>'Activity data'!AN68*UDCPPEF*NtoN2O*kgtoGg</f>
        <v>0.75723604114176524</v>
      </c>
      <c r="AO109" s="22">
        <f>'Activity data'!AO68*UDCPPEF*NtoN2O*kgtoGg</f>
        <v>0.75915774302627725</v>
      </c>
      <c r="AP109" s="22">
        <f>'Activity data'!AP68*UDCPPEF*NtoN2O*kgtoGg</f>
        <v>0.76189017740325427</v>
      </c>
      <c r="AQ109" s="22">
        <f>'Activity data'!AQ68*UDCPPEF*NtoN2O*kgtoGg</f>
        <v>0.7664752228876841</v>
      </c>
      <c r="AR109" s="22">
        <f>'Activity data'!AR68*UDCPPEF*NtoN2O*kgtoGg</f>
        <v>0.77253222933278298</v>
      </c>
      <c r="AS109" s="22">
        <f>'Activity data'!AS68*UDCPPEF*NtoN2O*kgtoGg</f>
        <v>0.77931372323453529</v>
      </c>
      <c r="AT109" s="22">
        <f>'Activity data'!AT68*UDCPPEF*NtoN2O*kgtoGg</f>
        <v>0.78703328363656277</v>
      </c>
      <c r="AU109" s="22">
        <f>'Activity data'!AU68*UDCPPEF*NtoN2O*kgtoGg</f>
        <v>0.79635278707375712</v>
      </c>
      <c r="AV109" s="22">
        <f>'Activity data'!AV68*UDCPPEF*NtoN2O*kgtoGg</f>
        <v>0.80721809511598763</v>
      </c>
      <c r="AW109" s="22">
        <f>'Activity data'!AW68*UDCPPEF*NtoN2O*kgtoGg</f>
        <v>0.81904404966050492</v>
      </c>
      <c r="AX109" s="22">
        <f>'Activity data'!AX68*UDCPPEF*NtoN2O*kgtoGg</f>
        <v>0.83181996258403779</v>
      </c>
      <c r="AY109" s="22">
        <f>'Activity data'!AY68*UDCPPEF*NtoN2O*kgtoGg</f>
        <v>0.8452216318995045</v>
      </c>
      <c r="AZ109" s="22">
        <f>'Activity data'!AZ68*UDCPPEF*NtoN2O*kgtoGg</f>
        <v>0.85939895276431877</v>
      </c>
      <c r="BA109" s="22">
        <f>'Activity data'!BA68*UDCPPEF*NtoN2O*kgtoGg</f>
        <v>0.87420615117333955</v>
      </c>
      <c r="BB109" s="22">
        <f>'Activity data'!BB68*UDCPPEF*NtoN2O*kgtoGg</f>
        <v>0.88907264368113259</v>
      </c>
      <c r="BC109" s="22">
        <f>'Activity data'!BC68*UDCPPEF*NtoN2O*kgtoGg</f>
        <v>0.90483463353037208</v>
      </c>
      <c r="BD109" s="22">
        <f>'Activity data'!BD68*UDCPPEF*NtoN2O*kgtoGg</f>
        <v>0.92094112961904073</v>
      </c>
      <c r="BE109" s="22">
        <f>'Activity data'!BE68*UDCPPEF*NtoN2O*kgtoGg</f>
        <v>0.93735116792946294</v>
      </c>
      <c r="BF109" s="22">
        <f>'Activity data'!BF68*UDCPPEF*NtoN2O*kgtoGg</f>
        <v>0.9543291339566633</v>
      </c>
      <c r="BG109" s="22">
        <f>'Activity data'!BG68*UDCPPEF*NtoN2O*kgtoGg</f>
        <v>0.97124121654091655</v>
      </c>
      <c r="BH109" s="22">
        <f>'Activity data'!BH68*UDCPPEF*NtoN2O*kgtoGg</f>
        <v>0.98896567367830823</v>
      </c>
      <c r="BI109" s="22">
        <f>'Activity data'!BI68*UDCPPEF*NtoN2O*kgtoGg</f>
        <v>1.0078297459342822</v>
      </c>
      <c r="BJ109" s="22">
        <f>'Activity data'!BJ68*UDCPPEF*NtoN2O*kgtoGg</f>
        <v>1.0272986287248762</v>
      </c>
      <c r="BK109" s="22">
        <f>'Activity data'!BK68*UDCPPEF*NtoN2O*kgtoGg</f>
        <v>1.0474075443679165</v>
      </c>
      <c r="BL109" s="22">
        <f>'Activity data'!BL68*UDCPPEF*NtoN2O*kgtoGg</f>
        <v>1.068775292218703</v>
      </c>
      <c r="BM109" s="22">
        <f>'Activity data'!BM68*UDCPPEF*NtoN2O*kgtoGg</f>
        <v>1.0912221683473529</v>
      </c>
      <c r="BN109" s="22">
        <f>'Activity data'!BN68*UDCPPEF*NtoN2O*kgtoGg</f>
        <v>1.1146323623560173</v>
      </c>
      <c r="BO109" s="22">
        <f>'Activity data'!BO68*UDCPPEF*NtoN2O*kgtoGg</f>
        <v>1.1394277082890591</v>
      </c>
      <c r="BP109" s="22">
        <f>'Activity data'!BP68*UDCPPEF*NtoN2O*kgtoGg</f>
        <v>1.1632854020715975</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15.353527292296837</v>
      </c>
      <c r="AE110" s="22">
        <f>'Activity data'!AE69*UDCPPEF*NtoN2O*kgtoGg</f>
        <v>15.220371053361486</v>
      </c>
      <c r="AF110" s="22">
        <f>'Activity data'!AF69*UDCPPEF*NtoN2O*kgtoGg</f>
        <v>15.169682504177882</v>
      </c>
      <c r="AG110" s="22">
        <f>'Activity data'!AG69*UDCPPEF*NtoN2O*kgtoGg</f>
        <v>14.967111251021189</v>
      </c>
      <c r="AH110" s="22">
        <f>'Activity data'!AH69*UDCPPEF*NtoN2O*kgtoGg</f>
        <v>14.673074129931946</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12.243525743929849</v>
      </c>
      <c r="AM110" s="22">
        <f>'Activity data'!AM69*UDCPPEF*NtoN2O*kgtoGg</f>
        <v>12.828892404772391</v>
      </c>
      <c r="AN110" s="22">
        <f>'Activity data'!AN69*UDCPPEF*NtoN2O*kgtoGg</f>
        <v>13.031546455407888</v>
      </c>
      <c r="AO110" s="22">
        <f>'Activity data'!AO69*UDCPPEF*NtoN2O*kgtoGg</f>
        <v>12.943540859671467</v>
      </c>
      <c r="AP110" s="22">
        <f>'Activity data'!AP69*UDCPPEF*NtoN2O*kgtoGg</f>
        <v>12.871954504278984</v>
      </c>
      <c r="AQ110" s="22">
        <f>'Activity data'!AQ69*UDCPPEF*NtoN2O*kgtoGg</f>
        <v>12.876656938031642</v>
      </c>
      <c r="AR110" s="22">
        <f>'Activity data'!AR69*UDCPPEF*NtoN2O*kgtoGg</f>
        <v>12.952269652428015</v>
      </c>
      <c r="AS110" s="22">
        <f>'Activity data'!AS69*UDCPPEF*NtoN2O*kgtoGg</f>
        <v>13.059558904717129</v>
      </c>
      <c r="AT110" s="22">
        <f>'Activity data'!AT69*UDCPPEF*NtoN2O*kgtoGg</f>
        <v>13.207166717271191</v>
      </c>
      <c r="AU110" s="22">
        <f>'Activity data'!AU69*UDCPPEF*NtoN2O*kgtoGg</f>
        <v>13.423383196860698</v>
      </c>
      <c r="AV110" s="22">
        <f>'Activity data'!AV69*UDCPPEF*NtoN2O*kgtoGg</f>
        <v>13.702101889701561</v>
      </c>
      <c r="AW110" s="22">
        <f>'Activity data'!AW69*UDCPPEF*NtoN2O*kgtoGg</f>
        <v>13.896423189138504</v>
      </c>
      <c r="AX110" s="22">
        <f>'Activity data'!AX69*UDCPPEF*NtoN2O*kgtoGg</f>
        <v>14.113699365030318</v>
      </c>
      <c r="AY110" s="22">
        <f>'Activity data'!AY69*UDCPPEF*NtoN2O*kgtoGg</f>
        <v>14.337556202398742</v>
      </c>
      <c r="AZ110" s="22">
        <f>'Activity data'!AZ69*UDCPPEF*NtoN2O*kgtoGg</f>
        <v>14.572966422289987</v>
      </c>
      <c r="BA110" s="22">
        <f>'Activity data'!BA69*UDCPPEF*NtoN2O*kgtoGg</f>
        <v>14.811902600863377</v>
      </c>
      <c r="BB110" s="22">
        <f>'Activity data'!BB69*UDCPPEF*NtoN2O*kgtoGg</f>
        <v>15.030093790009266</v>
      </c>
      <c r="BC110" s="22">
        <f>'Activity data'!BC69*UDCPPEF*NtoN2O*kgtoGg</f>
        <v>15.260245449721568</v>
      </c>
      <c r="BD110" s="22">
        <f>'Activity data'!BD69*UDCPPEF*NtoN2O*kgtoGg</f>
        <v>15.479975870373321</v>
      </c>
      <c r="BE110" s="22">
        <f>'Activity data'!BE69*UDCPPEF*NtoN2O*kgtoGg</f>
        <v>15.687168192029855</v>
      </c>
      <c r="BF110" s="22">
        <f>'Activity data'!BF69*UDCPPEF*NtoN2O*kgtoGg</f>
        <v>15.890679126882141</v>
      </c>
      <c r="BG110" s="22">
        <f>'Activity data'!BG69*UDCPPEF*NtoN2O*kgtoGg</f>
        <v>16.149107215315812</v>
      </c>
      <c r="BH110" s="22">
        <f>'Activity data'!BH69*UDCPPEF*NtoN2O*kgtoGg</f>
        <v>16.416401953220753</v>
      </c>
      <c r="BI110" s="22">
        <f>'Activity data'!BI69*UDCPPEF*NtoN2O*kgtoGg</f>
        <v>16.702277130443278</v>
      </c>
      <c r="BJ110" s="22">
        <f>'Activity data'!BJ69*UDCPPEF*NtoN2O*kgtoGg</f>
        <v>16.98704006145238</v>
      </c>
      <c r="BK110" s="22">
        <f>'Activity data'!BK69*UDCPPEF*NtoN2O*kgtoGg</f>
        <v>17.271060351529361</v>
      </c>
      <c r="BL110" s="22">
        <f>'Activity data'!BL69*UDCPPEF*NtoN2O*kgtoGg</f>
        <v>17.573003837482712</v>
      </c>
      <c r="BM110" s="22">
        <f>'Activity data'!BM69*UDCPPEF*NtoN2O*kgtoGg</f>
        <v>17.88505244077637</v>
      </c>
      <c r="BN110" s="22">
        <f>'Activity data'!BN69*UDCPPEF*NtoN2O*kgtoGg</f>
        <v>18.201780897575926</v>
      </c>
      <c r="BO110" s="22">
        <f>'Activity data'!BO69*UDCPPEF*NtoN2O*kgtoGg</f>
        <v>18.533967675320017</v>
      </c>
      <c r="BP110" s="22">
        <f>'Activity data'!BP69*UDCPPEF*NtoN2O*kgtoGg</f>
        <v>18.812464966150909</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9.6543103644621411</v>
      </c>
      <c r="AE111" s="22">
        <f>'Activity data'!AE70*UDCPPEF*NtoN2O*kgtoGg</f>
        <v>9.570581613851763</v>
      </c>
      <c r="AF111" s="22">
        <f>'Activity data'!AF70*UDCPPEF*NtoN2O*kgtoGg</f>
        <v>9.5387086131772989</v>
      </c>
      <c r="AG111" s="22">
        <f>'Activity data'!AG70*UDCPPEF*NtoN2O*kgtoGg</f>
        <v>9.4113316455488931</v>
      </c>
      <c r="AH111" s="22">
        <f>'Activity data'!AH70*UDCPPEF*NtoN2O*kgtoGg</f>
        <v>9.2264408662754729</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7.6987388784911763</v>
      </c>
      <c r="AM111" s="22">
        <f>'Activity data'!AM70*UDCPPEF*NtoN2O*kgtoGg</f>
        <v>8.0668179077067048</v>
      </c>
      <c r="AN111" s="22">
        <f>'Activity data'!AN70*UDCPPEF*NtoN2O*kgtoGg</f>
        <v>8.1942469384566685</v>
      </c>
      <c r="AO111" s="22">
        <f>'Activity data'!AO70*UDCPPEF*NtoN2O*kgtoGg</f>
        <v>8.1389089487638984</v>
      </c>
      <c r="AP111" s="22">
        <f>'Activity data'!AP70*UDCPPEF*NtoN2O*kgtoGg</f>
        <v>8.0938953906633806</v>
      </c>
      <c r="AQ111" s="22">
        <f>'Activity data'!AQ70*UDCPPEF*NtoN2O*kgtoGg</f>
        <v>8.0968522848058253</v>
      </c>
      <c r="AR111" s="22">
        <f>'Activity data'!AR70*UDCPPEF*NtoN2O*kgtoGg</f>
        <v>8.1443976207006106</v>
      </c>
      <c r="AS111" s="22">
        <f>'Activity data'!AS70*UDCPPEF*NtoN2O*kgtoGg</f>
        <v>8.2118611892116604</v>
      </c>
      <c r="AT111" s="22">
        <f>'Activity data'!AT70*UDCPPEF*NtoN2O*kgtoGg</f>
        <v>8.304677100987929</v>
      </c>
      <c r="AU111" s="22">
        <f>'Activity data'!AU70*UDCPPEF*NtoN2O*kgtoGg</f>
        <v>8.4406341980203354</v>
      </c>
      <c r="AV111" s="22">
        <f>'Activity data'!AV70*UDCPPEF*NtoN2O*kgtoGg</f>
        <v>8.6158927372364591</v>
      </c>
      <c r="AW111" s="22">
        <f>'Activity data'!AW70*UDCPPEF*NtoN2O*kgtoGg</f>
        <v>8.738082127301313</v>
      </c>
      <c r="AX111" s="22">
        <f>'Activity data'!AX70*UDCPPEF*NtoN2O*kgtoGg</f>
        <v>8.8747055622246656</v>
      </c>
      <c r="AY111" s="22">
        <f>'Activity data'!AY70*UDCPPEF*NtoN2O*kgtoGg</f>
        <v>9.015466922400579</v>
      </c>
      <c r="AZ111" s="22">
        <f>'Activity data'!AZ70*UDCPPEF*NtoN2O*kgtoGg</f>
        <v>9.1634930588400287</v>
      </c>
      <c r="BA111" s="22">
        <f>'Activity data'!BA70*UDCPPEF*NtoN2O*kgtoGg</f>
        <v>9.3137363209471946</v>
      </c>
      <c r="BB111" s="22">
        <f>'Activity data'!BB70*UDCPPEF*NtoN2O*kgtoGg</f>
        <v>9.4509351169438833</v>
      </c>
      <c r="BC111" s="22">
        <f>'Activity data'!BC70*UDCPPEF*NtoN2O*kgtoGg</f>
        <v>9.5956546664947826</v>
      </c>
      <c r="BD111" s="22">
        <f>'Activity data'!BD70*UDCPPEF*NtoN2O*kgtoGg</f>
        <v>9.7338213325058032</v>
      </c>
      <c r="BE111" s="22">
        <f>'Activity data'!BE70*UDCPPEF*NtoN2O*kgtoGg</f>
        <v>9.8641040317399575</v>
      </c>
      <c r="BF111" s="22">
        <f>'Activity data'!BF70*UDCPPEF*NtoN2O*kgtoGg</f>
        <v>9.9920718719776573</v>
      </c>
      <c r="BG111" s="22">
        <f>'Activity data'!BG70*UDCPPEF*NtoN2O*kgtoGg</f>
        <v>10.154571662751145</v>
      </c>
      <c r="BH111" s="22">
        <f>'Activity data'!BH70*UDCPPEF*NtoN2O*kgtoGg</f>
        <v>10.322646809874932</v>
      </c>
      <c r="BI111" s="22">
        <f>'Activity data'!BI70*UDCPPEF*NtoN2O*kgtoGg</f>
        <v>10.502405352251484</v>
      </c>
      <c r="BJ111" s="22">
        <f>'Activity data'!BJ70*UDCPPEF*NtoN2O*kgtoGg</f>
        <v>10.681464513310528</v>
      </c>
      <c r="BK111" s="22">
        <f>'Activity data'!BK70*UDCPPEF*NtoN2O*kgtoGg</f>
        <v>10.860056701151523</v>
      </c>
      <c r="BL111" s="22">
        <f>'Activity data'!BL70*UDCPPEF*NtoN2O*kgtoGg</f>
        <v>11.049919009038504</v>
      </c>
      <c r="BM111" s="22">
        <f>'Activity data'!BM70*UDCPPEF*NtoN2O*kgtoGg</f>
        <v>11.246135422872308</v>
      </c>
      <c r="BN111" s="22">
        <f>'Activity data'!BN70*UDCPPEF*NtoN2O*kgtoGg</f>
        <v>11.445294532371156</v>
      </c>
      <c r="BO111" s="22">
        <f>'Activity data'!BO70*UDCPPEF*NtoN2O*kgtoGg</f>
        <v>11.654173846567643</v>
      </c>
      <c r="BP111" s="22">
        <f>'Activity data'!BP70*UDCPPEF*NtoN2O*kgtoGg</f>
        <v>11.829293168021046</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5.8849979697860864</v>
      </c>
      <c r="AM113" s="22">
        <f>'Activity data'!AM72*UDSOEF*NtoN2O*kgtoGg</f>
        <v>5.8892338696185709</v>
      </c>
      <c r="AN113" s="22">
        <f>'Activity data'!AN72*UDSOEF*NtoN2O*kgtoGg</f>
        <v>5.8877446174554535</v>
      </c>
      <c r="AO113" s="22">
        <f>'Activity data'!AO72*UDSOEF*NtoN2O*kgtoGg</f>
        <v>5.8876374031780276</v>
      </c>
      <c r="AP113" s="22">
        <f>'Activity data'!AP72*UDSOEF*NtoN2O*kgtoGg</f>
        <v>5.8938824759040038</v>
      </c>
      <c r="AQ113" s="22">
        <f>'Activity data'!AQ72*UDSOEF*NtoN2O*kgtoGg</f>
        <v>5.9041031128445773</v>
      </c>
      <c r="AR113" s="22">
        <f>'Activity data'!AR72*UDSOEF*NtoN2O*kgtoGg</f>
        <v>5.9139099273818276</v>
      </c>
      <c r="AS113" s="22">
        <f>'Activity data'!AS72*UDSOEF*NtoN2O*kgtoGg</f>
        <v>5.9233345583346297</v>
      </c>
      <c r="AT113" s="22">
        <f>'Activity data'!AT72*UDSOEF*NtoN2O*kgtoGg</f>
        <v>5.9323641435098171</v>
      </c>
      <c r="AU113" s="22">
        <f>'Activity data'!AU72*UDSOEF*NtoN2O*kgtoGg</f>
        <v>5.9411868573928839</v>
      </c>
      <c r="AV113" s="22">
        <f>'Activity data'!AV72*UDSOEF*NtoN2O*kgtoGg</f>
        <v>5.9499315766894556</v>
      </c>
      <c r="AW113" s="22">
        <f>'Activity data'!AW72*UDSOEF*NtoN2O*kgtoGg</f>
        <v>5.9585105593958936</v>
      </c>
      <c r="AX113" s="22">
        <f>'Activity data'!AX72*UDSOEF*NtoN2O*kgtoGg</f>
        <v>5.9670471572884827</v>
      </c>
      <c r="AY113" s="22">
        <f>'Activity data'!AY72*UDSOEF*NtoN2O*kgtoGg</f>
        <v>5.9755144784339187</v>
      </c>
      <c r="AZ113" s="22">
        <f>'Activity data'!AZ72*UDSOEF*NtoN2O*kgtoGg</f>
        <v>5.9838446773332894</v>
      </c>
      <c r="BA113" s="22">
        <f>'Activity data'!BA72*UDSOEF*NtoN2O*kgtoGg</f>
        <v>5.992074429551792</v>
      </c>
      <c r="BB113" s="22">
        <f>'Activity data'!BB72*UDSOEF*NtoN2O*kgtoGg</f>
        <v>6.0002125174101231</v>
      </c>
      <c r="BC113" s="22">
        <f>'Activity data'!BC72*UDSOEF*NtoN2O*kgtoGg</f>
        <v>6.0082865692474714</v>
      </c>
      <c r="BD113" s="22">
        <f>'Activity data'!BD72*UDSOEF*NtoN2O*kgtoGg</f>
        <v>6.0160495351454939</v>
      </c>
      <c r="BE113" s="22">
        <f>'Activity data'!BE72*UDSOEF*NtoN2O*kgtoGg</f>
        <v>6.0234923325896075</v>
      </c>
      <c r="BF113" s="22">
        <f>'Activity data'!BF72*UDSOEF*NtoN2O*kgtoGg</f>
        <v>6.0306845225857399</v>
      </c>
      <c r="BG113" s="22">
        <f>'Activity data'!BG72*UDSOEF*NtoN2O*kgtoGg</f>
        <v>6.0375707245080381</v>
      </c>
      <c r="BH113" s="22">
        <f>'Activity data'!BH72*UDSOEF*NtoN2O*kgtoGg</f>
        <v>6.0441634304657859</v>
      </c>
      <c r="BI113" s="22">
        <f>'Activity data'!BI72*UDSOEF*NtoN2O*kgtoGg</f>
        <v>6.0504329467907079</v>
      </c>
      <c r="BJ113" s="22">
        <f>'Activity data'!BJ72*UDSOEF*NtoN2O*kgtoGg</f>
        <v>6.0562895562131533</v>
      </c>
      <c r="BK113" s="22">
        <f>'Activity data'!BK72*UDSOEF*NtoN2O*kgtoGg</f>
        <v>6.0616501197093573</v>
      </c>
      <c r="BL113" s="22">
        <f>'Activity data'!BL72*UDSOEF*NtoN2O*kgtoGg</f>
        <v>6.0665092216069407</v>
      </c>
      <c r="BM113" s="22">
        <f>'Activity data'!BM72*UDSOEF*NtoN2O*kgtoGg</f>
        <v>6.0708296779310995</v>
      </c>
      <c r="BN113" s="22">
        <f>'Activity data'!BN72*UDSOEF*NtoN2O*kgtoGg</f>
        <v>6.0746094049856261</v>
      </c>
      <c r="BO113" s="22">
        <f>'Activity data'!BO72*UDSOEF*NtoN2O*kgtoGg</f>
        <v>6.0779207352179032</v>
      </c>
      <c r="BP113" s="22">
        <f>'Activity data'!BP72*UDSOEF*NtoN2O*kgtoGg</f>
        <v>6.0803335706264781</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0.65693953925961401</v>
      </c>
      <c r="AM114" s="22">
        <f>'Activity data'!AM73*UDSOEF*NtoN2O*kgtoGg</f>
        <v>0.65741239075397129</v>
      </c>
      <c r="AN114" s="22">
        <f>'Activity data'!AN73*UDSOEF*NtoN2O*kgtoGg</f>
        <v>0.65724614623954603</v>
      </c>
      <c r="AO114" s="22">
        <f>'Activity data'!AO73*UDSOEF*NtoN2O*kgtoGg</f>
        <v>0.65723417796047845</v>
      </c>
      <c r="AP114" s="22">
        <f>'Activity data'!AP73*UDSOEF*NtoN2O*kgtoGg</f>
        <v>0.65793131247442549</v>
      </c>
      <c r="AQ114" s="22">
        <f>'Activity data'!AQ73*UDSOEF*NtoN2O*kgtoGg</f>
        <v>0.65907223734086595</v>
      </c>
      <c r="AR114" s="22">
        <f>'Activity data'!AR73*UDSOEF*NtoN2O*kgtoGg</f>
        <v>0.66016696740819658</v>
      </c>
      <c r="AS114" s="22">
        <f>'Activity data'!AS73*UDSOEF*NtoN2O*kgtoGg</f>
        <v>0.66121903450280095</v>
      </c>
      <c r="AT114" s="22">
        <f>'Activity data'!AT73*UDSOEF*NtoN2O*kgtoGg</f>
        <v>0.66222700282414093</v>
      </c>
      <c r="AU114" s="22">
        <f>'Activity data'!AU73*UDSOEF*NtoN2O*kgtoGg</f>
        <v>0.66321187820100891</v>
      </c>
      <c r="AV114" s="22">
        <f>'Activity data'!AV73*UDSOEF*NtoN2O*kgtoGg</f>
        <v>0.66418804707908485</v>
      </c>
      <c r="AW114" s="22">
        <f>'Activity data'!AW73*UDSOEF*NtoN2O*kgtoGg</f>
        <v>0.66514571486001184</v>
      </c>
      <c r="AX114" s="22">
        <f>'Activity data'!AX73*UDSOEF*NtoN2O*kgtoGg</f>
        <v>0.66609865124422019</v>
      </c>
      <c r="AY114" s="22">
        <f>'Activity data'!AY73*UDSOEF*NtoN2O*kgtoGg</f>
        <v>0.6670438542979179</v>
      </c>
      <c r="AZ114" s="22">
        <f>'Activity data'!AZ73*UDSOEF*NtoN2O*kgtoGg</f>
        <v>0.6679737504601575</v>
      </c>
      <c r="BA114" s="22">
        <f>'Activity data'!BA73*UDSOEF*NtoN2O*kgtoGg</f>
        <v>0.66889243380693197</v>
      </c>
      <c r="BB114" s="22">
        <f>'Activity data'!BB73*UDSOEF*NtoN2O*kgtoGg</f>
        <v>0.66980088470454557</v>
      </c>
      <c r="BC114" s="22">
        <f>'Activity data'!BC73*UDSOEF*NtoN2O*kgtoGg</f>
        <v>0.67070218729143127</v>
      </c>
      <c r="BD114" s="22">
        <f>'Activity data'!BD73*UDSOEF*NtoN2O*kgtoGg</f>
        <v>0.6715687635020805</v>
      </c>
      <c r="BE114" s="22">
        <f>'Activity data'!BE73*UDSOEF*NtoN2O*kgtoGg</f>
        <v>0.67239959945968686</v>
      </c>
      <c r="BF114" s="22">
        <f>'Activity data'!BF73*UDSOEF*NtoN2O*kgtoGg</f>
        <v>0.67320246022643382</v>
      </c>
      <c r="BG114" s="22">
        <f>'Activity data'!BG73*UDSOEF*NtoN2O*kgtoGg</f>
        <v>0.67397116368925725</v>
      </c>
      <c r="BH114" s="22">
        <f>'Activity data'!BH73*UDSOEF*NtoN2O*kgtoGg</f>
        <v>0.67470710433640646</v>
      </c>
      <c r="BI114" s="22">
        <f>'Activity data'!BI73*UDSOEF*NtoN2O*kgtoGg</f>
        <v>0.67540696747773998</v>
      </c>
      <c r="BJ114" s="22">
        <f>'Activity data'!BJ73*UDSOEF*NtoN2O*kgtoGg</f>
        <v>0.67606073801688993</v>
      </c>
      <c r="BK114" s="22">
        <f>'Activity data'!BK73*UDSOEF*NtoN2O*kgtoGg</f>
        <v>0.67665913518396625</v>
      </c>
      <c r="BL114" s="22">
        <f>'Activity data'!BL73*UDSOEF*NtoN2O*kgtoGg</f>
        <v>0.67720155443002239</v>
      </c>
      <c r="BM114" s="22">
        <f>'Activity data'!BM73*UDSOEF*NtoN2O*kgtoGg</f>
        <v>0.67768384492554279</v>
      </c>
      <c r="BN114" s="22">
        <f>'Activity data'!BN73*UDSOEF*NtoN2O*kgtoGg</f>
        <v>0.67810577406850514</v>
      </c>
      <c r="BO114" s="22">
        <f>'Activity data'!BO73*UDSOEF*NtoN2O*kgtoGg</f>
        <v>0.67847541629579156</v>
      </c>
      <c r="BP114" s="22">
        <f>'Activity data'!BP73*UDSOEF*NtoN2O*kgtoGg</f>
        <v>0.67874475997097328</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0.73708994755228407</v>
      </c>
      <c r="AK115" s="22">
        <f>'Activity data'!AK74*UDSOEF*NtoN2O*kgtoGg</f>
        <v>0.74193942345928476</v>
      </c>
      <c r="AL115" s="22">
        <f>'Activity data'!AL74*UDSOEF*NtoN2O*kgtoGg</f>
        <v>0.74012019902027282</v>
      </c>
      <c r="AM115" s="22">
        <f>'Activity data'!AM74*UDSOEF*NtoN2O*kgtoGg</f>
        <v>0.74139246635166289</v>
      </c>
      <c r="AN115" s="22">
        <f>'Activity data'!AN74*UDSOEF*NtoN2O*kgtoGg</f>
        <v>0.74151592530175092</v>
      </c>
      <c r="AO115" s="22">
        <f>'Activity data'!AO74*UDSOEF*NtoN2O*kgtoGg</f>
        <v>0.74185535866328745</v>
      </c>
      <c r="AP115" s="22">
        <f>'Activity data'!AP74*UDSOEF*NtoN2O*kgtoGg</f>
        <v>0.74335608585495871</v>
      </c>
      <c r="AQ115" s="22">
        <f>'Activity data'!AQ74*UDSOEF*NtoN2O*kgtoGg</f>
        <v>0.74556357164156939</v>
      </c>
      <c r="AR115" s="22">
        <f>'Activity data'!AR74*UDSOEF*NtoN2O*kgtoGg</f>
        <v>0.74764732173100068</v>
      </c>
      <c r="AS115" s="22">
        <f>'Activity data'!AS74*UDSOEF*NtoN2O*kgtoGg</f>
        <v>0.74961713361766258</v>
      </c>
      <c r="AT115" s="22">
        <f>'Activity data'!AT74*UDSOEF*NtoN2O*kgtoGg</f>
        <v>0.75147401556229898</v>
      </c>
      <c r="AU115" s="22">
        <f>'Activity data'!AU74*UDSOEF*NtoN2O*kgtoGg</f>
        <v>0.75325638993383137</v>
      </c>
      <c r="AV115" s="22">
        <f>'Activity data'!AV74*UDSOEF*NtoN2O*kgtoGg</f>
        <v>0.75499099939868619</v>
      </c>
      <c r="AW115" s="22">
        <f>'Activity data'!AW74*UDSOEF*NtoN2O*kgtoGg</f>
        <v>0.75666368217952507</v>
      </c>
      <c r="AX115" s="22">
        <f>'Activity data'!AX74*UDSOEF*NtoN2O*kgtoGg</f>
        <v>0.75829956195489012</v>
      </c>
      <c r="AY115" s="22">
        <f>'Activity data'!AY74*UDSOEF*NtoN2O*kgtoGg</f>
        <v>0.75989544125855291</v>
      </c>
      <c r="AZ115" s="22">
        <f>'Activity data'!AZ74*UDSOEF*NtoN2O*kgtoGg</f>
        <v>0.76144040021050008</v>
      </c>
      <c r="BA115" s="22">
        <f>'Activity data'!BA74*UDSOEF*NtoN2O*kgtoGg</f>
        <v>0.76294284733285755</v>
      </c>
      <c r="BB115" s="22">
        <f>'Activity data'!BB74*UDSOEF*NtoN2O*kgtoGg</f>
        <v>0.76440585179872644</v>
      </c>
      <c r="BC115" s="22">
        <f>'Activity data'!BC74*UDSOEF*NtoN2O*kgtoGg</f>
        <v>0.76583583721390103</v>
      </c>
      <c r="BD115" s="22">
        <f>'Activity data'!BD74*UDSOEF*NtoN2O*kgtoGg</f>
        <v>0.76718846615565761</v>
      </c>
      <c r="BE115" s="22">
        <f>'Activity data'!BE74*UDSOEF*NtoN2O*kgtoGg</f>
        <v>0.76846341889719361</v>
      </c>
      <c r="BF115" s="22">
        <f>'Activity data'!BF74*UDSOEF*NtoN2O*kgtoGg</f>
        <v>0.769674739992807</v>
      </c>
      <c r="BG115" s="22">
        <f>'Activity data'!BG74*UDSOEF*NtoN2O*kgtoGg</f>
        <v>0.77081339983246644</v>
      </c>
      <c r="BH115" s="22">
        <f>'Activity data'!BH74*UDSOEF*NtoN2O*kgtoGg</f>
        <v>0.77188278784323794</v>
      </c>
      <c r="BI115" s="22">
        <f>'Activity data'!BI74*UDSOEF*NtoN2O*kgtoGg</f>
        <v>0.77287850467741359</v>
      </c>
      <c r="BJ115" s="22">
        <f>'Activity data'!BJ74*UDSOEF*NtoN2O*kgtoGg</f>
        <v>0.77378518098285765</v>
      </c>
      <c r="BK115" s="22">
        <f>'Activity data'!BK74*UDSOEF*NtoN2O*kgtoGg</f>
        <v>0.77458869841791256</v>
      </c>
      <c r="BL115" s="22">
        <f>'Activity data'!BL74*UDSOEF*NtoN2O*kgtoGg</f>
        <v>0.77528911180488913</v>
      </c>
      <c r="BM115" s="22">
        <f>'Activity data'!BM74*UDSOEF*NtoN2O*kgtoGg</f>
        <v>0.77588066613277407</v>
      </c>
      <c r="BN115" s="22">
        <f>'Activity data'!BN74*UDSOEF*NtoN2O*kgtoGg</f>
        <v>0.77636396136599817</v>
      </c>
      <c r="BO115" s="22">
        <f>'Activity data'!BO74*UDSOEF*NtoN2O*kgtoGg</f>
        <v>0.77675301530412866</v>
      </c>
      <c r="BP115" s="22">
        <f>'Activity data'!BP74*UDSOEF*NtoN2O*kgtoGg</f>
        <v>0.77697098593778646</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1.1867254191644501</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1.2198688909683482</v>
      </c>
      <c r="AK116" s="22">
        <f>'Activity data'!AK75*UDSOEF*NtoN2O*kgtoGg</f>
        <v>1.2278946750888551</v>
      </c>
      <c r="AL116" s="22">
        <f>'Activity data'!AL75*UDSOEF*NtoN2O*kgtoGg</f>
        <v>1.2248838955955119</v>
      </c>
      <c r="AM116" s="22">
        <f>'Activity data'!AM75*UDSOEF*NtoN2O*kgtoGg</f>
        <v>1.2269894721858747</v>
      </c>
      <c r="AN116" s="22">
        <f>'Activity data'!AN75*UDSOEF*NtoN2O*kgtoGg</f>
        <v>1.2271937942404954</v>
      </c>
      <c r="AO116" s="22">
        <f>'Activity data'!AO75*UDSOEF*NtoN2O*kgtoGg</f>
        <v>1.2277555495590562</v>
      </c>
      <c r="AP116" s="22">
        <f>'Activity data'!AP75*UDSOEF*NtoN2O*kgtoGg</f>
        <v>1.2302392225775656</v>
      </c>
      <c r="AQ116" s="22">
        <f>'Activity data'!AQ75*UDSOEF*NtoN2O*kgtoGg</f>
        <v>1.2338925667145779</v>
      </c>
      <c r="AR116" s="22">
        <f>'Activity data'!AR75*UDSOEF*NtoN2O*kgtoGg</f>
        <v>1.2373411307861553</v>
      </c>
      <c r="AS116" s="22">
        <f>'Activity data'!AS75*UDSOEF*NtoN2O*kgtoGg</f>
        <v>1.2406011294465342</v>
      </c>
      <c r="AT116" s="22">
        <f>'Activity data'!AT75*UDSOEF*NtoN2O*kgtoGg</f>
        <v>1.2436742313467632</v>
      </c>
      <c r="AU116" s="22">
        <f>'Activity data'!AU75*UDSOEF*NtoN2O*kgtoGg</f>
        <v>1.2466240247269491</v>
      </c>
      <c r="AV116" s="22">
        <f>'Activity data'!AV75*UDSOEF*NtoN2O*kgtoGg</f>
        <v>1.2494947681568149</v>
      </c>
      <c r="AW116" s="22">
        <f>'Activity data'!AW75*UDSOEF*NtoN2O*kgtoGg</f>
        <v>1.2522630241825274</v>
      </c>
      <c r="AX116" s="22">
        <f>'Activity data'!AX75*UDSOEF*NtoN2O*kgtoGg</f>
        <v>1.2549703719817464</v>
      </c>
      <c r="AY116" s="22">
        <f>'Activity data'!AY75*UDSOEF*NtoN2O*kgtoGg</f>
        <v>1.2576115198128128</v>
      </c>
      <c r="AZ116" s="22">
        <f>'Activity data'!AZ75*UDSOEF*NtoN2O*kgtoGg</f>
        <v>1.2601683954961149</v>
      </c>
      <c r="BA116" s="22">
        <f>'Activity data'!BA75*UDSOEF*NtoN2O*kgtoGg</f>
        <v>1.2626549149649742</v>
      </c>
      <c r="BB116" s="22">
        <f>'Activity data'!BB75*UDSOEF*NtoN2O*kgtoGg</f>
        <v>1.2650761576385281</v>
      </c>
      <c r="BC116" s="22">
        <f>'Activity data'!BC75*UDSOEF*NtoN2O*kgtoGg</f>
        <v>1.2674427544538867</v>
      </c>
      <c r="BD116" s="22">
        <f>'Activity data'!BD75*UDSOEF*NtoN2O*kgtoGg</f>
        <v>1.2696813278770511</v>
      </c>
      <c r="BE116" s="22">
        <f>'Activity data'!BE75*UDSOEF*NtoN2O*kgtoGg</f>
        <v>1.2717913487666579</v>
      </c>
      <c r="BF116" s="22">
        <f>'Activity data'!BF75*UDSOEF*NtoN2O*kgtoGg</f>
        <v>1.2737960605747884</v>
      </c>
      <c r="BG116" s="22">
        <f>'Activity data'!BG75*UDSOEF*NtoN2O*kgtoGg</f>
        <v>1.2756805194802561</v>
      </c>
      <c r="BH116" s="22">
        <f>'Activity data'!BH75*UDSOEF*NtoN2O*kgtoGg</f>
        <v>1.2774503349160069</v>
      </c>
      <c r="BI116" s="22">
        <f>'Activity data'!BI75*UDSOEF*NtoN2O*kgtoGg</f>
        <v>1.2790982260509465</v>
      </c>
      <c r="BJ116" s="22">
        <f>'Activity data'!BJ75*UDSOEF*NtoN2O*kgtoGg</f>
        <v>1.2805987569194814</v>
      </c>
      <c r="BK116" s="22">
        <f>'Activity data'!BK75*UDSOEF*NtoN2O*kgtoGg</f>
        <v>1.2819285619529504</v>
      </c>
      <c r="BL116" s="22">
        <f>'Activity data'!BL75*UDSOEF*NtoN2O*kgtoGg</f>
        <v>1.2830877318811631</v>
      </c>
      <c r="BM116" s="22">
        <f>'Activity data'!BM75*UDSOEF*NtoN2O*kgtoGg</f>
        <v>1.2840667422777918</v>
      </c>
      <c r="BN116" s="22">
        <f>'Activity data'!BN75*UDSOEF*NtoN2O*kgtoGg</f>
        <v>1.2848665860717841</v>
      </c>
      <c r="BO116" s="22">
        <f>'Activity data'!BO75*UDSOEF*NtoN2O*kgtoGg</f>
        <v>1.2855104624366835</v>
      </c>
      <c r="BP116" s="22">
        <f>'Activity data'!BP75*UDSOEF*NtoN2O*kgtoGg</f>
        <v>1.2858711994078322</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0.19381280191845884</v>
      </c>
      <c r="AG117" s="22">
        <f>'Activity data'!AG76*UDSOEF*NtoN2O*kgtoGg</f>
        <v>0.19411375969056655</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0.19132863754616411</v>
      </c>
      <c r="AL117" s="22">
        <f>'Activity data'!AL76*UDSOEF*NtoN2O*kgtoGg</f>
        <v>0.18266880885015579</v>
      </c>
      <c r="AM117" s="22">
        <f>'Activity data'!AM76*UDSOEF*NtoN2O*kgtoGg</f>
        <v>0.18809378134692423</v>
      </c>
      <c r="AN117" s="22">
        <f>'Activity data'!AN76*UDSOEF*NtoN2O*kgtoGg</f>
        <v>0.19079942650123977</v>
      </c>
      <c r="AO117" s="22">
        <f>'Activity data'!AO76*UDSOEF*NtoN2O*kgtoGg</f>
        <v>0.19120805768125793</v>
      </c>
      <c r="AP117" s="22">
        <f>'Activity data'!AP76*UDSOEF*NtoN2O*kgtoGg</f>
        <v>0.191567581973451</v>
      </c>
      <c r="AQ117" s="22">
        <f>'Activity data'!AQ76*UDSOEF*NtoN2O*kgtoGg</f>
        <v>0.19243995083448096</v>
      </c>
      <c r="AR117" s="22">
        <f>'Activity data'!AR76*UDSOEF*NtoN2O*kgtoGg</f>
        <v>0.1939290152815269</v>
      </c>
      <c r="AS117" s="22">
        <f>'Activity data'!AS76*UDSOEF*NtoN2O*kgtoGg</f>
        <v>0.19572566733105584</v>
      </c>
      <c r="AT117" s="22">
        <f>'Activity data'!AT76*UDSOEF*NtoN2O*kgtoGg</f>
        <v>0.19791142753361757</v>
      </c>
      <c r="AU117" s="22">
        <f>'Activity data'!AU76*UDSOEF*NtoN2O*kgtoGg</f>
        <v>0.20073163120248141</v>
      </c>
      <c r="AV117" s="22">
        <f>'Activity data'!AV76*UDSOEF*NtoN2O*kgtoGg</f>
        <v>0.20414944143031946</v>
      </c>
      <c r="AW117" s="22">
        <f>'Activity data'!AW76*UDSOEF*NtoN2O*kgtoGg</f>
        <v>0.2079342142091529</v>
      </c>
      <c r="AX117" s="22">
        <f>'Activity data'!AX76*UDSOEF*NtoN2O*kgtoGg</f>
        <v>0.2120704701686861</v>
      </c>
      <c r="AY117" s="22">
        <f>'Activity data'!AY76*UDSOEF*NtoN2O*kgtoGg</f>
        <v>0.21643036681214611</v>
      </c>
      <c r="AZ117" s="22">
        <f>'Activity data'!AZ76*UDSOEF*NtoN2O*kgtoGg</f>
        <v>0.22107481526755876</v>
      </c>
      <c r="BA117" s="22">
        <f>'Activity data'!BA76*UDSOEF*NtoN2O*kgtoGg</f>
        <v>0.22594299924319575</v>
      </c>
      <c r="BB117" s="22">
        <f>'Activity data'!BB76*UDSOEF*NtoN2O*kgtoGg</f>
        <v>0.23081287404445633</v>
      </c>
      <c r="BC117" s="22">
        <f>'Activity data'!BC76*UDSOEF*NtoN2O*kgtoGg</f>
        <v>0.23600481014510816</v>
      </c>
      <c r="BD117" s="22">
        <f>'Activity data'!BD76*UDSOEF*NtoN2O*kgtoGg</f>
        <v>0.24132262653826006</v>
      </c>
      <c r="BE117" s="22">
        <f>'Activity data'!BE76*UDSOEF*NtoN2O*kgtoGg</f>
        <v>0.24675186109010536</v>
      </c>
      <c r="BF117" s="22">
        <f>'Activity data'!BF76*UDSOEF*NtoN2O*kgtoGg</f>
        <v>0.25238913765935056</v>
      </c>
      <c r="BG117" s="22">
        <f>'Activity data'!BG76*UDSOEF*NtoN2O*kgtoGg</f>
        <v>0.25799715238539928</v>
      </c>
      <c r="BH117" s="22">
        <f>'Activity data'!BH76*UDSOEF*NtoN2O*kgtoGg</f>
        <v>0.26391035530015045</v>
      </c>
      <c r="BI117" s="22">
        <f>'Activity data'!BI76*UDSOEF*NtoN2O*kgtoGg</f>
        <v>0.27025468976471112</v>
      </c>
      <c r="BJ117" s="22">
        <f>'Activity data'!BJ76*UDSOEF*NtoN2O*kgtoGg</f>
        <v>0.27683409216202315</v>
      </c>
      <c r="BK117" s="22">
        <f>'Activity data'!BK76*UDSOEF*NtoN2O*kgtoGg</f>
        <v>0.28366954305937575</v>
      </c>
      <c r="BL117" s="22">
        <f>'Activity data'!BL76*UDSOEF*NtoN2O*kgtoGg</f>
        <v>0.29099654328717883</v>
      </c>
      <c r="BM117" s="22">
        <f>'Activity data'!BM76*UDSOEF*NtoN2O*kgtoGg</f>
        <v>0.29875152246319292</v>
      </c>
      <c r="BN117" s="22">
        <f>'Activity data'!BN76*UDSOEF*NtoN2O*kgtoGg</f>
        <v>0.30689307002053717</v>
      </c>
      <c r="BO117" s="22">
        <f>'Activity data'!BO76*UDSOEF*NtoN2O*kgtoGg</f>
        <v>0.31557625829716562</v>
      </c>
      <c r="BP117" s="22">
        <f>'Activity data'!BP76*UDSOEF*NtoN2O*kgtoGg</f>
        <v>0.32396777623584005</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0.66036342435905737</v>
      </c>
      <c r="AN135" s="22">
        <f>'Activity data'!AN47*ttokg*FracGASF*MSVolatEF*NtoN2O*kgtoGg</f>
        <v>0.66004971859529549</v>
      </c>
      <c r="AO135" s="22">
        <f>'Activity data'!AO47*ttokg*FracGASF*MSVolatEF*NtoN2O*kgtoGg</f>
        <v>0.65987679285209155</v>
      </c>
      <c r="AP135" s="22">
        <f>'Activity data'!AP47*ttokg*FracGASF*MSVolatEF*NtoN2O*kgtoGg</f>
        <v>0.65980968039636112</v>
      </c>
      <c r="AQ135" s="22">
        <f>'Activity data'!AQ47*ttokg*FracGASF*MSVolatEF*NtoN2O*kgtoGg</f>
        <v>0.65973729403354264</v>
      </c>
      <c r="AR135" s="22">
        <f>'Activity data'!AR47*ttokg*FracGASF*MSVolatEF*NtoN2O*kgtoGg</f>
        <v>0.6596371673513507</v>
      </c>
      <c r="AS135" s="22">
        <f>'Activity data'!AS47*ttokg*FracGASF*MSVolatEF*NtoN2O*kgtoGg</f>
        <v>0.65951092743964945</v>
      </c>
      <c r="AT135" s="22">
        <f>'Activity data'!AT47*ttokg*FracGASF*MSVolatEF*NtoN2O*kgtoGg</f>
        <v>0.65937292152761395</v>
      </c>
      <c r="AU135" s="22">
        <f>'Activity data'!AU47*ttokg*FracGASF*MSVolatEF*NtoN2O*kgtoGg</f>
        <v>0.65921980493186427</v>
      </c>
      <c r="AV135" s="22">
        <f>'Activity data'!AV47*ttokg*FracGASF*MSVolatEF*NtoN2O*kgtoGg</f>
        <v>0.65904099002136718</v>
      </c>
      <c r="AW135" s="22">
        <f>'Activity data'!AW47*ttokg*FracGASF*MSVolatEF*NtoN2O*kgtoGg</f>
        <v>0.6588390077412124</v>
      </c>
      <c r="AX135" s="22">
        <f>'Activity data'!AX47*ttokg*FracGASF*MSVolatEF*NtoN2O*kgtoGg</f>
        <v>0.65862502813307378</v>
      </c>
      <c r="AY135" s="22">
        <f>'Activity data'!AY47*ttokg*FracGASF*MSVolatEF*NtoN2O*kgtoGg</f>
        <v>0.65840030111280701</v>
      </c>
      <c r="AZ135" s="22">
        <f>'Activity data'!AZ47*ttokg*FracGASF*MSVolatEF*NtoN2O*kgtoGg</f>
        <v>0.65817083248767305</v>
      </c>
      <c r="BA135" s="22">
        <f>'Activity data'!BA47*ttokg*FracGASF*MSVolatEF*NtoN2O*kgtoGg</f>
        <v>0.65793473576190653</v>
      </c>
      <c r="BB135" s="22">
        <f>'Activity data'!BB47*ttokg*FracGASF*MSVolatEF*NtoN2O*kgtoGg</f>
        <v>0.65769490947439302</v>
      </c>
      <c r="BC135" s="22">
        <f>'Activity data'!BC47*ttokg*FracGASF*MSVolatEF*NtoN2O*kgtoGg</f>
        <v>0.65746015679174796</v>
      </c>
      <c r="BD135" s="22">
        <f>'Activity data'!BD47*ttokg*FracGASF*MSVolatEF*NtoN2O*kgtoGg</f>
        <v>0.65721839556094175</v>
      </c>
      <c r="BE135" s="22">
        <f>'Activity data'!BE47*ttokg*FracGASF*MSVolatEF*NtoN2O*kgtoGg</f>
        <v>0.65697772026100598</v>
      </c>
      <c r="BF135" s="22">
        <f>'Activity data'!BF47*ttokg*FracGASF*MSVolatEF*NtoN2O*kgtoGg</f>
        <v>0.65673876647835383</v>
      </c>
      <c r="BG135" s="22">
        <f>'Activity data'!BG47*ttokg*FracGASF*MSVolatEF*NtoN2O*kgtoGg</f>
        <v>0.65649818227366441</v>
      </c>
      <c r="BH135" s="22">
        <f>'Activity data'!BH47*ttokg*FracGASF*MSVolatEF*NtoN2O*kgtoGg</f>
        <v>0.65626429517048157</v>
      </c>
      <c r="BI135" s="22">
        <f>'Activity data'!BI47*ttokg*FracGASF*MSVolatEF*NtoN2O*kgtoGg</f>
        <v>0.65602587146144697</v>
      </c>
      <c r="BJ135" s="22">
        <f>'Activity data'!BJ47*ttokg*FracGASF*MSVolatEF*NtoN2O*kgtoGg</f>
        <v>0.65577947514353263</v>
      </c>
      <c r="BK135" s="22">
        <f>'Activity data'!BK47*ttokg*FracGASF*MSVolatEF*NtoN2O*kgtoGg</f>
        <v>0.65553213474499905</v>
      </c>
      <c r="BL135" s="22">
        <f>'Activity data'!BL47*ttokg*FracGASF*MSVolatEF*NtoN2O*kgtoGg</f>
        <v>0.65528365550023426</v>
      </c>
      <c r="BM135" s="22">
        <f>'Activity data'!BM47*ttokg*FracGASF*MSVolatEF*NtoN2O*kgtoGg</f>
        <v>0.65502749591835585</v>
      </c>
      <c r="BN135" s="22">
        <f>'Activity data'!BN47*ttokg*FracGASF*MSVolatEF*NtoN2O*kgtoGg</f>
        <v>0.65476643110027843</v>
      </c>
      <c r="BO135" s="22">
        <f>'Activity data'!BO47*ttokg*FracGASF*MSVolatEF*NtoN2O*kgtoGg</f>
        <v>0.65450232737774761</v>
      </c>
      <c r="BP135" s="22">
        <f>'Activity data'!BP47*ttokg*FracGASF*MSVolatEF*NtoN2O*kgtoGg</f>
        <v>0.65423151331477958</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8.7167972015395577E-3</v>
      </c>
      <c r="AN136" s="22">
        <f>'Activity data'!AN48*ttokg*FracGASM*MSVolatEF*NtoN2O*kgtoGg</f>
        <v>8.7126562854578996E-3</v>
      </c>
      <c r="AO136" s="22">
        <f>'Activity data'!AO48*ttokg*FracGASM*MSVolatEF*NtoN2O*kgtoGg</f>
        <v>8.7103736656476104E-3</v>
      </c>
      <c r="AP136" s="22">
        <f>'Activity data'!AP48*ttokg*FracGASM*MSVolatEF*NtoN2O*kgtoGg</f>
        <v>8.7094877812319699E-3</v>
      </c>
      <c r="AQ136" s="22">
        <f>'Activity data'!AQ48*ttokg*FracGASM*MSVolatEF*NtoN2O*kgtoGg</f>
        <v>8.7085322812427632E-3</v>
      </c>
      <c r="AR136" s="22">
        <f>'Activity data'!AR48*ttokg*FracGASM*MSVolatEF*NtoN2O*kgtoGg</f>
        <v>8.7072106090378288E-3</v>
      </c>
      <c r="AS136" s="22">
        <f>'Activity data'!AS48*ttokg*FracGASM*MSVolatEF*NtoN2O*kgtoGg</f>
        <v>8.7055442422033745E-3</v>
      </c>
      <c r="AT136" s="22">
        <f>'Activity data'!AT48*ttokg*FracGASM*MSVolatEF*NtoN2O*kgtoGg</f>
        <v>8.7037225641645056E-3</v>
      </c>
      <c r="AU136" s="22">
        <f>'Activity data'!AU48*ttokg*FracGASM*MSVolatEF*NtoN2O*kgtoGg</f>
        <v>8.7017014251006084E-3</v>
      </c>
      <c r="AV136" s="22">
        <f>'Activity data'!AV48*ttokg*FracGASM*MSVolatEF*NtoN2O*kgtoGg</f>
        <v>8.699341068282046E-3</v>
      </c>
      <c r="AW136" s="22">
        <f>'Activity data'!AW48*ttokg*FracGASM*MSVolatEF*NtoN2O*kgtoGg</f>
        <v>8.6966749021840043E-3</v>
      </c>
      <c r="AX136" s="22">
        <f>'Activity data'!AX48*ttokg*FracGASM*MSVolatEF*NtoN2O*kgtoGg</f>
        <v>8.6938503713565752E-3</v>
      </c>
      <c r="AY136" s="22">
        <f>'Activity data'!AY48*ttokg*FracGASM*MSVolatEF*NtoN2O*kgtoGg</f>
        <v>8.6908839746890534E-3</v>
      </c>
      <c r="AZ136" s="22">
        <f>'Activity data'!AZ48*ttokg*FracGASM*MSVolatEF*NtoN2O*kgtoGg</f>
        <v>8.687854988837283E-3</v>
      </c>
      <c r="BA136" s="22">
        <f>'Activity data'!BA48*ttokg*FracGASM*MSVolatEF*NtoN2O*kgtoGg</f>
        <v>8.6847385120571701E-3</v>
      </c>
      <c r="BB136" s="22">
        <f>'Activity data'!BB48*ttokg*FracGASM*MSVolatEF*NtoN2O*kgtoGg</f>
        <v>8.6815728050619895E-3</v>
      </c>
      <c r="BC136" s="22">
        <f>'Activity data'!BC48*ttokg*FracGASM*MSVolatEF*NtoN2O*kgtoGg</f>
        <v>8.6784740696510734E-3</v>
      </c>
      <c r="BD136" s="22">
        <f>'Activity data'!BD48*ttokg*FracGASM*MSVolatEF*NtoN2O*kgtoGg</f>
        <v>8.6752828214044318E-3</v>
      </c>
      <c r="BE136" s="22">
        <f>'Activity data'!BE48*ttokg*FracGASM*MSVolatEF*NtoN2O*kgtoGg</f>
        <v>8.672105907445278E-3</v>
      </c>
      <c r="BF136" s="22">
        <f>'Activity data'!BF48*ttokg*FracGASM*MSVolatEF*NtoN2O*kgtoGg</f>
        <v>8.6689517175142713E-3</v>
      </c>
      <c r="BG136" s="22">
        <f>'Activity data'!BG48*ttokg*FracGASM*MSVolatEF*NtoN2O*kgtoGg</f>
        <v>8.6657760060123695E-3</v>
      </c>
      <c r="BH136" s="22">
        <f>'Activity data'!BH48*ttokg*FracGASM*MSVolatEF*NtoN2O*kgtoGg</f>
        <v>8.6626886962503594E-3</v>
      </c>
      <c r="BI136" s="22">
        <f>'Activity data'!BI48*ttokg*FracGASM*MSVolatEF*NtoN2O*kgtoGg</f>
        <v>8.6595415032911013E-3</v>
      </c>
      <c r="BJ136" s="22">
        <f>'Activity data'!BJ48*ttokg*FracGASM*MSVolatEF*NtoN2O*kgtoGg</f>
        <v>8.6562890718946302E-3</v>
      </c>
      <c r="BK136" s="22">
        <f>'Activity data'!BK48*ttokg*FracGASM*MSVolatEF*NtoN2O*kgtoGg</f>
        <v>8.65302417863399E-3</v>
      </c>
      <c r="BL136" s="22">
        <f>'Activity data'!BL48*ttokg*FracGASM*MSVolatEF*NtoN2O*kgtoGg</f>
        <v>8.6497442526030921E-3</v>
      </c>
      <c r="BM136" s="22">
        <f>'Activity data'!BM48*ttokg*FracGASM*MSVolatEF*NtoN2O*kgtoGg</f>
        <v>8.6463629461222963E-3</v>
      </c>
      <c r="BN136" s="22">
        <f>'Activity data'!BN48*ttokg*FracGASM*MSVolatEF*NtoN2O*kgtoGg</f>
        <v>8.6429168905236796E-3</v>
      </c>
      <c r="BO136" s="22">
        <f>'Activity data'!BO48*ttokg*FracGASM*MSVolatEF*NtoN2O*kgtoGg</f>
        <v>8.6394307213862702E-3</v>
      </c>
      <c r="BP136" s="22">
        <f>'Activity data'!BP48*ttokg*FracGASM*MSVolatEF*NtoN2O*kgtoGg</f>
        <v>8.6358559757550891E-3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1.2008407282256133</v>
      </c>
      <c r="AE137" s="22">
        <f>SUM('Activity data'!AE50:AE65)*FracGASM*MSVolatEF*NtoN2O*kgtoGg</f>
        <v>1.2019035107607592</v>
      </c>
      <c r="AF137" s="22">
        <f>SUM('Activity data'!AF50:AF65)*FracGASM*MSVolatEF*NtoN2O*kgtoGg</f>
        <v>1.2088775122881088</v>
      </c>
      <c r="AG137" s="22">
        <f>SUM('Activity data'!AG50:AG65)*FracGASM*MSVolatEF*NtoN2O*kgtoGg</f>
        <v>1.2055442230548152</v>
      </c>
      <c r="AH137" s="22">
        <f>SUM('Activity data'!AH50:AH65)*FracGASM*MSVolatEF*NtoN2O*kgtoGg</f>
        <v>1.1958435838326273</v>
      </c>
      <c r="AI137" s="22">
        <f>SUM('Activity data'!AI50:AI65)*FracGASM*MSVolatEF*NtoN2O*kgtoGg</f>
        <v>1.1799964998501222</v>
      </c>
      <c r="AJ137" s="22">
        <f>SUM('Activity data'!AJ50:AJ65)*FracGASM*MSVolatEF*NtoN2O*kgtoGg</f>
        <v>1.169776622170569</v>
      </c>
      <c r="AK137" s="22">
        <f>SUM('Activity data'!AK50:AK65)*FracGASM*MSVolatEF*NtoN2O*kgtoGg</f>
        <v>1.1606871439933113</v>
      </c>
      <c r="AL137" s="22">
        <f>SUM('Activity data'!AL50:AL65)*FracGASM*MSVolatEF*NtoN2O*kgtoGg</f>
        <v>1.0635026929062164</v>
      </c>
      <c r="AM137" s="22">
        <f>SUM('Activity data'!AM50:AM65)*FracGASM*MSVolatEF*NtoN2O*kgtoGg</f>
        <v>1.1127914653577025</v>
      </c>
      <c r="AN137" s="22">
        <f>SUM('Activity data'!AN50:AN65)*FracGASM*MSVolatEF*NtoN2O*kgtoGg</f>
        <v>1.1339456607288676</v>
      </c>
      <c r="AO137" s="22">
        <f>SUM('Activity data'!AO50:AO65)*FracGASM*MSVolatEF*NtoN2O*kgtoGg</f>
        <v>1.1334093263464944</v>
      </c>
      <c r="AP137" s="22">
        <f>SUM('Activity data'!AP50:AP65)*FracGASM*MSVolatEF*NtoN2O*kgtoGg</f>
        <v>1.1341671660422112</v>
      </c>
      <c r="AQ137" s="22">
        <f>SUM('Activity data'!AQ50:AQ65)*FracGASM*MSVolatEF*NtoN2O*kgtoGg</f>
        <v>1.1408235439735572</v>
      </c>
      <c r="AR137" s="22">
        <f>SUM('Activity data'!AR50:AR65)*FracGASM*MSVolatEF*NtoN2O*kgtoGg</f>
        <v>1.1530569851412431</v>
      </c>
      <c r="AS137" s="22">
        <f>SUM('Activity data'!AS50:AS65)*FracGASM*MSVolatEF*NtoN2O*kgtoGg</f>
        <v>1.1679322279348805</v>
      </c>
      <c r="AT137" s="22">
        <f>SUM('Activity data'!AT50:AT65)*FracGASM*MSVolatEF*NtoN2O*kgtoGg</f>
        <v>1.1861792833479095</v>
      </c>
      <c r="AU137" s="22">
        <f>SUM('Activity data'!AU50:AU65)*FracGASM*MSVolatEF*NtoN2O*kgtoGg</f>
        <v>1.2100969940218784</v>
      </c>
      <c r="AV137" s="22">
        <f>SUM('Activity data'!AV50:AV65)*FracGASM*MSVolatEF*NtoN2O*kgtoGg</f>
        <v>1.2393194864291859</v>
      </c>
      <c r="AW137" s="22">
        <f>SUM('Activity data'!AW50:AW65)*FracGASM*MSVolatEF*NtoN2O*kgtoGg</f>
        <v>1.2672278032377093</v>
      </c>
      <c r="AX137" s="22">
        <f>SUM('Activity data'!AX50:AX65)*FracGASM*MSVolatEF*NtoN2O*kgtoGg</f>
        <v>1.2977962214580763</v>
      </c>
      <c r="AY137" s="22">
        <f>SUM('Activity data'!AY50:AY65)*FracGASM*MSVolatEF*NtoN2O*kgtoGg</f>
        <v>1.329788063562543</v>
      </c>
      <c r="AZ137" s="22">
        <f>SUM('Activity data'!AZ50:AZ65)*FracGASM*MSVolatEF*NtoN2O*kgtoGg</f>
        <v>1.3636827815165269</v>
      </c>
      <c r="BA137" s="22">
        <f>SUM('Activity data'!BA50:BA65)*FracGASM*MSVolatEF*NtoN2O*kgtoGg</f>
        <v>1.3988919386644247</v>
      </c>
      <c r="BB137" s="22">
        <f>SUM('Activity data'!BB50:BB65)*FracGASM*MSVolatEF*NtoN2O*kgtoGg</f>
        <v>1.4334139363721508</v>
      </c>
      <c r="BC137" s="22">
        <f>SUM('Activity data'!BC50:BC65)*FracGASM*MSVolatEF*NtoN2O*kgtoGg</f>
        <v>1.4700649477851668</v>
      </c>
      <c r="BD137" s="22">
        <f>SUM('Activity data'!BD50:BD65)*FracGASM*MSVolatEF*NtoN2O*kgtoGg</f>
        <v>1.5069886120645011</v>
      </c>
      <c r="BE137" s="22">
        <f>SUM('Activity data'!BE50:BE65)*FracGASM*MSVolatEF*NtoN2O*kgtoGg</f>
        <v>1.5440287360100955</v>
      </c>
      <c r="BF137" s="22">
        <f>SUM('Activity data'!BF50:BF65)*FracGASM*MSVolatEF*NtoN2O*kgtoGg</f>
        <v>1.5820093604594603</v>
      </c>
      <c r="BG137" s="22">
        <f>SUM('Activity data'!BG50:BG65)*FracGASM*MSVolatEF*NtoN2O*kgtoGg</f>
        <v>1.6219033183214897</v>
      </c>
      <c r="BH137" s="22">
        <f>SUM('Activity data'!BH50:BH65)*FracGASM*MSVolatEF*NtoN2O*kgtoGg</f>
        <v>1.6636708318066389</v>
      </c>
      <c r="BI137" s="22">
        <f>SUM('Activity data'!BI50:BI65)*FracGASM*MSVolatEF*NtoN2O*kgtoGg</f>
        <v>1.7082959626143681</v>
      </c>
      <c r="BJ137" s="22">
        <f>SUM('Activity data'!BJ50:BJ65)*FracGASM*MSVolatEF*NtoN2O*kgtoGg</f>
        <v>1.7540375132373072</v>
      </c>
      <c r="BK137" s="22">
        <f>SUM('Activity data'!BK50:BK65)*FracGASM*MSVolatEF*NtoN2O*kgtoGg</f>
        <v>1.8009857640186506</v>
      </c>
      <c r="BL137" s="22">
        <f>SUM('Activity data'!BL50:BL65)*FracGASM*MSVolatEF*NtoN2O*kgtoGg</f>
        <v>1.8510064312178449</v>
      </c>
      <c r="BM137" s="22">
        <f>SUM('Activity data'!BM50:BM65)*FracGASM*MSVolatEF*NtoN2O*kgtoGg</f>
        <v>1.9034681141674186</v>
      </c>
      <c r="BN137" s="22">
        <f>SUM('Activity data'!BN50:BN65)*FracGASM*MSVolatEF*NtoN2O*kgtoGg</f>
        <v>1.9579460640600546</v>
      </c>
      <c r="BO137" s="22">
        <f>SUM('Activity data'!BO50:BO65)*FracGASM*MSVolatEF*NtoN2O*kgtoGg</f>
        <v>2.0156248390942006</v>
      </c>
      <c r="BP137" s="22">
        <f>SUM('Activity data'!BP50:BP65)*FracGASM*MSVolatEF*NtoN2O*kgtoGg</f>
        <v>2.0696024098416643</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4.3975799639737021</v>
      </c>
      <c r="AE138" s="22">
        <f>SUM('Activity data'!AE66:AE81)*FracGASM*MSVolatEF*NtoN2O*kgtoGg</f>
        <v>4.3787767883653972</v>
      </c>
      <c r="AF138" s="22">
        <f>SUM('Activity data'!AF66:AF81)*FracGASM*MSVolatEF*NtoN2O*kgtoGg</f>
        <v>4.3752716537638934</v>
      </c>
      <c r="AG138" s="22">
        <f>SUM('Activity data'!AG66:AG81)*FracGASM*MSVolatEF*NtoN2O*kgtoGg</f>
        <v>4.3473821211305586</v>
      </c>
      <c r="AH138" s="22">
        <f>SUM('Activity data'!AH66:AH81)*FracGASM*MSVolatEF*NtoN2O*kgtoGg</f>
        <v>4.3052096453824591</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3.920518553769567</v>
      </c>
      <c r="AM138" s="22">
        <f>SUM('Activity data'!AM66:AM81)*FracGASM*MSVolatEF*NtoN2O*kgtoGg</f>
        <v>4.022224403214822</v>
      </c>
      <c r="AN138" s="22">
        <f>SUM('Activity data'!AN66:AN81)*FracGASM*MSVolatEF*NtoN2O*kgtoGg</f>
        <v>4.0573246422564955</v>
      </c>
      <c r="AO138" s="22">
        <f>SUM('Activity data'!AO66:AO81)*FracGASM*MSVolatEF*NtoN2O*kgtoGg</f>
        <v>4.0437027667632135</v>
      </c>
      <c r="AP138" s="22">
        <f>SUM('Activity data'!AP66:AP81)*FracGASM*MSVolatEF*NtoN2O*kgtoGg</f>
        <v>4.0349744796970102</v>
      </c>
      <c r="AQ138" s="22">
        <f>SUM('Activity data'!AQ66:AQ81)*FracGASM*MSVolatEF*NtoN2O*kgtoGg</f>
        <v>4.0404911436640738</v>
      </c>
      <c r="AR138" s="22">
        <f>SUM('Activity data'!AR66:AR81)*FracGASM*MSVolatEF*NtoN2O*kgtoGg</f>
        <v>4.0578866533033189</v>
      </c>
      <c r="AS138" s="22">
        <f>SUM('Activity data'!AS66:AS81)*FracGASM*MSVolatEF*NtoN2O*kgtoGg</f>
        <v>4.0805365209798321</v>
      </c>
      <c r="AT138" s="22">
        <f>SUM('Activity data'!AT66:AT81)*FracGASM*MSVolatEF*NtoN2O*kgtoGg</f>
        <v>4.109915060040195</v>
      </c>
      <c r="AU138" s="22">
        <f>SUM('Activity data'!AU66:AU81)*FracGASM*MSVolatEF*NtoN2O*kgtoGg</f>
        <v>4.1509048491402085</v>
      </c>
      <c r="AV138" s="22">
        <f>SUM('Activity data'!AV66:AV81)*FracGASM*MSVolatEF*NtoN2O*kgtoGg</f>
        <v>4.202533390484211</v>
      </c>
      <c r="AW138" s="22">
        <f>SUM('Activity data'!AW66:AW81)*FracGASM*MSVolatEF*NtoN2O*kgtoGg</f>
        <v>4.2406560670580085</v>
      </c>
      <c r="AX138" s="22">
        <f>SUM('Activity data'!AX66:AX81)*FracGASM*MSVolatEF*NtoN2O*kgtoGg</f>
        <v>4.2827934559696441</v>
      </c>
      <c r="AY138" s="22">
        <f>SUM('Activity data'!AY66:AY81)*FracGASM*MSVolatEF*NtoN2O*kgtoGg</f>
        <v>4.3261652521730651</v>
      </c>
      <c r="AZ138" s="22">
        <f>SUM('Activity data'!AZ66:AZ81)*FracGASM*MSVolatEF*NtoN2O*kgtoGg</f>
        <v>4.3716097132066274</v>
      </c>
      <c r="BA138" s="22">
        <f>SUM('Activity data'!BA66:BA81)*FracGASM*MSVolatEF*NtoN2O*kgtoGg</f>
        <v>4.417783804127744</v>
      </c>
      <c r="BB138" s="22">
        <f>SUM('Activity data'!BB66:BB81)*FracGASM*MSVolatEF*NtoN2O*kgtoGg</f>
        <v>4.46055260064648</v>
      </c>
      <c r="BC138" s="22">
        <f>SUM('Activity data'!BC66:BC81)*FracGASM*MSVolatEF*NtoN2O*kgtoGg</f>
        <v>4.5055232078089906</v>
      </c>
      <c r="BD138" s="22">
        <f>SUM('Activity data'!BD66:BD81)*FracGASM*MSVolatEF*NtoN2O*kgtoGg</f>
        <v>4.5487963787371326</v>
      </c>
      <c r="BE138" s="22">
        <f>SUM('Activity data'!BE66:BE81)*FracGASM*MSVolatEF*NtoN2O*kgtoGg</f>
        <v>4.5900121260194853</v>
      </c>
      <c r="BF138" s="22">
        <f>SUM('Activity data'!BF66:BF81)*FracGASM*MSVolatEF*NtoN2O*kgtoGg</f>
        <v>4.6307205405262888</v>
      </c>
      <c r="BG138" s="22">
        <f>SUM('Activity data'!BG66:BG81)*FracGASM*MSVolatEF*NtoN2O*kgtoGg</f>
        <v>4.6802451384074173</v>
      </c>
      <c r="BH138" s="22">
        <f>SUM('Activity data'!BH66:BH81)*FracGASM*MSVolatEF*NtoN2O*kgtoGg</f>
        <v>4.7313734673669652</v>
      </c>
      <c r="BI138" s="22">
        <f>SUM('Activity data'!BI66:BI81)*FracGASM*MSVolatEF*NtoN2O*kgtoGg</f>
        <v>4.7857847377648062</v>
      </c>
      <c r="BJ138" s="22">
        <f>SUM('Activity data'!BJ66:BJ81)*FracGASM*MSVolatEF*NtoN2O*kgtoGg</f>
        <v>4.8400720712169321</v>
      </c>
      <c r="BK138" s="22">
        <f>SUM('Activity data'!BK66:BK81)*FracGASM*MSVolatEF*NtoN2O*kgtoGg</f>
        <v>4.8942825787604232</v>
      </c>
      <c r="BL138" s="22">
        <f>SUM('Activity data'!BL66:BL81)*FracGASM*MSVolatEF*NtoN2O*kgtoGg</f>
        <v>4.9516552239356777</v>
      </c>
      <c r="BM138" s="22">
        <f>SUM('Activity data'!BM66:BM81)*FracGASM*MSVolatEF*NtoN2O*kgtoGg</f>
        <v>5.010848202184258</v>
      </c>
      <c r="BN138" s="22">
        <f>SUM('Activity data'!BN66:BN81)*FracGASM*MSVolatEF*NtoN2O*kgtoGg</f>
        <v>5.070940832499133</v>
      </c>
      <c r="BO138" s="22">
        <f>SUM('Activity data'!BO66:BO81)*FracGASM*MSVolatEF*NtoN2O*kgtoGg</f>
        <v>5.1338473778737468</v>
      </c>
      <c r="BP138" s="22">
        <f>SUM('Activity data'!BP66:BP81)*FracGASM*MSVolatEF*NtoN2O*kgtoGg</f>
        <v>5.1874285866281769</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2.2782538140387479E-4</v>
      </c>
      <c r="AN139" s="22">
        <f>'Activity data'!AN47*FracLEACH*MSLeachEF*NtoN2O*kgtoGg</f>
        <v>2.2771715291537687E-4</v>
      </c>
      <c r="AO139" s="22">
        <f>'Activity data'!AO47*FracLEACH*MSLeachEF*NtoN2O*kgtoGg</f>
        <v>2.2765749353397156E-4</v>
      </c>
      <c r="AP139" s="22">
        <f>'Activity data'!AP47*FracLEACH*MSLeachEF*NtoN2O*kgtoGg</f>
        <v>2.2763433973674462E-4</v>
      </c>
      <c r="AQ139" s="22">
        <f>'Activity data'!AQ47*FracLEACH*MSLeachEF*NtoN2O*kgtoGg</f>
        <v>2.2760936644157216E-4</v>
      </c>
      <c r="AR139" s="22">
        <f>'Activity data'!AR47*FracLEACH*MSLeachEF*NtoN2O*kgtoGg</f>
        <v>2.2757482273621599E-4</v>
      </c>
      <c r="AS139" s="22">
        <f>'Activity data'!AS47*FracLEACH*MSLeachEF*NtoN2O*kgtoGg</f>
        <v>2.27531269966679E-4</v>
      </c>
      <c r="AT139" s="22">
        <f>'Activity data'!AT47*FracLEACH*MSLeachEF*NtoN2O*kgtoGg</f>
        <v>2.2748365792702683E-4</v>
      </c>
      <c r="AU139" s="22">
        <f>'Activity data'!AU47*FracLEACH*MSLeachEF*NtoN2O*kgtoGg</f>
        <v>2.2743083270149308E-4</v>
      </c>
      <c r="AV139" s="22">
        <f>'Activity data'!AV47*FracLEACH*MSLeachEF*NtoN2O*kgtoGg</f>
        <v>2.2736914155737162E-4</v>
      </c>
      <c r="AW139" s="22">
        <f>'Activity data'!AW47*FracLEACH*MSLeachEF*NtoN2O*kgtoGg</f>
        <v>2.272994576707182E-4</v>
      </c>
      <c r="AX139" s="22">
        <f>'Activity data'!AX47*FracLEACH*MSLeachEF*NtoN2O*kgtoGg</f>
        <v>2.2722563470591042E-4</v>
      </c>
      <c r="AY139" s="22">
        <f>'Activity data'!AY47*FracLEACH*MSLeachEF*NtoN2O*kgtoGg</f>
        <v>2.2714810388391836E-4</v>
      </c>
      <c r="AZ139" s="22">
        <f>'Activity data'!AZ47*FracLEACH*MSLeachEF*NtoN2O*kgtoGg</f>
        <v>2.2706893720824713E-4</v>
      </c>
      <c r="BA139" s="22">
        <f>'Activity data'!BA47*FracLEACH*MSLeachEF*NtoN2O*kgtoGg</f>
        <v>2.2698748383785777E-4</v>
      </c>
      <c r="BB139" s="22">
        <f>'Activity data'!BB47*FracLEACH*MSLeachEF*NtoN2O*kgtoGg</f>
        <v>2.2690474376866552E-4</v>
      </c>
      <c r="BC139" s="22">
        <f>'Activity data'!BC47*FracLEACH*MSLeachEF*NtoN2O*kgtoGg</f>
        <v>2.2682375409315307E-4</v>
      </c>
      <c r="BD139" s="22">
        <f>'Activity data'!BD47*FracLEACH*MSLeachEF*NtoN2O*kgtoGg</f>
        <v>2.2674034646852486E-4</v>
      </c>
      <c r="BE139" s="22">
        <f>'Activity data'!BE47*FracLEACH*MSLeachEF*NtoN2O*kgtoGg</f>
        <v>2.26657313490047E-4</v>
      </c>
      <c r="BF139" s="22">
        <f>'Activity data'!BF47*FracLEACH*MSLeachEF*NtoN2O*kgtoGg</f>
        <v>2.2657487443503212E-4</v>
      </c>
      <c r="BG139" s="22">
        <f>'Activity data'!BG47*FracLEACH*MSLeachEF*NtoN2O*kgtoGg</f>
        <v>2.2649187288441419E-4</v>
      </c>
      <c r="BH139" s="22">
        <f>'Activity data'!BH47*FracLEACH*MSLeachEF*NtoN2O*kgtoGg</f>
        <v>2.2641118183381611E-4</v>
      </c>
      <c r="BI139" s="22">
        <f>'Activity data'!BI47*FracLEACH*MSLeachEF*NtoN2O*kgtoGg</f>
        <v>2.2632892565419918E-4</v>
      </c>
      <c r="BJ139" s="22">
        <f>'Activity data'!BJ47*FracLEACH*MSLeachEF*NtoN2O*kgtoGg</f>
        <v>2.2624391892451869E-4</v>
      </c>
      <c r="BK139" s="22">
        <f>'Activity data'!BK47*FracLEACH*MSLeachEF*NtoN2O*kgtoGg</f>
        <v>2.2615858648702465E-4</v>
      </c>
      <c r="BL139" s="22">
        <f>'Activity data'!BL47*FracLEACH*MSLeachEF*NtoN2O*kgtoGg</f>
        <v>2.2607286114758075E-4</v>
      </c>
      <c r="BM139" s="22">
        <f>'Activity data'!BM47*FracLEACH*MSLeachEF*NtoN2O*kgtoGg</f>
        <v>2.2598448609183276E-4</v>
      </c>
      <c r="BN139" s="22">
        <f>'Activity data'!BN47*FracLEACH*MSLeachEF*NtoN2O*kgtoGg</f>
        <v>2.2589441872959606E-4</v>
      </c>
      <c r="BO139" s="22">
        <f>'Activity data'!BO47*FracLEACH*MSLeachEF*NtoN2O*kgtoGg</f>
        <v>2.2580330294532294E-4</v>
      </c>
      <c r="BP139" s="22">
        <f>'Activity data'!BP47*FracLEACH*MSLeachEF*NtoN2O*kgtoGg</f>
        <v>2.2570987209359888E-4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1.5036475172655738E-6</v>
      </c>
      <c r="AN140" s="22">
        <f>'Activity data'!AN48*FracLEACH*MSLeachEF*NtoN2O*kgtoGg</f>
        <v>1.5029332092414877E-6</v>
      </c>
      <c r="AO140" s="22">
        <f>'Activity data'!AO48*FracLEACH*MSLeachEF*NtoN2O*kgtoGg</f>
        <v>1.5025394573242125E-6</v>
      </c>
      <c r="AP140" s="22">
        <f>'Activity data'!AP48*FracLEACH*MSLeachEF*NtoN2O*kgtoGg</f>
        <v>1.5023866422625144E-6</v>
      </c>
      <c r="AQ140" s="22">
        <f>'Activity data'!AQ48*FracLEACH*MSLeachEF*NtoN2O*kgtoGg</f>
        <v>1.5022218185143764E-6</v>
      </c>
      <c r="AR140" s="22">
        <f>'Activity data'!AR48*FracLEACH*MSLeachEF*NtoN2O*kgtoGg</f>
        <v>1.5019938300590255E-6</v>
      </c>
      <c r="AS140" s="22">
        <f>'Activity data'!AS48*FracLEACH*MSLeachEF*NtoN2O*kgtoGg</f>
        <v>1.5017063817800821E-6</v>
      </c>
      <c r="AT140" s="22">
        <f>'Activity data'!AT48*FracLEACH*MSLeachEF*NtoN2O*kgtoGg</f>
        <v>1.5013921423183768E-6</v>
      </c>
      <c r="AU140" s="22">
        <f>'Activity data'!AU48*FracLEACH*MSLeachEF*NtoN2O*kgtoGg</f>
        <v>1.5010434958298549E-6</v>
      </c>
      <c r="AV140" s="22">
        <f>'Activity data'!AV48*FracLEACH*MSLeachEF*NtoN2O*kgtoGg</f>
        <v>1.5006363342786528E-6</v>
      </c>
      <c r="AW140" s="22">
        <f>'Activity data'!AW48*FracLEACH*MSLeachEF*NtoN2O*kgtoGg</f>
        <v>1.5001764206267405E-6</v>
      </c>
      <c r="AX140" s="22">
        <f>'Activity data'!AX48*FracLEACH*MSLeachEF*NtoN2O*kgtoGg</f>
        <v>1.4996891890590088E-6</v>
      </c>
      <c r="AY140" s="22">
        <f>'Activity data'!AY48*FracLEACH*MSLeachEF*NtoN2O*kgtoGg</f>
        <v>1.4991774856338616E-6</v>
      </c>
      <c r="AZ140" s="22">
        <f>'Activity data'!AZ48*FracLEACH*MSLeachEF*NtoN2O*kgtoGg</f>
        <v>1.4986549855744315E-6</v>
      </c>
      <c r="BA140" s="22">
        <f>'Activity data'!BA48*FracLEACH*MSLeachEF*NtoN2O*kgtoGg</f>
        <v>1.4981173933298619E-6</v>
      </c>
      <c r="BB140" s="22">
        <f>'Activity data'!BB48*FracLEACH*MSLeachEF*NtoN2O*kgtoGg</f>
        <v>1.4975713088731927E-6</v>
      </c>
      <c r="BC140" s="22">
        <f>'Activity data'!BC48*FracLEACH*MSLeachEF*NtoN2O*kgtoGg</f>
        <v>1.4970367770148105E-6</v>
      </c>
      <c r="BD140" s="22">
        <f>'Activity data'!BD48*FracLEACH*MSLeachEF*NtoN2O*kgtoGg</f>
        <v>1.4964862866922644E-6</v>
      </c>
      <c r="BE140" s="22">
        <f>'Activity data'!BE48*FracLEACH*MSLeachEF*NtoN2O*kgtoGg</f>
        <v>1.4959382690343105E-6</v>
      </c>
      <c r="BF140" s="22">
        <f>'Activity data'!BF48*FracLEACH*MSLeachEF*NtoN2O*kgtoGg</f>
        <v>1.4953941712712119E-6</v>
      </c>
      <c r="BG140" s="22">
        <f>'Activity data'!BG48*FracLEACH*MSLeachEF*NtoN2O*kgtoGg</f>
        <v>1.4948463610371335E-6</v>
      </c>
      <c r="BH140" s="22">
        <f>'Activity data'!BH48*FracLEACH*MSLeachEF*NtoN2O*kgtoGg</f>
        <v>1.4943138001031867E-6</v>
      </c>
      <c r="BI140" s="22">
        <f>'Activity data'!BI48*FracLEACH*MSLeachEF*NtoN2O*kgtoGg</f>
        <v>1.4937709093177149E-6</v>
      </c>
      <c r="BJ140" s="22">
        <f>'Activity data'!BJ48*FracLEACH*MSLeachEF*NtoN2O*kgtoGg</f>
        <v>1.4932098649018236E-6</v>
      </c>
      <c r="BK140" s="22">
        <f>'Activity data'!BK48*FracLEACH*MSLeachEF*NtoN2O*kgtoGg</f>
        <v>1.4926466708143633E-6</v>
      </c>
      <c r="BL140" s="22">
        <f>'Activity data'!BL48*FracLEACH*MSLeachEF*NtoN2O*kgtoGg</f>
        <v>1.4920808835740333E-6</v>
      </c>
      <c r="BM140" s="22">
        <f>'Activity data'!BM48*FracLEACH*MSLeachEF*NtoN2O*kgtoGg</f>
        <v>1.4914976082060963E-6</v>
      </c>
      <c r="BN140" s="22">
        <f>'Activity data'!BN48*FracLEACH*MSLeachEF*NtoN2O*kgtoGg</f>
        <v>1.4909031636153342E-6</v>
      </c>
      <c r="BO140" s="22">
        <f>'Activity data'!BO48*FracLEACH*MSLeachEF*NtoN2O*kgtoGg</f>
        <v>1.4903017994391313E-6</v>
      </c>
      <c r="BP140" s="22">
        <f>'Activity data'!BP48*FracLEACH*MSLeachEF*NtoN2O*kgtoGg</f>
        <v>1.4896851558177531E-6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0.20714502561891826</v>
      </c>
      <c r="AE141" s="22">
        <f>SUM('Activity data'!AE50:AE65)*FracLEACH*MSLeachEF*NtoN2O*kgtoGg</f>
        <v>0.20732835560623097</v>
      </c>
      <c r="AF141" s="22">
        <f>SUM('Activity data'!AF50:AF65)*FracLEACH*MSLeachEF*NtoN2O*kgtoGg</f>
        <v>0.20853137086969875</v>
      </c>
      <c r="AG141" s="22">
        <f>SUM('Activity data'!AG50:AG65)*FracLEACH*MSLeachEF*NtoN2O*kgtoGg</f>
        <v>0.20795637847695561</v>
      </c>
      <c r="AH141" s="22">
        <f>SUM('Activity data'!AH50:AH65)*FracLEACH*MSLeachEF*NtoN2O*kgtoGg</f>
        <v>0.20628301821112818</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0.18345421452632232</v>
      </c>
      <c r="AM141" s="22">
        <f>SUM('Activity data'!AM50:AM65)*FracLEACH*MSLeachEF*NtoN2O*kgtoGg</f>
        <v>0.19195652777420363</v>
      </c>
      <c r="AN141" s="22">
        <f>SUM('Activity data'!AN50:AN65)*FracLEACH*MSLeachEF*NtoN2O*kgtoGg</f>
        <v>0.19560562647572965</v>
      </c>
      <c r="AO141" s="22">
        <f>SUM('Activity data'!AO50:AO65)*FracLEACH*MSLeachEF*NtoN2O*kgtoGg</f>
        <v>0.19551310879477027</v>
      </c>
      <c r="AP141" s="22">
        <f>SUM('Activity data'!AP50:AP65)*FracLEACH*MSLeachEF*NtoN2O*kgtoGg</f>
        <v>0.19564383614228145</v>
      </c>
      <c r="AQ141" s="22">
        <f>SUM('Activity data'!AQ50:AQ65)*FracLEACH*MSLeachEF*NtoN2O*kgtoGg</f>
        <v>0.19679206133543856</v>
      </c>
      <c r="AR141" s="22">
        <f>SUM('Activity data'!AR50:AR65)*FracLEACH*MSLeachEF*NtoN2O*kgtoGg</f>
        <v>0.19890232993686438</v>
      </c>
      <c r="AS141" s="22">
        <f>SUM('Activity data'!AS50:AS65)*FracLEACH*MSLeachEF*NtoN2O*kgtoGg</f>
        <v>0.20146830931876691</v>
      </c>
      <c r="AT141" s="22">
        <f>SUM('Activity data'!AT50:AT65)*FracLEACH*MSLeachEF*NtoN2O*kgtoGg</f>
        <v>0.20461592637751433</v>
      </c>
      <c r="AU141" s="22">
        <f>SUM('Activity data'!AU50:AU65)*FracLEACH*MSLeachEF*NtoN2O*kgtoGg</f>
        <v>0.20874173146877406</v>
      </c>
      <c r="AV141" s="22">
        <f>SUM('Activity data'!AV50:AV65)*FracLEACH*MSLeachEF*NtoN2O*kgtoGg</f>
        <v>0.21378261140903454</v>
      </c>
      <c r="AW141" s="22">
        <f>SUM('Activity data'!AW50:AW65)*FracLEACH*MSLeachEF*NtoN2O*kgtoGg</f>
        <v>0.21859679605850485</v>
      </c>
      <c r="AX141" s="22">
        <f>SUM('Activity data'!AX50:AX65)*FracLEACH*MSLeachEF*NtoN2O*kgtoGg</f>
        <v>0.22386984820151812</v>
      </c>
      <c r="AY141" s="22">
        <f>SUM('Activity data'!AY50:AY65)*FracLEACH*MSLeachEF*NtoN2O*kgtoGg</f>
        <v>0.22938844096453867</v>
      </c>
      <c r="AZ141" s="22">
        <f>SUM('Activity data'!AZ50:AZ65)*FracLEACH*MSLeachEF*NtoN2O*kgtoGg</f>
        <v>0.23523527981160089</v>
      </c>
      <c r="BA141" s="22">
        <f>SUM('Activity data'!BA50:BA65)*FracLEACH*MSLeachEF*NtoN2O*kgtoGg</f>
        <v>0.24130885941961319</v>
      </c>
      <c r="BB141" s="22">
        <f>SUM('Activity data'!BB50:BB65)*FracLEACH*MSLeachEF*NtoN2O*kgtoGg</f>
        <v>0.2472639040241959</v>
      </c>
      <c r="BC141" s="22">
        <f>SUM('Activity data'!BC50:BC65)*FracLEACH*MSLeachEF*NtoN2O*kgtoGg</f>
        <v>0.2535862034929412</v>
      </c>
      <c r="BD141" s="22">
        <f>SUM('Activity data'!BD50:BD65)*FracLEACH*MSLeachEF*NtoN2O*kgtoGg</f>
        <v>0.25995553558112644</v>
      </c>
      <c r="BE141" s="22">
        <f>SUM('Activity data'!BE50:BE65)*FracLEACH*MSLeachEF*NtoN2O*kgtoGg</f>
        <v>0.26634495696174137</v>
      </c>
      <c r="BF141" s="22">
        <f>SUM('Activity data'!BF50:BF65)*FracLEACH*MSLeachEF*NtoN2O*kgtoGg</f>
        <v>0.27289661467925691</v>
      </c>
      <c r="BG141" s="22">
        <f>SUM('Activity data'!BG50:BG65)*FracLEACH*MSLeachEF*NtoN2O*kgtoGg</f>
        <v>0.27977832241045703</v>
      </c>
      <c r="BH141" s="22">
        <f>SUM('Activity data'!BH50:BH65)*FracLEACH*MSLeachEF*NtoN2O*kgtoGg</f>
        <v>0.28698321848664521</v>
      </c>
      <c r="BI141" s="22">
        <f>SUM('Activity data'!BI50:BI65)*FracLEACH*MSLeachEF*NtoN2O*kgtoGg</f>
        <v>0.29468105355097846</v>
      </c>
      <c r="BJ141" s="22">
        <f>SUM('Activity data'!BJ50:BJ65)*FracLEACH*MSLeachEF*NtoN2O*kgtoGg</f>
        <v>0.3025714710334354</v>
      </c>
      <c r="BK141" s="22">
        <f>SUM('Activity data'!BK50:BK65)*FracLEACH*MSLeachEF*NtoN2O*kgtoGg</f>
        <v>0.31067004429321721</v>
      </c>
      <c r="BL141" s="22">
        <f>SUM('Activity data'!BL50:BL65)*FracLEACH*MSLeachEF*NtoN2O*kgtoGg</f>
        <v>0.31929860938507826</v>
      </c>
      <c r="BM141" s="22">
        <f>SUM('Activity data'!BM50:BM65)*FracLEACH*MSLeachEF*NtoN2O*kgtoGg</f>
        <v>0.32834824969387966</v>
      </c>
      <c r="BN141" s="22">
        <f>SUM('Activity data'!BN50:BN65)*FracLEACH*MSLeachEF*NtoN2O*kgtoGg</f>
        <v>0.33774569605035937</v>
      </c>
      <c r="BO141" s="22">
        <f>SUM('Activity data'!BO50:BO65)*FracLEACH*MSLeachEF*NtoN2O*kgtoGg</f>
        <v>0.34769528474374956</v>
      </c>
      <c r="BP141" s="22">
        <f>SUM('Activity data'!BP50:BP65)*FracLEACH*MSLeachEF*NtoN2O*kgtoGg</f>
        <v>0.3570064156976871</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0.10248443536314014</v>
      </c>
      <c r="AN143" s="22">
        <f>'Activity data'!AN85*FracLEACH*MSLeachEF*NtoN2O*kgtoGg</f>
        <v>0.10329242458615623</v>
      </c>
      <c r="AO143" s="22">
        <f>'Activity data'!AO85*FracLEACH*MSLeachEF*NtoN2O*kgtoGg</f>
        <v>0.1037378169028777</v>
      </c>
      <c r="AP143" s="22">
        <f>'Activity data'!AP85*FracLEACH*MSLeachEF*NtoN2O*kgtoGg</f>
        <v>0.10391067359607317</v>
      </c>
      <c r="AQ143" s="22">
        <f>'Activity data'!AQ85*FracLEACH*MSLeachEF*NtoN2O*kgtoGg</f>
        <v>0.10409711390991817</v>
      </c>
      <c r="AR143" s="22">
        <f>'Activity data'!AR85*FracLEACH*MSLeachEF*NtoN2O*kgtoGg</f>
        <v>0.10435500295593778</v>
      </c>
      <c r="AS143" s="22">
        <f>'Activity data'!AS85*FracLEACH*MSLeachEF*NtoN2O*kgtoGg</f>
        <v>0.10468014995657268</v>
      </c>
      <c r="AT143" s="22">
        <f>'Activity data'!AT85*FracLEACH*MSLeachEF*NtoN2O*kgtoGg</f>
        <v>0.10503560179239499</v>
      </c>
      <c r="AU143" s="22">
        <f>'Activity data'!AU85*FracLEACH*MSLeachEF*NtoN2O*kgtoGg</f>
        <v>0.10542997312222666</v>
      </c>
      <c r="AV143" s="22">
        <f>'Activity data'!AV85*FracLEACH*MSLeachEF*NtoN2O*kgtoGg</f>
        <v>0.10589053374076159</v>
      </c>
      <c r="AW143" s="22">
        <f>'Activity data'!AW85*FracLEACH*MSLeachEF*NtoN2O*kgtoGg</f>
        <v>0.10641076487597649</v>
      </c>
      <c r="AX143" s="22">
        <f>'Activity data'!AX85*FracLEACH*MSLeachEF*NtoN2O*kgtoGg</f>
        <v>0.10696189666025695</v>
      </c>
      <c r="AY143" s="22">
        <f>'Activity data'!AY85*FracLEACH*MSLeachEF*NtoN2O*kgtoGg</f>
        <v>0.10754070977582914</v>
      </c>
      <c r="AZ143" s="22">
        <f>'Activity data'!AZ85*FracLEACH*MSLeachEF*NtoN2O*kgtoGg</f>
        <v>0.10813173549975955</v>
      </c>
      <c r="BA143" s="22">
        <f>'Activity data'!BA85*FracLEACH*MSLeachEF*NtoN2O*kgtoGg</f>
        <v>0.10873983274260557</v>
      </c>
      <c r="BB143" s="22">
        <f>'Activity data'!BB85*FracLEACH*MSLeachEF*NtoN2O*kgtoGg</f>
        <v>0.10935753594761956</v>
      </c>
      <c r="BC143" s="22">
        <f>'Activity data'!BC85*FracLEACH*MSLeachEF*NtoN2O*kgtoGg</f>
        <v>0.10996217143590806</v>
      </c>
      <c r="BD143" s="22">
        <f>'Activity data'!BD85*FracLEACH*MSLeachEF*NtoN2O*kgtoGg</f>
        <v>0.11058485833426822</v>
      </c>
      <c r="BE143" s="22">
        <f>'Activity data'!BE85*FracLEACH*MSLeachEF*NtoN2O*kgtoGg</f>
        <v>0.11120474827910765</v>
      </c>
      <c r="BF143" s="22">
        <f>'Activity data'!BF85*FracLEACH*MSLeachEF*NtoN2O*kgtoGg</f>
        <v>0.11182020423651956</v>
      </c>
      <c r="BG143" s="22">
        <f>'Activity data'!BG85*FracLEACH*MSLeachEF*NtoN2O*kgtoGg</f>
        <v>0.11243985955392911</v>
      </c>
      <c r="BH143" s="22">
        <f>'Activity data'!BH85*FracLEACH*MSLeachEF*NtoN2O*kgtoGg</f>
        <v>0.11304226563186594</v>
      </c>
      <c r="BI143" s="22">
        <f>'Activity data'!BI85*FracLEACH*MSLeachEF*NtoN2O*kgtoGg</f>
        <v>0.1136563563170396</v>
      </c>
      <c r="BJ143" s="22">
        <f>'Activity data'!BJ85*FracLEACH*MSLeachEF*NtoN2O*kgtoGg</f>
        <v>0.1142909814736776</v>
      </c>
      <c r="BK143" s="22">
        <f>'Activity data'!BK85*FracLEACH*MSLeachEF*NtoN2O*kgtoGg</f>
        <v>0.11492803823041334</v>
      </c>
      <c r="BL143" s="22">
        <f>'Activity data'!BL85*FracLEACH*MSLeachEF*NtoN2O*kgtoGg</f>
        <v>0.11556802823093357</v>
      </c>
      <c r="BM143" s="22">
        <f>'Activity data'!BM85*FracLEACH*MSLeachEF*NtoN2O*kgtoGg</f>
        <v>0.11622779991969046</v>
      </c>
      <c r="BN143" s="22">
        <f>'Activity data'!BN85*FracLEACH*MSLeachEF*NtoN2O*kgtoGg</f>
        <v>0.11690020567017985</v>
      </c>
      <c r="BO143" s="22">
        <f>'Activity data'!BO85*FracLEACH*MSLeachEF*NtoN2O*kgtoGg</f>
        <v>0.11758043850684917</v>
      </c>
      <c r="BP143" s="22">
        <f>'Activity data'!BP85*FracLEACH*MSLeachEF*NtoN2O*kgtoGg</f>
        <v>0.11827795468154553</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0.39831175345583053</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0.39675335904637443</v>
      </c>
      <c r="AM156" s="22">
        <f>Constants!$H63*'Activity data'!AM5*Constants!$H81*EF!$H206*MMVolatEF*NtoN2O*kgtoGg</f>
        <v>0.40475430836671095</v>
      </c>
      <c r="AN156" s="22">
        <f>Constants!$H63*'Activity data'!AN5*Constants!$H81*EF!$H206*MMVolatEF*NtoN2O*kgtoGg</f>
        <v>0.40872605361155973</v>
      </c>
      <c r="AO156" s="22">
        <f>Constants!$H63*'Activity data'!AO5*Constants!$H81*EF!$H206*MMVolatEF*NtoN2O*kgtoGg</f>
        <v>0.40976331225325113</v>
      </c>
      <c r="AP156" s="22">
        <f>Constants!$H63*'Activity data'!AP5*Constants!$H81*EF!$H206*MMVolatEF*NtoN2O*kgtoGg</f>
        <v>0.41123817221629572</v>
      </c>
      <c r="AQ156" s="22">
        <f>Constants!$H63*'Activity data'!AQ5*Constants!$H81*EF!$H206*MMVolatEF*NtoN2O*kgtoGg</f>
        <v>0.41371299835327524</v>
      </c>
      <c r="AR156" s="22">
        <f>Constants!$H63*'Activity data'!AR5*Constants!$H81*EF!$H206*MMVolatEF*NtoN2O*kgtoGg</f>
        <v>0.41698233077605895</v>
      </c>
      <c r="AS156" s="22">
        <f>Constants!$H63*'Activity data'!AS5*Constants!$H81*EF!$H206*MMVolatEF*NtoN2O*kgtoGg</f>
        <v>0.42064271286230337</v>
      </c>
      <c r="AT156" s="22">
        <f>Constants!$H63*'Activity data'!AT5*Constants!$H81*EF!$H206*MMVolatEF*NtoN2O*kgtoGg</f>
        <v>0.42480942612911948</v>
      </c>
      <c r="AU156" s="22">
        <f>Constants!$H63*'Activity data'!AU5*Constants!$H81*EF!$H206*MMVolatEF*NtoN2O*kgtoGg</f>
        <v>0.42983972534171444</v>
      </c>
      <c r="AV156" s="22">
        <f>Constants!$H63*'Activity data'!AV5*Constants!$H81*EF!$H206*MMVolatEF*NtoN2O*kgtoGg</f>
        <v>0.43570438871758699</v>
      </c>
      <c r="AW156" s="22">
        <f>Constants!$H63*'Activity data'!AW5*Constants!$H81*EF!$H206*MMVolatEF*NtoN2O*kgtoGg</f>
        <v>0.44208757106569879</v>
      </c>
      <c r="AX156" s="22">
        <f>Constants!$H63*'Activity data'!AX5*Constants!$H81*EF!$H206*MMVolatEF*NtoN2O*kgtoGg</f>
        <v>0.44898350336000287</v>
      </c>
      <c r="AY156" s="22">
        <f>Constants!$H63*'Activity data'!AY5*Constants!$H81*EF!$H206*MMVolatEF*NtoN2O*kgtoGg</f>
        <v>0.45621719419550344</v>
      </c>
      <c r="AZ156" s="22">
        <f>Constants!$H63*'Activity data'!AZ5*Constants!$H81*EF!$H206*MMVolatEF*NtoN2O*kgtoGg</f>
        <v>0.46386955104730232</v>
      </c>
      <c r="BA156" s="22">
        <f>Constants!$H63*'Activity data'!BA5*Constants!$H81*EF!$H206*MMVolatEF*NtoN2O*kgtoGg</f>
        <v>0.47186189087523389</v>
      </c>
      <c r="BB156" s="22">
        <f>Constants!$H63*'Activity data'!BB5*Constants!$H81*EF!$H206*MMVolatEF*NtoN2O*kgtoGg</f>
        <v>0.47988623531160551</v>
      </c>
      <c r="BC156" s="22">
        <f>Constants!$H63*'Activity data'!BC5*Constants!$H81*EF!$H206*MMVolatEF*NtoN2O*kgtoGg</f>
        <v>0.48839393378093798</v>
      </c>
      <c r="BD156" s="22">
        <f>Constants!$H63*'Activity data'!BD5*Constants!$H81*EF!$H206*MMVolatEF*NtoN2O*kgtoGg</f>
        <v>0.49708758308730938</v>
      </c>
      <c r="BE156" s="22">
        <f>Constants!$H63*'Activity data'!BE5*Constants!$H81*EF!$H206*MMVolatEF*NtoN2O*kgtoGg</f>
        <v>0.50594507247479314</v>
      </c>
      <c r="BF156" s="22">
        <f>Constants!$H63*'Activity data'!BF5*Constants!$H81*EF!$H206*MMVolatEF*NtoN2O*kgtoGg</f>
        <v>0.51510910677271904</v>
      </c>
      <c r="BG156" s="22">
        <f>Constants!$H63*'Activity data'!BG5*Constants!$H81*EF!$H206*MMVolatEF*NtoN2O*kgtoGg</f>
        <v>0.52423757979493812</v>
      </c>
      <c r="BH156" s="22">
        <f>Constants!$H63*'Activity data'!BH5*Constants!$H81*EF!$H206*MMVolatEF*NtoN2O*kgtoGg</f>
        <v>0.53380454045789072</v>
      </c>
      <c r="BI156" s="22">
        <f>Constants!$H63*'Activity data'!BI5*Constants!$H81*EF!$H206*MMVolatEF*NtoN2O*kgtoGg</f>
        <v>0.54398662027094624</v>
      </c>
      <c r="BJ156" s="22">
        <f>Constants!$H63*'Activity data'!BJ5*Constants!$H81*EF!$H206*MMVolatEF*NtoN2O*kgtoGg</f>
        <v>0.55449515288018025</v>
      </c>
      <c r="BK156" s="22">
        <f>Constants!$H63*'Activity data'!BK5*Constants!$H81*EF!$H206*MMVolatEF*NtoN2O*kgtoGg</f>
        <v>0.56534914989912133</v>
      </c>
      <c r="BL156" s="22">
        <f>Constants!$H63*'Activity data'!BL5*Constants!$H81*EF!$H206*MMVolatEF*NtoN2O*kgtoGg</f>
        <v>0.57688261473585911</v>
      </c>
      <c r="BM156" s="22">
        <f>Constants!$H63*'Activity data'!BM5*Constants!$H81*EF!$H206*MMVolatEF*NtoN2O*kgtoGg</f>
        <v>0.58899855031934889</v>
      </c>
      <c r="BN156" s="22">
        <f>Constants!$H63*'Activity data'!BN5*Constants!$H81*EF!$H206*MMVolatEF*NtoN2O*kgtoGg</f>
        <v>0.60163444677907796</v>
      </c>
      <c r="BO156" s="22">
        <f>Constants!$H63*'Activity data'!BO5*Constants!$H81*EF!$H206*MMVolatEF*NtoN2O*kgtoGg</f>
        <v>0.61501799344157537</v>
      </c>
      <c r="BP156" s="22">
        <f>Constants!$H63*'Activity data'!BP5*Constants!$H81*EF!$H206*MMVolatEF*NtoN2O*kgtoGg</f>
        <v>0.62789543257311353</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3.1424516095088999E-2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3.1301567701581753E-2</v>
      </c>
      <c r="AM157" s="22">
        <f>Constants!$H64*'Activity data'!AM6*Constants!$H82*EF!$H207*MMVolatEF*NtoN2O*kgtoGg</f>
        <v>3.1932796779085698E-2</v>
      </c>
      <c r="AN157" s="22">
        <f>Constants!$H64*'Activity data'!AN6*Constants!$H82*EF!$H207*MMVolatEF*NtoN2O*kgtoGg</f>
        <v>3.2246144731511071E-2</v>
      </c>
      <c r="AO157" s="22">
        <f>Constants!$H64*'Activity data'!AO6*Constants!$H82*EF!$H207*MMVolatEF*NtoN2O*kgtoGg</f>
        <v>3.2327978497644752E-2</v>
      </c>
      <c r="AP157" s="22">
        <f>Constants!$H64*'Activity data'!AP6*Constants!$H82*EF!$H207*MMVolatEF*NtoN2O*kgtoGg</f>
        <v>3.2444336501757327E-2</v>
      </c>
      <c r="AQ157" s="22">
        <f>Constants!$H64*'Activity data'!AQ6*Constants!$H82*EF!$H207*MMVolatEF*NtoN2O*kgtoGg</f>
        <v>3.2639586109882893E-2</v>
      </c>
      <c r="AR157" s="22">
        <f>Constants!$H64*'Activity data'!AR6*Constants!$H82*EF!$H207*MMVolatEF*NtoN2O*kgtoGg</f>
        <v>3.2897517713579225E-2</v>
      </c>
      <c r="AS157" s="22">
        <f>Constants!$H64*'Activity data'!AS6*Constants!$H82*EF!$H207*MMVolatEF*NtoN2O*kgtoGg</f>
        <v>3.318630089606224E-2</v>
      </c>
      <c r="AT157" s="22">
        <f>Constants!$H64*'Activity data'!AT6*Constants!$H82*EF!$H207*MMVolatEF*NtoN2O*kgtoGg</f>
        <v>3.3515030708779675E-2</v>
      </c>
      <c r="AU157" s="22">
        <f>Constants!$H64*'Activity data'!AU6*Constants!$H82*EF!$H207*MMVolatEF*NtoN2O*kgtoGg</f>
        <v>3.3911892506599629E-2</v>
      </c>
      <c r="AV157" s="22">
        <f>Constants!$H64*'Activity data'!AV6*Constants!$H82*EF!$H207*MMVolatEF*NtoN2O*kgtoGg</f>
        <v>3.4374580858244831E-2</v>
      </c>
      <c r="AW157" s="22">
        <f>Constants!$H64*'Activity data'!AW6*Constants!$H82*EF!$H207*MMVolatEF*NtoN2O*kgtoGg</f>
        <v>3.4878177387083813E-2</v>
      </c>
      <c r="AX157" s="22">
        <f>Constants!$H64*'Activity data'!AX6*Constants!$H82*EF!$H207*MMVolatEF*NtoN2O*kgtoGg</f>
        <v>3.5422226950002453E-2</v>
      </c>
      <c r="AY157" s="22">
        <f>Constants!$H64*'Activity data'!AY6*Constants!$H82*EF!$H207*MMVolatEF*NtoN2O*kgtoGg</f>
        <v>3.5992923727375593E-2</v>
      </c>
      <c r="AZ157" s="22">
        <f>Constants!$H64*'Activity data'!AZ6*Constants!$H82*EF!$H207*MMVolatEF*NtoN2O*kgtoGg</f>
        <v>3.6596650855607031E-2</v>
      </c>
      <c r="BA157" s="22">
        <f>Constants!$H64*'Activity data'!BA6*Constants!$H82*EF!$H207*MMVolatEF*NtoN2O*kgtoGg</f>
        <v>3.7227200693469409E-2</v>
      </c>
      <c r="BB157" s="22">
        <f>Constants!$H64*'Activity data'!BB6*Constants!$H82*EF!$H207*MMVolatEF*NtoN2O*kgtoGg</f>
        <v>3.7860275511637599E-2</v>
      </c>
      <c r="BC157" s="22">
        <f>Constants!$H64*'Activity data'!BC6*Constants!$H82*EF!$H207*MMVolatEF*NtoN2O*kgtoGg</f>
        <v>3.8531484194690796E-2</v>
      </c>
      <c r="BD157" s="22">
        <f>Constants!$H64*'Activity data'!BD6*Constants!$H82*EF!$H207*MMVolatEF*NtoN2O*kgtoGg</f>
        <v>3.9217363333789369E-2</v>
      </c>
      <c r="BE157" s="22">
        <f>Constants!$H64*'Activity data'!BE6*Constants!$H82*EF!$H207*MMVolatEF*NtoN2O*kgtoGg</f>
        <v>3.9916168516925726E-2</v>
      </c>
      <c r="BF157" s="22">
        <f>Constants!$H64*'Activity data'!BF6*Constants!$H82*EF!$H207*MMVolatEF*NtoN2O*kgtoGg</f>
        <v>4.0639158337820017E-2</v>
      </c>
      <c r="BG157" s="22">
        <f>Constants!$H64*'Activity data'!BG6*Constants!$H82*EF!$H207*MMVolatEF*NtoN2O*kgtoGg</f>
        <v>4.1359342577731273E-2</v>
      </c>
      <c r="BH157" s="22">
        <f>Constants!$H64*'Activity data'!BH6*Constants!$H82*EF!$H207*MMVolatEF*NtoN2O*kgtoGg</f>
        <v>4.211412098114431E-2</v>
      </c>
      <c r="BI157" s="22">
        <f>Constants!$H64*'Activity data'!BI6*Constants!$H82*EF!$H207*MMVolatEF*NtoN2O*kgtoGg</f>
        <v>4.2917428762525973E-2</v>
      </c>
      <c r="BJ157" s="22">
        <f>Constants!$H64*'Activity data'!BJ6*Constants!$H82*EF!$H207*MMVolatEF*NtoN2O*kgtoGg</f>
        <v>4.3746491799831644E-2</v>
      </c>
      <c r="BK157" s="22">
        <f>Constants!$H64*'Activity data'!BK6*Constants!$H82*EF!$H207*MMVolatEF*NtoN2O*kgtoGg</f>
        <v>4.4602810000483467E-2</v>
      </c>
      <c r="BL157" s="22">
        <f>Constants!$H64*'Activity data'!BL6*Constants!$H82*EF!$H207*MMVolatEF*NtoN2O*kgtoGg</f>
        <v>4.5512734320440534E-2</v>
      </c>
      <c r="BM157" s="22">
        <f>Constants!$H64*'Activity data'!BM6*Constants!$H82*EF!$H207*MMVolatEF*NtoN2O*kgtoGg</f>
        <v>4.64686122463292E-2</v>
      </c>
      <c r="BN157" s="22">
        <f>Constants!$H64*'Activity data'!BN6*Constants!$H82*EF!$H207*MMVolatEF*NtoN2O*kgtoGg</f>
        <v>4.7465512107379045E-2</v>
      </c>
      <c r="BO157" s="22">
        <f>Constants!$H64*'Activity data'!BO6*Constants!$H82*EF!$H207*MMVolatEF*NtoN2O*kgtoGg</f>
        <v>4.8521397287407161E-2</v>
      </c>
      <c r="BP157" s="22">
        <f>Constants!$H64*'Activity data'!BP6*Constants!$H82*EF!$H207*MMVolatEF*NtoN2O*kgtoGg</f>
        <v>4.953735348187438E-2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2.9129279224209421E-4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2.9015310943081291E-4</v>
      </c>
      <c r="AM158" s="22">
        <f>Constants!$H65*'Activity data'!AM7*Constants!$H83*EF!$H208*MMVolatEF*NtoN2O*kgtoGg</f>
        <v>2.9600435245311237E-4</v>
      </c>
      <c r="AN158" s="22">
        <f>Constants!$H65*'Activity data'!AN7*Constants!$H83*EF!$H208*MMVolatEF*NtoN2O*kgtoGg</f>
        <v>2.9890896360859154E-4</v>
      </c>
      <c r="AO158" s="22">
        <f>Constants!$H65*'Activity data'!AO7*Constants!$H83*EF!$H208*MMVolatEF*NtoN2O*kgtoGg</f>
        <v>2.9966753014195159E-4</v>
      </c>
      <c r="AP158" s="22">
        <f>Constants!$H65*'Activity data'!AP7*Constants!$H83*EF!$H208*MMVolatEF*NtoN2O*kgtoGg</f>
        <v>3.0074612265917932E-4</v>
      </c>
      <c r="AQ158" s="22">
        <f>Constants!$H65*'Activity data'!AQ7*Constants!$H83*EF!$H208*MMVolatEF*NtoN2O*kgtoGg</f>
        <v>3.0255600903461219E-4</v>
      </c>
      <c r="AR158" s="22">
        <f>Constants!$H65*'Activity data'!AR7*Constants!$H83*EF!$H208*MMVolatEF*NtoN2O*kgtoGg</f>
        <v>3.0494693263136179E-4</v>
      </c>
      <c r="AS158" s="22">
        <f>Constants!$H65*'Activity data'!AS7*Constants!$H83*EF!$H208*MMVolatEF*NtoN2O*kgtoGg</f>
        <v>3.0762383811889561E-4</v>
      </c>
      <c r="AT158" s="22">
        <f>Constants!$H65*'Activity data'!AT7*Constants!$H83*EF!$H208*MMVolatEF*NtoN2O*kgtoGg</f>
        <v>3.1067103301443271E-4</v>
      </c>
      <c r="AU158" s="22">
        <f>Constants!$H65*'Activity data'!AU7*Constants!$H83*EF!$H208*MMVolatEF*NtoN2O*kgtoGg</f>
        <v>3.1434978437121989E-4</v>
      </c>
      <c r="AV158" s="22">
        <f>Constants!$H65*'Activity data'!AV7*Constants!$H83*EF!$H208*MMVolatEF*NtoN2O*kgtoGg</f>
        <v>3.1863872175631096E-4</v>
      </c>
      <c r="AW158" s="22">
        <f>Constants!$H65*'Activity data'!AW7*Constants!$H83*EF!$H208*MMVolatEF*NtoN2O*kgtoGg</f>
        <v>3.2330686170809402E-4</v>
      </c>
      <c r="AX158" s="22">
        <f>Constants!$H65*'Activity data'!AX7*Constants!$H83*EF!$H208*MMVolatEF*NtoN2O*kgtoGg</f>
        <v>3.2834998523054116E-4</v>
      </c>
      <c r="AY158" s="22">
        <f>Constants!$H65*'Activity data'!AY7*Constants!$H83*EF!$H208*MMVolatEF*NtoN2O*kgtoGg</f>
        <v>3.3364011785506768E-4</v>
      </c>
      <c r="AZ158" s="22">
        <f>Constants!$H65*'Activity data'!AZ7*Constants!$H83*EF!$H208*MMVolatEF*NtoN2O*kgtoGg</f>
        <v>3.3923642872275747E-4</v>
      </c>
      <c r="BA158" s="22">
        <f>Constants!$H65*'Activity data'!BA7*Constants!$H83*EF!$H208*MMVolatEF*NtoN2O*kgtoGg</f>
        <v>3.4508137546316036E-4</v>
      </c>
      <c r="BB158" s="22">
        <f>Constants!$H65*'Activity data'!BB7*Constants!$H83*EF!$H208*MMVolatEF*NtoN2O*kgtoGg</f>
        <v>3.5094972776886815E-4</v>
      </c>
      <c r="BC158" s="22">
        <f>Constants!$H65*'Activity data'!BC7*Constants!$H83*EF!$H208*MMVolatEF*NtoN2O*kgtoGg</f>
        <v>3.5717156586725218E-4</v>
      </c>
      <c r="BD158" s="22">
        <f>Constants!$H65*'Activity data'!BD7*Constants!$H83*EF!$H208*MMVolatEF*NtoN2O*kgtoGg</f>
        <v>3.6352939327067397E-4</v>
      </c>
      <c r="BE158" s="22">
        <f>Constants!$H65*'Activity data'!BE7*Constants!$H83*EF!$H208*MMVolatEF*NtoN2O*kgtoGg</f>
        <v>3.7000703997215649E-4</v>
      </c>
      <c r="BF158" s="22">
        <f>Constants!$H65*'Activity data'!BF7*Constants!$H83*EF!$H208*MMVolatEF*NtoN2O*kgtoGg</f>
        <v>3.7670886866710392E-4</v>
      </c>
      <c r="BG158" s="22">
        <f>Constants!$H65*'Activity data'!BG7*Constants!$H83*EF!$H208*MMVolatEF*NtoN2O*kgtoGg</f>
        <v>3.8338469073983557E-4</v>
      </c>
      <c r="BH158" s="22">
        <f>Constants!$H65*'Activity data'!BH7*Constants!$H83*EF!$H208*MMVolatEF*NtoN2O*kgtoGg</f>
        <v>3.9038118697827962E-4</v>
      </c>
      <c r="BI158" s="22">
        <f>Constants!$H65*'Activity data'!BI7*Constants!$H83*EF!$H208*MMVolatEF*NtoN2O*kgtoGg</f>
        <v>3.9782753128984823E-4</v>
      </c>
      <c r="BJ158" s="22">
        <f>Constants!$H65*'Activity data'!BJ7*Constants!$H83*EF!$H208*MMVolatEF*NtoN2O*kgtoGg</f>
        <v>4.0551261660192481E-4</v>
      </c>
      <c r="BK158" s="22">
        <f>Constants!$H65*'Activity data'!BK7*Constants!$H83*EF!$H208*MMVolatEF*NtoN2O*kgtoGg</f>
        <v>4.134503464610197E-4</v>
      </c>
      <c r="BL158" s="22">
        <f>Constants!$H65*'Activity data'!BL7*Constants!$H83*EF!$H208*MMVolatEF*NtoN2O*kgtoGg</f>
        <v>4.218849837705407E-4</v>
      </c>
      <c r="BM158" s="22">
        <f>Constants!$H65*'Activity data'!BM7*Constants!$H83*EF!$H208*MMVolatEF*NtoN2O*kgtoGg</f>
        <v>4.3074559276869194E-4</v>
      </c>
      <c r="BN158" s="22">
        <f>Constants!$H65*'Activity data'!BN7*Constants!$H83*EF!$H208*MMVolatEF*NtoN2O*kgtoGg</f>
        <v>4.3998645882474367E-4</v>
      </c>
      <c r="BO158" s="22">
        <f>Constants!$H65*'Activity data'!BO7*Constants!$H83*EF!$H208*MMVolatEF*NtoN2O*kgtoGg</f>
        <v>4.4977409537726024E-4</v>
      </c>
      <c r="BP158" s="22">
        <f>Constants!$H65*'Activity data'!BP7*Constants!$H83*EF!$H208*MMVolatEF*NtoN2O*kgtoGg</f>
        <v>4.5919160608089382E-4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3.2323215352203869E-3</v>
      </c>
      <c r="AE159" s="22">
        <f>Constants!$H66*'Activity data'!AE8*Constants!$H84*EF!$H209*MMVolatEF*NtoN2O*kgtoGg</f>
        <v>3.2042886428129448E-3</v>
      </c>
      <c r="AF159" s="22">
        <f>Constants!$H66*'Activity data'!AF8*Constants!$H84*EF!$H209*MMVolatEF*NtoN2O*kgtoGg</f>
        <v>3.1936173693006072E-3</v>
      </c>
      <c r="AG159" s="22">
        <f>Constants!$H66*'Activity data'!AG8*Constants!$H84*EF!$H209*MMVolatEF*NtoN2O*kgtoGg</f>
        <v>3.150970789688672E-3</v>
      </c>
      <c r="AH159" s="22">
        <f>Constants!$H66*'Activity data'!AH8*Constants!$H84*EF!$H209*MMVolatEF*NtoN2O*kgtoGg</f>
        <v>3.0890682378804098E-3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2.5775843671431266E-3</v>
      </c>
      <c r="AM159" s="22">
        <f>Constants!$H66*'Activity data'!AM8*Constants!$H84*EF!$H209*MMVolatEF*NtoN2O*kgtoGg</f>
        <v>2.7008194536362932E-3</v>
      </c>
      <c r="AN159" s="22">
        <f>Constants!$H66*'Activity data'!AN8*Constants!$H84*EF!$H209*MMVolatEF*NtoN2O*kgtoGg</f>
        <v>2.7434834642963983E-3</v>
      </c>
      <c r="AO159" s="22">
        <f>Constants!$H66*'Activity data'!AO8*Constants!$H84*EF!$H209*MMVolatEF*NtoN2O*kgtoGg</f>
        <v>2.7249559704571515E-3</v>
      </c>
      <c r="AP159" s="22">
        <f>Constants!$H66*'Activity data'!AP8*Constants!$H84*EF!$H209*MMVolatEF*NtoN2O*kgtoGg</f>
        <v>2.7098851587955765E-3</v>
      </c>
      <c r="AQ159" s="22">
        <f>Constants!$H66*'Activity data'!AQ8*Constants!$H84*EF!$H209*MMVolatEF*NtoN2O*kgtoGg</f>
        <v>2.7108751448487677E-3</v>
      </c>
      <c r="AR159" s="22">
        <f>Constants!$H66*'Activity data'!AR8*Constants!$H84*EF!$H209*MMVolatEF*NtoN2O*kgtoGg</f>
        <v>2.7267936110374771E-3</v>
      </c>
      <c r="AS159" s="22">
        <f>Constants!$H66*'Activity data'!AS8*Constants!$H84*EF!$H209*MMVolatEF*NtoN2O*kgtoGg</f>
        <v>2.7493808220457119E-3</v>
      </c>
      <c r="AT159" s="22">
        <f>Constants!$H66*'Activity data'!AT8*Constants!$H84*EF!$H209*MMVolatEF*NtoN2O*kgtoGg</f>
        <v>2.7804561510044621E-3</v>
      </c>
      <c r="AU159" s="22">
        <f>Constants!$H66*'Activity data'!AU8*Constants!$H84*EF!$H209*MMVolatEF*NtoN2O*kgtoGg</f>
        <v>2.8259754098654112E-3</v>
      </c>
      <c r="AV159" s="22">
        <f>Constants!$H66*'Activity data'!AV8*Constants!$H84*EF!$H209*MMVolatEF*NtoN2O*kgtoGg</f>
        <v>2.8846530294108553E-3</v>
      </c>
      <c r="AW159" s="22">
        <f>Constants!$H66*'Activity data'!AW8*Constants!$H84*EF!$H209*MMVolatEF*NtoN2O*kgtoGg</f>
        <v>2.9255627766607379E-3</v>
      </c>
      <c r="AX159" s="22">
        <f>Constants!$H66*'Activity data'!AX8*Constants!$H84*EF!$H209*MMVolatEF*NtoN2O*kgtoGg</f>
        <v>2.9713051294800673E-3</v>
      </c>
      <c r="AY159" s="22">
        <f>Constants!$H66*'Activity data'!AY8*Constants!$H84*EF!$H209*MMVolatEF*NtoN2O*kgtoGg</f>
        <v>3.0184328847155249E-3</v>
      </c>
      <c r="AZ159" s="22">
        <f>Constants!$H66*'Activity data'!AZ8*Constants!$H84*EF!$H209*MMVolatEF*NtoN2O*kgtoGg</f>
        <v>3.0679929310084191E-3</v>
      </c>
      <c r="BA159" s="22">
        <f>Constants!$H66*'Activity data'!BA8*Constants!$H84*EF!$H209*MMVolatEF*NtoN2O*kgtoGg</f>
        <v>3.1182952843922906E-3</v>
      </c>
      <c r="BB159" s="22">
        <f>Constants!$H66*'Activity data'!BB8*Constants!$H84*EF!$H209*MMVolatEF*NtoN2O*kgtoGg</f>
        <v>3.1642302715808976E-3</v>
      </c>
      <c r="BC159" s="22">
        <f>Constants!$H66*'Activity data'!BC8*Constants!$H84*EF!$H209*MMVolatEF*NtoN2O*kgtoGg</f>
        <v>3.2126832525729617E-3</v>
      </c>
      <c r="BD159" s="22">
        <f>Constants!$H66*'Activity data'!BD8*Constants!$H84*EF!$H209*MMVolatEF*NtoN2O*kgtoGg</f>
        <v>3.2589422884996468E-3</v>
      </c>
      <c r="BE159" s="22">
        <f>Constants!$H66*'Activity data'!BE8*Constants!$H84*EF!$H209*MMVolatEF*NtoN2O*kgtoGg</f>
        <v>3.3025617246378643E-3</v>
      </c>
      <c r="BF159" s="22">
        <f>Constants!$H66*'Activity data'!BF8*Constants!$H84*EF!$H209*MMVolatEF*NtoN2O*kgtoGg</f>
        <v>3.3454061319751881E-3</v>
      </c>
      <c r="BG159" s="22">
        <f>Constants!$H66*'Activity data'!BG8*Constants!$H84*EF!$H209*MMVolatEF*NtoN2O*kgtoGg</f>
        <v>3.3998120453296449E-3</v>
      </c>
      <c r="BH159" s="22">
        <f>Constants!$H66*'Activity data'!BH8*Constants!$H84*EF!$H209*MMVolatEF*NtoN2O*kgtoGg</f>
        <v>3.4560846217306851E-3</v>
      </c>
      <c r="BI159" s="22">
        <f>Constants!$H66*'Activity data'!BI8*Constants!$H84*EF!$H209*MMVolatEF*NtoN2O*kgtoGg</f>
        <v>3.5162688695670069E-3</v>
      </c>
      <c r="BJ159" s="22">
        <f>Constants!$H66*'Activity data'!BJ8*Constants!$H84*EF!$H209*MMVolatEF*NtoN2O*kgtoGg</f>
        <v>3.576218960305765E-3</v>
      </c>
      <c r="BK159" s="22">
        <f>Constants!$H66*'Activity data'!BK8*Constants!$H84*EF!$H209*MMVolatEF*NtoN2O*kgtoGg</f>
        <v>3.6360127055851286E-3</v>
      </c>
      <c r="BL159" s="22">
        <f>Constants!$H66*'Activity data'!BL8*Constants!$H84*EF!$H209*MMVolatEF*NtoN2O*kgtoGg</f>
        <v>3.6995797552595183E-3</v>
      </c>
      <c r="BM159" s="22">
        <f>Constants!$H66*'Activity data'!BM8*Constants!$H84*EF!$H209*MMVolatEF*NtoN2O*kgtoGg</f>
        <v>3.7652741980581834E-3</v>
      </c>
      <c r="BN159" s="22">
        <f>Constants!$H66*'Activity data'!BN8*Constants!$H84*EF!$H209*MMVolatEF*NtoN2O*kgtoGg</f>
        <v>3.831953873173879E-3</v>
      </c>
      <c r="BO159" s="22">
        <f>Constants!$H66*'Activity data'!BO8*Constants!$H84*EF!$H209*MMVolatEF*NtoN2O*kgtoGg</f>
        <v>3.9018879316463188E-3</v>
      </c>
      <c r="BP159" s="22">
        <f>Constants!$H66*'Activity data'!BP8*Constants!$H84*EF!$H209*MMVolatEF*NtoN2O*kgtoGg</f>
        <v>3.9605189402422969E-3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1.5685552742581484E-2</v>
      </c>
      <c r="AH160" s="22">
        <f>Constants!$H67*'Activity data'!AH9*Constants!$H85*EF!$H210*MMVolatEF*NtoN2O*kgtoGg</f>
        <v>1.5377401443792453E-2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1.283123146415196E-2</v>
      </c>
      <c r="AM160" s="22">
        <f>Constants!$H67*'Activity data'!AM9*Constants!$H85*EF!$H210*MMVolatEF*NtoN2O*kgtoGg</f>
        <v>1.3444696512844507E-2</v>
      </c>
      <c r="AN160" s="22">
        <f>Constants!$H67*'Activity data'!AN9*Constants!$H85*EF!$H210*MMVolatEF*NtoN2O*kgtoGg</f>
        <v>1.3657078230761113E-2</v>
      </c>
      <c r="AO160" s="22">
        <f>Constants!$H67*'Activity data'!AO9*Constants!$H85*EF!$H210*MMVolatEF*NtoN2O*kgtoGg</f>
        <v>1.3564848247939834E-2</v>
      </c>
      <c r="AP160" s="22">
        <f>Constants!$H67*'Activity data'!AP9*Constants!$H85*EF!$H210*MMVolatEF*NtoN2O*kgtoGg</f>
        <v>1.3489825651105632E-2</v>
      </c>
      <c r="AQ160" s="22">
        <f>Constants!$H67*'Activity data'!AQ9*Constants!$H85*EF!$H210*MMVolatEF*NtoN2O*kgtoGg</f>
        <v>1.3494753808009711E-2</v>
      </c>
      <c r="AR160" s="22">
        <f>Constants!$H67*'Activity data'!AR9*Constants!$H85*EF!$H210*MMVolatEF*NtoN2O*kgtoGg</f>
        <v>1.3573996034501018E-2</v>
      </c>
      <c r="AS160" s="22">
        <f>Constants!$H67*'Activity data'!AS9*Constants!$H85*EF!$H210*MMVolatEF*NtoN2O*kgtoGg</f>
        <v>1.3686435315352767E-2</v>
      </c>
      <c r="AT160" s="22">
        <f>Constants!$H67*'Activity data'!AT9*Constants!$H85*EF!$H210*MMVolatEF*NtoN2O*kgtoGg</f>
        <v>1.3841128501646547E-2</v>
      </c>
      <c r="AU160" s="22">
        <f>Constants!$H67*'Activity data'!AU9*Constants!$H85*EF!$H210*MMVolatEF*NtoN2O*kgtoGg</f>
        <v>1.4067723663367223E-2</v>
      </c>
      <c r="AV160" s="22">
        <f>Constants!$H67*'Activity data'!AV9*Constants!$H85*EF!$H210*MMVolatEF*NtoN2O*kgtoGg</f>
        <v>1.4359821228727431E-2</v>
      </c>
      <c r="AW160" s="22">
        <f>Constants!$H67*'Activity data'!AW9*Constants!$H85*EF!$H210*MMVolatEF*NtoN2O*kgtoGg</f>
        <v>1.4563470212168856E-2</v>
      </c>
      <c r="AX160" s="22">
        <f>Constants!$H67*'Activity data'!AX9*Constants!$H85*EF!$H210*MMVolatEF*NtoN2O*kgtoGg</f>
        <v>1.4791175937041108E-2</v>
      </c>
      <c r="AY160" s="22">
        <f>Constants!$H67*'Activity data'!AY9*Constants!$H85*EF!$H210*MMVolatEF*NtoN2O*kgtoGg</f>
        <v>1.5025778204000962E-2</v>
      </c>
      <c r="AZ160" s="22">
        <f>Constants!$H67*'Activity data'!AZ9*Constants!$H85*EF!$H210*MMVolatEF*NtoN2O*kgtoGg</f>
        <v>1.5272488431400047E-2</v>
      </c>
      <c r="BA160" s="22">
        <f>Constants!$H67*'Activity data'!BA9*Constants!$H85*EF!$H210*MMVolatEF*NtoN2O*kgtoGg</f>
        <v>1.5522893868245321E-2</v>
      </c>
      <c r="BB160" s="22">
        <f>Constants!$H67*'Activity data'!BB9*Constants!$H85*EF!$H210*MMVolatEF*NtoN2O*kgtoGg</f>
        <v>1.5751558528239808E-2</v>
      </c>
      <c r="BC160" s="22">
        <f>Constants!$H67*'Activity data'!BC9*Constants!$H85*EF!$H210*MMVolatEF*NtoN2O*kgtoGg</f>
        <v>1.5992757777491307E-2</v>
      </c>
      <c r="BD160" s="22">
        <f>Constants!$H67*'Activity data'!BD9*Constants!$H85*EF!$H210*MMVolatEF*NtoN2O*kgtoGg</f>
        <v>1.622303555417634E-2</v>
      </c>
      <c r="BE160" s="22">
        <f>Constants!$H67*'Activity data'!BE9*Constants!$H85*EF!$H210*MMVolatEF*NtoN2O*kgtoGg</f>
        <v>1.6440173386233263E-2</v>
      </c>
      <c r="BF160" s="22">
        <f>Constants!$H67*'Activity data'!BF9*Constants!$H85*EF!$H210*MMVolatEF*NtoN2O*kgtoGg</f>
        <v>1.6653453119962761E-2</v>
      </c>
      <c r="BG160" s="22">
        <f>Constants!$H67*'Activity data'!BG9*Constants!$H85*EF!$H210*MMVolatEF*NtoN2O*kgtoGg</f>
        <v>1.6924286104585243E-2</v>
      </c>
      <c r="BH160" s="22">
        <f>Constants!$H67*'Activity data'!BH9*Constants!$H85*EF!$H210*MMVolatEF*NtoN2O*kgtoGg</f>
        <v>1.7204411349791553E-2</v>
      </c>
      <c r="BI160" s="22">
        <f>Constants!$H67*'Activity data'!BI9*Constants!$H85*EF!$H210*MMVolatEF*NtoN2O*kgtoGg</f>
        <v>1.7504008920419142E-2</v>
      </c>
      <c r="BJ160" s="22">
        <f>Constants!$H67*'Activity data'!BJ9*Constants!$H85*EF!$H210*MMVolatEF*NtoN2O*kgtoGg</f>
        <v>1.7802440855517548E-2</v>
      </c>
      <c r="BK160" s="22">
        <f>Constants!$H67*'Activity data'!BK9*Constants!$H85*EF!$H210*MMVolatEF*NtoN2O*kgtoGg</f>
        <v>1.8100094501919208E-2</v>
      </c>
      <c r="BL160" s="22">
        <f>Constants!$H67*'Activity data'!BL9*Constants!$H85*EF!$H210*MMVolatEF*NtoN2O*kgtoGg</f>
        <v>1.8416531681730838E-2</v>
      </c>
      <c r="BM160" s="22">
        <f>Constants!$H67*'Activity data'!BM9*Constants!$H85*EF!$H210*MMVolatEF*NtoN2O*kgtoGg</f>
        <v>1.874355903812051E-2</v>
      </c>
      <c r="BN160" s="22">
        <f>Constants!$H67*'Activity data'!BN9*Constants!$H85*EF!$H210*MMVolatEF*NtoN2O*kgtoGg</f>
        <v>1.9075490887285256E-2</v>
      </c>
      <c r="BO160" s="22">
        <f>Constants!$H67*'Activity data'!BO9*Constants!$H85*EF!$H210*MMVolatEF*NtoN2O*kgtoGg</f>
        <v>1.9423623077612737E-2</v>
      </c>
      <c r="BP160" s="22">
        <f>Constants!$H67*'Activity data'!BP9*Constants!$H85*EF!$H210*MMVolatEF*NtoN2O*kgtoGg</f>
        <v>1.9715488613368411E-2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0.15836052531214867</v>
      </c>
      <c r="AE161" s="22">
        <f>Constants!$H68*'Activity data'!AE10*Constants!$H86*EF!$H211*MMVolatEF*NtoN2O*kgtoGg</f>
        <v>0.16370016056893633</v>
      </c>
      <c r="AF161" s="22">
        <f>Constants!$H68*'Activity data'!AF10*Constants!$H86*EF!$H211*MMVolatEF*NtoN2O*kgtoGg</f>
        <v>0.17003774892948584</v>
      </c>
      <c r="AG161" s="22">
        <f>Constants!$H68*'Activity data'!AG10*Constants!$H86*EF!$H211*MMVolatEF*NtoN2O*kgtoGg</f>
        <v>0.17476418316081965</v>
      </c>
      <c r="AH161" s="22">
        <f>Constants!$H68*'Activity data'!AH10*Constants!$H86*EF!$H211*MMVolatEF*NtoN2O*kgtoGg</f>
        <v>0.17840915017095652</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0.17460856438309952</v>
      </c>
      <c r="AM161" s="22">
        <f>Constants!$H68*'Activity data'!AM10*Constants!$H86*EF!$H211*MMVolatEF*NtoN2O*kgtoGg</f>
        <v>0.1873645711352227</v>
      </c>
      <c r="AN161" s="22">
        <f>Constants!$H68*'Activity data'!AN10*Constants!$H86*EF!$H211*MMVolatEF*NtoN2O*kgtoGg</f>
        <v>0.19484677000767164</v>
      </c>
      <c r="AO161" s="22">
        <f>Constants!$H68*'Activity data'!AO10*Constants!$H86*EF!$H211*MMVolatEF*NtoN2O*kgtoGg</f>
        <v>0.19807112255457257</v>
      </c>
      <c r="AP161" s="22">
        <f>Constants!$H68*'Activity data'!AP10*Constants!$H86*EF!$H211*MMVolatEF*NtoN2O*kgtoGg</f>
        <v>0.20154228480865111</v>
      </c>
      <c r="AQ161" s="22">
        <f>Constants!$H68*'Activity data'!AQ10*Constants!$H86*EF!$H211*MMVolatEF*NtoN2O*kgtoGg</f>
        <v>0.20623914667732615</v>
      </c>
      <c r="AR161" s="22">
        <f>Constants!$H68*'Activity data'!AR10*Constants!$H86*EF!$H211*MMVolatEF*NtoN2O*kgtoGg</f>
        <v>0.21215915392676254</v>
      </c>
      <c r="AS161" s="22">
        <f>Constants!$H68*'Activity data'!AS10*Constants!$H86*EF!$H211*MMVolatEF*NtoN2O*kgtoGg</f>
        <v>0.21872684602749243</v>
      </c>
      <c r="AT161" s="22">
        <f>Constants!$H68*'Activity data'!AT10*Constants!$H86*EF!$H211*MMVolatEF*NtoN2O*kgtoGg</f>
        <v>0.22612997396880463</v>
      </c>
      <c r="AU161" s="22">
        <f>Constants!$H68*'Activity data'!AU10*Constants!$H86*EF!$H211*MMVolatEF*NtoN2O*kgtoGg</f>
        <v>0.23491426249732866</v>
      </c>
      <c r="AV161" s="22">
        <f>Constants!$H68*'Activity data'!AV10*Constants!$H86*EF!$H211*MMVolatEF*NtoN2O*kgtoGg</f>
        <v>0.24505515121890351</v>
      </c>
      <c r="AW161" s="22">
        <f>Constants!$H68*'Activity data'!AW10*Constants!$H86*EF!$H211*MMVolatEF*NtoN2O*kgtoGg</f>
        <v>0.25677243358478996</v>
      </c>
      <c r="AX161" s="22">
        <f>Constants!$H68*'Activity data'!AX10*Constants!$H86*EF!$H211*MMVolatEF*NtoN2O*kgtoGg</f>
        <v>0.26945216276183381</v>
      </c>
      <c r="AY161" s="22">
        <f>Constants!$H68*'Activity data'!AY10*Constants!$H86*EF!$H211*MMVolatEF*NtoN2O*kgtoGg</f>
        <v>0.2828440567855407</v>
      </c>
      <c r="AZ161" s="22">
        <f>Constants!$H68*'Activity data'!AZ10*Constants!$H86*EF!$H211*MMVolatEF*NtoN2O*kgtoGg</f>
        <v>0.29709510424120422</v>
      </c>
      <c r="BA161" s="22">
        <f>Constants!$H68*'Activity data'!BA10*Constants!$H86*EF!$H211*MMVolatEF*NtoN2O*kgtoGg</f>
        <v>0.31209530848649036</v>
      </c>
      <c r="BB161" s="22">
        <f>Constants!$H68*'Activity data'!BB10*Constants!$H86*EF!$H211*MMVolatEF*NtoN2O*kgtoGg</f>
        <v>0.32736251218808471</v>
      </c>
      <c r="BC161" s="22">
        <f>Constants!$H68*'Activity data'!BC10*Constants!$H86*EF!$H211*MMVolatEF*NtoN2O*kgtoGg</f>
        <v>0.34362947600093458</v>
      </c>
      <c r="BD161" s="22">
        <f>Constants!$H68*'Activity data'!BD10*Constants!$H86*EF!$H211*MMVolatEF*NtoN2O*kgtoGg</f>
        <v>0.36044618553686847</v>
      </c>
      <c r="BE161" s="22">
        <f>Constants!$H68*'Activity data'!BE10*Constants!$H86*EF!$H211*MMVolatEF*NtoN2O*kgtoGg</f>
        <v>0.37778487893593249</v>
      </c>
      <c r="BF161" s="22">
        <f>Constants!$H68*'Activity data'!BF10*Constants!$H86*EF!$H211*MMVolatEF*NtoN2O*kgtoGg</f>
        <v>0.3958859410797253</v>
      </c>
      <c r="BG161" s="22">
        <f>Constants!$H68*'Activity data'!BG10*Constants!$H86*EF!$H211*MMVolatEF*NtoN2O*kgtoGg</f>
        <v>0.41367585516143429</v>
      </c>
      <c r="BH161" s="22">
        <f>Constants!$H68*'Activity data'!BH10*Constants!$H86*EF!$H211*MMVolatEF*NtoN2O*kgtoGg</f>
        <v>0.43242905153599548</v>
      </c>
      <c r="BI161" s="22">
        <f>Constants!$H68*'Activity data'!BI10*Constants!$H86*EF!$H211*MMVolatEF*NtoN2O*kgtoGg</f>
        <v>0.45246435767624088</v>
      </c>
      <c r="BJ161" s="22">
        <f>Constants!$H68*'Activity data'!BJ10*Constants!$H86*EF!$H211*MMVolatEF*NtoN2O*kgtoGg</f>
        <v>0.47331488964480717</v>
      </c>
      <c r="BK161" s="22">
        <f>Constants!$H68*'Activity data'!BK10*Constants!$H86*EF!$H211*MMVolatEF*NtoN2O*kgtoGg</f>
        <v>0.49503125359509215</v>
      </c>
      <c r="BL161" s="22">
        <f>Constants!$H68*'Activity data'!BL10*Constants!$H86*EF!$H211*MMVolatEF*NtoN2O*kgtoGg</f>
        <v>0.51820746125670647</v>
      </c>
      <c r="BM161" s="22">
        <f>Constants!$H68*'Activity data'!BM10*Constants!$H86*EF!$H211*MMVolatEF*NtoN2O*kgtoGg</f>
        <v>0.54270067079521189</v>
      </c>
      <c r="BN161" s="22">
        <f>Constants!$H68*'Activity data'!BN10*Constants!$H86*EF!$H211*MMVolatEF*NtoN2O*kgtoGg</f>
        <v>0.56842164327333022</v>
      </c>
      <c r="BO161" s="22">
        <f>Constants!$H68*'Activity data'!BO10*Constants!$H86*EF!$H211*MMVolatEF*NtoN2O*kgtoGg</f>
        <v>0.59578776955032364</v>
      </c>
      <c r="BP161" s="22">
        <f>Constants!$H68*'Activity data'!BP10*Constants!$H86*EF!$H211*MMVolatEF*NtoN2O*kgtoGg</f>
        <v>0.6226172294628034</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1.1888884787446641E-4</v>
      </c>
      <c r="AM162" s="22">
        <f>Constants!$H69*'Activity data'!AM11*Constants!$H87*EF!$H212*MMVolatEF*NtoN2O*kgtoGg</f>
        <v>1.18974421608456E-4</v>
      </c>
      <c r="AN162" s="22">
        <f>Constants!$H69*'Activity data'!AN11*Constants!$H87*EF!$H212*MMVolatEF*NtoN2O*kgtoGg</f>
        <v>1.1894433570617077E-4</v>
      </c>
      <c r="AO162" s="22">
        <f>Constants!$H69*'Activity data'!AO11*Constants!$H87*EF!$H212*MMVolatEF*NtoN2O*kgtoGg</f>
        <v>1.1894216976117226E-4</v>
      </c>
      <c r="AP162" s="22">
        <f>Constants!$H69*'Activity data'!AP11*Constants!$H87*EF!$H212*MMVolatEF*NtoN2O*kgtoGg</f>
        <v>1.1906833284654552E-4</v>
      </c>
      <c r="AQ162" s="22">
        <f>Constants!$H69*'Activity data'!AQ11*Constants!$H87*EF!$H212*MMVolatEF*NtoN2O*kgtoGg</f>
        <v>1.1927481036049653E-4</v>
      </c>
      <c r="AR162" s="22">
        <f>Constants!$H69*'Activity data'!AR11*Constants!$H87*EF!$H212*MMVolatEF*NtoN2O*kgtoGg</f>
        <v>1.1947292782589552E-4</v>
      </c>
      <c r="AS162" s="22">
        <f>Constants!$H69*'Activity data'!AS11*Constants!$H87*EF!$H212*MMVolatEF*NtoN2O*kgtoGg</f>
        <v>1.1966332441080059E-4</v>
      </c>
      <c r="AT162" s="22">
        <f>Constants!$H69*'Activity data'!AT11*Constants!$H87*EF!$H212*MMVolatEF*NtoN2O*kgtoGg</f>
        <v>1.198457402729256E-4</v>
      </c>
      <c r="AU162" s="22">
        <f>Constants!$H69*'Activity data'!AU11*Constants!$H87*EF!$H212*MMVolatEF*NtoN2O*kgtoGg</f>
        <v>1.2002397691702796E-4</v>
      </c>
      <c r="AV162" s="22">
        <f>Constants!$H69*'Activity data'!AV11*Constants!$H87*EF!$H212*MMVolatEF*NtoN2O*kgtoGg</f>
        <v>1.2020063791291827E-4</v>
      </c>
      <c r="AW162" s="22">
        <f>Constants!$H69*'Activity data'!AW11*Constants!$H87*EF!$H212*MMVolatEF*NtoN2O*kgtoGg</f>
        <v>1.2037395069486653E-4</v>
      </c>
      <c r="AX162" s="22">
        <f>Constants!$H69*'Activity data'!AX11*Constants!$H87*EF!$H212*MMVolatEF*NtoN2O*kgtoGg</f>
        <v>1.2054640721794917E-4</v>
      </c>
      <c r="AY162" s="22">
        <f>Constants!$H69*'Activity data'!AY11*Constants!$H87*EF!$H212*MMVolatEF*NtoN2O*kgtoGg</f>
        <v>1.2071746421078628E-4</v>
      </c>
      <c r="AZ162" s="22">
        <f>Constants!$H69*'Activity data'!AZ11*Constants!$H87*EF!$H212*MMVolatEF*NtoN2O*kgtoGg</f>
        <v>1.2088575105723818E-4</v>
      </c>
      <c r="BA162" s="22">
        <f>Constants!$H69*'Activity data'!BA11*Constants!$H87*EF!$H212*MMVolatEF*NtoN2O*kgtoGg</f>
        <v>1.2105200867781398E-4</v>
      </c>
      <c r="BB162" s="22">
        <f>Constants!$H69*'Activity data'!BB11*Constants!$H87*EF!$H212*MMVolatEF*NtoN2O*kgtoGg</f>
        <v>1.2121641449313381E-4</v>
      </c>
      <c r="BC162" s="22">
        <f>Constants!$H69*'Activity data'!BC11*Constants!$H87*EF!$H212*MMVolatEF*NtoN2O*kgtoGg</f>
        <v>1.2137952665146409E-4</v>
      </c>
      <c r="BD162" s="22">
        <f>Constants!$H69*'Activity data'!BD11*Constants!$H87*EF!$H212*MMVolatEF*NtoN2O*kgtoGg</f>
        <v>1.2153635424536354E-4</v>
      </c>
      <c r="BE162" s="22">
        <f>Constants!$H69*'Activity data'!BE11*Constants!$H87*EF!$H212*MMVolatEF*NtoN2O*kgtoGg</f>
        <v>1.2168671378968904E-4</v>
      </c>
      <c r="BF162" s="22">
        <f>Constants!$H69*'Activity data'!BF11*Constants!$H87*EF!$H212*MMVolatEF*NtoN2O*kgtoGg</f>
        <v>1.2183201055728766E-4</v>
      </c>
      <c r="BG162" s="22">
        <f>Constants!$H69*'Activity data'!BG11*Constants!$H87*EF!$H212*MMVolatEF*NtoN2O*kgtoGg</f>
        <v>1.2197112574763714E-4</v>
      </c>
      <c r="BH162" s="22">
        <f>Constants!$H69*'Activity data'!BH11*Constants!$H87*EF!$H212*MMVolatEF*NtoN2O*kgtoGg</f>
        <v>1.2210431172658153E-4</v>
      </c>
      <c r="BI162" s="22">
        <f>Constants!$H69*'Activity data'!BI11*Constants!$H87*EF!$H212*MMVolatEF*NtoN2O*kgtoGg</f>
        <v>1.2223096862203452E-4</v>
      </c>
      <c r="BJ162" s="22">
        <f>Constants!$H69*'Activity data'!BJ11*Constants!$H87*EF!$H212*MMVolatEF*NtoN2O*kgtoGg</f>
        <v>1.2234928396390209E-4</v>
      </c>
      <c r="BK162" s="22">
        <f>Constants!$H69*'Activity data'!BK11*Constants!$H87*EF!$H212*MMVolatEF*NtoN2O*kgtoGg</f>
        <v>1.2245757817594662E-4</v>
      </c>
      <c r="BL162" s="22">
        <f>Constants!$H69*'Activity data'!BL11*Constants!$H87*EF!$H212*MMVolatEF*NtoN2O*kgtoGg</f>
        <v>1.2255574185064525E-4</v>
      </c>
      <c r="BM162" s="22">
        <f>Constants!$H69*'Activity data'!BM11*Constants!$H87*EF!$H212*MMVolatEF*NtoN2O*kgtoGg</f>
        <v>1.2264302379658788E-4</v>
      </c>
      <c r="BN162" s="22">
        <f>Constants!$H69*'Activity data'!BN11*Constants!$H87*EF!$H212*MMVolatEF*NtoN2O*kgtoGg</f>
        <v>1.2271938191890156E-4</v>
      </c>
      <c r="BO162" s="22">
        <f>Constants!$H69*'Activity data'!BO11*Constants!$H87*EF!$H212*MMVolatEF*NtoN2O*kgtoGg</f>
        <v>1.2278627747914955E-4</v>
      </c>
      <c r="BP162" s="22">
        <f>Constants!$H69*'Activity data'!BP11*Constants!$H87*EF!$H212*MMVolatEF*NtoN2O*kgtoGg</f>
        <v>1.2283502162881773E-4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8.158765245643595E-4</v>
      </c>
      <c r="AM163" s="22">
        <f>Constants!$H70*'Activity data'!AM12*Constants!$H88*EF!$H213*MMVolatEF*NtoN2O*kgtoGg</f>
        <v>8.1646377561380335E-4</v>
      </c>
      <c r="AN163" s="22">
        <f>Constants!$H70*'Activity data'!AN12*Constants!$H88*EF!$H213*MMVolatEF*NtoN2O*kgtoGg</f>
        <v>8.1625731065233949E-4</v>
      </c>
      <c r="AO163" s="22">
        <f>Constants!$H70*'Activity data'!AO12*Constants!$H88*EF!$H213*MMVolatEF*NtoN2O*kgtoGg</f>
        <v>8.1624244682188473E-4</v>
      </c>
      <c r="AP163" s="22">
        <f>Constants!$H70*'Activity data'!AP12*Constants!$H88*EF!$H213*MMVolatEF*NtoN2O*kgtoGg</f>
        <v>8.1710824291178659E-4</v>
      </c>
      <c r="AQ163" s="22">
        <f>Constants!$H70*'Activity data'!AQ12*Constants!$H88*EF!$H213*MMVolatEF*NtoN2O*kgtoGg</f>
        <v>8.1852519798784992E-4</v>
      </c>
      <c r="AR163" s="22">
        <f>Constants!$H70*'Activity data'!AR12*Constants!$H88*EF!$H213*MMVolatEF*NtoN2O*kgtoGg</f>
        <v>8.1988478210372824E-4</v>
      </c>
      <c r="AS163" s="22">
        <f>Constants!$H70*'Activity data'!AS12*Constants!$H88*EF!$H213*MMVolatEF*NtoN2O*kgtoGg</f>
        <v>8.2119138155993044E-4</v>
      </c>
      <c r="AT163" s="22">
        <f>Constants!$H70*'Activity data'!AT12*Constants!$H88*EF!$H213*MMVolatEF*NtoN2O*kgtoGg</f>
        <v>8.2244321318482034E-4</v>
      </c>
      <c r="AU163" s="22">
        <f>Constants!$H70*'Activity data'!AU12*Constants!$H88*EF!$H213*MMVolatEF*NtoN2O*kgtoGg</f>
        <v>8.2366636486254352E-4</v>
      </c>
      <c r="AV163" s="22">
        <f>Constants!$H70*'Activity data'!AV12*Constants!$H88*EF!$H213*MMVolatEF*NtoN2O*kgtoGg</f>
        <v>8.2487870363047661E-4</v>
      </c>
      <c r="AW163" s="22">
        <f>Constants!$H70*'Activity data'!AW12*Constants!$H88*EF!$H213*MMVolatEF*NtoN2O*kgtoGg</f>
        <v>8.2606806522936944E-4</v>
      </c>
      <c r="AX163" s="22">
        <f>Constants!$H70*'Activity data'!AX12*Constants!$H88*EF!$H213*MMVolatEF*NtoN2O*kgtoGg</f>
        <v>8.2725155073878963E-4</v>
      </c>
      <c r="AY163" s="22">
        <f>Constants!$H70*'Activity data'!AY12*Constants!$H88*EF!$H213*MMVolatEF*NtoN2O*kgtoGg</f>
        <v>8.2842543195064012E-4</v>
      </c>
      <c r="AZ163" s="22">
        <f>Constants!$H70*'Activity data'!AZ12*Constants!$H88*EF!$H213*MMVolatEF*NtoN2O*kgtoGg</f>
        <v>8.2958030299084108E-4</v>
      </c>
      <c r="BA163" s="22">
        <f>Constants!$H70*'Activity data'!BA12*Constants!$H88*EF!$H213*MMVolatEF*NtoN2O*kgtoGg</f>
        <v>8.3072124843764142E-4</v>
      </c>
      <c r="BB163" s="22">
        <f>Constants!$H70*'Activity data'!BB12*Constants!$H88*EF!$H213*MMVolatEF*NtoN2O*kgtoGg</f>
        <v>8.3184948584274219E-4</v>
      </c>
      <c r="BC163" s="22">
        <f>Constants!$H70*'Activity data'!BC12*Constants!$H88*EF!$H213*MMVolatEF*NtoN2O*kgtoGg</f>
        <v>8.3296884550710043E-4</v>
      </c>
      <c r="BD163" s="22">
        <f>Constants!$H70*'Activity data'!BD12*Constants!$H88*EF!$H213*MMVolatEF*NtoN2O*kgtoGg</f>
        <v>8.3404507725258427E-4</v>
      </c>
      <c r="BE163" s="22">
        <f>Constants!$H70*'Activity data'!BE12*Constants!$H88*EF!$H213*MMVolatEF*NtoN2O*kgtoGg</f>
        <v>8.3507692190961139E-4</v>
      </c>
      <c r="BF163" s="22">
        <f>Constants!$H70*'Activity data'!BF12*Constants!$H88*EF!$H213*MMVolatEF*NtoN2O*kgtoGg</f>
        <v>8.3607402318444201E-4</v>
      </c>
      <c r="BG163" s="22">
        <f>Constants!$H70*'Activity data'!BG12*Constants!$H88*EF!$H213*MMVolatEF*NtoN2O*kgtoGg</f>
        <v>8.3702870329149695E-4</v>
      </c>
      <c r="BH163" s="22">
        <f>Constants!$H70*'Activity data'!BH12*Constants!$H88*EF!$H213*MMVolatEF*NtoN2O*kgtoGg</f>
        <v>8.3794269409521473E-4</v>
      </c>
      <c r="BI163" s="22">
        <f>Constants!$H70*'Activity data'!BI12*Constants!$H88*EF!$H213*MMVolatEF*NtoN2O*kgtoGg</f>
        <v>8.3881187896429009E-4</v>
      </c>
      <c r="BJ163" s="22">
        <f>Constants!$H70*'Activity data'!BJ12*Constants!$H88*EF!$H213*MMVolatEF*NtoN2O*kgtoGg</f>
        <v>8.3962381979516996E-4</v>
      </c>
      <c r="BK163" s="22">
        <f>Constants!$H70*'Activity data'!BK12*Constants!$H88*EF!$H213*MMVolatEF*NtoN2O*kgtoGg</f>
        <v>8.4036699047040963E-4</v>
      </c>
      <c r="BL163" s="22">
        <f>Constants!$H70*'Activity data'!BL12*Constants!$H88*EF!$H213*MMVolatEF*NtoN2O*kgtoGg</f>
        <v>8.4104064017922141E-4</v>
      </c>
      <c r="BM163" s="22">
        <f>Constants!$H70*'Activity data'!BM12*Constants!$H88*EF!$H213*MMVolatEF*NtoN2O*kgtoGg</f>
        <v>8.4163961385914194E-4</v>
      </c>
      <c r="BN163" s="22">
        <f>Constants!$H70*'Activity data'!BN12*Constants!$H88*EF!$H213*MMVolatEF*NtoN2O*kgtoGg</f>
        <v>8.4216362263346621E-4</v>
      </c>
      <c r="BO163" s="22">
        <f>Constants!$H70*'Activity data'!BO12*Constants!$H88*EF!$H213*MMVolatEF*NtoN2O*kgtoGg</f>
        <v>8.4262269443187052E-4</v>
      </c>
      <c r="BP163" s="22">
        <f>Constants!$H70*'Activity data'!BP12*Constants!$H88*EF!$H213*MMVolatEF*NtoN2O*kgtoGg</f>
        <v>8.4295720189943475E-4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1.4486129996083081E-5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1.4890706011157255E-5</v>
      </c>
      <c r="AK164" s="22">
        <f>Constants!$H71*'Activity data'!AK13*Constants!$H89*EF!$H214*MMVolatEF*NtoN2O*kgtoGg</f>
        <v>1.4988675221399694E-5</v>
      </c>
      <c r="AL164" s="22">
        <f>Constants!$H71*'Activity data'!AL13*Constants!$H89*EF!$H214*MMVolatEF*NtoN2O*kgtoGg</f>
        <v>1.4951923212530766E-5</v>
      </c>
      <c r="AM164" s="22">
        <f>Constants!$H71*'Activity data'!AM13*Constants!$H89*EF!$H214*MMVolatEF*NtoN2O*kgtoGg</f>
        <v>1.4977625582861877E-5</v>
      </c>
      <c r="AN164" s="22">
        <f>Constants!$H71*'Activity data'!AN13*Constants!$H89*EF!$H214*MMVolatEF*NtoN2O*kgtoGg</f>
        <v>1.4980119703065675E-5</v>
      </c>
      <c r="AO164" s="22">
        <f>Constants!$H71*'Activity data'!AO13*Constants!$H89*EF!$H214*MMVolatEF*NtoN2O*kgtoGg</f>
        <v>1.4986976942692676E-5</v>
      </c>
      <c r="AP164" s="22">
        <f>Constants!$H71*'Activity data'!AP13*Constants!$H89*EF!$H214*MMVolatEF*NtoN2O*kgtoGg</f>
        <v>1.5017294663736538E-5</v>
      </c>
      <c r="AQ164" s="22">
        <f>Constants!$H71*'Activity data'!AQ13*Constants!$H89*EF!$H214*MMVolatEF*NtoN2O*kgtoGg</f>
        <v>1.5061890336193319E-5</v>
      </c>
      <c r="AR164" s="22">
        <f>Constants!$H71*'Activity data'!AR13*Constants!$H89*EF!$H214*MMVolatEF*NtoN2O*kgtoGg</f>
        <v>1.5103986297595971E-5</v>
      </c>
      <c r="AS164" s="22">
        <f>Constants!$H71*'Activity data'!AS13*Constants!$H89*EF!$H214*MMVolatEF*NtoN2O*kgtoGg</f>
        <v>1.5143780477124499E-5</v>
      </c>
      <c r="AT164" s="22">
        <f>Constants!$H71*'Activity data'!AT13*Constants!$H89*EF!$H214*MMVolatEF*NtoN2O*kgtoGg</f>
        <v>1.5181293243682811E-5</v>
      </c>
      <c r="AU164" s="22">
        <f>Constants!$H71*'Activity data'!AU13*Constants!$H89*EF!$H214*MMVolatEF*NtoN2O*kgtoGg</f>
        <v>1.5217300806744068E-5</v>
      </c>
      <c r="AV164" s="22">
        <f>Constants!$H71*'Activity data'!AV13*Constants!$H89*EF!$H214*MMVolatEF*NtoN2O*kgtoGg</f>
        <v>1.5252343422195684E-5</v>
      </c>
      <c r="AW164" s="22">
        <f>Constants!$H71*'Activity data'!AW13*Constants!$H89*EF!$H214*MMVolatEF*NtoN2O*kgtoGg</f>
        <v>1.5286134993525756E-5</v>
      </c>
      <c r="AX164" s="22">
        <f>Constants!$H71*'Activity data'!AX13*Constants!$H89*EF!$H214*MMVolatEF*NtoN2O*kgtoGg</f>
        <v>1.531918306979576E-5</v>
      </c>
      <c r="AY164" s="22">
        <f>Constants!$H71*'Activity data'!AY13*Constants!$H89*EF!$H214*MMVolatEF*NtoN2O*kgtoGg</f>
        <v>1.5351423055728344E-5</v>
      </c>
      <c r="AZ164" s="22">
        <f>Constants!$H71*'Activity data'!AZ13*Constants!$H89*EF!$H214*MMVolatEF*NtoN2O*kgtoGg</f>
        <v>1.5382634347686873E-5</v>
      </c>
      <c r="BA164" s="22">
        <f>Constants!$H71*'Activity data'!BA13*Constants!$H89*EF!$H214*MMVolatEF*NtoN2O*kgtoGg</f>
        <v>1.5412986814805202E-5</v>
      </c>
      <c r="BB164" s="22">
        <f>Constants!$H71*'Activity data'!BB13*Constants!$H89*EF!$H214*MMVolatEF*NtoN2O*kgtoGg</f>
        <v>1.5442542460580333E-5</v>
      </c>
      <c r="BC164" s="22">
        <f>Constants!$H71*'Activity data'!BC13*Constants!$H89*EF!$H214*MMVolatEF*NtoN2O*kgtoGg</f>
        <v>1.5471431054826288E-5</v>
      </c>
      <c r="BD164" s="22">
        <f>Constants!$H71*'Activity data'!BD13*Constants!$H89*EF!$H214*MMVolatEF*NtoN2O*kgtoGg</f>
        <v>1.5498756892033488E-5</v>
      </c>
      <c r="BE164" s="22">
        <f>Constants!$H71*'Activity data'!BE13*Constants!$H89*EF!$H214*MMVolatEF*NtoN2O*kgtoGg</f>
        <v>1.5524513513074621E-5</v>
      </c>
      <c r="BF164" s="22">
        <f>Constants!$H71*'Activity data'!BF13*Constants!$H89*EF!$H214*MMVolatEF*NtoN2O*kgtoGg</f>
        <v>1.5548984646319332E-5</v>
      </c>
      <c r="BG164" s="22">
        <f>Constants!$H71*'Activity data'!BG13*Constants!$H89*EF!$H214*MMVolatEF*NtoN2O*kgtoGg</f>
        <v>1.5571987875403361E-5</v>
      </c>
      <c r="BH164" s="22">
        <f>Constants!$H71*'Activity data'!BH13*Constants!$H89*EF!$H214*MMVolatEF*NtoN2O*kgtoGg</f>
        <v>1.5593591673600764E-5</v>
      </c>
      <c r="BI164" s="22">
        <f>Constants!$H71*'Activity data'!BI13*Constants!$H89*EF!$H214*MMVolatEF*NtoN2O*kgtoGg</f>
        <v>1.5613707165200276E-5</v>
      </c>
      <c r="BJ164" s="22">
        <f>Constants!$H71*'Activity data'!BJ13*Constants!$H89*EF!$H214*MMVolatEF*NtoN2O*kgtoGg</f>
        <v>1.5632023858239551E-5</v>
      </c>
      <c r="BK164" s="22">
        <f>Constants!$H71*'Activity data'!BK13*Constants!$H89*EF!$H214*MMVolatEF*NtoN2O*kgtoGg</f>
        <v>1.5648256533695206E-5</v>
      </c>
      <c r="BL164" s="22">
        <f>Constants!$H71*'Activity data'!BL13*Constants!$H89*EF!$H214*MMVolatEF*NtoN2O*kgtoGg</f>
        <v>1.5662406299088669E-5</v>
      </c>
      <c r="BM164" s="22">
        <f>Constants!$H71*'Activity data'!BM13*Constants!$H89*EF!$H214*MMVolatEF*NtoN2O*kgtoGg</f>
        <v>1.5674356891571193E-5</v>
      </c>
      <c r="BN164" s="22">
        <f>Constants!$H71*'Activity data'!BN13*Constants!$H89*EF!$H214*MMVolatEF*NtoN2O*kgtoGg</f>
        <v>1.5684120431636331E-5</v>
      </c>
      <c r="BO164" s="22">
        <f>Constants!$H71*'Activity data'!BO13*Constants!$H89*EF!$H214*MMVolatEF*NtoN2O*kgtoGg</f>
        <v>1.5691980107154113E-5</v>
      </c>
      <c r="BP164" s="22">
        <f>Constants!$H71*'Activity data'!BP13*Constants!$H89*EF!$H214*MMVolatEF*NtoN2O*kgtoGg</f>
        <v>1.5696383554298718E-5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1.4738364076719785E-3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1.5149984613639165E-3</v>
      </c>
      <c r="AK165" s="22">
        <f>Constants!$H72*'Activity data'!AK14*Constants!$H90*EF!$H215*MMVolatEF*NtoN2O*kgtoGg</f>
        <v>1.5249659674490626E-3</v>
      </c>
      <c r="AL165" s="22">
        <f>Constants!$H72*'Activity data'!AL14*Constants!$H90*EF!$H215*MMVolatEF*NtoN2O*kgtoGg</f>
        <v>1.5212267735621682E-3</v>
      </c>
      <c r="AM165" s="22">
        <f>Constants!$H72*'Activity data'!AM14*Constants!$H90*EF!$H215*MMVolatEF*NtoN2O*kgtoGg</f>
        <v>1.523841763843748E-3</v>
      </c>
      <c r="AN165" s="22">
        <f>Constants!$H72*'Activity data'!AN14*Constants!$H90*EF!$H215*MMVolatEF*NtoN2O*kgtoGg</f>
        <v>1.5240955186535188E-3</v>
      </c>
      <c r="AO165" s="22">
        <f>Constants!$H72*'Activity data'!AO14*Constants!$H90*EF!$H215*MMVolatEF*NtoN2O*kgtoGg</f>
        <v>1.5247931825168926E-3</v>
      </c>
      <c r="AP165" s="22">
        <f>Constants!$H72*'Activity data'!AP14*Constants!$H90*EF!$H215*MMVolatEF*NtoN2O*kgtoGg</f>
        <v>1.5278777441689124E-3</v>
      </c>
      <c r="AQ165" s="22">
        <f>Constants!$H72*'Activity data'!AQ14*Constants!$H90*EF!$H215*MMVolatEF*NtoN2O*kgtoGg</f>
        <v>1.53241496188746E-3</v>
      </c>
      <c r="AR165" s="22">
        <f>Constants!$H72*'Activity data'!AR14*Constants!$H90*EF!$H215*MMVolatEF*NtoN2O*kgtoGg</f>
        <v>1.536697855976355E-3</v>
      </c>
      <c r="AS165" s="22">
        <f>Constants!$H72*'Activity data'!AS14*Constants!$H90*EF!$H215*MMVolatEF*NtoN2O*kgtoGg</f>
        <v>1.5407465639900506E-3</v>
      </c>
      <c r="AT165" s="22">
        <f>Constants!$H72*'Activity data'!AT14*Constants!$H90*EF!$H215*MMVolatEF*NtoN2O*kgtoGg</f>
        <v>1.5445631582854966E-3</v>
      </c>
      <c r="AU165" s="22">
        <f>Constants!$H72*'Activity data'!AU14*Constants!$H90*EF!$H215*MMVolatEF*NtoN2O*kgtoGg</f>
        <v>1.5482266113544371E-3</v>
      </c>
      <c r="AV165" s="22">
        <f>Constants!$H72*'Activity data'!AV14*Constants!$H90*EF!$H215*MMVolatEF*NtoN2O*kgtoGg</f>
        <v>1.551791889485077E-3</v>
      </c>
      <c r="AW165" s="22">
        <f>Constants!$H72*'Activity data'!AW14*Constants!$H90*EF!$H215*MMVolatEF*NtoN2O*kgtoGg</f>
        <v>1.555229884871849E-3</v>
      </c>
      <c r="AX165" s="22">
        <f>Constants!$H72*'Activity data'!AX14*Constants!$H90*EF!$H215*MMVolatEF*NtoN2O*kgtoGg</f>
        <v>1.5585922361708792E-3</v>
      </c>
      <c r="AY165" s="22">
        <f>Constants!$H72*'Activity data'!AY14*Constants!$H90*EF!$H215*MMVolatEF*NtoN2O*kgtoGg</f>
        <v>1.561872371380429E-3</v>
      </c>
      <c r="AZ165" s="22">
        <f>Constants!$H72*'Activity data'!AZ14*Constants!$H90*EF!$H215*MMVolatEF*NtoN2O*kgtoGg</f>
        <v>1.5650478460193693E-3</v>
      </c>
      <c r="BA165" s="22">
        <f>Constants!$H72*'Activity data'!BA14*Constants!$H90*EF!$H215*MMVolatEF*NtoN2O*kgtoGg</f>
        <v>1.5681359427790809E-3</v>
      </c>
      <c r="BB165" s="22">
        <f>Constants!$H72*'Activity data'!BB14*Constants!$H90*EF!$H215*MMVolatEF*NtoN2O*kgtoGg</f>
        <v>1.5711429699704306E-3</v>
      </c>
      <c r="BC165" s="22">
        <f>Constants!$H72*'Activity data'!BC14*Constants!$H90*EF!$H215*MMVolatEF*NtoN2O*kgtoGg</f>
        <v>1.5740821305314401E-3</v>
      </c>
      <c r="BD165" s="22">
        <f>Constants!$H72*'Activity data'!BD14*Constants!$H90*EF!$H215*MMVolatEF*NtoN2O*kgtoGg</f>
        <v>1.5768622942989184E-3</v>
      </c>
      <c r="BE165" s="22">
        <f>Constants!$H72*'Activity data'!BE14*Constants!$H90*EF!$H215*MMVolatEF*NtoN2O*kgtoGg</f>
        <v>1.5794828041134305E-3</v>
      </c>
      <c r="BF165" s="22">
        <f>Constants!$H72*'Activity data'!BF14*Constants!$H90*EF!$H215*MMVolatEF*NtoN2O*kgtoGg</f>
        <v>1.5819725268428828E-3</v>
      </c>
      <c r="BG165" s="22">
        <f>Constants!$H72*'Activity data'!BG14*Constants!$H90*EF!$H215*MMVolatEF*NtoN2O*kgtoGg</f>
        <v>1.5843129032254801E-3</v>
      </c>
      <c r="BH165" s="22">
        <f>Constants!$H72*'Activity data'!BH14*Constants!$H90*EF!$H215*MMVolatEF*NtoN2O*kgtoGg</f>
        <v>1.586510899815041E-3</v>
      </c>
      <c r="BI165" s="22">
        <f>Constants!$H72*'Activity data'!BI14*Constants!$H90*EF!$H215*MMVolatEF*NtoN2O*kgtoGg</f>
        <v>1.5885574742890791E-3</v>
      </c>
      <c r="BJ165" s="22">
        <f>Constants!$H72*'Activity data'!BJ14*Constants!$H90*EF!$H215*MMVolatEF*NtoN2O*kgtoGg</f>
        <v>1.5904210368193567E-3</v>
      </c>
      <c r="BK165" s="22">
        <f>Constants!$H72*'Activity data'!BK14*Constants!$H90*EF!$H215*MMVolatEF*NtoN2O*kgtoGg</f>
        <v>1.592072568877052E-3</v>
      </c>
      <c r="BL165" s="22">
        <f>Constants!$H72*'Activity data'!BL14*Constants!$H90*EF!$H215*MMVolatEF*NtoN2O*kgtoGg</f>
        <v>1.5935121831427352E-3</v>
      </c>
      <c r="BM165" s="22">
        <f>Constants!$H72*'Activity data'!BM14*Constants!$H90*EF!$H215*MMVolatEF*NtoN2O*kgtoGg</f>
        <v>1.5947280508933873E-3</v>
      </c>
      <c r="BN165" s="22">
        <f>Constants!$H72*'Activity data'!BN14*Constants!$H90*EF!$H215*MMVolatEF*NtoN2O*kgtoGg</f>
        <v>1.5957214052826996E-3</v>
      </c>
      <c r="BO165" s="22">
        <f>Constants!$H72*'Activity data'!BO14*Constants!$H90*EF!$H215*MMVolatEF*NtoN2O*kgtoGg</f>
        <v>1.5965210581874944E-3</v>
      </c>
      <c r="BP165" s="22">
        <f>Constants!$H72*'Activity data'!BP14*Constants!$H90*EF!$H215*MMVolatEF*NtoN2O*kgtoGg</f>
        <v>1.596969070232308E-3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0.13004550543955865</v>
      </c>
      <c r="AF168" s="22">
        <f>Constants!$H75*'Activity data'!AF17*Constants!$H93*EF!$H218*MMVolatEF*NtoN2O*kgtoGg</f>
        <v>0.13010384136507705</v>
      </c>
      <c r="AG168" s="22">
        <f>Constants!$H75*'Activity data'!AG17*Constants!$H93*EF!$H218*MMVolatEF*NtoN2O*kgtoGg</f>
        <v>0.12890938840294827</v>
      </c>
      <c r="AH168" s="22">
        <f>Constants!$H75*'Activity data'!AH17*Constants!$H93*EF!$H218*MMVolatEF*NtoN2O*kgtoGg</f>
        <v>0.12695857121838466</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0.12056837226162823</v>
      </c>
      <c r="AL168" s="22">
        <f>Constants!$H75*'Activity data'!AL17*Constants!$H93*EF!$H218*MMVolatEF*NtoN2O*kgtoGg</f>
        <v>0.10830895289651481</v>
      </c>
      <c r="AM168" s="22">
        <f>Constants!$H75*'Activity data'!AM17*Constants!$H93*EF!$H218*MMVolatEF*NtoN2O*kgtoGg</f>
        <v>0.11320330426035914</v>
      </c>
      <c r="AN168" s="22">
        <f>Constants!$H75*'Activity data'!AN17*Constants!$H93*EF!$H218*MMVolatEF*NtoN2O*kgtoGg</f>
        <v>0.11468301383498544</v>
      </c>
      <c r="AO168" s="22">
        <f>Constants!$H75*'Activity data'!AO17*Constants!$H93*EF!$H218*MMVolatEF*NtoN2O*kgtoGg</f>
        <v>0.11355120382559489</v>
      </c>
      <c r="AP168" s="22">
        <f>Constants!$H75*'Activity data'!AP17*Constants!$H93*EF!$H218*MMVolatEF*NtoN2O*kgtoGg</f>
        <v>0.11255578294046394</v>
      </c>
      <c r="AQ168" s="22">
        <f>Constants!$H75*'Activity data'!AQ17*Constants!$H93*EF!$H218*MMVolatEF*NtoN2O*kgtoGg</f>
        <v>0.11224814770681171</v>
      </c>
      <c r="AR168" s="22">
        <f>Constants!$H75*'Activity data'!AR17*Constants!$H93*EF!$H218*MMVolatEF*NtoN2O*kgtoGg</f>
        <v>0.11260156809388705</v>
      </c>
      <c r="AS168" s="22">
        <f>Constants!$H75*'Activity data'!AS17*Constants!$H93*EF!$H218*MMVolatEF*NtoN2O*kgtoGg</f>
        <v>0.11325984846472106</v>
      </c>
      <c r="AT168" s="22">
        <f>Constants!$H75*'Activity data'!AT17*Constants!$H93*EF!$H218*MMVolatEF*NtoN2O*kgtoGg</f>
        <v>0.11429808983181136</v>
      </c>
      <c r="AU168" s="22">
        <f>Constants!$H75*'Activity data'!AU17*Constants!$H93*EF!$H218*MMVolatEF*NtoN2O*kgtoGg</f>
        <v>0.11596592254580176</v>
      </c>
      <c r="AV168" s="22">
        <f>Constants!$H75*'Activity data'!AV17*Constants!$H93*EF!$H218*MMVolatEF*NtoN2O*kgtoGg</f>
        <v>0.11820511582305605</v>
      </c>
      <c r="AW168" s="22">
        <f>Constants!$H75*'Activity data'!AW17*Constants!$H93*EF!$H218*MMVolatEF*NtoN2O*kgtoGg</f>
        <v>0.12075365463644311</v>
      </c>
      <c r="AX168" s="22">
        <f>Constants!$H75*'Activity data'!AX17*Constants!$H93*EF!$H218*MMVolatEF*NtoN2O*kgtoGg</f>
        <v>0.12358623956337132</v>
      </c>
      <c r="AY168" s="22">
        <f>Constants!$H75*'Activity data'!AY17*Constants!$H93*EF!$H218*MMVolatEF*NtoN2O*kgtoGg</f>
        <v>0.12656118355318</v>
      </c>
      <c r="AZ168" s="22">
        <f>Constants!$H75*'Activity data'!AZ17*Constants!$H93*EF!$H218*MMVolatEF*NtoN2O*kgtoGg</f>
        <v>0.12972957848678721</v>
      </c>
      <c r="BA168" s="22">
        <f>Constants!$H75*'Activity data'!BA17*Constants!$H93*EF!$H218*MMVolatEF*NtoN2O*kgtoGg</f>
        <v>0.13302313311609873</v>
      </c>
      <c r="BB168" s="22">
        <f>Constants!$H75*'Activity data'!BB17*Constants!$H93*EF!$H218*MMVolatEF*NtoN2O*kgtoGg</f>
        <v>0.13621929545186015</v>
      </c>
      <c r="BC168" s="22">
        <f>Constants!$H75*'Activity data'!BC17*Constants!$H93*EF!$H218*MMVolatEF*NtoN2O*kgtoGg</f>
        <v>0.13962684476435561</v>
      </c>
      <c r="BD168" s="22">
        <f>Constants!$H75*'Activity data'!BD17*Constants!$H93*EF!$H218*MMVolatEF*NtoN2O*kgtoGg</f>
        <v>0.14304119066791054</v>
      </c>
      <c r="BE168" s="22">
        <f>Constants!$H75*'Activity data'!BE17*Constants!$H93*EF!$H218*MMVolatEF*NtoN2O*kgtoGg</f>
        <v>0.14644440679500975</v>
      </c>
      <c r="BF168" s="22">
        <f>Constants!$H75*'Activity data'!BF17*Constants!$H93*EF!$H218*MMVolatEF*NtoN2O*kgtoGg</f>
        <v>0.14992455211372072</v>
      </c>
      <c r="BG168" s="22">
        <f>Constants!$H75*'Activity data'!BG17*Constants!$H93*EF!$H218*MMVolatEF*NtoN2O*kgtoGg</f>
        <v>0.15325657222760428</v>
      </c>
      <c r="BH168" s="22">
        <f>Constants!$H75*'Activity data'!BH17*Constants!$H93*EF!$H218*MMVolatEF*NtoN2O*kgtoGg</f>
        <v>0.15674333681767427</v>
      </c>
      <c r="BI168" s="22">
        <f>Constants!$H75*'Activity data'!BI17*Constants!$H93*EF!$H218*MMVolatEF*NtoN2O*kgtoGg</f>
        <v>0.16048535923438295</v>
      </c>
      <c r="BJ168" s="22">
        <f>Constants!$H75*'Activity data'!BJ17*Constants!$H93*EF!$H218*MMVolatEF*NtoN2O*kgtoGg</f>
        <v>0.16429277839644263</v>
      </c>
      <c r="BK168" s="22">
        <f>Constants!$H75*'Activity data'!BK17*Constants!$H93*EF!$H218*MMVolatEF*NtoN2O*kgtoGg</f>
        <v>0.16817259395975112</v>
      </c>
      <c r="BL168" s="22">
        <f>Constants!$H75*'Activity data'!BL17*Constants!$H93*EF!$H218*MMVolatEF*NtoN2O*kgtoGg</f>
        <v>0.17231652203790412</v>
      </c>
      <c r="BM168" s="22">
        <f>Constants!$H75*'Activity data'!BM17*Constants!$H93*EF!$H218*MMVolatEF*NtoN2O*kgtoGg</f>
        <v>0.17665242177214358</v>
      </c>
      <c r="BN168" s="22">
        <f>Constants!$H75*'Activity data'!BN17*Constants!$H93*EF!$H218*MMVolatEF*NtoN2O*kgtoGg</f>
        <v>0.18113086971422945</v>
      </c>
      <c r="BO168" s="22">
        <f>Constants!$H75*'Activity data'!BO17*Constants!$H93*EF!$H218*MMVolatEF*NtoN2O*kgtoGg</f>
        <v>0.18586803919890985</v>
      </c>
      <c r="BP168" s="22">
        <f>Constants!$H75*'Activity data'!BP17*Constants!$H93*EF!$H218*MMVolatEF*NtoN2O*kgtoGg</f>
        <v>0.19015603509530893</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1.2655466337890211E-2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1.2355059245839609E-2</v>
      </c>
      <c r="AI169" s="22">
        <f>Constants!$H76*'Activity data'!AI18*Constants!$H94*EF!$H219*MMVolatEF*NtoN2O*kgtoGg</f>
        <v>1.2094642930917438E-2</v>
      </c>
      <c r="AJ169" s="22">
        <f>Constants!$H76*'Activity data'!AJ18*Constants!$H94*EF!$H219*MMVolatEF*NtoN2O*kgtoGg</f>
        <v>1.1905551806853848E-2</v>
      </c>
      <c r="AK169" s="22">
        <f>Constants!$H76*'Activity data'!AK18*Constants!$H94*EF!$H219*MMVolatEF*NtoN2O*kgtoGg</f>
        <v>1.1733192711380727E-2</v>
      </c>
      <c r="AL169" s="22">
        <f>Constants!$H76*'Activity data'!AL18*Constants!$H94*EF!$H219*MMVolatEF*NtoN2O*kgtoGg</f>
        <v>1.0540159022343456E-2</v>
      </c>
      <c r="AM169" s="22">
        <f>Constants!$H76*'Activity data'!AM18*Constants!$H94*EF!$H219*MMVolatEF*NtoN2O*kgtoGg</f>
        <v>1.1016456136354276E-2</v>
      </c>
      <c r="AN169" s="22">
        <f>Constants!$H76*'Activity data'!AN18*Constants!$H94*EF!$H219*MMVolatEF*NtoN2O*kgtoGg</f>
        <v>1.1160455074635459E-2</v>
      </c>
      <c r="AO169" s="22">
        <f>Constants!$H76*'Activity data'!AO18*Constants!$H94*EF!$H219*MMVolatEF*NtoN2O*kgtoGg</f>
        <v>1.1050312217899923E-2</v>
      </c>
      <c r="AP169" s="22">
        <f>Constants!$H76*'Activity data'!AP18*Constants!$H94*EF!$H219*MMVolatEF*NtoN2O*kgtoGg</f>
        <v>1.0953442161059227E-2</v>
      </c>
      <c r="AQ169" s="22">
        <f>Constants!$H76*'Activity data'!AQ18*Constants!$H94*EF!$H219*MMVolatEF*NtoN2O*kgtoGg</f>
        <v>1.092350443018052E-2</v>
      </c>
      <c r="AR169" s="22">
        <f>Constants!$H76*'Activity data'!AR18*Constants!$H94*EF!$H219*MMVolatEF*NtoN2O*kgtoGg</f>
        <v>1.0957897774238343E-2</v>
      </c>
      <c r="AS169" s="22">
        <f>Constants!$H76*'Activity data'!AS18*Constants!$H94*EF!$H219*MMVolatEF*NtoN2O*kgtoGg</f>
        <v>1.1021958773854017E-2</v>
      </c>
      <c r="AT169" s="22">
        <f>Constants!$H76*'Activity data'!AT18*Constants!$H94*EF!$H219*MMVolatEF*NtoN2O*kgtoGg</f>
        <v>1.1122995934864729E-2</v>
      </c>
      <c r="AU169" s="22">
        <f>Constants!$H76*'Activity data'!AU18*Constants!$H94*EF!$H219*MMVolatEF*NtoN2O*kgtoGg</f>
        <v>1.1285302203718813E-2</v>
      </c>
      <c r="AV169" s="22">
        <f>Constants!$H76*'Activity data'!AV18*Constants!$H94*EF!$H219*MMVolatEF*NtoN2O*kgtoGg</f>
        <v>1.1503210812313454E-2</v>
      </c>
      <c r="AW169" s="22">
        <f>Constants!$H76*'Activity data'!AW18*Constants!$H94*EF!$H219*MMVolatEF*NtoN2O*kgtoGg</f>
        <v>1.1751223591029727E-2</v>
      </c>
      <c r="AX169" s="22">
        <f>Constants!$H76*'Activity data'!AX18*Constants!$H94*EF!$H219*MMVolatEF*NtoN2O*kgtoGg</f>
        <v>1.2026878509443005E-2</v>
      </c>
      <c r="AY169" s="22">
        <f>Constants!$H76*'Activity data'!AY18*Constants!$H94*EF!$H219*MMVolatEF*NtoN2O*kgtoGg</f>
        <v>1.231638719636668E-2</v>
      </c>
      <c r="AZ169" s="22">
        <f>Constants!$H76*'Activity data'!AZ18*Constants!$H94*EF!$H219*MMVolatEF*NtoN2O*kgtoGg</f>
        <v>1.2624721692756056E-2</v>
      </c>
      <c r="BA169" s="22">
        <f>Constants!$H76*'Activity data'!BA18*Constants!$H94*EF!$H219*MMVolatEF*NtoN2O*kgtoGg</f>
        <v>1.2945236189603672E-2</v>
      </c>
      <c r="BB169" s="22">
        <f>Constants!$H76*'Activity data'!BB18*Constants!$H94*EF!$H219*MMVolatEF*NtoN2O*kgtoGg</f>
        <v>1.3256272889518386E-2</v>
      </c>
      <c r="BC169" s="22">
        <f>Constants!$H76*'Activity data'!BC18*Constants!$H94*EF!$H219*MMVolatEF*NtoN2O*kgtoGg</f>
        <v>1.3587880856077676E-2</v>
      </c>
      <c r="BD169" s="22">
        <f>Constants!$H76*'Activity data'!BD18*Constants!$H94*EF!$H219*MMVolatEF*NtoN2O*kgtoGg</f>
        <v>1.3920150237493829E-2</v>
      </c>
      <c r="BE169" s="22">
        <f>Constants!$H76*'Activity data'!BE18*Constants!$H94*EF!$H219*MMVolatEF*NtoN2O*kgtoGg</f>
        <v>1.4251336517184878E-2</v>
      </c>
      <c r="BF169" s="22">
        <f>Constants!$H76*'Activity data'!BF18*Constants!$H94*EF!$H219*MMVolatEF*NtoN2O*kgtoGg</f>
        <v>1.459000921320037E-2</v>
      </c>
      <c r="BG169" s="22">
        <f>Constants!$H76*'Activity data'!BG18*Constants!$H94*EF!$H219*MMVolatEF*NtoN2O*kgtoGg</f>
        <v>1.4914267004701089E-2</v>
      </c>
      <c r="BH169" s="22">
        <f>Constants!$H76*'Activity data'!BH18*Constants!$H94*EF!$H219*MMVolatEF*NtoN2O*kgtoGg</f>
        <v>1.5253583859586839E-2</v>
      </c>
      <c r="BI169" s="22">
        <f>Constants!$H76*'Activity data'!BI18*Constants!$H94*EF!$H219*MMVolatEF*NtoN2O*kgtoGg</f>
        <v>1.5617741302554344E-2</v>
      </c>
      <c r="BJ169" s="22">
        <f>Constants!$H76*'Activity data'!BJ18*Constants!$H94*EF!$H219*MMVolatEF*NtoN2O*kgtoGg</f>
        <v>1.5988262874036725E-2</v>
      </c>
      <c r="BK169" s="22">
        <f>Constants!$H76*'Activity data'!BK18*Constants!$H94*EF!$H219*MMVolatEF*NtoN2O*kgtoGg</f>
        <v>1.6365829750282931E-2</v>
      </c>
      <c r="BL169" s="22">
        <f>Constants!$H76*'Activity data'!BL18*Constants!$H94*EF!$H219*MMVolatEF*NtoN2O*kgtoGg</f>
        <v>1.676909891458386E-2</v>
      </c>
      <c r="BM169" s="22">
        <f>Constants!$H76*'Activity data'!BM18*Constants!$H94*EF!$H219*MMVolatEF*NtoN2O*kgtoGg</f>
        <v>1.7191049930466051E-2</v>
      </c>
      <c r="BN169" s="22">
        <f>Constants!$H76*'Activity data'!BN18*Constants!$H94*EF!$H219*MMVolatEF*NtoN2O*kgtoGg</f>
        <v>1.7626873121628955E-2</v>
      </c>
      <c r="BO169" s="22">
        <f>Constants!$H76*'Activity data'!BO18*Constants!$H94*EF!$H219*MMVolatEF*NtoN2O*kgtoGg</f>
        <v>1.8087873974735078E-2</v>
      </c>
      <c r="BP169" s="22">
        <f>Constants!$H76*'Activity data'!BP18*Constants!$H94*EF!$H219*MMVolatEF*NtoN2O*kgtoGg</f>
        <v>1.8505163196230787E-2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6.9075990112688196E-2</v>
      </c>
      <c r="AM170" s="22">
        <f>Constants!$H77*'Activity data'!AM19*Constants!$H95*EF!$H220*MMVolatEF*NtoN2O*kgtoGg</f>
        <v>7.1960031651071718E-2</v>
      </c>
      <c r="AN170" s="22">
        <f>Constants!$H77*'Activity data'!AN19*Constants!$H95*EF!$H220*MMVolatEF*NtoN2O*kgtoGg</f>
        <v>7.3674037695468111E-2</v>
      </c>
      <c r="AO170" s="22">
        <f>Constants!$H77*'Activity data'!AO19*Constants!$H95*EF!$H220*MMVolatEF*NtoN2O*kgtoGg</f>
        <v>7.4492152680205134E-2</v>
      </c>
      <c r="AP170" s="22">
        <f>Constants!$H77*'Activity data'!AP19*Constants!$H95*EF!$H220*MMVolatEF*NtoN2O*kgtoGg</f>
        <v>7.5399470920563483E-2</v>
      </c>
      <c r="AQ170" s="22">
        <f>Constants!$H77*'Activity data'!AQ19*Constants!$H95*EF!$H220*MMVolatEF*NtoN2O*kgtoGg</f>
        <v>7.6582710746940591E-2</v>
      </c>
      <c r="AR170" s="22">
        <f>Constants!$H77*'Activity data'!AR19*Constants!$H95*EF!$H220*MMVolatEF*NtoN2O*kgtoGg</f>
        <v>7.8007027191938444E-2</v>
      </c>
      <c r="AS170" s="22">
        <f>Constants!$H77*'Activity data'!AS19*Constants!$H95*EF!$H220*MMVolatEF*NtoN2O*kgtoGg</f>
        <v>7.95518212189988E-2</v>
      </c>
      <c r="AT170" s="22">
        <f>Constants!$H77*'Activity data'!AT19*Constants!$H95*EF!$H220*MMVolatEF*NtoN2O*kgtoGg</f>
        <v>8.125501320297529E-2</v>
      </c>
      <c r="AU170" s="22">
        <f>Constants!$H77*'Activity data'!AU19*Constants!$H95*EF!$H220*MMVolatEF*NtoN2O*kgtoGg</f>
        <v>8.3229375715267798E-2</v>
      </c>
      <c r="AV170" s="22">
        <f>Constants!$H77*'Activity data'!AV19*Constants!$H95*EF!$H220*MMVolatEF*NtoN2O*kgtoGg</f>
        <v>8.5468913054205911E-2</v>
      </c>
      <c r="AW170" s="22">
        <f>Constants!$H77*'Activity data'!AW19*Constants!$H95*EF!$H220*MMVolatEF*NtoN2O*kgtoGg</f>
        <v>8.7878363840128426E-2</v>
      </c>
      <c r="AX170" s="22">
        <f>Constants!$H77*'Activity data'!AX19*Constants!$H95*EF!$H220*MMVolatEF*NtoN2O*kgtoGg</f>
        <v>9.0457350276048634E-2</v>
      </c>
      <c r="AY170" s="22">
        <f>Constants!$H77*'Activity data'!AY19*Constants!$H95*EF!$H220*MMVolatEF*NtoN2O*kgtoGg</f>
        <v>9.3152543573947852E-2</v>
      </c>
      <c r="AZ170" s="22">
        <f>Constants!$H77*'Activity data'!AZ19*Constants!$H95*EF!$H220*MMVolatEF*NtoN2O*kgtoGg</f>
        <v>9.5991306514799535E-2</v>
      </c>
      <c r="BA170" s="22">
        <f>Constants!$H77*'Activity data'!BA19*Constants!$H95*EF!$H220*MMVolatEF*NtoN2O*kgtoGg</f>
        <v>9.8949791609125759E-2</v>
      </c>
      <c r="BB170" s="22">
        <f>Constants!$H77*'Activity data'!BB19*Constants!$H95*EF!$H220*MMVolatEF*NtoN2O*kgtoGg</f>
        <v>0.10193029518056052</v>
      </c>
      <c r="BC170" s="22">
        <f>Constants!$H77*'Activity data'!BC19*Constants!$H95*EF!$H220*MMVolatEF*NtoN2O*kgtoGg</f>
        <v>0.10507798344014782</v>
      </c>
      <c r="BD170" s="22">
        <f>Constants!$H77*'Activity data'!BD19*Constants!$H95*EF!$H220*MMVolatEF*NtoN2O*kgtoGg</f>
        <v>0.10829971138803891</v>
      </c>
      <c r="BE170" s="22">
        <f>Constants!$H77*'Activity data'!BE19*Constants!$H95*EF!$H220*MMVolatEF*NtoN2O*kgtoGg</f>
        <v>0.11158886411942164</v>
      </c>
      <c r="BF170" s="22">
        <f>Constants!$H77*'Activity data'!BF19*Constants!$H95*EF!$H220*MMVolatEF*NtoN2O*kgtoGg</f>
        <v>0.11499192397451925</v>
      </c>
      <c r="BG170" s="22">
        <f>Constants!$H77*'Activity data'!BG19*Constants!$H95*EF!$H220*MMVolatEF*NtoN2O*kgtoGg</f>
        <v>0.11839831966593896</v>
      </c>
      <c r="BH170" s="22">
        <f>Constants!$H77*'Activity data'!BH19*Constants!$H95*EF!$H220*MMVolatEF*NtoN2O*kgtoGg</f>
        <v>0.12196310213771001</v>
      </c>
      <c r="BI170" s="22">
        <f>Constants!$H77*'Activity data'!BI19*Constants!$H95*EF!$H220*MMVolatEF*NtoN2O*kgtoGg</f>
        <v>0.12574583816913645</v>
      </c>
      <c r="BJ170" s="22">
        <f>Constants!$H77*'Activity data'!BJ19*Constants!$H95*EF!$H220*MMVolatEF*NtoN2O*kgtoGg</f>
        <v>0.12965360602860704</v>
      </c>
      <c r="BK170" s="22">
        <f>Constants!$H77*'Activity data'!BK19*Constants!$H95*EF!$H220*MMVolatEF*NtoN2O*kgtoGg</f>
        <v>0.13369403699154539</v>
      </c>
      <c r="BL170" s="22">
        <f>Constants!$H77*'Activity data'!BL19*Constants!$H95*EF!$H220*MMVolatEF*NtoN2O*kgtoGg</f>
        <v>0.1379790125366526</v>
      </c>
      <c r="BM170" s="22">
        <f>Constants!$H77*'Activity data'!BM19*Constants!$H95*EF!$H220*MMVolatEF*NtoN2O*kgtoGg</f>
        <v>0.14247835199666176</v>
      </c>
      <c r="BN170" s="22">
        <f>Constants!$H77*'Activity data'!BN19*Constants!$H95*EF!$H220*MMVolatEF*NtoN2O*kgtoGg</f>
        <v>0.14717275078625591</v>
      </c>
      <c r="BO170" s="22">
        <f>Constants!$H77*'Activity data'!BO19*Constants!$H95*EF!$H220*MMVolatEF*NtoN2O*kgtoGg</f>
        <v>0.15213947342494369</v>
      </c>
      <c r="BP170" s="22">
        <f>Constants!$H77*'Activity data'!BP19*Constants!$H95*EF!$H220*MMVolatEF*NtoN2O*kgtoGg</f>
        <v>0.15696141877860778</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0.3209942132552846</v>
      </c>
      <c r="AG171" s="22">
        <f>Constants!$H78*'Activity data'!AG20*Constants!$H96*EF!$H221*MMVolatEF*NtoN2O*kgtoGg</f>
        <v>0.3228790317815291</v>
      </c>
      <c r="AH171" s="22">
        <f>Constants!$H78*'Activity data'!AH20*Constants!$H96*EF!$H221*MMVolatEF*NtoN2O*kgtoGg</f>
        <v>0.3217232753588708</v>
      </c>
      <c r="AI171" s="22">
        <f>Constants!$H78*'Activity data'!AI20*Constants!$H96*EF!$H221*MMVolatEF*NtoN2O*kgtoGg</f>
        <v>0.31753924052538912</v>
      </c>
      <c r="AJ171" s="22">
        <f>Constants!$H78*'Activity data'!AJ20*Constants!$H96*EF!$H221*MMVolatEF*NtoN2O*kgtoGg</f>
        <v>0.31577785743754239</v>
      </c>
      <c r="AK171" s="22">
        <f>Constants!$H78*'Activity data'!AK20*Constants!$H96*EF!$H221*MMVolatEF*NtoN2O*kgtoGg</f>
        <v>0.31441607582114939</v>
      </c>
      <c r="AL171" s="22">
        <f>Constants!$H78*'Activity data'!AL20*Constants!$H96*EF!$H221*MMVolatEF*NtoN2O*kgtoGg</f>
        <v>0.27355046715049131</v>
      </c>
      <c r="AM171" s="22">
        <f>Constants!$H78*'Activity data'!AM20*Constants!$H96*EF!$H221*MMVolatEF*NtoN2O*kgtoGg</f>
        <v>0.2982999703835697</v>
      </c>
      <c r="AN171" s="22">
        <f>Constants!$H78*'Activity data'!AN20*Constants!$H96*EF!$H221*MMVolatEF*NtoN2O*kgtoGg</f>
        <v>0.31020865266324016</v>
      </c>
      <c r="AO171" s="22">
        <f>Constants!$H78*'Activity data'!AO20*Constants!$H96*EF!$H221*MMVolatEF*NtoN2O*kgtoGg</f>
        <v>0.31169871113596848</v>
      </c>
      <c r="AP171" s="22">
        <f>Constants!$H78*'Activity data'!AP20*Constants!$H96*EF!$H221*MMVolatEF*NtoN2O*kgtoGg</f>
        <v>0.313416443296333</v>
      </c>
      <c r="AQ171" s="22">
        <f>Constants!$H78*'Activity data'!AQ20*Constants!$H96*EF!$H221*MMVolatEF*NtoN2O*kgtoGg</f>
        <v>0.31777262865062833</v>
      </c>
      <c r="AR171" s="22">
        <f>Constants!$H78*'Activity data'!AR20*Constants!$H96*EF!$H221*MMVolatEF*NtoN2O*kgtoGg</f>
        <v>0.32494530500053975</v>
      </c>
      <c r="AS171" s="22">
        <f>Constants!$H78*'Activity data'!AS20*Constants!$H96*EF!$H221*MMVolatEF*NtoN2O*kgtoGg</f>
        <v>0.33352717212448735</v>
      </c>
      <c r="AT171" s="22">
        <f>Constants!$H78*'Activity data'!AT20*Constants!$H96*EF!$H221*MMVolatEF*NtoN2O*kgtoGg</f>
        <v>0.34389700896977449</v>
      </c>
      <c r="AU171" s="22">
        <f>Constants!$H78*'Activity data'!AU20*Constants!$H96*EF!$H221*MMVolatEF*NtoN2O*kgtoGg</f>
        <v>0.35720613223021092</v>
      </c>
      <c r="AV171" s="22">
        <f>Constants!$H78*'Activity data'!AV20*Constants!$H96*EF!$H221*MMVolatEF*NtoN2O*kgtoGg</f>
        <v>0.37330270784262232</v>
      </c>
      <c r="AW171" s="22">
        <f>Constants!$H78*'Activity data'!AW20*Constants!$H96*EF!$H221*MMVolatEF*NtoN2O*kgtoGg</f>
        <v>0.39111878330548938</v>
      </c>
      <c r="AX171" s="22">
        <f>Constants!$H78*'Activity data'!AX20*Constants!$H96*EF!$H221*MMVolatEF*NtoN2O*kgtoGg</f>
        <v>0.41059525274758124</v>
      </c>
      <c r="AY171" s="22">
        <f>Constants!$H78*'Activity data'!AY20*Constants!$H96*EF!$H221*MMVolatEF*NtoN2O*kgtoGg</f>
        <v>0.4311392832902729</v>
      </c>
      <c r="AZ171" s="22">
        <f>Constants!$H78*'Activity data'!AZ20*Constants!$H96*EF!$H221*MMVolatEF*NtoN2O*kgtoGg</f>
        <v>0.45302578965799745</v>
      </c>
      <c r="BA171" s="22">
        <f>Constants!$H78*'Activity data'!BA20*Constants!$H96*EF!$H221*MMVolatEF*NtoN2O*kgtoGg</f>
        <v>0.47597562229356133</v>
      </c>
      <c r="BB171" s="22">
        <f>Constants!$H78*'Activity data'!BB20*Constants!$H96*EF!$H221*MMVolatEF*NtoN2O*kgtoGg</f>
        <v>0.49895875258724764</v>
      </c>
      <c r="BC171" s="22">
        <f>Constants!$H78*'Activity data'!BC20*Constants!$H96*EF!$H221*MMVolatEF*NtoN2O*kgtoGg</f>
        <v>0.52346175750841617</v>
      </c>
      <c r="BD171" s="22">
        <f>Constants!$H78*'Activity data'!BD20*Constants!$H96*EF!$H221*MMVolatEF*NtoN2O*kgtoGg</f>
        <v>0.54854282752031391</v>
      </c>
      <c r="BE171" s="22">
        <f>Constants!$H78*'Activity data'!BE20*Constants!$H96*EF!$H221*MMVolatEF*NtoN2O*kgtoGg</f>
        <v>0.57412757690619154</v>
      </c>
      <c r="BF171" s="22">
        <f>Constants!$H78*'Activity data'!BF20*Constants!$H96*EF!$H221*MMVolatEF*NtoN2O*kgtoGg</f>
        <v>0.60066723743034001</v>
      </c>
      <c r="BG171" s="22">
        <f>Constants!$H78*'Activity data'!BG20*Constants!$H96*EF!$H221*MMVolatEF*NtoN2O*kgtoGg</f>
        <v>0.62704755150284652</v>
      </c>
      <c r="BH171" s="22">
        <f>Constants!$H78*'Activity data'!BH20*Constants!$H96*EF!$H221*MMVolatEF*NtoN2O*kgtoGg</f>
        <v>0.65481507956811935</v>
      </c>
      <c r="BI171" s="22">
        <f>Constants!$H78*'Activity data'!BI20*Constants!$H96*EF!$H221*MMVolatEF*NtoN2O*kgtoGg</f>
        <v>0.68454150627200949</v>
      </c>
      <c r="BJ171" s="22">
        <f>Constants!$H78*'Activity data'!BJ20*Constants!$H96*EF!$H221*MMVolatEF*NtoN2O*kgtoGg</f>
        <v>0.71529406948310958</v>
      </c>
      <c r="BK171" s="22">
        <f>Constants!$H78*'Activity data'!BK20*Constants!$H96*EF!$H221*MMVolatEF*NtoN2O*kgtoGg</f>
        <v>0.74714458055742761</v>
      </c>
      <c r="BL171" s="22">
        <f>Constants!$H78*'Activity data'!BL20*Constants!$H96*EF!$H221*MMVolatEF*NtoN2O*kgtoGg</f>
        <v>0.78116708322765893</v>
      </c>
      <c r="BM171" s="22">
        <f>Constants!$H78*'Activity data'!BM20*Constants!$H96*EF!$H221*MMVolatEF*NtoN2O*kgtoGg</f>
        <v>0.81704220152579388</v>
      </c>
      <c r="BN171" s="22">
        <f>Constants!$H78*'Activity data'!BN20*Constants!$H96*EF!$H221*MMVolatEF*NtoN2O*kgtoGg</f>
        <v>0.85455779039390145</v>
      </c>
      <c r="BO171" s="22">
        <f>Constants!$H78*'Activity data'!BO20*Constants!$H96*EF!$H221*MMVolatEF*NtoN2O*kgtoGg</f>
        <v>0.8944207901364416</v>
      </c>
      <c r="BP171" s="22">
        <f>Constants!$H78*'Activity data'!BP20*Constants!$H96*EF!$H221*MMVolatEF*NtoN2O*kgtoGg</f>
        <v>0.93268516809491542</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8.9709854381943815E-2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8.9358864650084344E-2</v>
      </c>
      <c r="AM172" s="22">
        <f>Constants!$H63*'Activity data'!AM5*Constants!$H81*FracLEACHMM*MMLeachEF*NtoN2O*kgtoGg</f>
        <v>9.1160880262772734E-2</v>
      </c>
      <c r="AN172" s="22">
        <f>Constants!$H63*'Activity data'!AN5*Constants!$H81*FracLEACHMM*MMLeachEF*NtoN2O*kgtoGg</f>
        <v>9.2055417480081031E-2</v>
      </c>
      <c r="AO172" s="22">
        <f>Constants!$H63*'Activity data'!AO5*Constants!$H81*FracLEACHMM*MMLeachEF*NtoN2O*kgtoGg</f>
        <v>9.2289034291272776E-2</v>
      </c>
      <c r="AP172" s="22">
        <f>Constants!$H63*'Activity data'!AP5*Constants!$H81*FracLEACHMM*MMLeachEF*NtoN2O*kgtoGg</f>
        <v>9.2621209958625161E-2</v>
      </c>
      <c r="AQ172" s="22">
        <f>Constants!$H63*'Activity data'!AQ5*Constants!$H81*FracLEACHMM*MMLeachEF*NtoN2O*kgtoGg</f>
        <v>9.3178603232719648E-2</v>
      </c>
      <c r="AR172" s="22">
        <f>Constants!$H63*'Activity data'!AR5*Constants!$H81*FracLEACHMM*MMLeachEF*NtoN2O*kgtoGg</f>
        <v>9.3914939363977226E-2</v>
      </c>
      <c r="AS172" s="22">
        <f>Constants!$H63*'Activity data'!AS5*Constants!$H81*FracLEACHMM*MMLeachEF*NtoN2O*kgtoGg</f>
        <v>9.4739349743762011E-2</v>
      </c>
      <c r="AT172" s="22">
        <f>Constants!$H63*'Activity data'!AT5*Constants!$H81*FracLEACHMM*MMLeachEF*NtoN2O*kgtoGg</f>
        <v>9.5677798677729631E-2</v>
      </c>
      <c r="AU172" s="22">
        <f>Constants!$H63*'Activity data'!AU5*Constants!$H81*FracLEACHMM*MMLeachEF*NtoN2O*kgtoGg</f>
        <v>9.6810748950836578E-2</v>
      </c>
      <c r="AV172" s="22">
        <f>Constants!$H63*'Activity data'!AV5*Constants!$H81*FracLEACHMM*MMLeachEF*NtoN2O*kgtoGg</f>
        <v>9.8131619080537594E-2</v>
      </c>
      <c r="AW172" s="22">
        <f>Constants!$H63*'Activity data'!AW5*Constants!$H81*FracLEACHMM*MMLeachEF*NtoN2O*kgtoGg</f>
        <v>9.956927276254475E-2</v>
      </c>
      <c r="AX172" s="22">
        <f>Constants!$H63*'Activity data'!AX5*Constants!$H81*FracLEACHMM*MMLeachEF*NtoN2O*kgtoGg</f>
        <v>0.10112241066666731</v>
      </c>
      <c r="AY172" s="22">
        <f>Constants!$H63*'Activity data'!AY5*Constants!$H81*FracLEACHMM*MMLeachEF*NtoN2O*kgtoGg</f>
        <v>0.10275162031430257</v>
      </c>
      <c r="AZ172" s="22">
        <f>Constants!$H63*'Activity data'!AZ5*Constants!$H81*FracLEACHMM*MMLeachEF*NtoN2O*kgtoGg</f>
        <v>0.10447512410975278</v>
      </c>
      <c r="BA172" s="22">
        <f>Constants!$H63*'Activity data'!BA5*Constants!$H81*FracLEACHMM*MMLeachEF*NtoN2O*kgtoGg</f>
        <v>0.10627520064757517</v>
      </c>
      <c r="BB172" s="22">
        <f>Constants!$H63*'Activity data'!BB5*Constants!$H81*FracLEACHMM*MMLeachEF*NtoN2O*kgtoGg</f>
        <v>0.10808248543054177</v>
      </c>
      <c r="BC172" s="22">
        <f>Constants!$H63*'Activity data'!BC5*Constants!$H81*FracLEACHMM*MMLeachEF*NtoN2O*kgtoGg</f>
        <v>0.10999863373444546</v>
      </c>
      <c r="BD172" s="22">
        <f>Constants!$H63*'Activity data'!BD5*Constants!$H81*FracLEACHMM*MMLeachEF*NtoN2O*kgtoGg</f>
        <v>0.11195666285750208</v>
      </c>
      <c r="BE172" s="22">
        <f>Constants!$H63*'Activity data'!BE5*Constants!$H81*FracLEACHMM*MMLeachEF*NtoN2O*kgtoGg</f>
        <v>0.11395159289972816</v>
      </c>
      <c r="BF172" s="22">
        <f>Constants!$H63*'Activity data'!BF5*Constants!$H81*FracLEACHMM*MMLeachEF*NtoN2O*kgtoGg</f>
        <v>0.11601556458845022</v>
      </c>
      <c r="BG172" s="22">
        <f>Constants!$H63*'Activity data'!BG5*Constants!$H81*FracLEACHMM*MMLeachEF*NtoN2O*kgtoGg</f>
        <v>0.1180715269808419</v>
      </c>
      <c r="BH172" s="22">
        <f>Constants!$H63*'Activity data'!BH5*Constants!$H81*FracLEACHMM*MMLeachEF*NtoN2O*kgtoGg</f>
        <v>0.12022624785087629</v>
      </c>
      <c r="BI172" s="22">
        <f>Constants!$H63*'Activity data'!BI5*Constants!$H81*FracLEACHMM*MMLeachEF*NtoN2O*kgtoGg</f>
        <v>0.12251950907003291</v>
      </c>
      <c r="BJ172" s="22">
        <f>Constants!$H63*'Activity data'!BJ5*Constants!$H81*FracLEACHMM*MMLeachEF*NtoN2O*kgtoGg</f>
        <v>0.12488629569373427</v>
      </c>
      <c r="BK172" s="22">
        <f>Constants!$H63*'Activity data'!BK5*Constants!$H81*FracLEACHMM*MMLeachEF*NtoN2O*kgtoGg</f>
        <v>0.12733088961691924</v>
      </c>
      <c r="BL172" s="22">
        <f>Constants!$H63*'Activity data'!BL5*Constants!$H81*FracLEACHMM*MMLeachEF*NtoN2O*kgtoGg</f>
        <v>0.1299285168324007</v>
      </c>
      <c r="BM172" s="22">
        <f>Constants!$H63*'Activity data'!BM5*Constants!$H81*FracLEACHMM*MMLeachEF*NtoN2O*kgtoGg</f>
        <v>0.13265733115300649</v>
      </c>
      <c r="BN172" s="22">
        <f>Constants!$H63*'Activity data'!BN5*Constants!$H81*FracLEACHMM*MMLeachEF*NtoN2O*kgtoGg</f>
        <v>0.1355032537790716</v>
      </c>
      <c r="BO172" s="22">
        <f>Constants!$H63*'Activity data'!BO5*Constants!$H81*FracLEACHMM*MMLeachEF*NtoN2O*kgtoGg</f>
        <v>0.13851756609044491</v>
      </c>
      <c r="BP172" s="22">
        <f>Constants!$H63*'Activity data'!BP5*Constants!$H81*FracLEACHMM*MMLeachEF*NtoN2O*kgtoGg</f>
        <v>0.1414178902191697</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2.6984110087570477E-2</v>
      </c>
      <c r="AM173" s="22">
        <f>Constants!$H64*'Activity data'!AM6*Constants!$H82*FracLEACHMM*MMLeachEF*NtoN2O*kgtoGg</f>
        <v>2.7528273085418706E-2</v>
      </c>
      <c r="AN173" s="22">
        <f>Constants!$H64*'Activity data'!AN6*Constants!$H82*FracLEACHMM*MMLeachEF*NtoN2O*kgtoGg</f>
        <v>2.7798400630612993E-2</v>
      </c>
      <c r="AO173" s="22">
        <f>Constants!$H64*'Activity data'!AO6*Constants!$H82*FracLEACHMM*MMLeachEF*NtoN2O*kgtoGg</f>
        <v>2.786894698072824E-2</v>
      </c>
      <c r="AP173" s="22">
        <f>Constants!$H64*'Activity data'!AP6*Constants!$H82*FracLEACHMM*MMLeachEF*NtoN2O*kgtoGg</f>
        <v>2.7969255604963213E-2</v>
      </c>
      <c r="AQ173" s="22">
        <f>Constants!$H64*'Activity data'!AQ6*Constants!$H82*FracLEACHMM*MMLeachEF*NtoN2O*kgtoGg</f>
        <v>2.8137574232657669E-2</v>
      </c>
      <c r="AR173" s="22">
        <f>Constants!$H64*'Activity data'!AR6*Constants!$H82*FracLEACHMM*MMLeachEF*NtoN2O*kgtoGg</f>
        <v>2.8359929063430364E-2</v>
      </c>
      <c r="AS173" s="22">
        <f>Constants!$H64*'Activity data'!AS6*Constants!$H82*FracLEACHMM*MMLeachEF*NtoN2O*kgtoGg</f>
        <v>2.8608880082812278E-2</v>
      </c>
      <c r="AT173" s="22">
        <f>Constants!$H64*'Activity data'!AT6*Constants!$H82*FracLEACHMM*MMLeachEF*NtoN2O*kgtoGg</f>
        <v>2.8892267852396274E-2</v>
      </c>
      <c r="AU173" s="22">
        <f>Constants!$H64*'Activity data'!AU6*Constants!$H82*FracLEACHMM*MMLeachEF*NtoN2O*kgtoGg</f>
        <v>2.9234390091896226E-2</v>
      </c>
      <c r="AV173" s="22">
        <f>Constants!$H64*'Activity data'!AV6*Constants!$H82*FracLEACHMM*MMLeachEF*NtoN2O*kgtoGg</f>
        <v>2.9633259360555886E-2</v>
      </c>
      <c r="AW173" s="22">
        <f>Constants!$H64*'Activity data'!AW6*Constants!$H82*FracLEACHMM*MMLeachEF*NtoN2O*kgtoGg</f>
        <v>3.0067394299210185E-2</v>
      </c>
      <c r="AX173" s="22">
        <f>Constants!$H64*'Activity data'!AX6*Constants!$H82*FracLEACHMM*MMLeachEF*NtoN2O*kgtoGg</f>
        <v>3.0536402543105565E-2</v>
      </c>
      <c r="AY173" s="22">
        <f>Constants!$H64*'Activity data'!AY6*Constants!$H82*FracLEACHMM*MMLeachEF*NtoN2O*kgtoGg</f>
        <v>3.102838252359965E-2</v>
      </c>
      <c r="AZ173" s="22">
        <f>Constants!$H64*'Activity data'!AZ6*Constants!$H82*FracLEACHMM*MMLeachEF*NtoN2O*kgtoGg</f>
        <v>3.1548836944488824E-2</v>
      </c>
      <c r="BA173" s="22">
        <f>Constants!$H64*'Activity data'!BA6*Constants!$H82*FracLEACHMM*MMLeachEF*NtoN2O*kgtoGg</f>
        <v>3.2092414390921906E-2</v>
      </c>
      <c r="BB173" s="22">
        <f>Constants!$H64*'Activity data'!BB6*Constants!$H82*FracLEACHMM*MMLeachEF*NtoN2O*kgtoGg</f>
        <v>3.2638168544515178E-2</v>
      </c>
      <c r="BC173" s="22">
        <f>Constants!$H64*'Activity data'!BC6*Constants!$H82*FracLEACHMM*MMLeachEF*NtoN2O*kgtoGg</f>
        <v>3.3216796719561036E-2</v>
      </c>
      <c r="BD173" s="22">
        <f>Constants!$H64*'Activity data'!BD6*Constants!$H82*FracLEACHMM*MMLeachEF*NtoN2O*kgtoGg</f>
        <v>3.3808071839473604E-2</v>
      </c>
      <c r="BE173" s="22">
        <f>Constants!$H64*'Activity data'!BE6*Constants!$H82*FracLEACHMM*MMLeachEF*NtoN2O*kgtoGg</f>
        <v>3.4410490100798045E-2</v>
      </c>
      <c r="BF173" s="22">
        <f>Constants!$H64*'Activity data'!BF6*Constants!$H82*FracLEACHMM*MMLeachEF*NtoN2O*kgtoGg</f>
        <v>3.5033757187775863E-2</v>
      </c>
      <c r="BG173" s="22">
        <f>Constants!$H64*'Activity data'!BG6*Constants!$H82*FracLEACHMM*MMLeachEF*NtoN2O*kgtoGg</f>
        <v>3.5654605670458001E-2</v>
      </c>
      <c r="BH173" s="22">
        <f>Constants!$H64*'Activity data'!BH6*Constants!$H82*FracLEACHMM*MMLeachEF*NtoN2O*kgtoGg</f>
        <v>3.6305276707883034E-2</v>
      </c>
      <c r="BI173" s="22">
        <f>Constants!$H64*'Activity data'!BI6*Constants!$H82*FracLEACHMM*MMLeachEF*NtoN2O*kgtoGg</f>
        <v>3.699778341597066E-2</v>
      </c>
      <c r="BJ173" s="22">
        <f>Constants!$H64*'Activity data'!BJ6*Constants!$H82*FracLEACHMM*MMLeachEF*NtoN2O*kgtoGg</f>
        <v>3.7712492930889352E-2</v>
      </c>
      <c r="BK173" s="22">
        <f>Constants!$H64*'Activity data'!BK6*Constants!$H82*FracLEACHMM*MMLeachEF*NtoN2O*kgtoGg</f>
        <v>3.8450698276278859E-2</v>
      </c>
      <c r="BL173" s="22">
        <f>Constants!$H64*'Activity data'!BL6*Constants!$H82*FracLEACHMM*MMLeachEF*NtoN2O*kgtoGg</f>
        <v>3.9235115793483218E-2</v>
      </c>
      <c r="BM173" s="22">
        <f>Constants!$H64*'Activity data'!BM6*Constants!$H82*FracLEACHMM*MMLeachEF*NtoN2O*kgtoGg</f>
        <v>4.0059148488214832E-2</v>
      </c>
      <c r="BN173" s="22">
        <f>Constants!$H64*'Activity data'!BN6*Constants!$H82*FracLEACHMM*MMLeachEF*NtoN2O*kgtoGg</f>
        <v>4.0918544920154343E-2</v>
      </c>
      <c r="BO173" s="22">
        <f>Constants!$H64*'Activity data'!BO6*Constants!$H82*FracLEACHMM*MMLeachEF*NtoN2O*kgtoGg</f>
        <v>4.1828790765006174E-2</v>
      </c>
      <c r="BP173" s="22">
        <f>Constants!$H64*'Activity data'!BP6*Constants!$H82*FracLEACHMM*MMLeachEF*NtoN2O*kgtoGg</f>
        <v>4.2704615070581362E-2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1.4564639612104711E-3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1.4507655471540646E-3</v>
      </c>
      <c r="AM174" s="22">
        <f>Constants!$H65*'Activity data'!AM7*Constants!$H83*FracLEACHMM*MMLeachEF*NtoN2O*kgtoGg</f>
        <v>1.4800217622655623E-3</v>
      </c>
      <c r="AN174" s="22">
        <f>Constants!$H65*'Activity data'!AN7*Constants!$H83*FracLEACHMM*MMLeachEF*NtoN2O*kgtoGg</f>
        <v>1.4945448180429578E-3</v>
      </c>
      <c r="AO174" s="22">
        <f>Constants!$H65*'Activity data'!AO7*Constants!$H83*FracLEACHMM*MMLeachEF*NtoN2O*kgtoGg</f>
        <v>1.4983376507097578E-3</v>
      </c>
      <c r="AP174" s="22">
        <f>Constants!$H65*'Activity data'!AP7*Constants!$H83*FracLEACHMM*MMLeachEF*NtoN2O*kgtoGg</f>
        <v>1.5037306132958967E-3</v>
      </c>
      <c r="AQ174" s="22">
        <f>Constants!$H65*'Activity data'!AQ7*Constants!$H83*FracLEACHMM*MMLeachEF*NtoN2O*kgtoGg</f>
        <v>1.5127800451730611E-3</v>
      </c>
      <c r="AR174" s="22">
        <f>Constants!$H65*'Activity data'!AR7*Constants!$H83*FracLEACHMM*MMLeachEF*NtoN2O*kgtoGg</f>
        <v>1.5247346631568088E-3</v>
      </c>
      <c r="AS174" s="22">
        <f>Constants!$H65*'Activity data'!AS7*Constants!$H83*FracLEACHMM*MMLeachEF*NtoN2O*kgtoGg</f>
        <v>1.5381191905944778E-3</v>
      </c>
      <c r="AT174" s="22">
        <f>Constants!$H65*'Activity data'!AT7*Constants!$H83*FracLEACHMM*MMLeachEF*NtoN2O*kgtoGg</f>
        <v>1.5533551650721636E-3</v>
      </c>
      <c r="AU174" s="22">
        <f>Constants!$H65*'Activity data'!AU7*Constants!$H83*FracLEACHMM*MMLeachEF*NtoN2O*kgtoGg</f>
        <v>1.5717489218560997E-3</v>
      </c>
      <c r="AV174" s="22">
        <f>Constants!$H65*'Activity data'!AV7*Constants!$H83*FracLEACHMM*MMLeachEF*NtoN2O*kgtoGg</f>
        <v>1.5931936087815548E-3</v>
      </c>
      <c r="AW174" s="22">
        <f>Constants!$H65*'Activity data'!AW7*Constants!$H83*FracLEACHMM*MMLeachEF*NtoN2O*kgtoGg</f>
        <v>1.6165343085404703E-3</v>
      </c>
      <c r="AX174" s="22">
        <f>Constants!$H65*'Activity data'!AX7*Constants!$H83*FracLEACHMM*MMLeachEF*NtoN2O*kgtoGg</f>
        <v>1.641749926152706E-3</v>
      </c>
      <c r="AY174" s="22">
        <f>Constants!$H65*'Activity data'!AY7*Constants!$H83*FracLEACHMM*MMLeachEF*NtoN2O*kgtoGg</f>
        <v>1.6682005892753381E-3</v>
      </c>
      <c r="AZ174" s="22">
        <f>Constants!$H65*'Activity data'!AZ7*Constants!$H83*FracLEACHMM*MMLeachEF*NtoN2O*kgtoGg</f>
        <v>1.6961821436137869E-3</v>
      </c>
      <c r="BA174" s="22">
        <f>Constants!$H65*'Activity data'!BA7*Constants!$H83*FracLEACHMM*MMLeachEF*NtoN2O*kgtoGg</f>
        <v>1.7254068773158021E-3</v>
      </c>
      <c r="BB174" s="22">
        <f>Constants!$H65*'Activity data'!BB7*Constants!$H83*FracLEACHMM*MMLeachEF*NtoN2O*kgtoGg</f>
        <v>1.7547486388443409E-3</v>
      </c>
      <c r="BC174" s="22">
        <f>Constants!$H65*'Activity data'!BC7*Constants!$H83*FracLEACHMM*MMLeachEF*NtoN2O*kgtoGg</f>
        <v>1.785857829336261E-3</v>
      </c>
      <c r="BD174" s="22">
        <f>Constants!$H65*'Activity data'!BD7*Constants!$H83*FracLEACHMM*MMLeachEF*NtoN2O*kgtoGg</f>
        <v>1.81764696635337E-3</v>
      </c>
      <c r="BE174" s="22">
        <f>Constants!$H65*'Activity data'!BE7*Constants!$H83*FracLEACHMM*MMLeachEF*NtoN2O*kgtoGg</f>
        <v>1.8500351998607825E-3</v>
      </c>
      <c r="BF174" s="22">
        <f>Constants!$H65*'Activity data'!BF7*Constants!$H83*FracLEACHMM*MMLeachEF*NtoN2O*kgtoGg</f>
        <v>1.88354434333552E-3</v>
      </c>
      <c r="BG174" s="22">
        <f>Constants!$H65*'Activity data'!BG7*Constants!$H83*FracLEACHMM*MMLeachEF*NtoN2O*kgtoGg</f>
        <v>1.9169234536991781E-3</v>
      </c>
      <c r="BH174" s="22">
        <f>Constants!$H65*'Activity data'!BH7*Constants!$H83*FracLEACHMM*MMLeachEF*NtoN2O*kgtoGg</f>
        <v>1.9519059348913977E-3</v>
      </c>
      <c r="BI174" s="22">
        <f>Constants!$H65*'Activity data'!BI7*Constants!$H83*FracLEACHMM*MMLeachEF*NtoN2O*kgtoGg</f>
        <v>1.9891376564492419E-3</v>
      </c>
      <c r="BJ174" s="22">
        <f>Constants!$H65*'Activity data'!BJ7*Constants!$H83*FracLEACHMM*MMLeachEF*NtoN2O*kgtoGg</f>
        <v>2.0275630830096244E-3</v>
      </c>
      <c r="BK174" s="22">
        <f>Constants!$H65*'Activity data'!BK7*Constants!$H83*FracLEACHMM*MMLeachEF*NtoN2O*kgtoGg</f>
        <v>2.0672517323050989E-3</v>
      </c>
      <c r="BL174" s="22">
        <f>Constants!$H65*'Activity data'!BL7*Constants!$H83*FracLEACHMM*MMLeachEF*NtoN2O*kgtoGg</f>
        <v>2.1094249188527039E-3</v>
      </c>
      <c r="BM174" s="22">
        <f>Constants!$H65*'Activity data'!BM7*Constants!$H83*FracLEACHMM*MMLeachEF*NtoN2O*kgtoGg</f>
        <v>2.1537279638434597E-3</v>
      </c>
      <c r="BN174" s="22">
        <f>Constants!$H65*'Activity data'!BN7*Constants!$H83*FracLEACHMM*MMLeachEF*NtoN2O*kgtoGg</f>
        <v>2.1999322941237188E-3</v>
      </c>
      <c r="BO174" s="22">
        <f>Constants!$H65*'Activity data'!BO7*Constants!$H83*FracLEACHMM*MMLeachEF*NtoN2O*kgtoGg</f>
        <v>2.2488704768863013E-3</v>
      </c>
      <c r="BP174" s="22">
        <f>Constants!$H65*'Activity data'!BP7*Constants!$H83*FracLEACHMM*MMLeachEF*NtoN2O*kgtoGg</f>
        <v>2.2959580304044692E-3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3.0040206026371356E-2</v>
      </c>
      <c r="AF175" s="22">
        <f>Constants!$H66*'Activity data'!AF8*Constants!$H84*FracLEACHMM*MMLeachEF*NtoN2O*kgtoGg</f>
        <v>2.9940162837193186E-2</v>
      </c>
      <c r="AG175" s="22">
        <f>Constants!$H66*'Activity data'!AG8*Constants!$H84*FracLEACHMM*MMLeachEF*NtoN2O*kgtoGg</f>
        <v>2.9540351153331298E-2</v>
      </c>
      <c r="AH175" s="22">
        <f>Constants!$H66*'Activity data'!AH8*Constants!$H84*FracLEACHMM*MMLeachEF*NtoN2O*kgtoGg</f>
        <v>2.8960014730128842E-2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2.416485344196681E-2</v>
      </c>
      <c r="AM175" s="22">
        <f>Constants!$H66*'Activity data'!AM8*Constants!$H84*FracLEACHMM*MMLeachEF*NtoN2O*kgtoGg</f>
        <v>2.5320182377840249E-2</v>
      </c>
      <c r="AN175" s="22">
        <f>Constants!$H66*'Activity data'!AN8*Constants!$H84*FracLEACHMM*MMLeachEF*NtoN2O*kgtoGg</f>
        <v>2.5720157477778727E-2</v>
      </c>
      <c r="AO175" s="22">
        <f>Constants!$H66*'Activity data'!AO8*Constants!$H84*FracLEACHMM*MMLeachEF*NtoN2O*kgtoGg</f>
        <v>2.5546462223035794E-2</v>
      </c>
      <c r="AP175" s="22">
        <f>Constants!$H66*'Activity data'!AP8*Constants!$H84*FracLEACHMM*MMLeachEF*NtoN2O*kgtoGg</f>
        <v>2.5405173363708521E-2</v>
      </c>
      <c r="AQ175" s="22">
        <f>Constants!$H66*'Activity data'!AQ8*Constants!$H84*FracLEACHMM*MMLeachEF*NtoN2O*kgtoGg</f>
        <v>2.5414454482957191E-2</v>
      </c>
      <c r="AR175" s="22">
        <f>Constants!$H66*'Activity data'!AR8*Constants!$H84*FracLEACHMM*MMLeachEF*NtoN2O*kgtoGg</f>
        <v>2.5563690103476349E-2</v>
      </c>
      <c r="AS175" s="22">
        <f>Constants!$H66*'Activity data'!AS8*Constants!$H84*FracLEACHMM*MMLeachEF*NtoN2O*kgtoGg</f>
        <v>2.5775445206678543E-2</v>
      </c>
      <c r="AT175" s="22">
        <f>Constants!$H66*'Activity data'!AT8*Constants!$H84*FracLEACHMM*MMLeachEF*NtoN2O*kgtoGg</f>
        <v>2.6066776415666827E-2</v>
      </c>
      <c r="AU175" s="22">
        <f>Constants!$H66*'Activity data'!AU8*Constants!$H84*FracLEACHMM*MMLeachEF*NtoN2O*kgtoGg</f>
        <v>2.6493519467488225E-2</v>
      </c>
      <c r="AV175" s="22">
        <f>Constants!$H66*'Activity data'!AV8*Constants!$H84*FracLEACHMM*MMLeachEF*NtoN2O*kgtoGg</f>
        <v>2.7043622150726768E-2</v>
      </c>
      <c r="AW175" s="22">
        <f>Constants!$H66*'Activity data'!AW8*Constants!$H84*FracLEACHMM*MMLeachEF*NtoN2O*kgtoGg</f>
        <v>2.7427151031194422E-2</v>
      </c>
      <c r="AX175" s="22">
        <f>Constants!$H66*'Activity data'!AX8*Constants!$H84*FracLEACHMM*MMLeachEF*NtoN2O*kgtoGg</f>
        <v>2.7855985588875625E-2</v>
      </c>
      <c r="AY175" s="22">
        <f>Constants!$H66*'Activity data'!AY8*Constants!$H84*FracLEACHMM*MMLeachEF*NtoN2O*kgtoGg</f>
        <v>2.8297808294208047E-2</v>
      </c>
      <c r="AZ175" s="22">
        <f>Constants!$H66*'Activity data'!AZ8*Constants!$H84*FracLEACHMM*MMLeachEF*NtoN2O*kgtoGg</f>
        <v>2.8762433728203925E-2</v>
      </c>
      <c r="BA175" s="22">
        <f>Constants!$H66*'Activity data'!BA8*Constants!$H84*FracLEACHMM*MMLeachEF*NtoN2O*kgtoGg</f>
        <v>2.9234018291177721E-2</v>
      </c>
      <c r="BB175" s="22">
        <f>Constants!$H66*'Activity data'!BB8*Constants!$H84*FracLEACHMM*MMLeachEF*NtoN2O*kgtoGg</f>
        <v>2.9664658796070921E-2</v>
      </c>
      <c r="BC175" s="22">
        <f>Constants!$H66*'Activity data'!BC8*Constants!$H84*FracLEACHMM*MMLeachEF*NtoN2O*kgtoGg</f>
        <v>3.0118905492871519E-2</v>
      </c>
      <c r="BD175" s="22">
        <f>Constants!$H66*'Activity data'!BD8*Constants!$H84*FracLEACHMM*MMLeachEF*NtoN2O*kgtoGg</f>
        <v>3.0552583954684191E-2</v>
      </c>
      <c r="BE175" s="22">
        <f>Constants!$H66*'Activity data'!BE8*Constants!$H84*FracLEACHMM*MMLeachEF*NtoN2O*kgtoGg</f>
        <v>3.0961516168479985E-2</v>
      </c>
      <c r="BF175" s="22">
        <f>Constants!$H66*'Activity data'!BF8*Constants!$H84*FracLEACHMM*MMLeachEF*NtoN2O*kgtoGg</f>
        <v>3.1363182487267389E-2</v>
      </c>
      <c r="BG175" s="22">
        <f>Constants!$H66*'Activity data'!BG8*Constants!$H84*FracLEACHMM*MMLeachEF*NtoN2O*kgtoGg</f>
        <v>3.1873237924965422E-2</v>
      </c>
      <c r="BH175" s="22">
        <f>Constants!$H66*'Activity data'!BH8*Constants!$H84*FracLEACHMM*MMLeachEF*NtoN2O*kgtoGg</f>
        <v>3.2400793328725176E-2</v>
      </c>
      <c r="BI175" s="22">
        <f>Constants!$H66*'Activity data'!BI8*Constants!$H84*FracLEACHMM*MMLeachEF*NtoN2O*kgtoGg</f>
        <v>3.2965020652190688E-2</v>
      </c>
      <c r="BJ175" s="22">
        <f>Constants!$H66*'Activity data'!BJ8*Constants!$H84*FracLEACHMM*MMLeachEF*NtoN2O*kgtoGg</f>
        <v>3.3527052752866549E-2</v>
      </c>
      <c r="BK175" s="22">
        <f>Constants!$H66*'Activity data'!BK8*Constants!$H84*FracLEACHMM*MMLeachEF*NtoN2O*kgtoGg</f>
        <v>3.4087619114860586E-2</v>
      </c>
      <c r="BL175" s="22">
        <f>Constants!$H66*'Activity data'!BL8*Constants!$H84*FracLEACHMM*MMLeachEF*NtoN2O*kgtoGg</f>
        <v>3.4683560205557983E-2</v>
      </c>
      <c r="BM175" s="22">
        <f>Constants!$H66*'Activity data'!BM8*Constants!$H84*FracLEACHMM*MMLeachEF*NtoN2O*kgtoGg</f>
        <v>3.5299445606795467E-2</v>
      </c>
      <c r="BN175" s="22">
        <f>Constants!$H66*'Activity data'!BN8*Constants!$H84*FracLEACHMM*MMLeachEF*NtoN2O*kgtoGg</f>
        <v>3.5924567561005115E-2</v>
      </c>
      <c r="BO175" s="22">
        <f>Constants!$H66*'Activity data'!BO8*Constants!$H84*FracLEACHMM*MMLeachEF*NtoN2O*kgtoGg</f>
        <v>3.6580199359184239E-2</v>
      </c>
      <c r="BP175" s="22">
        <f>Constants!$H66*'Activity data'!BP8*Constants!$H84*FracLEACHMM*MMLeachEF*NtoN2O*kgtoGg</f>
        <v>3.712986506477154E-2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4.0226293185258916E-2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3.9213881856453713E-2</v>
      </c>
      <c r="AH176" s="22">
        <f>Constants!$H67*'Activity data'!AH9*Constants!$H85*FracLEACHMM*MMLeachEF*NtoN2O*kgtoGg</f>
        <v>3.8443503609481136E-2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3.20780786603799E-2</v>
      </c>
      <c r="AM176" s="22">
        <f>Constants!$H67*'Activity data'!AM9*Constants!$H85*FracLEACHMM*MMLeachEF*NtoN2O*kgtoGg</f>
        <v>3.3611741282111272E-2</v>
      </c>
      <c r="AN176" s="22">
        <f>Constants!$H67*'Activity data'!AN9*Constants!$H85*FracLEACHMM*MMLeachEF*NtoN2O*kgtoGg</f>
        <v>3.414269557690279E-2</v>
      </c>
      <c r="AO176" s="22">
        <f>Constants!$H67*'Activity data'!AO9*Constants!$H85*FracLEACHMM*MMLeachEF*NtoN2O*kgtoGg</f>
        <v>3.3912120619849585E-2</v>
      </c>
      <c r="AP176" s="22">
        <f>Constants!$H67*'Activity data'!AP9*Constants!$H85*FracLEACHMM*MMLeachEF*NtoN2O*kgtoGg</f>
        <v>3.372456412776409E-2</v>
      </c>
      <c r="AQ176" s="22">
        <f>Constants!$H67*'Activity data'!AQ9*Constants!$H85*FracLEACHMM*MMLeachEF*NtoN2O*kgtoGg</f>
        <v>3.3736884520024282E-2</v>
      </c>
      <c r="AR176" s="22">
        <f>Constants!$H67*'Activity data'!AR9*Constants!$H85*FracLEACHMM*MMLeachEF*NtoN2O*kgtoGg</f>
        <v>3.3934990086252545E-2</v>
      </c>
      <c r="AS176" s="22">
        <f>Constants!$H67*'Activity data'!AS9*Constants!$H85*FracLEACHMM*MMLeachEF*NtoN2O*kgtoGg</f>
        <v>3.4216088288381921E-2</v>
      </c>
      <c r="AT176" s="22">
        <f>Constants!$H67*'Activity data'!AT9*Constants!$H85*FracLEACHMM*MMLeachEF*NtoN2O*kgtoGg</f>
        <v>3.4602821254116366E-2</v>
      </c>
      <c r="AU176" s="22">
        <f>Constants!$H67*'Activity data'!AU9*Constants!$H85*FracLEACHMM*MMLeachEF*NtoN2O*kgtoGg</f>
        <v>3.5169309158418066E-2</v>
      </c>
      <c r="AV176" s="22">
        <f>Constants!$H67*'Activity data'!AV9*Constants!$H85*FracLEACHMM*MMLeachEF*NtoN2O*kgtoGg</f>
        <v>3.589955307181858E-2</v>
      </c>
      <c r="AW176" s="22">
        <f>Constants!$H67*'Activity data'!AW9*Constants!$H85*FracLEACHMM*MMLeachEF*NtoN2O*kgtoGg</f>
        <v>3.6408675530422145E-2</v>
      </c>
      <c r="AX176" s="22">
        <f>Constants!$H67*'Activity data'!AX9*Constants!$H85*FracLEACHMM*MMLeachEF*NtoN2O*kgtoGg</f>
        <v>3.6977939842602774E-2</v>
      </c>
      <c r="AY176" s="22">
        <f>Constants!$H67*'Activity data'!AY9*Constants!$H85*FracLEACHMM*MMLeachEF*NtoN2O*kgtoGg</f>
        <v>3.7564445510002403E-2</v>
      </c>
      <c r="AZ176" s="22">
        <f>Constants!$H67*'Activity data'!AZ9*Constants!$H85*FracLEACHMM*MMLeachEF*NtoN2O*kgtoGg</f>
        <v>3.8181221078500117E-2</v>
      </c>
      <c r="BA176" s="22">
        <f>Constants!$H67*'Activity data'!BA9*Constants!$H85*FracLEACHMM*MMLeachEF*NtoN2O*kgtoGg</f>
        <v>3.8807234670613311E-2</v>
      </c>
      <c r="BB176" s="22">
        <f>Constants!$H67*'Activity data'!BB9*Constants!$H85*FracLEACHMM*MMLeachEF*NtoN2O*kgtoGg</f>
        <v>3.9378896320599516E-2</v>
      </c>
      <c r="BC176" s="22">
        <f>Constants!$H67*'Activity data'!BC9*Constants!$H85*FracLEACHMM*MMLeachEF*NtoN2O*kgtoGg</f>
        <v>3.9981894443728266E-2</v>
      </c>
      <c r="BD176" s="22">
        <f>Constants!$H67*'Activity data'!BD9*Constants!$H85*FracLEACHMM*MMLeachEF*NtoN2O*kgtoGg</f>
        <v>4.0557588885440844E-2</v>
      </c>
      <c r="BE176" s="22">
        <f>Constants!$H67*'Activity data'!BE9*Constants!$H85*FracLEACHMM*MMLeachEF*NtoN2O*kgtoGg</f>
        <v>4.1100433465583154E-2</v>
      </c>
      <c r="BF176" s="22">
        <f>Constants!$H67*'Activity data'!BF9*Constants!$H85*FracLEACHMM*MMLeachEF*NtoN2O*kgtoGg</f>
        <v>4.1633632799906894E-2</v>
      </c>
      <c r="BG176" s="22">
        <f>Constants!$H67*'Activity data'!BG9*Constants!$H85*FracLEACHMM*MMLeachEF*NtoN2O*kgtoGg</f>
        <v>4.23107152614631E-2</v>
      </c>
      <c r="BH176" s="22">
        <f>Constants!$H67*'Activity data'!BH9*Constants!$H85*FracLEACHMM*MMLeachEF*NtoN2O*kgtoGg</f>
        <v>4.3011028374478885E-2</v>
      </c>
      <c r="BI176" s="22">
        <f>Constants!$H67*'Activity data'!BI9*Constants!$H85*FracLEACHMM*MMLeachEF*NtoN2O*kgtoGg</f>
        <v>4.3760022301047856E-2</v>
      </c>
      <c r="BJ176" s="22">
        <f>Constants!$H67*'Activity data'!BJ9*Constants!$H85*FracLEACHMM*MMLeachEF*NtoN2O*kgtoGg</f>
        <v>4.4506102138793871E-2</v>
      </c>
      <c r="BK176" s="22">
        <f>Constants!$H67*'Activity data'!BK9*Constants!$H85*FracLEACHMM*MMLeachEF*NtoN2O*kgtoGg</f>
        <v>4.5250236254798015E-2</v>
      </c>
      <c r="BL176" s="22">
        <f>Constants!$H67*'Activity data'!BL9*Constants!$H85*FracLEACHMM*MMLeachEF*NtoN2O*kgtoGg</f>
        <v>4.6041329204327096E-2</v>
      </c>
      <c r="BM176" s="22">
        <f>Constants!$H67*'Activity data'!BM9*Constants!$H85*FracLEACHMM*MMLeachEF*NtoN2O*kgtoGg</f>
        <v>4.6858897595301277E-2</v>
      </c>
      <c r="BN176" s="22">
        <f>Constants!$H67*'Activity data'!BN9*Constants!$H85*FracLEACHMM*MMLeachEF*NtoN2O*kgtoGg</f>
        <v>4.7688727218213149E-2</v>
      </c>
      <c r="BO176" s="22">
        <f>Constants!$H67*'Activity data'!BO9*Constants!$H85*FracLEACHMM*MMLeachEF*NtoN2O*kgtoGg</f>
        <v>4.8559057694031842E-2</v>
      </c>
      <c r="BP176" s="22">
        <f>Constants!$H67*'Activity data'!BP9*Constants!$H85*FracLEACHMM*MMLeachEF*NtoN2O*kgtoGg</f>
        <v>4.928872153342103E-2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4.1968337096859189E-2</v>
      </c>
      <c r="AE177" s="22">
        <f>Constants!$H68*'Activity data'!AE10*Constants!$H86*FracLEACHMM*MMLeachEF*NtoN2O*kgtoGg</f>
        <v>4.3383434779753448E-2</v>
      </c>
      <c r="AF177" s="22">
        <f>Constants!$H68*'Activity data'!AF10*Constants!$H86*FracLEACHMM*MMLeachEF*NtoN2O*kgtoGg</f>
        <v>4.5063007666824861E-2</v>
      </c>
      <c r="AG177" s="22">
        <f>Constants!$H68*'Activity data'!AG10*Constants!$H86*FracLEACHMM*MMLeachEF*NtoN2O*kgtoGg</f>
        <v>4.6315596244033488E-2</v>
      </c>
      <c r="AH177" s="22">
        <f>Constants!$H68*'Activity data'!AH10*Constants!$H86*FracLEACHMM*MMLeachEF*NtoN2O*kgtoGg</f>
        <v>4.7281576900430174E-2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4.6274354518489276E-2</v>
      </c>
      <c r="AM177" s="22">
        <f>Constants!$H68*'Activity data'!AM10*Constants!$H86*FracLEACHMM*MMLeachEF*NtoN2O*kgtoGg</f>
        <v>4.9654921678945953E-2</v>
      </c>
      <c r="AN177" s="22">
        <f>Constants!$H68*'Activity data'!AN10*Constants!$H86*FracLEACHMM*MMLeachEF*NtoN2O*kgtoGg</f>
        <v>5.1637836574471289E-2</v>
      </c>
      <c r="AO177" s="22">
        <f>Constants!$H68*'Activity data'!AO10*Constants!$H86*FracLEACHMM*MMLeachEF*NtoN2O*kgtoGg</f>
        <v>5.2492346966759522E-2</v>
      </c>
      <c r="AP177" s="22">
        <f>Constants!$H68*'Activity data'!AP10*Constants!$H86*FracLEACHMM*MMLeachEF*NtoN2O*kgtoGg</f>
        <v>5.3412266292045346E-2</v>
      </c>
      <c r="AQ177" s="22">
        <f>Constants!$H68*'Activity data'!AQ10*Constants!$H86*FracLEACHMM*MMLeachEF*NtoN2O*kgtoGg</f>
        <v>5.4657017670669474E-2</v>
      </c>
      <c r="AR177" s="22">
        <f>Constants!$H68*'Activity data'!AR10*Constants!$H86*FracLEACHMM*MMLeachEF*NtoN2O*kgtoGg</f>
        <v>5.6225924185537776E-2</v>
      </c>
      <c r="AS177" s="22">
        <f>Constants!$H68*'Activity data'!AS10*Constants!$H86*FracLEACHMM*MMLeachEF*NtoN2O*kgtoGg</f>
        <v>5.7966478629194101E-2</v>
      </c>
      <c r="AT177" s="22">
        <f>Constants!$H68*'Activity data'!AT10*Constants!$H86*FracLEACHMM*MMLeachEF*NtoN2O*kgtoGg</f>
        <v>5.9928438330955298E-2</v>
      </c>
      <c r="AU177" s="22">
        <f>Constants!$H68*'Activity data'!AU10*Constants!$H86*FracLEACHMM*MMLeachEF*NtoN2O*kgtoGg</f>
        <v>6.2256429990458134E-2</v>
      </c>
      <c r="AV177" s="22">
        <f>Constants!$H68*'Activity data'!AV10*Constants!$H86*FracLEACHMM*MMLeachEF*NtoN2O*kgtoGg</f>
        <v>6.4943944669320713E-2</v>
      </c>
      <c r="AW177" s="22">
        <f>Constants!$H68*'Activity data'!AW10*Constants!$H86*FracLEACHMM*MMLeachEF*NtoN2O*kgtoGg</f>
        <v>6.8049231515403694E-2</v>
      </c>
      <c r="AX177" s="22">
        <f>Constants!$H68*'Activity data'!AX10*Constants!$H86*FracLEACHMM*MMLeachEF*NtoN2O*kgtoGg</f>
        <v>7.140958377080403E-2</v>
      </c>
      <c r="AY177" s="22">
        <f>Constants!$H68*'Activity data'!AY10*Constants!$H86*FracLEACHMM*MMLeachEF*NtoN2O*kgtoGg</f>
        <v>7.4958672292987819E-2</v>
      </c>
      <c r="AZ177" s="22">
        <f>Constants!$H68*'Activity data'!AZ10*Constants!$H86*FracLEACHMM*MMLeachEF*NtoN2O*kgtoGg</f>
        <v>7.8735451654029412E-2</v>
      </c>
      <c r="BA177" s="22">
        <f>Constants!$H68*'Activity data'!BA10*Constants!$H86*FracLEACHMM*MMLeachEF*NtoN2O*kgtoGg</f>
        <v>8.2710770800306643E-2</v>
      </c>
      <c r="BB177" s="22">
        <f>Constants!$H68*'Activity data'!BB10*Constants!$H86*FracLEACHMM*MMLeachEF*NtoN2O*kgtoGg</f>
        <v>8.6756849519810442E-2</v>
      </c>
      <c r="BC177" s="22">
        <f>Constants!$H68*'Activity data'!BC10*Constants!$H86*FracLEACHMM*MMLeachEF*NtoN2O*kgtoGg</f>
        <v>9.1067882332403163E-2</v>
      </c>
      <c r="BD177" s="22">
        <f>Constants!$H68*'Activity data'!BD10*Constants!$H86*FracLEACHMM*MMLeachEF*NtoN2O*kgtoGg</f>
        <v>9.5524607474435114E-2</v>
      </c>
      <c r="BE177" s="22">
        <f>Constants!$H68*'Activity data'!BE10*Constants!$H86*FracLEACHMM*MMLeachEF*NtoN2O*kgtoGg</f>
        <v>0.10011966756252628</v>
      </c>
      <c r="BF177" s="22">
        <f>Constants!$H68*'Activity data'!BF10*Constants!$H86*FracLEACHMM*MMLeachEF*NtoN2O*kgtoGg</f>
        <v>0.10491676883738305</v>
      </c>
      <c r="BG177" s="22">
        <f>Constants!$H68*'Activity data'!BG10*Constants!$H86*FracLEACHMM*MMLeachEF*NtoN2O*kgtoGg</f>
        <v>0.10963141037847199</v>
      </c>
      <c r="BH177" s="22">
        <f>Constants!$H68*'Activity data'!BH10*Constants!$H86*FracLEACHMM*MMLeachEF*NtoN2O*kgtoGg</f>
        <v>0.11460133874628856</v>
      </c>
      <c r="BI177" s="22">
        <f>Constants!$H68*'Activity data'!BI10*Constants!$H86*FracLEACHMM*MMLeachEF*NtoN2O*kgtoGg</f>
        <v>0.11991104885412743</v>
      </c>
      <c r="BJ177" s="22">
        <f>Constants!$H68*'Activity data'!BJ10*Constants!$H86*FracLEACHMM*MMLeachEF*NtoN2O*kgtoGg</f>
        <v>0.12543680820975456</v>
      </c>
      <c r="BK177" s="22">
        <f>Constants!$H68*'Activity data'!BK10*Constants!$H86*FracLEACHMM*MMLeachEF*NtoN2O*kgtoGg</f>
        <v>0.13119202833792193</v>
      </c>
      <c r="BL177" s="22">
        <f>Constants!$H68*'Activity data'!BL10*Constants!$H86*FracLEACHMM*MMLeachEF*NtoN2O*kgtoGg</f>
        <v>0.13733413284188337</v>
      </c>
      <c r="BM177" s="22">
        <f>Constants!$H68*'Activity data'!BM10*Constants!$H86*FracLEACHMM*MMLeachEF*NtoN2O*kgtoGg</f>
        <v>0.14382526611180527</v>
      </c>
      <c r="BN177" s="22">
        <f>Constants!$H68*'Activity data'!BN10*Constants!$H86*FracLEACHMM*MMLeachEF*NtoN2O*kgtoGg</f>
        <v>0.15064177825264938</v>
      </c>
      <c r="BO177" s="22">
        <f>Constants!$H68*'Activity data'!BO10*Constants!$H86*FracLEACHMM*MMLeachEF*NtoN2O*kgtoGg</f>
        <v>0.15789428521651691</v>
      </c>
      <c r="BP177" s="22">
        <f>Constants!$H68*'Activity data'!BP10*Constants!$H86*FracLEACHMM*MMLeachEF*NtoN2O*kgtoGg</f>
        <v>0.16500456611205044</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4.4583317952924901E-3</v>
      </c>
      <c r="AM178" s="22">
        <f>Constants!$H69*'Activity data'!AM11*Constants!$H87*FracLEACHMM*MMLeachEF*NtoN2O*kgtoGg</f>
        <v>4.461540810317099E-3</v>
      </c>
      <c r="AN178" s="22">
        <f>Constants!$H69*'Activity data'!AN11*Constants!$H87*FracLEACHMM*MMLeachEF*NtoN2O*kgtoGg</f>
        <v>4.460412588981404E-3</v>
      </c>
      <c r="AO178" s="22">
        <f>Constants!$H69*'Activity data'!AO11*Constants!$H87*FracLEACHMM*MMLeachEF*NtoN2O*kgtoGg</f>
        <v>4.4603313660439596E-3</v>
      </c>
      <c r="AP178" s="22">
        <f>Constants!$H69*'Activity data'!AP11*Constants!$H87*FracLEACHMM*MMLeachEF*NtoN2O*kgtoGg</f>
        <v>4.4650624817454574E-3</v>
      </c>
      <c r="AQ178" s="22">
        <f>Constants!$H69*'Activity data'!AQ11*Constants!$H87*FracLEACHMM*MMLeachEF*NtoN2O*kgtoGg</f>
        <v>4.472805388518619E-3</v>
      </c>
      <c r="AR178" s="22">
        <f>Constants!$H69*'Activity data'!AR11*Constants!$H87*FracLEACHMM*MMLeachEF*NtoN2O*kgtoGg</f>
        <v>4.480234793471081E-3</v>
      </c>
      <c r="AS178" s="22">
        <f>Constants!$H69*'Activity data'!AS11*Constants!$H87*FracLEACHMM*MMLeachEF*NtoN2O*kgtoGg</f>
        <v>4.4873746654050216E-3</v>
      </c>
      <c r="AT178" s="22">
        <f>Constants!$H69*'Activity data'!AT11*Constants!$H87*FracLEACHMM*MMLeachEF*NtoN2O*kgtoGg</f>
        <v>4.494215260234709E-3</v>
      </c>
      <c r="AU178" s="22">
        <f>Constants!$H69*'Activity data'!AU11*Constants!$H87*FracLEACHMM*MMLeachEF*NtoN2O*kgtoGg</f>
        <v>4.5008991343885481E-3</v>
      </c>
      <c r="AV178" s="22">
        <f>Constants!$H69*'Activity data'!AV11*Constants!$H87*FracLEACHMM*MMLeachEF*NtoN2O*kgtoGg</f>
        <v>4.5075239217344356E-3</v>
      </c>
      <c r="AW178" s="22">
        <f>Constants!$H69*'Activity data'!AW11*Constants!$H87*FracLEACHMM*MMLeachEF*NtoN2O*kgtoGg</f>
        <v>4.5140231510574953E-3</v>
      </c>
      <c r="AX178" s="22">
        <f>Constants!$H69*'Activity data'!AX11*Constants!$H87*FracLEACHMM*MMLeachEF*NtoN2O*kgtoGg</f>
        <v>4.5204902706730936E-3</v>
      </c>
      <c r="AY178" s="22">
        <f>Constants!$H69*'Activity data'!AY11*Constants!$H87*FracLEACHMM*MMLeachEF*NtoN2O*kgtoGg</f>
        <v>4.5269049079044851E-3</v>
      </c>
      <c r="AZ178" s="22">
        <f>Constants!$H69*'Activity data'!AZ11*Constants!$H87*FracLEACHMM*MMLeachEF*NtoN2O*kgtoGg</f>
        <v>4.5332156646464309E-3</v>
      </c>
      <c r="BA178" s="22">
        <f>Constants!$H69*'Activity data'!BA11*Constants!$H87*FracLEACHMM*MMLeachEF*NtoN2O*kgtoGg</f>
        <v>4.5394503254180246E-3</v>
      </c>
      <c r="BB178" s="22">
        <f>Constants!$H69*'Activity data'!BB11*Constants!$H87*FracLEACHMM*MMLeachEF*NtoN2O*kgtoGg</f>
        <v>4.5456155434925177E-3</v>
      </c>
      <c r="BC178" s="22">
        <f>Constants!$H69*'Activity data'!BC11*Constants!$H87*FracLEACHMM*MMLeachEF*NtoN2O*kgtoGg</f>
        <v>4.5517322494299031E-3</v>
      </c>
      <c r="BD178" s="22">
        <f>Constants!$H69*'Activity data'!BD11*Constants!$H87*FracLEACHMM*MMLeachEF*NtoN2O*kgtoGg</f>
        <v>4.5576132842011325E-3</v>
      </c>
      <c r="BE178" s="22">
        <f>Constants!$H69*'Activity data'!BE11*Constants!$H87*FracLEACHMM*MMLeachEF*NtoN2O*kgtoGg</f>
        <v>4.5632517671133398E-3</v>
      </c>
      <c r="BF178" s="22">
        <f>Constants!$H69*'Activity data'!BF11*Constants!$H87*FracLEACHMM*MMLeachEF*NtoN2O*kgtoGg</f>
        <v>4.5687003958982874E-3</v>
      </c>
      <c r="BG178" s="22">
        <f>Constants!$H69*'Activity data'!BG11*Constants!$H87*FracLEACHMM*MMLeachEF*NtoN2O*kgtoGg</f>
        <v>4.5739172155363928E-3</v>
      </c>
      <c r="BH178" s="22">
        <f>Constants!$H69*'Activity data'!BH11*Constants!$H87*FracLEACHMM*MMLeachEF*NtoN2O*kgtoGg</f>
        <v>4.5789116897468072E-3</v>
      </c>
      <c r="BI178" s="22">
        <f>Constants!$H69*'Activity data'!BI11*Constants!$H87*FracLEACHMM*MMLeachEF*NtoN2O*kgtoGg</f>
        <v>4.5836613233262938E-3</v>
      </c>
      <c r="BJ178" s="22">
        <f>Constants!$H69*'Activity data'!BJ11*Constants!$H87*FracLEACHMM*MMLeachEF*NtoN2O*kgtoGg</f>
        <v>4.5880981486463275E-3</v>
      </c>
      <c r="BK178" s="22">
        <f>Constants!$H69*'Activity data'!BK11*Constants!$H87*FracLEACHMM*MMLeachEF*NtoN2O*kgtoGg</f>
        <v>4.592159181597999E-3</v>
      </c>
      <c r="BL178" s="22">
        <f>Constants!$H69*'Activity data'!BL11*Constants!$H87*FracLEACHMM*MMLeachEF*NtoN2O*kgtoGg</f>
        <v>4.5958403193991975E-3</v>
      </c>
      <c r="BM178" s="22">
        <f>Constants!$H69*'Activity data'!BM11*Constants!$H87*FracLEACHMM*MMLeachEF*NtoN2O*kgtoGg</f>
        <v>4.5991133923720465E-3</v>
      </c>
      <c r="BN178" s="22">
        <f>Constants!$H69*'Activity data'!BN11*Constants!$H87*FracLEACHMM*MMLeachEF*NtoN2O*kgtoGg</f>
        <v>4.6019768219588081E-3</v>
      </c>
      <c r="BO178" s="22">
        <f>Constants!$H69*'Activity data'!BO11*Constants!$H87*FracLEACHMM*MMLeachEF*NtoN2O*kgtoGg</f>
        <v>4.6044854054681089E-3</v>
      </c>
      <c r="BP178" s="22">
        <f>Constants!$H69*'Activity data'!BP11*Constants!$H87*FracLEACHMM*MMLeachEF*NtoN2O*kgtoGg</f>
        <v>4.6063133110806655E-3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3.7085296571107255E-3</v>
      </c>
      <c r="AM179" s="22">
        <f>Constants!$H70*'Activity data'!AM12*Constants!$H88*FracLEACHMM*MMLeachEF*NtoN2O*kgtoGg</f>
        <v>3.7111989800627421E-3</v>
      </c>
      <c r="AN179" s="22">
        <f>Constants!$H70*'Activity data'!AN12*Constants!$H88*FracLEACHMM*MMLeachEF*NtoN2O*kgtoGg</f>
        <v>3.7102605029651799E-3</v>
      </c>
      <c r="AO179" s="22">
        <f>Constants!$H70*'Activity data'!AO12*Constants!$H88*FracLEACHMM*MMLeachEF*NtoN2O*kgtoGg</f>
        <v>3.7101929400994759E-3</v>
      </c>
      <c r="AP179" s="22">
        <f>Constants!$H70*'Activity data'!AP12*Constants!$H88*FracLEACHMM*MMLeachEF*NtoN2O*kgtoGg</f>
        <v>3.7141283768717579E-3</v>
      </c>
      <c r="AQ179" s="22">
        <f>Constants!$H70*'Activity data'!AQ12*Constants!$H88*FracLEACHMM*MMLeachEF*NtoN2O*kgtoGg</f>
        <v>3.7205690817629544E-3</v>
      </c>
      <c r="AR179" s="22">
        <f>Constants!$H70*'Activity data'!AR12*Constants!$H88*FracLEACHMM*MMLeachEF*NtoN2O*kgtoGg</f>
        <v>3.7267490095624013E-3</v>
      </c>
      <c r="AS179" s="22">
        <f>Constants!$H70*'Activity data'!AS12*Constants!$H88*FracLEACHMM*MMLeachEF*NtoN2O*kgtoGg</f>
        <v>3.732688097999684E-3</v>
      </c>
      <c r="AT179" s="22">
        <f>Constants!$H70*'Activity data'!AT12*Constants!$H88*FracLEACHMM*MMLeachEF*NtoN2O*kgtoGg</f>
        <v>3.7383782417491837E-3</v>
      </c>
      <c r="AU179" s="22">
        <f>Constants!$H70*'Activity data'!AU12*Constants!$H88*FracLEACHMM*MMLeachEF*NtoN2O*kgtoGg</f>
        <v>3.7439380221024701E-3</v>
      </c>
      <c r="AV179" s="22">
        <f>Constants!$H70*'Activity data'!AV12*Constants!$H88*FracLEACHMM*MMLeachEF*NtoN2O*kgtoGg</f>
        <v>3.7494486528658025E-3</v>
      </c>
      <c r="AW179" s="22">
        <f>Constants!$H70*'Activity data'!AW12*Constants!$H88*FracLEACHMM*MMLeachEF*NtoN2O*kgtoGg</f>
        <v>3.7548548419516796E-3</v>
      </c>
      <c r="AX179" s="22">
        <f>Constants!$H70*'Activity data'!AX12*Constants!$H88*FracLEACHMM*MMLeachEF*NtoN2O*kgtoGg</f>
        <v>3.7602343215399525E-3</v>
      </c>
      <c r="AY179" s="22">
        <f>Constants!$H70*'Activity data'!AY12*Constants!$H88*FracLEACHMM*MMLeachEF*NtoN2O*kgtoGg</f>
        <v>3.7655701452301818E-3</v>
      </c>
      <c r="AZ179" s="22">
        <f>Constants!$H70*'Activity data'!AZ12*Constants!$H88*FracLEACHMM*MMLeachEF*NtoN2O*kgtoGg</f>
        <v>3.7708195590492773E-3</v>
      </c>
      <c r="BA179" s="22">
        <f>Constants!$H70*'Activity data'!BA12*Constants!$H88*FracLEACHMM*MMLeachEF*NtoN2O*kgtoGg</f>
        <v>3.7760056747165515E-3</v>
      </c>
      <c r="BB179" s="22">
        <f>Constants!$H70*'Activity data'!BB12*Constants!$H88*FracLEACHMM*MMLeachEF*NtoN2O*kgtoGg</f>
        <v>3.7811340265579189E-3</v>
      </c>
      <c r="BC179" s="22">
        <f>Constants!$H70*'Activity data'!BC12*Constants!$H88*FracLEACHMM*MMLeachEF*NtoN2O*kgtoGg</f>
        <v>3.7862220250322745E-3</v>
      </c>
      <c r="BD179" s="22">
        <f>Constants!$H70*'Activity data'!BD12*Constants!$H88*FracLEACHMM*MMLeachEF*NtoN2O*kgtoGg</f>
        <v>3.791113987511746E-3</v>
      </c>
      <c r="BE179" s="22">
        <f>Constants!$H70*'Activity data'!BE12*Constants!$H88*FracLEACHMM*MMLeachEF*NtoN2O*kgtoGg</f>
        <v>3.7958041904982334E-3</v>
      </c>
      <c r="BF179" s="22">
        <f>Constants!$H70*'Activity data'!BF12*Constants!$H88*FracLEACHMM*MMLeachEF*NtoN2O*kgtoGg</f>
        <v>3.8003364690201913E-3</v>
      </c>
      <c r="BG179" s="22">
        <f>Constants!$H70*'Activity data'!BG12*Constants!$H88*FracLEACHMM*MMLeachEF*NtoN2O*kgtoGg</f>
        <v>3.8046759240522587E-3</v>
      </c>
      <c r="BH179" s="22">
        <f>Constants!$H70*'Activity data'!BH12*Constants!$H88*FracLEACHMM*MMLeachEF*NtoN2O*kgtoGg</f>
        <v>3.8088304277055216E-3</v>
      </c>
      <c r="BI179" s="22">
        <f>Constants!$H70*'Activity data'!BI12*Constants!$H88*FracLEACHMM*MMLeachEF*NtoN2O*kgtoGg</f>
        <v>3.8127812680195002E-3</v>
      </c>
      <c r="BJ179" s="22">
        <f>Constants!$H70*'Activity data'!BJ12*Constants!$H88*FracLEACHMM*MMLeachEF*NtoN2O*kgtoGg</f>
        <v>3.8164719081598638E-3</v>
      </c>
      <c r="BK179" s="22">
        <f>Constants!$H70*'Activity data'!BK12*Constants!$H88*FracLEACHMM*MMLeachEF*NtoN2O*kgtoGg</f>
        <v>3.8198499566836808E-3</v>
      </c>
      <c r="BL179" s="22">
        <f>Constants!$H70*'Activity data'!BL12*Constants!$H88*FracLEACHMM*MMLeachEF*NtoN2O*kgtoGg</f>
        <v>3.822912000814643E-3</v>
      </c>
      <c r="BM179" s="22">
        <f>Constants!$H70*'Activity data'!BM12*Constants!$H88*FracLEACHMM*MMLeachEF*NtoN2O*kgtoGg</f>
        <v>3.8256346084506454E-3</v>
      </c>
      <c r="BN179" s="22">
        <f>Constants!$H70*'Activity data'!BN12*Constants!$H88*FracLEACHMM*MMLeachEF*NtoN2O*kgtoGg</f>
        <v>3.8280164665157558E-3</v>
      </c>
      <c r="BO179" s="22">
        <f>Constants!$H70*'Activity data'!BO12*Constants!$H88*FracLEACHMM*MMLeachEF*NtoN2O*kgtoGg</f>
        <v>3.830103156508502E-3</v>
      </c>
      <c r="BP179" s="22">
        <f>Constants!$H70*'Activity data'!BP12*Constants!$H88*FracLEACHMM*MMLeachEF*NtoN2O*kgtoGg</f>
        <v>3.831623644997431E-3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5.4322987485311551E-4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5.5840147541839707E-4</v>
      </c>
      <c r="AK180" s="22">
        <f>Constants!$H71*'Activity data'!AK13*Constants!$H89*FracLEACHMM*MMLeachEF*NtoN2O*kgtoGg</f>
        <v>5.620753208024884E-4</v>
      </c>
      <c r="AL180" s="22">
        <f>Constants!$H71*'Activity data'!AL13*Constants!$H89*FracLEACHMM*MMLeachEF*NtoN2O*kgtoGg</f>
        <v>5.6069712046990367E-4</v>
      </c>
      <c r="AM180" s="22">
        <f>Constants!$H71*'Activity data'!AM13*Constants!$H89*FracLEACHMM*MMLeachEF*NtoN2O*kgtoGg</f>
        <v>5.6166095935732032E-4</v>
      </c>
      <c r="AN180" s="22">
        <f>Constants!$H71*'Activity data'!AN13*Constants!$H89*FracLEACHMM*MMLeachEF*NtoN2O*kgtoGg</f>
        <v>5.6175448886496286E-4</v>
      </c>
      <c r="AO180" s="22">
        <f>Constants!$H71*'Activity data'!AO13*Constants!$H89*FracLEACHMM*MMLeachEF*NtoN2O*kgtoGg</f>
        <v>5.6201163535097535E-4</v>
      </c>
      <c r="AP180" s="22">
        <f>Constants!$H71*'Activity data'!AP13*Constants!$H89*FracLEACHMM*MMLeachEF*NtoN2O*kgtoGg</f>
        <v>5.6314854989012028E-4</v>
      </c>
      <c r="AQ180" s="22">
        <f>Constants!$H71*'Activity data'!AQ13*Constants!$H89*FracLEACHMM*MMLeachEF*NtoN2O*kgtoGg</f>
        <v>5.6482088760724937E-4</v>
      </c>
      <c r="AR180" s="22">
        <f>Constants!$H71*'Activity data'!AR13*Constants!$H89*FracLEACHMM*MMLeachEF*NtoN2O*kgtoGg</f>
        <v>5.6639948615984891E-4</v>
      </c>
      <c r="AS180" s="22">
        <f>Constants!$H71*'Activity data'!AS13*Constants!$H89*FracLEACHMM*MMLeachEF*NtoN2O*kgtoGg</f>
        <v>5.6789176789216864E-4</v>
      </c>
      <c r="AT180" s="22">
        <f>Constants!$H71*'Activity data'!AT13*Constants!$H89*FracLEACHMM*MMLeachEF*NtoN2O*kgtoGg</f>
        <v>5.692984966381053E-4</v>
      </c>
      <c r="AU180" s="22">
        <f>Constants!$H71*'Activity data'!AU13*Constants!$H89*FracLEACHMM*MMLeachEF*NtoN2O*kgtoGg</f>
        <v>5.7064878025290242E-4</v>
      </c>
      <c r="AV180" s="22">
        <f>Constants!$H71*'Activity data'!AV13*Constants!$H89*FracLEACHMM*MMLeachEF*NtoN2O*kgtoGg</f>
        <v>5.7196287833233815E-4</v>
      </c>
      <c r="AW180" s="22">
        <f>Constants!$H71*'Activity data'!AW13*Constants!$H89*FracLEACHMM*MMLeachEF*NtoN2O*kgtoGg</f>
        <v>5.7323006225721597E-4</v>
      </c>
      <c r="AX180" s="22">
        <f>Constants!$H71*'Activity data'!AX13*Constants!$H89*FracLEACHMM*MMLeachEF*NtoN2O*kgtoGg</f>
        <v>5.7446936511734096E-4</v>
      </c>
      <c r="AY180" s="22">
        <f>Constants!$H71*'Activity data'!AY13*Constants!$H89*FracLEACHMM*MMLeachEF*NtoN2O*kgtoGg</f>
        <v>5.7567836458981281E-4</v>
      </c>
      <c r="AZ180" s="22">
        <f>Constants!$H71*'Activity data'!AZ13*Constants!$H89*FracLEACHMM*MMLeachEF*NtoN2O*kgtoGg</f>
        <v>5.7684878803825762E-4</v>
      </c>
      <c r="BA180" s="22">
        <f>Constants!$H71*'Activity data'!BA13*Constants!$H89*FracLEACHMM*MMLeachEF*NtoN2O*kgtoGg</f>
        <v>5.7798700555519505E-4</v>
      </c>
      <c r="BB180" s="22">
        <f>Constants!$H71*'Activity data'!BB13*Constants!$H89*FracLEACHMM*MMLeachEF*NtoN2O*kgtoGg</f>
        <v>5.7909534227176243E-4</v>
      </c>
      <c r="BC180" s="22">
        <f>Constants!$H71*'Activity data'!BC13*Constants!$H89*FracLEACHMM*MMLeachEF*NtoN2O*kgtoGg</f>
        <v>5.8017866455598575E-4</v>
      </c>
      <c r="BD180" s="22">
        <f>Constants!$H71*'Activity data'!BD13*Constants!$H89*FracLEACHMM*MMLeachEF*NtoN2O*kgtoGg</f>
        <v>5.8120338345125585E-4</v>
      </c>
      <c r="BE180" s="22">
        <f>Constants!$H71*'Activity data'!BE13*Constants!$H89*FracLEACHMM*MMLeachEF*NtoN2O*kgtoGg</f>
        <v>5.8216925674029819E-4</v>
      </c>
      <c r="BF180" s="22">
        <f>Constants!$H71*'Activity data'!BF13*Constants!$H89*FracLEACHMM*MMLeachEF*NtoN2O*kgtoGg</f>
        <v>5.8308692423697495E-4</v>
      </c>
      <c r="BG180" s="22">
        <f>Constants!$H71*'Activity data'!BG13*Constants!$H89*FracLEACHMM*MMLeachEF*NtoN2O*kgtoGg</f>
        <v>5.839495453276261E-4</v>
      </c>
      <c r="BH180" s="22">
        <f>Constants!$H71*'Activity data'!BH13*Constants!$H89*FracLEACHMM*MMLeachEF*NtoN2O*kgtoGg</f>
        <v>5.8475968776002874E-4</v>
      </c>
      <c r="BI180" s="22">
        <f>Constants!$H71*'Activity data'!BI13*Constants!$H89*FracLEACHMM*MMLeachEF*NtoN2O*kgtoGg</f>
        <v>5.8551401869501036E-4</v>
      </c>
      <c r="BJ180" s="22">
        <f>Constants!$H71*'Activity data'!BJ13*Constants!$H89*FracLEACHMM*MMLeachEF*NtoN2O*kgtoGg</f>
        <v>5.8620089468398309E-4</v>
      </c>
      <c r="BK180" s="22">
        <f>Constants!$H71*'Activity data'!BK13*Constants!$H89*FracLEACHMM*MMLeachEF*NtoN2O*kgtoGg</f>
        <v>5.868096200135702E-4</v>
      </c>
      <c r="BL180" s="22">
        <f>Constants!$H71*'Activity data'!BL13*Constants!$H89*FracLEACHMM*MMLeachEF*NtoN2O*kgtoGg</f>
        <v>5.87340236215825E-4</v>
      </c>
      <c r="BM180" s="22">
        <f>Constants!$H71*'Activity data'!BM13*Constants!$H89*FracLEACHMM*MMLeachEF*NtoN2O*kgtoGg</f>
        <v>5.8778838343391971E-4</v>
      </c>
      <c r="BN180" s="22">
        <f>Constants!$H71*'Activity data'!BN13*Constants!$H89*FracLEACHMM*MMLeachEF*NtoN2O*kgtoGg</f>
        <v>5.8815451618636234E-4</v>
      </c>
      <c r="BO180" s="22">
        <f>Constants!$H71*'Activity data'!BO13*Constants!$H89*FracLEACHMM*MMLeachEF*NtoN2O*kgtoGg</f>
        <v>5.8844925401827929E-4</v>
      </c>
      <c r="BP180" s="22">
        <f>Constants!$H71*'Activity data'!BP13*Constants!$H89*FracLEACHMM*MMLeachEF*NtoN2O*kgtoGg</f>
        <v>5.8861438328620193E-4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6.6992563985089938E-3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6.8863566425632549E-3</v>
      </c>
      <c r="AK181" s="22">
        <f>Constants!$H72*'Activity data'!AK14*Constants!$H90*FracLEACHMM*MMLeachEF*NtoN2O*kgtoGg</f>
        <v>6.9316634884048298E-3</v>
      </c>
      <c r="AL181" s="22">
        <f>Constants!$H72*'Activity data'!AL14*Constants!$H90*FracLEACHMM*MMLeachEF*NtoN2O*kgtoGg</f>
        <v>6.9146671525553097E-3</v>
      </c>
      <c r="AM181" s="22">
        <f>Constants!$H72*'Activity data'!AM14*Constants!$H90*FracLEACHMM*MMLeachEF*NtoN2O*kgtoGg</f>
        <v>6.9265534720170359E-3</v>
      </c>
      <c r="AN181" s="22">
        <f>Constants!$H72*'Activity data'!AN14*Constants!$H90*FracLEACHMM*MMLeachEF*NtoN2O*kgtoGg</f>
        <v>6.92770690297054E-3</v>
      </c>
      <c r="AO181" s="22">
        <f>Constants!$H72*'Activity data'!AO14*Constants!$H90*FracLEACHMM*MMLeachEF*NtoN2O*kgtoGg</f>
        <v>6.9308781023495105E-3</v>
      </c>
      <c r="AP181" s="22">
        <f>Constants!$H72*'Activity data'!AP14*Constants!$H90*FracLEACHMM*MMLeachEF*NtoN2O*kgtoGg</f>
        <v>6.9448988371314212E-3</v>
      </c>
      <c r="AQ181" s="22">
        <f>Constants!$H72*'Activity data'!AQ14*Constants!$H90*FracLEACHMM*MMLeachEF*NtoN2O*kgtoGg</f>
        <v>6.9655225540339091E-3</v>
      </c>
      <c r="AR181" s="22">
        <f>Constants!$H72*'Activity data'!AR14*Constants!$H90*FracLEACHMM*MMLeachEF*NtoN2O*kgtoGg</f>
        <v>6.9849902544379758E-3</v>
      </c>
      <c r="AS181" s="22">
        <f>Constants!$H72*'Activity data'!AS14*Constants!$H90*FracLEACHMM*MMLeachEF*NtoN2O*kgtoGg</f>
        <v>7.0033934726820464E-3</v>
      </c>
      <c r="AT181" s="22">
        <f>Constants!$H72*'Activity data'!AT14*Constants!$H90*FracLEACHMM*MMLeachEF*NtoN2O*kgtoGg</f>
        <v>7.0207416285704375E-3</v>
      </c>
      <c r="AU181" s="22">
        <f>Constants!$H72*'Activity data'!AU14*Constants!$H90*FracLEACHMM*MMLeachEF*NtoN2O*kgtoGg</f>
        <v>7.0373936879747148E-3</v>
      </c>
      <c r="AV181" s="22">
        <f>Constants!$H72*'Activity data'!AV14*Constants!$H90*FracLEACHMM*MMLeachEF*NtoN2O*kgtoGg</f>
        <v>7.0535994976594404E-3</v>
      </c>
      <c r="AW181" s="22">
        <f>Constants!$H72*'Activity data'!AW14*Constants!$H90*FracLEACHMM*MMLeachEF*NtoN2O*kgtoGg</f>
        <v>7.0692267494174947E-3</v>
      </c>
      <c r="AX181" s="22">
        <f>Constants!$H72*'Activity data'!AX14*Constants!$H90*FracLEACHMM*MMLeachEF*NtoN2O*kgtoGg</f>
        <v>7.0845101644130852E-3</v>
      </c>
      <c r="AY181" s="22">
        <f>Constants!$H72*'Activity data'!AY14*Constants!$H90*FracLEACHMM*MMLeachEF*NtoN2O*kgtoGg</f>
        <v>7.0994198699110417E-3</v>
      </c>
      <c r="AZ181" s="22">
        <f>Constants!$H72*'Activity data'!AZ14*Constants!$H90*FracLEACHMM*MMLeachEF*NtoN2O*kgtoGg</f>
        <v>7.113853845542588E-3</v>
      </c>
      <c r="BA181" s="22">
        <f>Constants!$H72*'Activity data'!BA14*Constants!$H90*FracLEACHMM*MMLeachEF*NtoN2O*kgtoGg</f>
        <v>7.1278906489958219E-3</v>
      </c>
      <c r="BB181" s="22">
        <f>Constants!$H72*'Activity data'!BB14*Constants!$H90*FracLEACHMM*MMLeachEF*NtoN2O*kgtoGg</f>
        <v>7.1415589544110468E-3</v>
      </c>
      <c r="BC181" s="22">
        <f>Constants!$H72*'Activity data'!BC14*Constants!$H90*FracLEACHMM*MMLeachEF*NtoN2O*kgtoGg</f>
        <v>7.1549187751429096E-3</v>
      </c>
      <c r="BD181" s="22">
        <f>Constants!$H72*'Activity data'!BD14*Constants!$H90*FracLEACHMM*MMLeachEF*NtoN2O*kgtoGg</f>
        <v>7.1675558831769013E-3</v>
      </c>
      <c r="BE181" s="22">
        <f>Constants!$H72*'Activity data'!BE14*Constants!$H90*FracLEACHMM*MMLeachEF*NtoN2O*kgtoGg</f>
        <v>7.179467291424684E-3</v>
      </c>
      <c r="BF181" s="22">
        <f>Constants!$H72*'Activity data'!BF14*Constants!$H90*FracLEACHMM*MMLeachEF*NtoN2O*kgtoGg</f>
        <v>7.1907842129221942E-3</v>
      </c>
      <c r="BG181" s="22">
        <f>Constants!$H72*'Activity data'!BG14*Constants!$H90*FracLEACHMM*MMLeachEF*NtoN2O*kgtoGg</f>
        <v>7.2014222873885451E-3</v>
      </c>
      <c r="BH181" s="22">
        <f>Constants!$H72*'Activity data'!BH14*Constants!$H90*FracLEACHMM*MMLeachEF*NtoN2O*kgtoGg</f>
        <v>7.2114131809774594E-3</v>
      </c>
      <c r="BI181" s="22">
        <f>Constants!$H72*'Activity data'!BI14*Constants!$H90*FracLEACHMM*MMLeachEF*NtoN2O*kgtoGg</f>
        <v>7.2207157922230866E-3</v>
      </c>
      <c r="BJ181" s="22">
        <f>Constants!$H72*'Activity data'!BJ14*Constants!$H90*FracLEACHMM*MMLeachEF*NtoN2O*kgtoGg</f>
        <v>7.2291865309970747E-3</v>
      </c>
      <c r="BK181" s="22">
        <f>Constants!$H72*'Activity data'!BK14*Constants!$H90*FracLEACHMM*MMLeachEF*NtoN2O*kgtoGg</f>
        <v>7.2366934948956893E-3</v>
      </c>
      <c r="BL181" s="22">
        <f>Constants!$H72*'Activity data'!BL14*Constants!$H90*FracLEACHMM*MMLeachEF*NtoN2O*kgtoGg</f>
        <v>7.2432371961033398E-3</v>
      </c>
      <c r="BM181" s="22">
        <f>Constants!$H72*'Activity data'!BM14*Constants!$H90*FracLEACHMM*MMLeachEF*NtoN2O*kgtoGg</f>
        <v>7.2487638676972145E-3</v>
      </c>
      <c r="BN181" s="22">
        <f>Constants!$H72*'Activity data'!BN14*Constants!$H90*FracLEACHMM*MMLeachEF*NtoN2O*kgtoGg</f>
        <v>7.2532791149213611E-3</v>
      </c>
      <c r="BO181" s="22">
        <f>Constants!$H72*'Activity data'!BO14*Constants!$H90*FracLEACHMM*MMLeachEF*NtoN2O*kgtoGg</f>
        <v>7.2569139008522455E-3</v>
      </c>
      <c r="BP181" s="22">
        <f>Constants!$H72*'Activity data'!BP14*Constants!$H90*FracLEACHMM*MMLeachEF*NtoN2O*kgtoGg</f>
        <v>7.258950319237764E-3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2.6729002214214575E-2</v>
      </c>
      <c r="AF184" s="22">
        <f>Constants!$H75*'Activity data'!AF17*Constants!$H93*FracLEACHMM*MMLeachEF*NtoN2O*kgtoGg</f>
        <v>2.6740992333189311E-2</v>
      </c>
      <c r="AG184" s="22">
        <f>Constants!$H75*'Activity data'!AG17*Constants!$H93*FracLEACHMM*MMLeachEF*NtoN2O*kgtoGg</f>
        <v>2.6495489531984436E-2</v>
      </c>
      <c r="AH184" s="22">
        <f>Constants!$H75*'Activity data'!AH17*Constants!$H93*FracLEACHMM*MMLeachEF*NtoN2O*kgtoGg</f>
        <v>2.6094526833046999E-2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2.4781112413324518E-2</v>
      </c>
      <c r="AL184" s="22">
        <f>Constants!$H75*'Activity data'!AL17*Constants!$H93*FracLEACHMM*MMLeachEF*NtoN2O*kgtoGg</f>
        <v>2.2261363297447542E-2</v>
      </c>
      <c r="AM184" s="22">
        <f>Constants!$H75*'Activity data'!AM17*Constants!$H93*FracLEACHMM*MMLeachEF*NtoN2O*kgtoGg</f>
        <v>2.326732754049585E-2</v>
      </c>
      <c r="AN184" s="22">
        <f>Constants!$H75*'Activity data'!AN17*Constants!$H93*FracLEACHMM*MMLeachEF*NtoN2O*kgtoGg</f>
        <v>2.3571460777264748E-2</v>
      </c>
      <c r="AO184" s="22">
        <f>Constants!$H75*'Activity data'!AO17*Constants!$H93*FracLEACHMM*MMLeachEF*NtoN2O*kgtoGg</f>
        <v>2.3338833343161457E-2</v>
      </c>
      <c r="AP184" s="22">
        <f>Constants!$H75*'Activity data'!AP17*Constants!$H93*FracLEACHMM*MMLeachEF*NtoN2O*kgtoGg</f>
        <v>2.3134238751808155E-2</v>
      </c>
      <c r="AQ184" s="22">
        <f>Constants!$H75*'Activity data'!AQ17*Constants!$H93*FracLEACHMM*MMLeachEF*NtoN2O*kgtoGg</f>
        <v>2.3071008709265216E-2</v>
      </c>
      <c r="AR184" s="22">
        <f>Constants!$H75*'Activity data'!AR17*Constants!$H93*FracLEACHMM*MMLeachEF*NtoN2O*kgtoGg</f>
        <v>2.3143649238261243E-2</v>
      </c>
      <c r="AS184" s="22">
        <f>Constants!$H75*'Activity data'!AS17*Constants!$H93*FracLEACHMM*MMLeachEF*NtoN2O*kgtoGg</f>
        <v>2.3278949396695201E-2</v>
      </c>
      <c r="AT184" s="22">
        <f>Constants!$H75*'Activity data'!AT17*Constants!$H93*FracLEACHMM*MMLeachEF*NtoN2O*kgtoGg</f>
        <v>2.3492345128489588E-2</v>
      </c>
      <c r="AU184" s="22">
        <f>Constants!$H75*'Activity data'!AU17*Constants!$H93*FracLEACHMM*MMLeachEF*NtoN2O*kgtoGg</f>
        <v>2.3835144398287569E-2</v>
      </c>
      <c r="AV184" s="22">
        <f>Constants!$H75*'Activity data'!AV17*Constants!$H93*FracLEACHMM*MMLeachEF*NtoN2O*kgtoGg</f>
        <v>2.4295378697531386E-2</v>
      </c>
      <c r="AW184" s="22">
        <f>Constants!$H75*'Activity data'!AW17*Constants!$H93*FracLEACHMM*MMLeachEF*NtoN2O*kgtoGg</f>
        <v>2.4819194567643824E-2</v>
      </c>
      <c r="AX184" s="22">
        <f>Constants!$H75*'Activity data'!AX17*Constants!$H93*FracLEACHMM*MMLeachEF*NtoN2O*kgtoGg</f>
        <v>2.5401392072493423E-2</v>
      </c>
      <c r="AY184" s="22">
        <f>Constants!$H75*'Activity data'!AY17*Constants!$H93*FracLEACHMM*MMLeachEF*NtoN2O*kgtoGg</f>
        <v>2.6012849455983828E-2</v>
      </c>
      <c r="AZ184" s="22">
        <f>Constants!$H75*'Activity data'!AZ17*Constants!$H93*FracLEACHMM*MMLeachEF*NtoN2O*kgtoGg</f>
        <v>2.6664067926854041E-2</v>
      </c>
      <c r="BA184" s="22">
        <f>Constants!$H75*'Activity data'!BA17*Constants!$H93*FracLEACHMM*MMLeachEF*NtoN2O*kgtoGg</f>
        <v>2.734101119130557E-2</v>
      </c>
      <c r="BB184" s="22">
        <f>Constants!$H75*'Activity data'!BB17*Constants!$H93*FracLEACHMM*MMLeachEF*NtoN2O*kgtoGg</f>
        <v>2.7997936856370267E-2</v>
      </c>
      <c r="BC184" s="22">
        <f>Constants!$H75*'Activity data'!BC17*Constants!$H93*FracLEACHMM*MMLeachEF*NtoN2O*kgtoGg</f>
        <v>2.8698310105033351E-2</v>
      </c>
      <c r="BD184" s="22">
        <f>Constants!$H75*'Activity data'!BD17*Constants!$H93*FracLEACHMM*MMLeachEF*NtoN2O*kgtoGg</f>
        <v>2.9400080296227163E-2</v>
      </c>
      <c r="BE184" s="22">
        <f>Constants!$H75*'Activity data'!BE17*Constants!$H93*FracLEACHMM*MMLeachEF*NtoN2O*kgtoGg</f>
        <v>3.0099562920322648E-2</v>
      </c>
      <c r="BF184" s="22">
        <f>Constants!$H75*'Activity data'!BF17*Constants!$H93*FracLEACHMM*MMLeachEF*NtoN2O*kgtoGg</f>
        <v>3.0814857244530154E-2</v>
      </c>
      <c r="BG184" s="22">
        <f>Constants!$H75*'Activity data'!BG17*Constants!$H93*FracLEACHMM*MMLeachEF*NtoN2O*kgtoGg</f>
        <v>3.1499706541710935E-2</v>
      </c>
      <c r="BH184" s="22">
        <f>Constants!$H75*'Activity data'!BH17*Constants!$H93*FracLEACHMM*MMLeachEF*NtoN2O*kgtoGg</f>
        <v>3.2216361362909209E-2</v>
      </c>
      <c r="BI184" s="22">
        <f>Constants!$H75*'Activity data'!BI17*Constants!$H93*FracLEACHMM*MMLeachEF*NtoN2O*kgtoGg</f>
        <v>3.2985480796324254E-2</v>
      </c>
      <c r="BJ184" s="22">
        <f>Constants!$H75*'Activity data'!BJ17*Constants!$H93*FracLEACHMM*MMLeachEF*NtoN2O*kgtoGg</f>
        <v>3.376804159970731E-2</v>
      </c>
      <c r="BK184" s="22">
        <f>Constants!$H75*'Activity data'!BK17*Constants!$H93*FracLEACHMM*MMLeachEF*NtoN2O*kgtoGg</f>
        <v>3.4565482452675621E-2</v>
      </c>
      <c r="BL184" s="22">
        <f>Constants!$H75*'Activity data'!BL17*Constants!$H93*FracLEACHMM*MMLeachEF*NtoN2O*kgtoGg</f>
        <v>3.5417207872959197E-2</v>
      </c>
      <c r="BM184" s="22">
        <f>Constants!$H75*'Activity data'!BM17*Constants!$H93*FracLEACHMM*MMLeachEF*NtoN2O*kgtoGg</f>
        <v>3.6308390334093638E-2</v>
      </c>
      <c r="BN184" s="22">
        <f>Constants!$H75*'Activity data'!BN17*Constants!$H93*FracLEACHMM*MMLeachEF*NtoN2O*kgtoGg</f>
        <v>3.7228871549923839E-2</v>
      </c>
      <c r="BO184" s="22">
        <f>Constants!$H75*'Activity data'!BO17*Constants!$H93*FracLEACHMM*MMLeachEF*NtoN2O*kgtoGg</f>
        <v>3.8202529295473395E-2</v>
      </c>
      <c r="BP184" s="22">
        <f>Constants!$H75*'Activity data'!BP17*Constants!$H93*FracLEACHMM*MMLeachEF*NtoN2O*kgtoGg</f>
        <v>3.9083865804736009E-2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3.9947810410006978E-3</v>
      </c>
      <c r="AF185" s="22">
        <f>Constants!$H76*'Activity data'!AF18*Constants!$H94*FracLEACHMM*MMLeachEF*NtoN2O*kgtoGg</f>
        <v>3.9965730233416669E-3</v>
      </c>
      <c r="AG185" s="22">
        <f>Constants!$H76*'Activity data'!AG18*Constants!$H94*FracLEACHMM*MMLeachEF*NtoN2O*kgtoGg</f>
        <v>3.9598814204188986E-3</v>
      </c>
      <c r="AH185" s="22">
        <f>Constants!$H76*'Activity data'!AH18*Constants!$H94*FracLEACHMM*MMLeachEF*NtoN2O*kgtoGg</f>
        <v>3.8999555700251287E-3</v>
      </c>
      <c r="AI185" s="22">
        <f>Constants!$H76*'Activity data'!AI18*Constants!$H94*FracLEACHMM*MMLeachEF*NtoN2O*kgtoGg</f>
        <v>3.8177534504158584E-3</v>
      </c>
      <c r="AJ185" s="22">
        <f>Constants!$H76*'Activity data'!AJ18*Constants!$H94*FracLEACHMM*MMLeachEF*NtoN2O*kgtoGg</f>
        <v>3.7580655955978051E-3</v>
      </c>
      <c r="AK185" s="22">
        <f>Constants!$H76*'Activity data'!AK18*Constants!$H94*FracLEACHMM*MMLeachEF*NtoN2O*kgtoGg</f>
        <v>3.7036593154610876E-3</v>
      </c>
      <c r="AL185" s="22">
        <f>Constants!$H76*'Activity data'!AL18*Constants!$H94*FracLEACHMM*MMLeachEF*NtoN2O*kgtoGg</f>
        <v>3.3270703984670008E-3</v>
      </c>
      <c r="AM185" s="22">
        <f>Constants!$H76*'Activity data'!AM18*Constants!$H94*FracLEACHMM*MMLeachEF*NtoN2O*kgtoGg</f>
        <v>3.4774167097077883E-3</v>
      </c>
      <c r="AN185" s="22">
        <f>Constants!$H76*'Activity data'!AN18*Constants!$H94*FracLEACHMM*MMLeachEF*NtoN2O*kgtoGg</f>
        <v>3.5228709200238193E-3</v>
      </c>
      <c r="AO185" s="22">
        <f>Constants!$H76*'Activity data'!AO18*Constants!$H94*FracLEACHMM*MMLeachEF*NtoN2O*kgtoGg</f>
        <v>3.4881036041350764E-3</v>
      </c>
      <c r="AP185" s="22">
        <f>Constants!$H76*'Activity data'!AP18*Constants!$H94*FracLEACHMM*MMLeachEF*NtoN2O*kgtoGg</f>
        <v>3.4575259346777865E-3</v>
      </c>
      <c r="AQ185" s="22">
        <f>Constants!$H76*'Activity data'!AQ18*Constants!$H94*FracLEACHMM*MMLeachEF*NtoN2O*kgtoGg</f>
        <v>3.448075893365063E-3</v>
      </c>
      <c r="AR185" s="22">
        <f>Constants!$H76*'Activity data'!AR18*Constants!$H94*FracLEACHMM*MMLeachEF*NtoN2O*kgtoGg</f>
        <v>3.4589323782318001E-3</v>
      </c>
      <c r="AS185" s="22">
        <f>Constants!$H76*'Activity data'!AS18*Constants!$H94*FracLEACHMM*MMLeachEF*NtoN2O*kgtoGg</f>
        <v>3.4791536533630104E-3</v>
      </c>
      <c r="AT185" s="22">
        <f>Constants!$H76*'Activity data'!AT18*Constants!$H94*FracLEACHMM*MMLeachEF*NtoN2O*kgtoGg</f>
        <v>3.5110466966113414E-3</v>
      </c>
      <c r="AU185" s="22">
        <f>Constants!$H76*'Activity data'!AU18*Constants!$H94*FracLEACHMM*MMLeachEF*NtoN2O*kgtoGg</f>
        <v>3.5622797360223518E-3</v>
      </c>
      <c r="AV185" s="22">
        <f>Constants!$H76*'Activity data'!AV18*Constants!$H94*FracLEACHMM*MMLeachEF*NtoN2O*kgtoGg</f>
        <v>3.6310640190383376E-3</v>
      </c>
      <c r="AW185" s="22">
        <f>Constants!$H76*'Activity data'!AW18*Constants!$H94*FracLEACHMM*MMLeachEF*NtoN2O*kgtoGg</f>
        <v>3.7093508810068579E-3</v>
      </c>
      <c r="AX185" s="22">
        <f>Constants!$H76*'Activity data'!AX18*Constants!$H94*FracLEACHMM*MMLeachEF*NtoN2O*kgtoGg</f>
        <v>3.7963631658595345E-3</v>
      </c>
      <c r="AY185" s="22">
        <f>Constants!$H76*'Activity data'!AY18*Constants!$H94*FracLEACHMM*MMLeachEF*NtoN2O*kgtoGg</f>
        <v>3.8877484837016034E-3</v>
      </c>
      <c r="AZ185" s="22">
        <f>Constants!$H76*'Activity data'!AZ18*Constants!$H94*FracLEACHMM*MMLeachEF*NtoN2O*kgtoGg</f>
        <v>3.98507629190532E-3</v>
      </c>
      <c r="BA185" s="22">
        <f>Constants!$H76*'Activity data'!BA18*Constants!$H94*FracLEACHMM*MMLeachEF*NtoN2O*kgtoGg</f>
        <v>4.0862487972233809E-3</v>
      </c>
      <c r="BB185" s="22">
        <f>Constants!$H76*'Activity data'!BB18*Constants!$H94*FracLEACHMM*MMLeachEF*NtoN2O*kgtoGg</f>
        <v>4.1844295737116129E-3</v>
      </c>
      <c r="BC185" s="22">
        <f>Constants!$H76*'Activity data'!BC18*Constants!$H94*FracLEACHMM*MMLeachEF*NtoN2O*kgtoGg</f>
        <v>4.2891038055800747E-3</v>
      </c>
      <c r="BD185" s="22">
        <f>Constants!$H76*'Activity data'!BD18*Constants!$H94*FracLEACHMM*MMLeachEF*NtoN2O*kgtoGg</f>
        <v>4.3939868173907288E-3</v>
      </c>
      <c r="BE185" s="22">
        <f>Constants!$H76*'Activity data'!BE18*Constants!$H94*FracLEACHMM*MMLeachEF*NtoN2O*kgtoGg</f>
        <v>4.4985279410305803E-3</v>
      </c>
      <c r="BF185" s="22">
        <f>Constants!$H76*'Activity data'!BF18*Constants!$H94*FracLEACHMM*MMLeachEF*NtoN2O*kgtoGg</f>
        <v>4.6054322011364794E-3</v>
      </c>
      <c r="BG185" s="22">
        <f>Constants!$H76*'Activity data'!BG18*Constants!$H94*FracLEACHMM*MMLeachEF*NtoN2O*kgtoGg</f>
        <v>4.707786301988981E-3</v>
      </c>
      <c r="BH185" s="22">
        <f>Constants!$H76*'Activity data'!BH18*Constants!$H94*FracLEACHMM*MMLeachEF*NtoN2O*kgtoGg</f>
        <v>4.8148938950716034E-3</v>
      </c>
      <c r="BI185" s="22">
        <f>Constants!$H76*'Activity data'!BI18*Constants!$H94*FracLEACHMM*MMLeachEF*NtoN2O*kgtoGg</f>
        <v>4.929842582877003E-3</v>
      </c>
      <c r="BJ185" s="22">
        <f>Constants!$H76*'Activity data'!BJ18*Constants!$H94*FracLEACHMM*MMLeachEF*NtoN2O*kgtoGg</f>
        <v>5.046800149632805E-3</v>
      </c>
      <c r="BK185" s="22">
        <f>Constants!$H76*'Activity data'!BK18*Constants!$H94*FracLEACHMM*MMLeachEF*NtoN2O*kgtoGg</f>
        <v>5.1659816130943592E-3</v>
      </c>
      <c r="BL185" s="22">
        <f>Constants!$H76*'Activity data'!BL18*Constants!$H94*FracLEACHMM*MMLeachEF*NtoN2O*kgtoGg</f>
        <v>5.2932761725327836E-3</v>
      </c>
      <c r="BM185" s="22">
        <f>Constants!$H76*'Activity data'!BM18*Constants!$H94*FracLEACHMM*MMLeachEF*NtoN2O*kgtoGg</f>
        <v>5.4264677810814564E-3</v>
      </c>
      <c r="BN185" s="22">
        <f>Constants!$H76*'Activity data'!BN18*Constants!$H94*FracLEACHMM*MMLeachEF*NtoN2O*kgtoGg</f>
        <v>5.5640382328374224E-3</v>
      </c>
      <c r="BO185" s="22">
        <f>Constants!$H76*'Activity data'!BO18*Constants!$H94*FracLEACHMM*MMLeachEF*NtoN2O*kgtoGg</f>
        <v>5.7095561788936492E-3</v>
      </c>
      <c r="BP185" s="22">
        <f>Constants!$H76*'Activity data'!BP18*Constants!$H94*FracLEACHMM*MMLeachEF*NtoN2O*kgtoGg</f>
        <v>5.8412762614364865E-3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1.7926295011943302E-2</v>
      </c>
      <c r="AM186" s="22">
        <f>Constants!$H77*'Activity data'!AM19*Constants!$H95*FracLEACHMM*MMLeachEF*NtoN2O*kgtoGg</f>
        <v>1.8674748698375012E-2</v>
      </c>
      <c r="AN186" s="22">
        <f>Constants!$H77*'Activity data'!AN19*Constants!$H95*FracLEACHMM*MMLeachEF*NtoN2O*kgtoGg</f>
        <v>1.9119559955571311E-2</v>
      </c>
      <c r="AO186" s="22">
        <f>Constants!$H77*'Activity data'!AO19*Constants!$H95*FracLEACHMM*MMLeachEF*NtoN2O*kgtoGg</f>
        <v>1.933187353292521E-2</v>
      </c>
      <c r="AP186" s="22">
        <f>Constants!$H77*'Activity data'!AP19*Constants!$H95*FracLEACHMM*MMLeachEF*NtoN2O*kgtoGg</f>
        <v>1.9567336744090873E-2</v>
      </c>
      <c r="AQ186" s="22">
        <f>Constants!$H77*'Activity data'!AQ19*Constants!$H95*FracLEACHMM*MMLeachEF*NtoN2O*kgtoGg</f>
        <v>1.9874405903185278E-2</v>
      </c>
      <c r="AR186" s="22">
        <f>Constants!$H77*'Activity data'!AR19*Constants!$H95*FracLEACHMM*MMLeachEF*NtoN2O*kgtoGg</f>
        <v>2.0244038198599948E-2</v>
      </c>
      <c r="AS186" s="22">
        <f>Constants!$H77*'Activity data'!AS19*Constants!$H95*FracLEACHMM*MMLeachEF*NtoN2O*kgtoGg</f>
        <v>2.064493630250834E-2</v>
      </c>
      <c r="AT186" s="22">
        <f>Constants!$H77*'Activity data'!AT19*Constants!$H95*FracLEACHMM*MMLeachEF*NtoN2O*kgtoGg</f>
        <v>2.1086941142640651E-2</v>
      </c>
      <c r="AU186" s="22">
        <f>Constants!$H77*'Activity data'!AU19*Constants!$H95*FracLEACHMM*MMLeachEF*NtoN2O*kgtoGg</f>
        <v>2.1599318957249428E-2</v>
      </c>
      <c r="AV186" s="22">
        <f>Constants!$H77*'Activity data'!AV19*Constants!$H95*FracLEACHMM*MMLeachEF*NtoN2O*kgtoGg</f>
        <v>2.2180513768392543E-2</v>
      </c>
      <c r="AW186" s="22">
        <f>Constants!$H77*'Activity data'!AW19*Constants!$H95*FracLEACHMM*MMLeachEF*NtoN2O*kgtoGg</f>
        <v>2.2805803764739216E-2</v>
      </c>
      <c r="AX186" s="22">
        <f>Constants!$H77*'Activity data'!AX19*Constants!$H95*FracLEACHMM*MMLeachEF*NtoN2O*kgtoGg</f>
        <v>2.3475090902088748E-2</v>
      </c>
      <c r="AY186" s="22">
        <f>Constants!$H77*'Activity data'!AY19*Constants!$H95*FracLEACHMM*MMLeachEF*NtoN2O*kgtoGg</f>
        <v>2.4174535529571241E-2</v>
      </c>
      <c r="AZ186" s="22">
        <f>Constants!$H77*'Activity data'!AZ19*Constants!$H95*FracLEACHMM*MMLeachEF*NtoN2O*kgtoGg</f>
        <v>2.4911238714913377E-2</v>
      </c>
      <c r="BA186" s="22">
        <f>Constants!$H77*'Activity data'!BA19*Constants!$H95*FracLEACHMM*MMLeachEF*NtoN2O*kgtoGg</f>
        <v>2.5679011663267932E-2</v>
      </c>
      <c r="BB186" s="22">
        <f>Constants!$H77*'Activity data'!BB19*Constants!$H95*FracLEACHMM*MMLeachEF*NtoN2O*kgtoGg</f>
        <v>2.645249874928041E-2</v>
      </c>
      <c r="BC186" s="22">
        <f>Constants!$H77*'Activity data'!BC19*Constants!$H95*FracLEACHMM*MMLeachEF*NtoN2O*kgtoGg</f>
        <v>2.7269372865090267E-2</v>
      </c>
      <c r="BD186" s="22">
        <f>Constants!$H77*'Activity data'!BD19*Constants!$H95*FracLEACHMM*MMLeachEF*NtoN2O*kgtoGg</f>
        <v>2.8105461432882069E-2</v>
      </c>
      <c r="BE186" s="22">
        <f>Constants!$H77*'Activity data'!BE19*Constants!$H95*FracLEACHMM*MMLeachEF*NtoN2O*kgtoGg</f>
        <v>2.8959047781856831E-2</v>
      </c>
      <c r="BF186" s="22">
        <f>Constants!$H77*'Activity data'!BF19*Constants!$H95*FracLEACHMM*MMLeachEF*NtoN2O*kgtoGg</f>
        <v>2.9842194803075938E-2</v>
      </c>
      <c r="BG186" s="22">
        <f>Constants!$H77*'Activity data'!BG19*Constants!$H95*FracLEACHMM*MMLeachEF*NtoN2O*kgtoGg</f>
        <v>3.0726207525762706E-2</v>
      </c>
      <c r="BH186" s="22">
        <f>Constants!$H77*'Activity data'!BH19*Constants!$H95*FracLEACHMM*MMLeachEF*NtoN2O*kgtoGg</f>
        <v>3.1651324084180803E-2</v>
      </c>
      <c r="BI186" s="22">
        <f>Constants!$H77*'Activity data'!BI19*Constants!$H95*FracLEACHMM*MMLeachEF*NtoN2O*kgtoGg</f>
        <v>3.263300298507002E-2</v>
      </c>
      <c r="BJ186" s="22">
        <f>Constants!$H77*'Activity data'!BJ19*Constants!$H95*FracLEACHMM*MMLeachEF*NtoN2O*kgtoGg</f>
        <v>3.3647129592199072E-2</v>
      </c>
      <c r="BK186" s="22">
        <f>Constants!$H77*'Activity data'!BK19*Constants!$H95*FracLEACHMM*MMLeachEF*NtoN2O*kgtoGg</f>
        <v>3.4695684340366462E-2</v>
      </c>
      <c r="BL186" s="22">
        <f>Constants!$H77*'Activity data'!BL19*Constants!$H95*FracLEACHMM*MMLeachEF*NtoN2O*kgtoGg</f>
        <v>3.5807702215394269E-2</v>
      </c>
      <c r="BM186" s="22">
        <f>Constants!$H77*'Activity data'!BM19*Constants!$H95*FracLEACHMM*MMLeachEF*NtoN2O*kgtoGg</f>
        <v>3.6975350864185588E-2</v>
      </c>
      <c r="BN186" s="22">
        <f>Constants!$H77*'Activity data'!BN19*Constants!$H95*FracLEACHMM*MMLeachEF*NtoN2O*kgtoGg</f>
        <v>3.8193620446260186E-2</v>
      </c>
      <c r="BO186" s="22">
        <f>Constants!$H77*'Activity data'!BO19*Constants!$H95*FracLEACHMM*MMLeachEF*NtoN2O*kgtoGg</f>
        <v>3.9482562307511335E-2</v>
      </c>
      <c r="BP186" s="22">
        <f>Constants!$H77*'Activity data'!BP19*Constants!$H95*FracLEACHMM*MMLeachEF*NtoN2O*kgtoGg</f>
        <v>4.0733932208981263E-2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8.024855331382115E-2</v>
      </c>
      <c r="AG187" s="22">
        <f>Constants!$H78*'Activity data'!AG20*Constants!$H96*FracLEACHMM*MMLeachEF*NtoN2O*kgtoGg</f>
        <v>8.0719757945382262E-2</v>
      </c>
      <c r="AH187" s="22">
        <f>Constants!$H78*'Activity data'!AH20*Constants!$H96*FracLEACHMM*MMLeachEF*NtoN2O*kgtoGg</f>
        <v>8.0430818839717685E-2</v>
      </c>
      <c r="AI187" s="22">
        <f>Constants!$H78*'Activity data'!AI20*Constants!$H96*FracLEACHMM*MMLeachEF*NtoN2O*kgtoGg</f>
        <v>7.938481013134728E-2</v>
      </c>
      <c r="AJ187" s="22">
        <f>Constants!$H78*'Activity data'!AJ20*Constants!$H96*FracLEACHMM*MMLeachEF*NtoN2O*kgtoGg</f>
        <v>7.8944464359385597E-2</v>
      </c>
      <c r="AK187" s="22">
        <f>Constants!$H78*'Activity data'!AK20*Constants!$H96*FracLEACHMM*MMLeachEF*NtoN2O*kgtoGg</f>
        <v>7.8604018955287347E-2</v>
      </c>
      <c r="AL187" s="22">
        <f>Constants!$H78*'Activity data'!AL20*Constants!$H96*FracLEACHMM*MMLeachEF*NtoN2O*kgtoGg</f>
        <v>6.838761678762284E-2</v>
      </c>
      <c r="AM187" s="22">
        <f>Constants!$H78*'Activity data'!AM20*Constants!$H96*FracLEACHMM*MMLeachEF*NtoN2O*kgtoGg</f>
        <v>7.4574992595892425E-2</v>
      </c>
      <c r="AN187" s="22">
        <f>Constants!$H78*'Activity data'!AN20*Constants!$H96*FracLEACHMM*MMLeachEF*NtoN2O*kgtoGg</f>
        <v>7.755216316581004E-2</v>
      </c>
      <c r="AO187" s="22">
        <f>Constants!$H78*'Activity data'!AO20*Constants!$H96*FracLEACHMM*MMLeachEF*NtoN2O*kgtoGg</f>
        <v>7.7924677783992133E-2</v>
      </c>
      <c r="AP187" s="22">
        <f>Constants!$H78*'Activity data'!AP20*Constants!$H96*FracLEACHMM*MMLeachEF*NtoN2O*kgtoGg</f>
        <v>7.8354110824083251E-2</v>
      </c>
      <c r="AQ187" s="22">
        <f>Constants!$H78*'Activity data'!AQ20*Constants!$H96*FracLEACHMM*MMLeachEF*NtoN2O*kgtoGg</f>
        <v>7.9443157162657083E-2</v>
      </c>
      <c r="AR187" s="22">
        <f>Constants!$H78*'Activity data'!AR20*Constants!$H96*FracLEACHMM*MMLeachEF*NtoN2O*kgtoGg</f>
        <v>8.1236326250134938E-2</v>
      </c>
      <c r="AS187" s="22">
        <f>Constants!$H78*'Activity data'!AS20*Constants!$H96*FracLEACHMM*MMLeachEF*NtoN2O*kgtoGg</f>
        <v>8.3381793031121837E-2</v>
      </c>
      <c r="AT187" s="22">
        <f>Constants!$H78*'Activity data'!AT20*Constants!$H96*FracLEACHMM*MMLeachEF*NtoN2O*kgtoGg</f>
        <v>8.5974252242443622E-2</v>
      </c>
      <c r="AU187" s="22">
        <f>Constants!$H78*'Activity data'!AU20*Constants!$H96*FracLEACHMM*MMLeachEF*NtoN2O*kgtoGg</f>
        <v>8.9301533057552729E-2</v>
      </c>
      <c r="AV187" s="22">
        <f>Constants!$H78*'Activity data'!AV20*Constants!$H96*FracLEACHMM*MMLeachEF*NtoN2O*kgtoGg</f>
        <v>9.3325676960655579E-2</v>
      </c>
      <c r="AW187" s="22">
        <f>Constants!$H78*'Activity data'!AW20*Constants!$H96*FracLEACHMM*MMLeachEF*NtoN2O*kgtoGg</f>
        <v>9.7779695826372345E-2</v>
      </c>
      <c r="AX187" s="22">
        <f>Constants!$H78*'Activity data'!AX20*Constants!$H96*FracLEACHMM*MMLeachEF*NtoN2O*kgtoGg</f>
        <v>0.10264881318689535</v>
      </c>
      <c r="AY187" s="22">
        <f>Constants!$H78*'Activity data'!AY20*Constants!$H96*FracLEACHMM*MMLeachEF*NtoN2O*kgtoGg</f>
        <v>0.1077848208225682</v>
      </c>
      <c r="AZ187" s="22">
        <f>Constants!$H78*'Activity data'!AZ20*Constants!$H96*FracLEACHMM*MMLeachEF*NtoN2O*kgtoGg</f>
        <v>0.11325644741449936</v>
      </c>
      <c r="BA187" s="22">
        <f>Constants!$H78*'Activity data'!BA20*Constants!$H96*FracLEACHMM*MMLeachEF*NtoN2O*kgtoGg</f>
        <v>0.11899390557339033</v>
      </c>
      <c r="BB187" s="22">
        <f>Constants!$H78*'Activity data'!BB20*Constants!$H96*FracLEACHMM*MMLeachEF*NtoN2O*kgtoGg</f>
        <v>0.12473968814681194</v>
      </c>
      <c r="BC187" s="22">
        <f>Constants!$H78*'Activity data'!BC20*Constants!$H96*FracLEACHMM*MMLeachEF*NtoN2O*kgtoGg</f>
        <v>0.13086543937710404</v>
      </c>
      <c r="BD187" s="22">
        <f>Constants!$H78*'Activity data'!BD20*Constants!$H96*FracLEACHMM*MMLeachEF*NtoN2O*kgtoGg</f>
        <v>0.13713570688007848</v>
      </c>
      <c r="BE187" s="22">
        <f>Constants!$H78*'Activity data'!BE20*Constants!$H96*FracLEACHMM*MMLeachEF*NtoN2O*kgtoGg</f>
        <v>0.14353189422654788</v>
      </c>
      <c r="BF187" s="22">
        <f>Constants!$H78*'Activity data'!BF20*Constants!$H96*FracLEACHMM*MMLeachEF*NtoN2O*kgtoGg</f>
        <v>0.15016680935758497</v>
      </c>
      <c r="BG187" s="22">
        <f>Constants!$H78*'Activity data'!BG20*Constants!$H96*FracLEACHMM*MMLeachEF*NtoN2O*kgtoGg</f>
        <v>0.15676188787571166</v>
      </c>
      <c r="BH187" s="22">
        <f>Constants!$H78*'Activity data'!BH20*Constants!$H96*FracLEACHMM*MMLeachEF*NtoN2O*kgtoGg</f>
        <v>0.16370376989202984</v>
      </c>
      <c r="BI187" s="22">
        <f>Constants!$H78*'Activity data'!BI20*Constants!$H96*FracLEACHMM*MMLeachEF*NtoN2O*kgtoGg</f>
        <v>0.17113537656800237</v>
      </c>
      <c r="BJ187" s="22">
        <f>Constants!$H78*'Activity data'!BJ20*Constants!$H96*FracLEACHMM*MMLeachEF*NtoN2O*kgtoGg</f>
        <v>0.17882351737077742</v>
      </c>
      <c r="BK187" s="22">
        <f>Constants!$H78*'Activity data'!BK20*Constants!$H96*FracLEACHMM*MMLeachEF*NtoN2O*kgtoGg</f>
        <v>0.18678614513935693</v>
      </c>
      <c r="BL187" s="22">
        <f>Constants!$H78*'Activity data'!BL20*Constants!$H96*FracLEACHMM*MMLeachEF*NtoN2O*kgtoGg</f>
        <v>0.19529177080691471</v>
      </c>
      <c r="BM187" s="22">
        <f>Constants!$H78*'Activity data'!BM20*Constants!$H96*FracLEACHMM*MMLeachEF*NtoN2O*kgtoGg</f>
        <v>0.20426055038144844</v>
      </c>
      <c r="BN187" s="22">
        <f>Constants!$H78*'Activity data'!BN20*Constants!$H96*FracLEACHMM*MMLeachEF*NtoN2O*kgtoGg</f>
        <v>0.21363944759847542</v>
      </c>
      <c r="BO187" s="22">
        <f>Constants!$H78*'Activity data'!BO20*Constants!$H96*FracLEACHMM*MMLeachEF*NtoN2O*kgtoGg</f>
        <v>0.2236051975341104</v>
      </c>
      <c r="BP187" s="22">
        <f>Constants!$H78*'Activity data'!BP20*Constants!$H96*FracLEACHMM*MMLeachEF*NtoN2O*kgtoGg</f>
        <v>0.23317129202372885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5546875" defaultRowHeight="15" x14ac:dyDescent="0.25"/>
  <cols>
    <col min="1" max="1" width="34.42578125" customWidth="1"/>
    <col min="2" max="2" width="33.28515625" customWidth="1"/>
    <col min="3" max="3" width="27.42578125" customWidth="1"/>
    <col min="4" max="4" width="7.42578125" customWidth="1"/>
    <col min="5" max="5" width="26.140625" customWidth="1"/>
    <col min="6" max="33" width="9.7109375" customWidth="1"/>
    <col min="34" max="34" width="9.42578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1171.2651160486196</v>
      </c>
      <c r="AC4" s="40">
        <f t="shared" si="0"/>
        <v>1166.5593957177307</v>
      </c>
      <c r="AD4" s="40">
        <f t="shared" si="0"/>
        <v>1166.8343107149292</v>
      </c>
      <c r="AE4" s="40">
        <f t="shared" si="0"/>
        <v>1158.6000321770462</v>
      </c>
      <c r="AF4" s="40">
        <f t="shared" si="0"/>
        <v>1145.2621528294469</v>
      </c>
      <c r="AG4" s="40">
        <f t="shared" si="0"/>
        <v>1127.1134954870122</v>
      </c>
      <c r="AH4" s="40">
        <f t="shared" si="0"/>
        <v>1113.6808905305425</v>
      </c>
      <c r="AI4" s="40">
        <f t="shared" si="0"/>
        <v>1101.2673361670934</v>
      </c>
      <c r="AJ4" s="40">
        <f t="shared" si="0"/>
        <v>1017.6117042108492</v>
      </c>
      <c r="AK4" s="40">
        <f t="shared" si="0"/>
        <v>1053.8423909757914</v>
      </c>
      <c r="AL4" s="40">
        <f t="shared" ref="AL4:BN4" si="1">SUM(AL5:AL10)</f>
        <v>1067.4058268955357</v>
      </c>
      <c r="AM4" s="40">
        <f t="shared" si="1"/>
        <v>1063.9478502703628</v>
      </c>
      <c r="AN4" s="40">
        <f t="shared" si="1"/>
        <v>1061.7787588649976</v>
      </c>
      <c r="AO4" s="40">
        <f t="shared" si="1"/>
        <v>1064.3368637062783</v>
      </c>
      <c r="AP4" s="40">
        <f t="shared" si="1"/>
        <v>1071.112046883019</v>
      </c>
      <c r="AQ4" s="40">
        <f t="shared" si="1"/>
        <v>1079.7987138637247</v>
      </c>
      <c r="AR4" s="40">
        <f t="shared" si="1"/>
        <v>1090.92776647803</v>
      </c>
      <c r="AS4" s="40">
        <f t="shared" si="1"/>
        <v>1106.2224393016975</v>
      </c>
      <c r="AT4" s="40">
        <f t="shared" si="1"/>
        <v>1125.3549515896207</v>
      </c>
      <c r="AU4" s="40">
        <f t="shared" si="1"/>
        <v>1140.678032920905</v>
      </c>
      <c r="AV4" s="40">
        <f t="shared" si="1"/>
        <v>1157.589105111585</v>
      </c>
      <c r="AW4" s="40">
        <f t="shared" si="1"/>
        <v>1175.1200340057915</v>
      </c>
      <c r="AX4" s="40">
        <f t="shared" si="1"/>
        <v>1193.5882964830491</v>
      </c>
      <c r="AY4" s="40">
        <f t="shared" si="1"/>
        <v>1212.5264842536626</v>
      </c>
      <c r="AZ4" s="40">
        <f t="shared" si="1"/>
        <v>1230.4585140683021</v>
      </c>
      <c r="BA4" s="40">
        <f t="shared" si="1"/>
        <v>1249.4067907087888</v>
      </c>
      <c r="BB4" s="40">
        <f t="shared" si="1"/>
        <v>1267.9950895951893</v>
      </c>
      <c r="BC4" s="40">
        <f t="shared" si="1"/>
        <v>1286.0993065022913</v>
      </c>
      <c r="BD4" s="40">
        <f t="shared" si="1"/>
        <v>1304.2862086991124</v>
      </c>
      <c r="BE4" s="40">
        <f t="shared" si="1"/>
        <v>1325.20534170563</v>
      </c>
      <c r="BF4" s="40">
        <f t="shared" si="1"/>
        <v>1346.9475055583187</v>
      </c>
      <c r="BG4" s="40">
        <f t="shared" si="1"/>
        <v>1370.1502791878108</v>
      </c>
      <c r="BH4" s="40">
        <f t="shared" si="1"/>
        <v>1393.5814875820438</v>
      </c>
      <c r="BI4" s="40">
        <f t="shared" si="1"/>
        <v>1417.2756972402506</v>
      </c>
      <c r="BJ4" s="40">
        <f t="shared" si="1"/>
        <v>1442.4537233061369</v>
      </c>
      <c r="BK4" s="40">
        <f t="shared" si="1"/>
        <v>1468.6423332237828</v>
      </c>
      <c r="BL4" s="40">
        <f t="shared" si="1"/>
        <v>1495.5179456054125</v>
      </c>
      <c r="BM4" s="40">
        <f t="shared" si="1"/>
        <v>1523.8175041429192</v>
      </c>
      <c r="BN4" s="40">
        <f t="shared" si="1"/>
        <v>1549.0015293121799</v>
      </c>
    </row>
    <row r="5" spans="1:72" x14ac:dyDescent="0.25">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977.48324710494308</v>
      </c>
      <c r="AC5" s="27">
        <f>SUM(Emissions!AE4:AE9)</f>
        <v>972.58505850583742</v>
      </c>
      <c r="AD5" s="27">
        <f>SUM(Emissions!AF4:AF9)</f>
        <v>972.49373775284243</v>
      </c>
      <c r="AE5" s="27">
        <f>SUM(Emissions!AG4:AG9)</f>
        <v>963.82588908536786</v>
      </c>
      <c r="AF5" s="27">
        <f>SUM(Emissions!AH4:AH9)</f>
        <v>949.97028936128584</v>
      </c>
      <c r="AG5" s="27">
        <f>SUM(Emissions!AI4:AI9)</f>
        <v>931.223870238676</v>
      </c>
      <c r="AH5" s="27">
        <f>SUM(Emissions!AJ4:AJ9)</f>
        <v>917.09432606703422</v>
      </c>
      <c r="AI5" s="27">
        <f>SUM(Emissions!AK4:AK9)</f>
        <v>903.9107469187411</v>
      </c>
      <c r="AJ5" s="27">
        <f>SUM(Emissions!AL4:AL9)</f>
        <v>821.1064579269464</v>
      </c>
      <c r="AK5" s="27">
        <f>SUM(Emissions!AM4:AM9)</f>
        <v>856.92754925444467</v>
      </c>
      <c r="AL5" s="27">
        <f>SUM(Emissions!AN4:AN9)</f>
        <v>870.42008751949834</v>
      </c>
      <c r="AM5" s="27">
        <f>SUM(Emissions!AO4:AO9)</f>
        <v>866.95335854266136</v>
      </c>
      <c r="AN5" s="27">
        <f>SUM(Emissions!AP4:AP9)</f>
        <v>864.55308380163444</v>
      </c>
      <c r="AO5" s="27">
        <f>SUM(Emissions!AQ4:AQ9)</f>
        <v>866.71642961297175</v>
      </c>
      <c r="AP5" s="27">
        <f>SUM(Emissions!AR4:AR9)</f>
        <v>873.08533403985496</v>
      </c>
      <c r="AQ5" s="27">
        <f>SUM(Emissions!AS4:AS9)</f>
        <v>881.36755955523506</v>
      </c>
      <c r="AR5" s="27">
        <f>SUM(Emissions!AT4:AT9)</f>
        <v>892.09071378564352</v>
      </c>
      <c r="AS5" s="27">
        <f>SUM(Emissions!AU4:AU9)</f>
        <v>906.9601402466775</v>
      </c>
      <c r="AT5" s="27">
        <f>SUM(Emissions!AV4:AV9)</f>
        <v>925.64539571635362</v>
      </c>
      <c r="AU5" s="27">
        <f>SUM(Emissions!AW4:AW9)</f>
        <v>940.51305995394057</v>
      </c>
      <c r="AV5" s="27">
        <f>SUM(Emissions!AX4:AX9)</f>
        <v>956.95696995346702</v>
      </c>
      <c r="AW5" s="27">
        <f>SUM(Emissions!AY4:AY9)</f>
        <v>974.01581757706958</v>
      </c>
      <c r="AX5" s="27">
        <f>SUM(Emissions!AZ4:AZ9)</f>
        <v>992.00678468096146</v>
      </c>
      <c r="AY5" s="27">
        <f>SUM(Emissions!BA4:BA9)</f>
        <v>1010.4639518480906</v>
      </c>
      <c r="AZ5" s="27">
        <f>SUM(Emissions!BB4:BB9)</f>
        <v>1027.9208577312465</v>
      </c>
      <c r="BA5" s="27">
        <f>SUM(Emissions!BC4:BC9)</f>
        <v>1046.3846333443971</v>
      </c>
      <c r="BB5" s="27">
        <f>SUM(Emissions!BD4:BD9)</f>
        <v>1064.4965990294947</v>
      </c>
      <c r="BC5" s="27">
        <f>SUM(Emissions!BE4:BE9)</f>
        <v>1082.1336039968837</v>
      </c>
      <c r="BD5" s="27">
        <f>SUM(Emissions!BF4:BF9)</f>
        <v>1099.8557057435819</v>
      </c>
      <c r="BE5" s="27">
        <f>SUM(Emissions!BG4:BG9)</f>
        <v>1120.3248126092897</v>
      </c>
      <c r="BF5" s="27">
        <f>SUM(Emissions!BH4:BH9)</f>
        <v>1141.6166794211431</v>
      </c>
      <c r="BG5" s="27">
        <f>SUM(Emissions!BI4:BI9)</f>
        <v>1164.3646047693242</v>
      </c>
      <c r="BH5" s="27">
        <f>SUM(Emissions!BJ4:BJ9)</f>
        <v>1187.3482181315678</v>
      </c>
      <c r="BI5" s="27">
        <f>SUM(Emissions!BK4:BK9)</f>
        <v>1210.6042101396581</v>
      </c>
      <c r="BJ5" s="27">
        <f>SUM(Emissions!BL4:BL9)</f>
        <v>1235.3436292107494</v>
      </c>
      <c r="BK5" s="27">
        <f>SUM(Emissions!BM4:BM9)</f>
        <v>1261.0974851809121</v>
      </c>
      <c r="BL5" s="27">
        <f>SUM(Emissions!BN4:BN9)</f>
        <v>1287.5442108269126</v>
      </c>
      <c r="BM5" s="27">
        <f>SUM(Emissions!BO4:BO9)</f>
        <v>1315.4118258490278</v>
      </c>
      <c r="BN5" s="27">
        <f>SUM(Emissions!BP4:BP9)</f>
        <v>1340.2112734573964</v>
      </c>
    </row>
    <row r="6" spans="1:72" x14ac:dyDescent="0.25">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149.09220789200279</v>
      </c>
      <c r="AK6" s="27">
        <f>SUM(Emissions!AM10:AM11)</f>
        <v>149.19952137990489</v>
      </c>
      <c r="AL6" s="27">
        <f>SUM(Emissions!AN10:AN11)</f>
        <v>149.1617922431665</v>
      </c>
      <c r="AM6" s="27">
        <f>SUM(Emissions!AO10:AO11)</f>
        <v>149.15907604624999</v>
      </c>
      <c r="AN6" s="27">
        <f>SUM(Emissions!AP10:AP11)</f>
        <v>149.31729049015337</v>
      </c>
      <c r="AO6" s="27">
        <f>SUM(Emissions!AQ10:AQ11)</f>
        <v>149.57622300556901</v>
      </c>
      <c r="AP6" s="27">
        <f>SUM(Emissions!AR10:AR11)</f>
        <v>149.82467162683491</v>
      </c>
      <c r="AQ6" s="27">
        <f>SUM(Emissions!AS10:AS11)</f>
        <v>150.06343790076303</v>
      </c>
      <c r="AR6" s="27">
        <f>SUM(Emissions!AT10:AT11)</f>
        <v>150.2921959729033</v>
      </c>
      <c r="AS6" s="27">
        <f>SUM(Emissions!AU10:AU11)</f>
        <v>150.51571310904831</v>
      </c>
      <c r="AT6" s="27">
        <f>SUM(Emissions!AV10:AV11)</f>
        <v>150.73725430821531</v>
      </c>
      <c r="AU6" s="27">
        <f>SUM(Emissions!AW10:AW11)</f>
        <v>150.95459668959543</v>
      </c>
      <c r="AV6" s="27">
        <f>SUM(Emissions!AX10:AX11)</f>
        <v>151.17086528207864</v>
      </c>
      <c r="AW6" s="27">
        <f>SUM(Emissions!AY10:AY11)</f>
        <v>151.38537879779864</v>
      </c>
      <c r="AX6" s="27">
        <f>SUM(Emissions!AZ10:AZ11)</f>
        <v>151.59641841964094</v>
      </c>
      <c r="AY6" s="27">
        <f>SUM(Emissions!BA10:BA11)</f>
        <v>151.80491329677773</v>
      </c>
      <c r="AZ6" s="27">
        <f>SUM(Emissions!BB10:BB11)</f>
        <v>152.01108592301256</v>
      </c>
      <c r="BA6" s="27">
        <f>SUM(Emissions!BC10:BC11)</f>
        <v>152.21563624252758</v>
      </c>
      <c r="BB6" s="27">
        <f>SUM(Emissions!BD10:BD11)</f>
        <v>152.41230542261374</v>
      </c>
      <c r="BC6" s="27">
        <f>SUM(Emissions!BE10:BE11)</f>
        <v>152.60086336427031</v>
      </c>
      <c r="BD6" s="27">
        <f>SUM(Emissions!BF10:BF11)</f>
        <v>152.78307234575294</v>
      </c>
      <c r="BE6" s="27">
        <f>SUM(Emissions!BG10:BG11)</f>
        <v>152.95752933857716</v>
      </c>
      <c r="BF6" s="27">
        <f>SUM(Emissions!BH10:BH11)</f>
        <v>153.12455082138302</v>
      </c>
      <c r="BG6" s="27">
        <f>SUM(Emissions!BI10:BI11)</f>
        <v>153.28338452635569</v>
      </c>
      <c r="BH6" s="27">
        <f>SUM(Emissions!BJ10:BJ11)</f>
        <v>153.43175753073672</v>
      </c>
      <c r="BI6" s="27">
        <f>SUM(Emissions!BK10:BK11)</f>
        <v>153.56756356691508</v>
      </c>
      <c r="BJ6" s="27">
        <f>SUM(Emissions!BL10:BL11)</f>
        <v>153.69066543271052</v>
      </c>
      <c r="BK6" s="27">
        <f>SUM(Emissions!BM10:BM11)</f>
        <v>153.80012109875778</v>
      </c>
      <c r="BL6" s="27">
        <f>SUM(Emissions!BN10:BN11)</f>
        <v>153.89587777610615</v>
      </c>
      <c r="BM6" s="27">
        <f>SUM(Emissions!BO10:BO11)</f>
        <v>153.97976795549522</v>
      </c>
      <c r="BN6" s="27">
        <f>SUM(Emissions!BP10:BP11)</f>
        <v>154.04089541215561</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37.504515885641091</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38.710452121917413</v>
      </c>
      <c r="AK7" s="27">
        <f>SUM(Emissions!AM12:AM13)</f>
        <v>38.776995426212103</v>
      </c>
      <c r="AL7" s="27">
        <f>SUM(Emissions!AN12:AN13)</f>
        <v>38.783452690562861</v>
      </c>
      <c r="AM7" s="27">
        <f>SUM(Emissions!AO12:AO13)</f>
        <v>38.801206048608933</v>
      </c>
      <c r="AN7" s="27">
        <f>SUM(Emissions!AP12:AP13)</f>
        <v>38.879698472107385</v>
      </c>
      <c r="AO7" s="27">
        <f>SUM(Emissions!AQ12:AQ13)</f>
        <v>38.995156438212767</v>
      </c>
      <c r="AP7" s="27">
        <f>SUM(Emissions!AR12:AR13)</f>
        <v>39.104142665284733</v>
      </c>
      <c r="AQ7" s="27">
        <f>SUM(Emissions!AS12:AS13)</f>
        <v>39.207169590949995</v>
      </c>
      <c r="AR7" s="27">
        <f>SUM(Emissions!AT12:AT13)</f>
        <v>39.304289950195766</v>
      </c>
      <c r="AS7" s="27">
        <f>SUM(Emissions!AU12:AU13)</f>
        <v>39.397513345346809</v>
      </c>
      <c r="AT7" s="27">
        <f>SUM(Emissions!AV12:AV13)</f>
        <v>39.488238496110661</v>
      </c>
      <c r="AU7" s="27">
        <f>SUM(Emissions!AW12:AW13)</f>
        <v>39.575724700092842</v>
      </c>
      <c r="AV7" s="27">
        <f>SUM(Emissions!AX12:AX13)</f>
        <v>39.661285999197112</v>
      </c>
      <c r="AW7" s="27">
        <f>SUM(Emissions!AY12:AY13)</f>
        <v>39.744755156583402</v>
      </c>
      <c r="AX7" s="27">
        <f>SUM(Emissions!AZ12:AZ13)</f>
        <v>39.825561030573652</v>
      </c>
      <c r="AY7" s="27">
        <f>SUM(Emissions!BA12:BA13)</f>
        <v>39.904143411479787</v>
      </c>
      <c r="AZ7" s="27">
        <f>SUM(Emissions!BB12:BB13)</f>
        <v>39.980662826035882</v>
      </c>
      <c r="BA7" s="27">
        <f>SUM(Emissions!BC12:BC13)</f>
        <v>40.055455247621502</v>
      </c>
      <c r="BB7" s="27">
        <f>SUM(Emissions!BD12:BD13)</f>
        <v>40.126201699289624</v>
      </c>
      <c r="BC7" s="27">
        <f>SUM(Emissions!BE12:BE13)</f>
        <v>40.192885458392894</v>
      </c>
      <c r="BD7" s="27">
        <f>SUM(Emissions!BF12:BF13)</f>
        <v>40.256241096217778</v>
      </c>
      <c r="BE7" s="27">
        <f>SUM(Emissions!BG12:BG13)</f>
        <v>40.315796337737517</v>
      </c>
      <c r="BF7" s="27">
        <f>SUM(Emissions!BH12:BH13)</f>
        <v>40.371728459905668</v>
      </c>
      <c r="BG7" s="27">
        <f>SUM(Emissions!BI12:BI13)</f>
        <v>40.423807363963917</v>
      </c>
      <c r="BH7" s="27">
        <f>SUM(Emissions!BJ12:BJ13)</f>
        <v>40.471229187822296</v>
      </c>
      <c r="BI7" s="27">
        <f>SUM(Emissions!BK12:BK13)</f>
        <v>40.513255500899547</v>
      </c>
      <c r="BJ7" s="27">
        <f>SUM(Emissions!BL12:BL13)</f>
        <v>40.549889170562921</v>
      </c>
      <c r="BK7" s="27">
        <f>SUM(Emissions!BM12:BM13)</f>
        <v>40.580829192896346</v>
      </c>
      <c r="BL7" s="27">
        <f>SUM(Emissions!BN12:BN13)</f>
        <v>40.606106947795126</v>
      </c>
      <c r="BM7" s="27">
        <f>SUM(Emissions!BO12:BO13)</f>
        <v>40.62645560719502</v>
      </c>
      <c r="BN7" s="27">
        <f>SUM(Emissions!BP12:BP13)</f>
        <v>40.637856109153176</v>
      </c>
    </row>
    <row r="8" spans="1:72" x14ac:dyDescent="0.25">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5.579523571019652</v>
      </c>
      <c r="AD8" s="27">
        <f>Emissions!AF14</f>
        <v>5.6203482259438013</v>
      </c>
      <c r="AE8" s="27">
        <f>Emissions!AG14</f>
        <v>5.629075655008374</v>
      </c>
      <c r="AF8" s="27">
        <f>Emissions!AH14</f>
        <v>5.6165815405282276</v>
      </c>
      <c r="AG8" s="27">
        <f>Emissions!AI14</f>
        <v>5.5833231296706103</v>
      </c>
      <c r="AH8" s="27">
        <f>Emissions!AJ14</f>
        <v>5.5648827699457346</v>
      </c>
      <c r="AI8" s="27">
        <f>Emissions!AK14</f>
        <v>5.5483103177944031</v>
      </c>
      <c r="AJ8" s="27">
        <f>Emissions!AL14</f>
        <v>5.2971852508905934</v>
      </c>
      <c r="AK8" s="27">
        <f>Emissions!AM14</f>
        <v>5.4545032105207021</v>
      </c>
      <c r="AL8" s="27">
        <f>Emissions!AN14</f>
        <v>5.5329638064801401</v>
      </c>
      <c r="AM8" s="27">
        <f>Emissions!AO14</f>
        <v>5.544813640469159</v>
      </c>
      <c r="AN8" s="27">
        <f>Emissions!AP14</f>
        <v>5.5552394312209037</v>
      </c>
      <c r="AO8" s="27">
        <f>Emissions!AQ14</f>
        <v>5.5805371243140618</v>
      </c>
      <c r="AP8" s="27">
        <f>Emissions!AR14</f>
        <v>5.6237182797404808</v>
      </c>
      <c r="AQ8" s="27">
        <f>Emissions!AS14</f>
        <v>5.6758191216830927</v>
      </c>
      <c r="AR8" s="27">
        <f>Emissions!AT14</f>
        <v>5.7392036522982304</v>
      </c>
      <c r="AS8" s="27">
        <f>Emissions!AU14</f>
        <v>5.8209863133515896</v>
      </c>
      <c r="AT8" s="27">
        <f>Emissions!AV14</f>
        <v>5.9200988769206573</v>
      </c>
      <c r="AU8" s="27">
        <f>Emissions!AW14</f>
        <v>6.0298529321871719</v>
      </c>
      <c r="AV8" s="27">
        <f>Emissions!AX14</f>
        <v>6.1497995952254207</v>
      </c>
      <c r="AW8" s="27">
        <f>Emissions!AY14</f>
        <v>6.2762315807434783</v>
      </c>
      <c r="AX8" s="27">
        <f>Emissions!AZ14</f>
        <v>6.4109152413607369</v>
      </c>
      <c r="AY8" s="27">
        <f>Emissions!BA14</f>
        <v>6.552086974601302</v>
      </c>
      <c r="AZ8" s="27">
        <f>Emissions!BB14</f>
        <v>6.6933077398392395</v>
      </c>
      <c r="BA8" s="27">
        <f>Emissions!BC14</f>
        <v>6.8438679121481307</v>
      </c>
      <c r="BB8" s="27">
        <f>Emissions!BD14</f>
        <v>6.9980784680830306</v>
      </c>
      <c r="BC8" s="27">
        <f>Emissions!BE14</f>
        <v>7.1555200224058177</v>
      </c>
      <c r="BD8" s="27">
        <f>Emissions!BF14</f>
        <v>7.3189945558292679</v>
      </c>
      <c r="BE8" s="27">
        <f>Emissions!BG14</f>
        <v>7.4816205294730294</v>
      </c>
      <c r="BF8" s="27">
        <f>Emissions!BH14</f>
        <v>7.6530966093944661</v>
      </c>
      <c r="BG8" s="27">
        <f>Emissions!BI14</f>
        <v>7.8370750081366163</v>
      </c>
      <c r="BH8" s="27">
        <f>Emissions!BJ14</f>
        <v>8.0278701064246079</v>
      </c>
      <c r="BI8" s="27">
        <f>Emissions!BK14</f>
        <v>8.2260903165664789</v>
      </c>
      <c r="BJ8" s="27">
        <f>Emissions!BL14</f>
        <v>8.4385648916420113</v>
      </c>
      <c r="BK8" s="27">
        <f>Emissions!BM14</f>
        <v>8.6634503637197486</v>
      </c>
      <c r="BL8" s="27">
        <f>Emissions!BN14</f>
        <v>8.8995458740132776</v>
      </c>
      <c r="BM8" s="27">
        <f>Emissions!BO14</f>
        <v>9.151348341874078</v>
      </c>
      <c r="BN8" s="27">
        <f>Emissions!BP14</f>
        <v>9.3946927055732683</v>
      </c>
    </row>
    <row r="9" spans="1:72" x14ac:dyDescent="0.25">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2.0846138094278075</v>
      </c>
      <c r="AE10" s="27">
        <f>SUM(Emissions!AG16:AG17)</f>
        <v>2.0654754572205229</v>
      </c>
      <c r="AF10" s="27">
        <f>SUM(Emissions!AH16:AH17)</f>
        <v>2.0342181138558559</v>
      </c>
      <c r="AG10" s="27">
        <f>SUM(Emissions!AI16:AI17)</f>
        <v>1.9913414611083866</v>
      </c>
      <c r="AH10" s="27">
        <f>SUM(Emissions!AJ16:AJ17)</f>
        <v>1.9602082563146461</v>
      </c>
      <c r="AI10" s="27">
        <f>SUM(Emissions!AK16:AK17)</f>
        <v>1.9318299226197024</v>
      </c>
      <c r="AJ10" s="27">
        <f>SUM(Emissions!AL16:AL17)</f>
        <v>1.7354010190920159</v>
      </c>
      <c r="AK10" s="27">
        <f>SUM(Emissions!AM16:AM17)</f>
        <v>1.8138217047090701</v>
      </c>
      <c r="AL10" s="27">
        <f>SUM(Emissions!AN16:AN17)</f>
        <v>1.8375306358278132</v>
      </c>
      <c r="AM10" s="27">
        <f>SUM(Emissions!AO16:AO17)</f>
        <v>1.8193959923732539</v>
      </c>
      <c r="AN10" s="27">
        <f>SUM(Emissions!AP16:AP17)</f>
        <v>1.803446669881583</v>
      </c>
      <c r="AO10" s="27">
        <f>SUM(Emissions!AQ16:AQ17)</f>
        <v>1.7985175252106087</v>
      </c>
      <c r="AP10" s="27">
        <f>SUM(Emissions!AR16:AR17)</f>
        <v>1.8041802713040402</v>
      </c>
      <c r="AQ10" s="27">
        <f>SUM(Emissions!AS16:AS17)</f>
        <v>1.8147276950935136</v>
      </c>
      <c r="AR10" s="27">
        <f>SUM(Emissions!AT16:AT17)</f>
        <v>1.8313631169891857</v>
      </c>
      <c r="AS10" s="27">
        <f>SUM(Emissions!AU16:AU17)</f>
        <v>1.8580862872731732</v>
      </c>
      <c r="AT10" s="27">
        <f>SUM(Emissions!AV16:AV17)</f>
        <v>1.893964192020382</v>
      </c>
      <c r="AU10" s="27">
        <f>SUM(Emissions!AW16:AW17)</f>
        <v>1.9347986450888484</v>
      </c>
      <c r="AV10" s="27">
        <f>SUM(Emissions!AX16:AX17)</f>
        <v>1.9801842816165383</v>
      </c>
      <c r="AW10" s="27">
        <f>SUM(Emissions!AY16:AY17)</f>
        <v>2.0278508935963289</v>
      </c>
      <c r="AX10" s="27">
        <f>SUM(Emissions!AZ16:AZ17)</f>
        <v>2.0786171105121314</v>
      </c>
      <c r="AY10" s="27">
        <f>SUM(Emissions!BA16:BA17)</f>
        <v>2.1313887227130501</v>
      </c>
      <c r="AZ10" s="27">
        <f>SUM(Emissions!BB16:BB17)</f>
        <v>2.1825998481678734</v>
      </c>
      <c r="BA10" s="27">
        <f>SUM(Emissions!BC16:BC17)</f>
        <v>2.2371979620944384</v>
      </c>
      <c r="BB10" s="27">
        <f>SUM(Emissions!BD16:BD17)</f>
        <v>2.2919049757078311</v>
      </c>
      <c r="BC10" s="27">
        <f>SUM(Emissions!BE16:BE17)</f>
        <v>2.346433660338374</v>
      </c>
      <c r="BD10" s="27">
        <f>SUM(Emissions!BF16:BF17)</f>
        <v>2.4021949577303787</v>
      </c>
      <c r="BE10" s="27">
        <f>SUM(Emissions!BG16:BG17)</f>
        <v>2.4555828905524559</v>
      </c>
      <c r="BF10" s="27">
        <f>SUM(Emissions!BH16:BH17)</f>
        <v>2.5114502464923003</v>
      </c>
      <c r="BG10" s="27">
        <f>SUM(Emissions!BI16:BI17)</f>
        <v>2.5714075200302147</v>
      </c>
      <c r="BH10" s="27">
        <f>SUM(Emissions!BJ16:BJ17)</f>
        <v>2.6324126254923823</v>
      </c>
      <c r="BI10" s="27">
        <f>SUM(Emissions!BK16:BK17)</f>
        <v>2.69457771621104</v>
      </c>
      <c r="BJ10" s="27">
        <f>SUM(Emissions!BL16:BL17)</f>
        <v>2.7609746004717697</v>
      </c>
      <c r="BK10" s="27">
        <f>SUM(Emissions!BM16:BM17)</f>
        <v>2.8304473874967662</v>
      </c>
      <c r="BL10" s="27">
        <f>SUM(Emissions!BN16:BN17)</f>
        <v>2.9022041805854424</v>
      </c>
      <c r="BM10" s="27">
        <f>SUM(Emissions!BO16:BO17)</f>
        <v>2.9781063893269555</v>
      </c>
      <c r="BN10" s="27">
        <f>SUM(Emissions!BP16:BP17)</f>
        <v>3.046811627901123</v>
      </c>
    </row>
    <row r="11" spans="1:72" s="19" customFormat="1" ht="15.75" x14ac:dyDescent="0.25">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36.99429818142989</v>
      </c>
      <c r="AE11" s="40">
        <f t="shared" si="6"/>
        <v>36.867987271463186</v>
      </c>
      <c r="AF11" s="40">
        <f t="shared" si="6"/>
        <v>36.560879511524725</v>
      </c>
      <c r="AG11" s="40">
        <f t="shared" si="6"/>
        <v>36.078165266151387</v>
      </c>
      <c r="AH11" s="40">
        <f t="shared" si="6"/>
        <v>35.76940684907337</v>
      </c>
      <c r="AI11" s="40">
        <f t="shared" si="6"/>
        <v>35.500627316217205</v>
      </c>
      <c r="AJ11" s="40">
        <f t="shared" si="6"/>
        <v>32.631518382984474</v>
      </c>
      <c r="AK11" s="40">
        <f t="shared" si="6"/>
        <v>33.959274155101461</v>
      </c>
      <c r="AL11" s="40">
        <f t="shared" ref="AL11:BN11" si="7">SUM(AL12:AL18)</f>
        <v>34.450867395739522</v>
      </c>
      <c r="AM11" s="40">
        <f t="shared" si="7"/>
        <v>34.301639592365419</v>
      </c>
      <c r="AN11" s="40">
        <f t="shared" si="7"/>
        <v>34.191200397815606</v>
      </c>
      <c r="AO11" s="40">
        <f t="shared" si="7"/>
        <v>34.255153539363093</v>
      </c>
      <c r="AP11" s="40">
        <f t="shared" si="7"/>
        <v>34.484465367224118</v>
      </c>
      <c r="AQ11" s="40">
        <f t="shared" si="7"/>
        <v>34.791785863114313</v>
      </c>
      <c r="AR11" s="40">
        <f t="shared" si="7"/>
        <v>35.197208631984161</v>
      </c>
      <c r="AS11" s="40">
        <f t="shared" si="7"/>
        <v>35.765723755877872</v>
      </c>
      <c r="AT11" s="40">
        <f t="shared" si="7"/>
        <v>36.484883707896991</v>
      </c>
      <c r="AU11" s="40">
        <f t="shared" si="7"/>
        <v>37.290302895607155</v>
      </c>
      <c r="AV11" s="40">
        <f t="shared" si="7"/>
        <v>38.176202700425954</v>
      </c>
      <c r="AW11" s="40">
        <f t="shared" si="7"/>
        <v>39.107109580328427</v>
      </c>
      <c r="AX11" s="40">
        <f t="shared" si="7"/>
        <v>40.096943708371356</v>
      </c>
      <c r="AY11" s="40">
        <f t="shared" si="7"/>
        <v>41.128845165174752</v>
      </c>
      <c r="AZ11" s="40">
        <f t="shared" si="7"/>
        <v>42.145161363170644</v>
      </c>
      <c r="BA11" s="40">
        <f t="shared" si="7"/>
        <v>43.227175070353873</v>
      </c>
      <c r="BB11" s="40">
        <f t="shared" si="7"/>
        <v>44.321513123322475</v>
      </c>
      <c r="BC11" s="40">
        <f t="shared" si="7"/>
        <v>45.423705029238896</v>
      </c>
      <c r="BD11" s="40">
        <f t="shared" si="7"/>
        <v>46.557617894459199</v>
      </c>
      <c r="BE11" s="40">
        <f t="shared" si="7"/>
        <v>47.662688219945373</v>
      </c>
      <c r="BF11" s="40">
        <f t="shared" si="7"/>
        <v>48.821010196875378</v>
      </c>
      <c r="BG11" s="40">
        <f t="shared" si="7"/>
        <v>50.060774203739101</v>
      </c>
      <c r="BH11" s="40">
        <f t="shared" si="7"/>
        <v>51.331506627087172</v>
      </c>
      <c r="BI11" s="40">
        <f t="shared" si="7"/>
        <v>52.635686740072728</v>
      </c>
      <c r="BJ11" s="40">
        <f t="shared" si="7"/>
        <v>54.026834981305626</v>
      </c>
      <c r="BK11" s="40">
        <f t="shared" si="7"/>
        <v>55.486494877685857</v>
      </c>
      <c r="BL11" s="40">
        <f t="shared" si="7"/>
        <v>57.002207385938966</v>
      </c>
      <c r="BM11" s="40">
        <f t="shared" si="7"/>
        <v>58.607702907511438</v>
      </c>
      <c r="BN11" s="40">
        <f t="shared" si="7"/>
        <v>60.10498700380807</v>
      </c>
    </row>
    <row r="12" spans="1:72" x14ac:dyDescent="0.25">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10.583676395984559</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10.895047418651059</v>
      </c>
      <c r="AJ12" s="27">
        <f>SUM(Emissions!AL18:AL23)</f>
        <v>10.545353922906072</v>
      </c>
      <c r="AK12" s="27">
        <f>SUM(Emissions!AM18:AM23)</f>
        <v>10.789110381942317</v>
      </c>
      <c r="AL12" s="27">
        <f>SUM(Emissions!AN18:AN23)</f>
        <v>10.912591793209609</v>
      </c>
      <c r="AM12" s="27">
        <f>SUM(Emissions!AO18:AO23)</f>
        <v>10.947108353465719</v>
      </c>
      <c r="AN12" s="27">
        <f>SUM(Emissions!AP18:AP23)</f>
        <v>10.993448514778068</v>
      </c>
      <c r="AO12" s="27">
        <f>SUM(Emissions!AQ18:AQ23)</f>
        <v>11.069190787339927</v>
      </c>
      <c r="AP12" s="27">
        <f>SUM(Emissions!AR18:AR23)</f>
        <v>11.169145914100731</v>
      </c>
      <c r="AQ12" s="27">
        <f>SUM(Emissions!AS18:AS23)</f>
        <v>11.281119680153814</v>
      </c>
      <c r="AR12" s="27">
        <f>SUM(Emissions!AT18:AT23)</f>
        <v>11.408638241280499</v>
      </c>
      <c r="AS12" s="27">
        <f>SUM(Emissions!AU18:AU23)</f>
        <v>11.562537824194667</v>
      </c>
      <c r="AT12" s="27">
        <f>SUM(Emissions!AV18:AV23)</f>
        <v>11.741951151312151</v>
      </c>
      <c r="AU12" s="27">
        <f>SUM(Emissions!AW18:AW23)</f>
        <v>11.938080610563796</v>
      </c>
      <c r="AV12" s="27">
        <f>SUM(Emissions!AX18:AX23)</f>
        <v>12.150106653424354</v>
      </c>
      <c r="AW12" s="27">
        <f>SUM(Emissions!AY18:AY23)</f>
        <v>12.372745121832862</v>
      </c>
      <c r="AX12" s="27">
        <f>SUM(Emissions!AZ18:AZ23)</f>
        <v>12.608504326688797</v>
      </c>
      <c r="AY12" s="27">
        <f>SUM(Emissions!BA18:BA23)</f>
        <v>12.855008730894999</v>
      </c>
      <c r="AZ12" s="27">
        <f>SUM(Emissions!BB18:BB23)</f>
        <v>13.102883193080231</v>
      </c>
      <c r="BA12" s="27">
        <f>SUM(Emissions!BC18:BC23)</f>
        <v>13.36591428269535</v>
      </c>
      <c r="BB12" s="27">
        <f>SUM(Emissions!BD18:BD23)</f>
        <v>13.635106458756464</v>
      </c>
      <c r="BC12" s="27">
        <f>SUM(Emissions!BE18:BE23)</f>
        <v>13.909803024888964</v>
      </c>
      <c r="BD12" s="27">
        <f>SUM(Emissions!BF18:BF23)</f>
        <v>14.194372922686513</v>
      </c>
      <c r="BE12" s="27">
        <f>SUM(Emissions!BG18:BG23)</f>
        <v>14.477718996113421</v>
      </c>
      <c r="BF12" s="27">
        <f>SUM(Emissions!BH18:BH23)</f>
        <v>14.77496109424578</v>
      </c>
      <c r="BG12" s="27">
        <f>SUM(Emissions!BI18:BI23)</f>
        <v>15.091556791024473</v>
      </c>
      <c r="BH12" s="27">
        <f>SUM(Emissions!BJ18:BJ23)</f>
        <v>15.418707075555014</v>
      </c>
      <c r="BI12" s="27">
        <f>SUM(Emissions!BK18:BK23)</f>
        <v>15.75704058090828</v>
      </c>
      <c r="BJ12" s="27">
        <f>SUM(Emissions!BL18:BL23)</f>
        <v>16.116854146493917</v>
      </c>
      <c r="BK12" s="27">
        <f>SUM(Emissions!BM18:BM23)</f>
        <v>16.495220037575837</v>
      </c>
      <c r="BL12" s="27">
        <f>SUM(Emissions!BN18:BN23)</f>
        <v>16.890255701061655</v>
      </c>
      <c r="BM12" s="27">
        <f>SUM(Emissions!BO18:BO23)</f>
        <v>17.308996658415484</v>
      </c>
      <c r="BN12" s="27">
        <f>SUM(Emissions!BP18:BP23)</f>
        <v>17.71294382748448</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4.0755234479592478E-2</v>
      </c>
      <c r="AK13" s="27">
        <f>SUM(Emissions!AM24:AM25)</f>
        <v>4.0784569254522111E-2</v>
      </c>
      <c r="AL13" s="27">
        <f>SUM(Emissions!AN24:AN25)</f>
        <v>4.0774255772441273E-2</v>
      </c>
      <c r="AM13" s="27">
        <f>SUM(Emissions!AO24:AO25)</f>
        <v>4.0773513283992084E-2</v>
      </c>
      <c r="AN13" s="27">
        <f>SUM(Emissions!AP24:AP25)</f>
        <v>4.0816762135494844E-2</v>
      </c>
      <c r="AO13" s="27">
        <f>SUM(Emissions!AQ24:AQ25)</f>
        <v>4.08875428659526E-2</v>
      </c>
      <c r="AP13" s="27">
        <f>SUM(Emissions!AR24:AR25)</f>
        <v>4.0955457762103027E-2</v>
      </c>
      <c r="AQ13" s="27">
        <f>SUM(Emissions!AS24:AS25)</f>
        <v>4.1020725931495278E-2</v>
      </c>
      <c r="AR13" s="27">
        <f>SUM(Emissions!AT24:AT25)</f>
        <v>4.1083258299893281E-2</v>
      </c>
      <c r="AS13" s="27">
        <f>SUM(Emissions!AU24:AU25)</f>
        <v>4.1144358027522213E-2</v>
      </c>
      <c r="AT13" s="27">
        <f>SUM(Emissions!AV24:AV25)</f>
        <v>4.1204917621122716E-2</v>
      </c>
      <c r="AU13" s="27">
        <f>SUM(Emissions!AW24:AW25)</f>
        <v>4.1264329443113541E-2</v>
      </c>
      <c r="AV13" s="27">
        <f>SUM(Emissions!AX24:AX25)</f>
        <v>4.1323447738575429E-2</v>
      </c>
      <c r="AW13" s="27">
        <f>SUM(Emissions!AY24:AY25)</f>
        <v>4.1382086273451399E-2</v>
      </c>
      <c r="AX13" s="27">
        <f>SUM(Emissions!AZ24:AZ25)</f>
        <v>4.1439775198944401E-2</v>
      </c>
      <c r="AY13" s="27">
        <f>SUM(Emissions!BA24:BA25)</f>
        <v>4.1496768503461415E-2</v>
      </c>
      <c r="AZ13" s="27">
        <f>SUM(Emissions!BB24:BB25)</f>
        <v>4.15531270069961E-2</v>
      </c>
      <c r="BA13" s="27">
        <f>SUM(Emissions!BC24:BC25)</f>
        <v>4.1609042043419378E-2</v>
      </c>
      <c r="BB13" s="27">
        <f>SUM(Emissions!BD24:BD25)</f>
        <v>4.1662802723891203E-2</v>
      </c>
      <c r="BC13" s="27">
        <f>SUM(Emissions!BE24:BE25)</f>
        <v>4.1714346149492418E-2</v>
      </c>
      <c r="BD13" s="27">
        <f>SUM(Emissions!BF24:BF25)</f>
        <v>4.1764154049379394E-2</v>
      </c>
      <c r="BE13" s="27">
        <f>SUM(Emissions!BG24:BG25)</f>
        <v>4.1811842897439819E-2</v>
      </c>
      <c r="BF13" s="27">
        <f>SUM(Emissions!BH24:BH25)</f>
        <v>4.1857499204976785E-2</v>
      </c>
      <c r="BG13" s="27">
        <f>SUM(Emissions!BI24:BI25)</f>
        <v>4.1900917335145685E-2</v>
      </c>
      <c r="BH13" s="27">
        <f>SUM(Emissions!BJ24:BJ25)</f>
        <v>4.1941475971103176E-2</v>
      </c>
      <c r="BI13" s="27">
        <f>SUM(Emissions!BK24:BK25)</f>
        <v>4.1978599352173518E-2</v>
      </c>
      <c r="BJ13" s="27">
        <f>SUM(Emissions!BL24:BL25)</f>
        <v>4.2012249973331403E-2</v>
      </c>
      <c r="BK13" s="27">
        <f>SUM(Emissions!BM24:BM25)</f>
        <v>4.2042170325293116E-2</v>
      </c>
      <c r="BL13" s="27">
        <f>SUM(Emissions!BN24:BN25)</f>
        <v>4.2068345977887556E-2</v>
      </c>
      <c r="BM13" s="27">
        <f>SUM(Emissions!BO24:BO25)</f>
        <v>4.2091277853267745E-2</v>
      </c>
      <c r="BN13" s="27">
        <f>SUM(Emissions!BP24:BP25)</f>
        <v>4.2107987404119258E-2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4.2381891563828093E-2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4.3565554612885068E-2</v>
      </c>
      <c r="AI14" s="27">
        <f>SUM(Emissions!AK26:AK27)</f>
        <v>4.3852181920952263E-2</v>
      </c>
      <c r="AJ14" s="27">
        <f>SUM(Emissions!AL26:AL27)</f>
        <v>4.3744657022649056E-2</v>
      </c>
      <c r="AK14" s="27">
        <f>SUM(Emissions!AM26:AM27)</f>
        <v>4.3819854129992508E-2</v>
      </c>
      <c r="AL14" s="27">
        <f>SUM(Emissions!AN26:AN27)</f>
        <v>4.3827151146659707E-2</v>
      </c>
      <c r="AM14" s="27">
        <f>SUM(Emissions!AO26:AO27)</f>
        <v>4.3847213287920156E-2</v>
      </c>
      <c r="AN14" s="27">
        <f>SUM(Emissions!AP26:AP27)</f>
        <v>4.3935913469824575E-2</v>
      </c>
      <c r="AO14" s="27">
        <f>SUM(Emissions!AQ26:AQ27)</f>
        <v>4.4066386477783909E-2</v>
      </c>
      <c r="AP14" s="27">
        <f>SUM(Emissions!AR26:AR27)</f>
        <v>4.4189546111994341E-2</v>
      </c>
      <c r="AQ14" s="27">
        <f>SUM(Emissions!AS26:AS27)</f>
        <v>4.4305971451412504E-2</v>
      </c>
      <c r="AR14" s="27">
        <f>SUM(Emissions!AT26:AT27)</f>
        <v>4.4415722089088921E-2</v>
      </c>
      <c r="AS14" s="27">
        <f>SUM(Emissions!AU26:AU27)</f>
        <v>4.4521068971489705E-2</v>
      </c>
      <c r="AT14" s="27">
        <f>SUM(Emissions!AV26:AV27)</f>
        <v>4.4623592718590198E-2</v>
      </c>
      <c r="AU14" s="27">
        <f>SUM(Emissions!AW26:AW27)</f>
        <v>4.4722456301360056E-2</v>
      </c>
      <c r="AV14" s="27">
        <f>SUM(Emissions!AX26:AX27)</f>
        <v>4.4819144649818003E-2</v>
      </c>
      <c r="AW14" s="27">
        <f>SUM(Emissions!AY26:AY27)</f>
        <v>4.4913468778359125E-2</v>
      </c>
      <c r="AX14" s="27">
        <f>SUM(Emissions!AZ26:AZ27)</f>
        <v>4.5004783269649129E-2</v>
      </c>
      <c r="AY14" s="27">
        <f>SUM(Emissions!BA26:BA27)</f>
        <v>4.509358510771435E-2</v>
      </c>
      <c r="AZ14" s="27">
        <f>SUM(Emissions!BB26:BB27)</f>
        <v>4.5180055695419913E-2</v>
      </c>
      <c r="BA14" s="27">
        <f>SUM(Emissions!BC26:BC27)</f>
        <v>4.526457469870751E-2</v>
      </c>
      <c r="BB14" s="27">
        <f>SUM(Emissions!BD26:BD27)</f>
        <v>4.5344521563033563E-2</v>
      </c>
      <c r="BC14" s="27">
        <f>SUM(Emissions!BE26:BE27)</f>
        <v>4.5419877391009084E-2</v>
      </c>
      <c r="BD14" s="27">
        <f>SUM(Emissions!BF26:BF27)</f>
        <v>4.5491472283219897E-2</v>
      </c>
      <c r="BE14" s="27">
        <f>SUM(Emissions!BG26:BG27)</f>
        <v>4.5558772546362696E-2</v>
      </c>
      <c r="BF14" s="27">
        <f>SUM(Emissions!BH26:BH27)</f>
        <v>4.5621978511849466E-2</v>
      </c>
      <c r="BG14" s="27">
        <f>SUM(Emissions!BI26:BI27)</f>
        <v>4.568083015710972E-2</v>
      </c>
      <c r="BH14" s="27">
        <f>SUM(Emissions!BJ26:BJ27)</f>
        <v>4.5734419079645164E-2</v>
      </c>
      <c r="BI14" s="27">
        <f>SUM(Emissions!BK26:BK27)</f>
        <v>4.578191081768275E-2</v>
      </c>
      <c r="BJ14" s="27">
        <f>SUM(Emissions!BL26:BL27)</f>
        <v>4.5823308611484231E-2</v>
      </c>
      <c r="BK14" s="27">
        <f>SUM(Emissions!BM26:BM27)</f>
        <v>4.5858272312269382E-2</v>
      </c>
      <c r="BL14" s="27">
        <f>SUM(Emissions!BN26:BN27)</f>
        <v>4.5886837380816441E-2</v>
      </c>
      <c r="BM14" s="27">
        <f>SUM(Emissions!BO26:BO27)</f>
        <v>4.5909832336378187E-2</v>
      </c>
      <c r="BN14" s="27">
        <f>SUM(Emissions!BP26:BP27)</f>
        <v>4.5922715447287744E-2</v>
      </c>
    </row>
    <row r="15" spans="1:72" x14ac:dyDescent="0.25">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4.1536453250924079E-3</v>
      </c>
      <c r="AD15" s="27">
        <f>Emissions!AF28</f>
        <v>4.1840370126470525E-3</v>
      </c>
      <c r="AE15" s="27">
        <f>Emissions!AG28</f>
        <v>4.1905340987284569E-3</v>
      </c>
      <c r="AF15" s="27">
        <f>Emissions!AH28</f>
        <v>4.1812329246154589E-3</v>
      </c>
      <c r="AG15" s="27">
        <f>Emissions!AI28</f>
        <v>4.1564738854214548E-3</v>
      </c>
      <c r="AH15" s="27">
        <f>Emissions!AJ28</f>
        <v>4.1427460620707141E-3</v>
      </c>
      <c r="AI15" s="27">
        <f>Emissions!AK28</f>
        <v>4.130408792135833E-3</v>
      </c>
      <c r="AJ15" s="27">
        <f>Emissions!AL28</f>
        <v>3.9434601312185527E-3</v>
      </c>
      <c r="AK15" s="27">
        <f>Emissions!AM28</f>
        <v>4.0605746122765228E-3</v>
      </c>
      <c r="AL15" s="27">
        <f>Emissions!AN28</f>
        <v>4.1189841670463273E-3</v>
      </c>
      <c r="AM15" s="27">
        <f>Emissions!AO28</f>
        <v>4.1278057101270405E-3</v>
      </c>
      <c r="AN15" s="27">
        <f>Emissions!AP28</f>
        <v>4.1355671321311174E-3</v>
      </c>
      <c r="AO15" s="27">
        <f>Emissions!AQ28</f>
        <v>4.1543998592115791E-3</v>
      </c>
      <c r="AP15" s="27">
        <f>Emissions!AR28</f>
        <v>4.1865458304734694E-3</v>
      </c>
      <c r="AQ15" s="27">
        <f>Emissions!AS28</f>
        <v>4.2253320128085251E-3</v>
      </c>
      <c r="AR15" s="27">
        <f>Emissions!AT28</f>
        <v>4.272518274488683E-3</v>
      </c>
      <c r="AS15" s="27">
        <f>Emissions!AU28</f>
        <v>4.3334009221617396E-3</v>
      </c>
      <c r="AT15" s="27">
        <f>Emissions!AV28</f>
        <v>4.4071847194853781E-3</v>
      </c>
      <c r="AU15" s="27">
        <f>Emissions!AW28</f>
        <v>4.4888905161837847E-3</v>
      </c>
      <c r="AV15" s="27">
        <f>Emissions!AX28</f>
        <v>4.5781841431122572E-3</v>
      </c>
      <c r="AW15" s="27">
        <f>Emissions!AY28</f>
        <v>4.6723057323312554E-3</v>
      </c>
      <c r="AX15" s="27">
        <f>Emissions!AZ28</f>
        <v>4.7725702352352153E-3</v>
      </c>
      <c r="AY15" s="27">
        <f>Emissions!BA28</f>
        <v>4.8776647477587476E-3</v>
      </c>
      <c r="AZ15" s="27">
        <f>Emissions!BB28</f>
        <v>4.9827957618803235E-3</v>
      </c>
      <c r="BA15" s="27">
        <f>Emissions!BC28</f>
        <v>5.0948794457102743E-3</v>
      </c>
      <c r="BB15" s="27">
        <f>Emissions!BD28</f>
        <v>5.2096806373507004E-3</v>
      </c>
      <c r="BC15" s="27">
        <f>Emissions!BE28</f>
        <v>5.326887127790998E-3</v>
      </c>
      <c r="BD15" s="27">
        <f>Emissions!BF28</f>
        <v>5.4485848360062324E-3</v>
      </c>
      <c r="BE15" s="27">
        <f>Emissions!BG28</f>
        <v>5.5696508386077004E-3</v>
      </c>
      <c r="BF15" s="27">
        <f>Emissions!BH28</f>
        <v>5.6973052536603251E-3</v>
      </c>
      <c r="BG15" s="27">
        <f>Emissions!BI28</f>
        <v>5.8342669505017037E-3</v>
      </c>
      <c r="BH15" s="27">
        <f>Emissions!BJ28</f>
        <v>5.9763033014494302E-3</v>
      </c>
      <c r="BI15" s="27">
        <f>Emissions!BK28</f>
        <v>6.1238672356661557E-3</v>
      </c>
      <c r="BJ15" s="27">
        <f>Emissions!BL28</f>
        <v>6.2820427526668306E-3</v>
      </c>
      <c r="BK15" s="27">
        <f>Emissions!BM28</f>
        <v>6.4494574929913678E-3</v>
      </c>
      <c r="BL15" s="27">
        <f>Emissions!BN28</f>
        <v>6.6252174839876625E-3</v>
      </c>
      <c r="BM15" s="27">
        <f>Emissions!BO28</f>
        <v>6.8126704322840365E-3</v>
      </c>
      <c r="BN15" s="27">
        <f>Emissions!BP28</f>
        <v>6.9938267919267671E-3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23.240459651013442</v>
      </c>
      <c r="AE17" s="27">
        <f>SUM(Emissions!AG30:AG31)</f>
        <v>23.027094422284396</v>
      </c>
      <c r="AF17" s="27">
        <f>SUM(Emissions!AH30:AH31)</f>
        <v>22.678619791645822</v>
      </c>
      <c r="AG17" s="27">
        <f>SUM(Emissions!AI30:AI31)</f>
        <v>22.200606495542029</v>
      </c>
      <c r="AH17" s="27">
        <f>SUM(Emissions!AJ30:AJ31)</f>
        <v>21.853515832253052</v>
      </c>
      <c r="AI17" s="27">
        <f>SUM(Emissions!AK30:AK31)</f>
        <v>21.53713803785411</v>
      </c>
      <c r="AJ17" s="27">
        <f>SUM(Emissions!AL30:AL31)</f>
        <v>19.347236970288485</v>
      </c>
      <c r="AK17" s="27">
        <f>SUM(Emissions!AM30:AM31)</f>
        <v>20.221515348204544</v>
      </c>
      <c r="AL17" s="27">
        <f>SUM(Emissions!AN30:AN31)</f>
        <v>20.485835988575356</v>
      </c>
      <c r="AM17" s="27">
        <f>SUM(Emissions!AO30:AO31)</f>
        <v>20.283660675534101</v>
      </c>
      <c r="AN17" s="27">
        <f>SUM(Emissions!AP30:AP31)</f>
        <v>20.105848562733019</v>
      </c>
      <c r="AO17" s="27">
        <f>SUM(Emissions!AQ30:AQ31)</f>
        <v>20.050895656193823</v>
      </c>
      <c r="AP17" s="27">
        <f>SUM(Emissions!AR30:AR31)</f>
        <v>20.114027168372793</v>
      </c>
      <c r="AQ17" s="27">
        <f>SUM(Emissions!AS30:AS31)</f>
        <v>20.231615843979174</v>
      </c>
      <c r="AR17" s="27">
        <f>SUM(Emissions!AT30:AT31)</f>
        <v>20.417076982917933</v>
      </c>
      <c r="AS17" s="27">
        <f>SUM(Emissions!AU30:AU31)</f>
        <v>20.71500207480949</v>
      </c>
      <c r="AT17" s="27">
        <f>SUM(Emissions!AV30:AV31)</f>
        <v>21.114989350087718</v>
      </c>
      <c r="AU17" s="27">
        <f>SUM(Emissions!AW30:AW31)</f>
        <v>21.570235043374854</v>
      </c>
      <c r="AV17" s="27">
        <f>SUM(Emissions!AX30:AX31)</f>
        <v>22.076219916777788</v>
      </c>
      <c r="AW17" s="27">
        <f>SUM(Emissions!AY30:AY31)</f>
        <v>22.607634401037064</v>
      </c>
      <c r="AX17" s="27">
        <f>SUM(Emissions!AZ30:AZ31)</f>
        <v>23.173605042951863</v>
      </c>
      <c r="AY17" s="27">
        <f>SUM(Emissions!BA30:BA31)</f>
        <v>23.761932971380496</v>
      </c>
      <c r="AZ17" s="27">
        <f>SUM(Emissions!BB30:BB31)</f>
        <v>24.332863706576227</v>
      </c>
      <c r="BA17" s="27">
        <f>SUM(Emissions!BC30:BC31)</f>
        <v>24.941554514433854</v>
      </c>
      <c r="BB17" s="27">
        <f>SUM(Emissions!BD30:BD31)</f>
        <v>25.551459397899283</v>
      </c>
      <c r="BC17" s="27">
        <f>SUM(Emissions!BE30:BE31)</f>
        <v>26.159376168500938</v>
      </c>
      <c r="BD17" s="27">
        <f>SUM(Emissions!BF30:BF31)</f>
        <v>26.781034806789801</v>
      </c>
      <c r="BE17" s="27">
        <f>SUM(Emissions!BG30:BG31)</f>
        <v>27.376233827822418</v>
      </c>
      <c r="BF17" s="27">
        <f>SUM(Emissions!BH30:BH31)</f>
        <v>27.999074867086733</v>
      </c>
      <c r="BG17" s="27">
        <f>SUM(Emissions!BI30:BI31)</f>
        <v>28.667512632461193</v>
      </c>
      <c r="BH17" s="27">
        <f>SUM(Emissions!BJ30:BJ31)</f>
        <v>29.347632223719444</v>
      </c>
      <c r="BI17" s="27">
        <f>SUM(Emissions!BK30:BK31)</f>
        <v>30.040683989957664</v>
      </c>
      <c r="BJ17" s="27">
        <f>SUM(Emissions!BL30:BL31)</f>
        <v>30.780914195972684</v>
      </c>
      <c r="BK17" s="27">
        <f>SUM(Emissions!BM30:BM31)</f>
        <v>31.555436314360193</v>
      </c>
      <c r="BL17" s="27">
        <f>SUM(Emissions!BN30:BN31)</f>
        <v>32.355421830584532</v>
      </c>
      <c r="BM17" s="27">
        <f>SUM(Emissions!BO30:BO31)</f>
        <v>33.201622796778906</v>
      </c>
      <c r="BN17" s="27">
        <f>SUM(Emissions!BP30:BP31)</f>
        <v>33.967587848758711</v>
      </c>
    </row>
    <row r="18" spans="1:66" x14ac:dyDescent="0.25">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2.9856726990921132</v>
      </c>
      <c r="AE18" s="27">
        <f>SUM(Emissions!AG32:AG35)</f>
        <v>3.0102189866459588</v>
      </c>
      <c r="AF18" s="27">
        <f>SUM(Emissions!AH32:AH35)</f>
        <v>3.0101265790703722</v>
      </c>
      <c r="AG18" s="27">
        <f>SUM(Emissions!AI32:AI35)</f>
        <v>2.9854362546719675</v>
      </c>
      <c r="AH18" s="27">
        <f>SUM(Emissions!AJ32:AJ35)</f>
        <v>2.9805084686213323</v>
      </c>
      <c r="AI18" s="27">
        <f>SUM(Emissions!AK32:AK35)</f>
        <v>2.978868166437934</v>
      </c>
      <c r="AJ18" s="27">
        <f>SUM(Emissions!AL32:AL35)</f>
        <v>2.6497326381564594</v>
      </c>
      <c r="AK18" s="27">
        <f>SUM(Emissions!AM32:AM35)</f>
        <v>2.8592319269578121</v>
      </c>
      <c r="AL18" s="27">
        <f>SUM(Emissions!AN32:AN35)</f>
        <v>2.9629677228684126</v>
      </c>
      <c r="AM18" s="27">
        <f>SUM(Emissions!AO32:AO35)</f>
        <v>2.981370531083563</v>
      </c>
      <c r="AN18" s="27">
        <f>SUM(Emissions!AP32:AP35)</f>
        <v>3.0022635775670641</v>
      </c>
      <c r="AO18" s="27">
        <f>SUM(Emissions!AQ32:AQ35)</f>
        <v>3.0452072666263947</v>
      </c>
      <c r="AP18" s="27">
        <f>SUM(Emissions!AR32:AR35)</f>
        <v>3.1112092350460272</v>
      </c>
      <c r="AQ18" s="27">
        <f>SUM(Emissions!AS32:AS35)</f>
        <v>3.1887468095856057</v>
      </c>
      <c r="AR18" s="27">
        <f>SUM(Emissions!AT32:AT35)</f>
        <v>3.2809704091222516</v>
      </c>
      <c r="AS18" s="27">
        <f>SUM(Emissions!AU32:AU35)</f>
        <v>3.3974335289525404</v>
      </c>
      <c r="AT18" s="27">
        <f>SUM(Emissions!AV32:AV35)</f>
        <v>3.536956011437923</v>
      </c>
      <c r="AU18" s="27">
        <f>SUM(Emissions!AW32:AW35)</f>
        <v>3.6907600654078498</v>
      </c>
      <c r="AV18" s="27">
        <f>SUM(Emissions!AX32:AX35)</f>
        <v>3.8584038536923067</v>
      </c>
      <c r="AW18" s="27">
        <f>SUM(Emissions!AY32:AY35)</f>
        <v>4.035010696674366</v>
      </c>
      <c r="AX18" s="27">
        <f>SUM(Emissions!AZ32:AZ35)</f>
        <v>4.2228657100268654</v>
      </c>
      <c r="AY18" s="27">
        <f>SUM(Emissions!BA32:BA35)</f>
        <v>4.4196839445403215</v>
      </c>
      <c r="AZ18" s="27">
        <f>SUM(Emissions!BB32:BB35)</f>
        <v>4.6169469850498963</v>
      </c>
      <c r="BA18" s="27">
        <f>SUM(Emissions!BC32:BC35)</f>
        <v>4.8269862770368315</v>
      </c>
      <c r="BB18" s="27">
        <f>SUM(Emissions!BD32:BD35)</f>
        <v>5.0419787617424596</v>
      </c>
      <c r="BC18" s="27">
        <f>SUM(Emissions!BE32:BE35)</f>
        <v>5.2613132251807029</v>
      </c>
      <c r="BD18" s="27">
        <f>SUM(Emissions!BF32:BF35)</f>
        <v>5.4887544538142841</v>
      </c>
      <c r="BE18" s="27">
        <f>SUM(Emissions!BG32:BG35)</f>
        <v>5.7150436297271279</v>
      </c>
      <c r="BF18" s="27">
        <f>SUM(Emissions!BH32:BH35)</f>
        <v>5.9530459525723813</v>
      </c>
      <c r="BG18" s="27">
        <f>SUM(Emissions!BI32:BI35)</f>
        <v>6.2075372658106813</v>
      </c>
      <c r="BH18" s="27">
        <f>SUM(Emissions!BJ32:BJ35)</f>
        <v>6.4707636294605146</v>
      </c>
      <c r="BI18" s="27">
        <f>SUM(Emissions!BK32:BK35)</f>
        <v>6.7433262918012637</v>
      </c>
      <c r="BJ18" s="27">
        <f>SUM(Emissions!BL32:BL35)</f>
        <v>7.0341975375015435</v>
      </c>
      <c r="BK18" s="27">
        <f>SUM(Emissions!BM32:BM35)</f>
        <v>7.3407371256192686</v>
      </c>
      <c r="BL18" s="27">
        <f>SUM(Emissions!BN32:BN35)</f>
        <v>7.6611979534500918</v>
      </c>
      <c r="BM18" s="27">
        <f>SUM(Emissions!BO32:BO35)</f>
        <v>8.0015181716951158</v>
      </c>
      <c r="BN18" s="27">
        <f>SUM(Emissions!BP32:BP35)</f>
        <v>8.3286792979215463</v>
      </c>
    </row>
    <row r="19" spans="1:66" s="19" customFormat="1" ht="15.75" x14ac:dyDescent="0.25">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5.1994200766582477</v>
      </c>
      <c r="AC19" s="40">
        <f t="shared" si="11"/>
        <v>5.2527414367903038</v>
      </c>
      <c r="AD19" s="40">
        <f t="shared" si="11"/>
        <v>5.336537874346206</v>
      </c>
      <c r="AE19" s="40">
        <f t="shared" si="11"/>
        <v>5.3665755836071103</v>
      </c>
      <c r="AF19" s="40">
        <f t="shared" si="11"/>
        <v>5.3622649672773717</v>
      </c>
      <c r="AG19" s="40">
        <f t="shared" si="11"/>
        <v>5.3238634740042308</v>
      </c>
      <c r="AH19" s="40">
        <f t="shared" si="11"/>
        <v>5.3145192594478212</v>
      </c>
      <c r="AI19" s="40">
        <f t="shared" si="11"/>
        <v>5.3105434668737512</v>
      </c>
      <c r="AJ19" s="40">
        <f t="shared" si="11"/>
        <v>4.8289135867161592</v>
      </c>
      <c r="AK19" s="40">
        <f t="shared" si="11"/>
        <v>5.1272697424260603</v>
      </c>
      <c r="AL19" s="40">
        <f t="shared" ref="AL19:BN19" si="12">SUM(AL20:AL26)</f>
        <v>5.2730257555662901</v>
      </c>
      <c r="AM19" s="40">
        <f t="shared" si="12"/>
        <v>5.2979399861620706</v>
      </c>
      <c r="AN19" s="40">
        <f t="shared" si="12"/>
        <v>5.3284896243498938</v>
      </c>
      <c r="AO19" s="40">
        <f t="shared" si="12"/>
        <v>5.3915591951976864</v>
      </c>
      <c r="AP19" s="40">
        <f t="shared" si="12"/>
        <v>5.4870138199433409</v>
      </c>
      <c r="AQ19" s="40">
        <f t="shared" si="12"/>
        <v>5.5985154550540948</v>
      </c>
      <c r="AR19" s="40">
        <f t="shared" si="12"/>
        <v>5.7305121651320068</v>
      </c>
      <c r="AS19" s="40">
        <f t="shared" si="12"/>
        <v>5.8965730208919336</v>
      </c>
      <c r="AT19" s="40">
        <f t="shared" si="12"/>
        <v>6.095042226723967</v>
      </c>
      <c r="AU19" s="40">
        <f t="shared" si="12"/>
        <v>6.3074098847150113</v>
      </c>
      <c r="AV19" s="40">
        <f t="shared" si="12"/>
        <v>6.5388150364597273</v>
      </c>
      <c r="AW19" s="40">
        <f t="shared" si="12"/>
        <v>6.7823283292858969</v>
      </c>
      <c r="AX19" s="40">
        <f t="shared" si="12"/>
        <v>7.0411212516520463</v>
      </c>
      <c r="AY19" s="40">
        <f t="shared" si="12"/>
        <v>7.3119635371854077</v>
      </c>
      <c r="AZ19" s="40">
        <f t="shared" si="12"/>
        <v>7.5828828255802385</v>
      </c>
      <c r="BA19" s="40">
        <f t="shared" si="12"/>
        <v>7.8712030974390021</v>
      </c>
      <c r="BB19" s="40">
        <f t="shared" si="12"/>
        <v>8.1658534226233517</v>
      </c>
      <c r="BC19" s="40">
        <f t="shared" si="12"/>
        <v>8.4659814279800223</v>
      </c>
      <c r="BD19" s="40">
        <f t="shared" si="12"/>
        <v>8.7768797424918183</v>
      </c>
      <c r="BE19" s="40">
        <f t="shared" si="12"/>
        <v>9.0895119604268935</v>
      </c>
      <c r="BF19" s="40">
        <f t="shared" si="12"/>
        <v>9.4181373480642421</v>
      </c>
      <c r="BG19" s="40">
        <f t="shared" si="12"/>
        <v>9.7694000693378023</v>
      </c>
      <c r="BH19" s="40">
        <f t="shared" si="12"/>
        <v>10.132443324064155</v>
      </c>
      <c r="BI19" s="40">
        <f t="shared" si="12"/>
        <v>10.508080710628299</v>
      </c>
      <c r="BJ19" s="40">
        <f t="shared" si="12"/>
        <v>10.90880780186864</v>
      </c>
      <c r="BK19" s="40">
        <f t="shared" si="12"/>
        <v>11.330921872294809</v>
      </c>
      <c r="BL19" s="40">
        <f t="shared" si="12"/>
        <v>11.771983668482694</v>
      </c>
      <c r="BM19" s="40">
        <f t="shared" si="12"/>
        <v>12.24027083502402</v>
      </c>
      <c r="BN19" s="40">
        <f t="shared" si="12"/>
        <v>12.689743144697481</v>
      </c>
    </row>
    <row r="20" spans="1:66" x14ac:dyDescent="0.25">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2.6405154397771433</v>
      </c>
      <c r="AC20" s="27">
        <f>SUM(Emissions!AE36:AE41)</f>
        <v>2.663854765875719</v>
      </c>
      <c r="AD20" s="27">
        <f>SUM(Emissions!AF36:AF41)</f>
        <v>2.7012838960025096</v>
      </c>
      <c r="AE20" s="27">
        <f>SUM(Emissions!AG36:AG41)</f>
        <v>2.7146557268578309</v>
      </c>
      <c r="AF20" s="27">
        <f>SUM(Emissions!AH36:AH41)</f>
        <v>2.71285127989717</v>
      </c>
      <c r="AG20" s="27">
        <f>SUM(Emissions!AI36:AI41)</f>
        <v>2.6960639868509828</v>
      </c>
      <c r="AH20" s="27">
        <f>SUM(Emissions!AJ36:AJ41)</f>
        <v>2.6925532758612407</v>
      </c>
      <c r="AI20" s="27">
        <f>SUM(Emissions!AK36:AK41)</f>
        <v>2.6916404315629792</v>
      </c>
      <c r="AJ20" s="27">
        <f>SUM(Emissions!AL36:AL41)</f>
        <v>2.4721790699569088</v>
      </c>
      <c r="AK20" s="27">
        <f>SUM(Emissions!AM36:AM41)</f>
        <v>2.6084535601325491</v>
      </c>
      <c r="AL20" s="27">
        <f>SUM(Emissions!AN36:AN41)</f>
        <v>2.6755973375175408</v>
      </c>
      <c r="AM20" s="27">
        <f>SUM(Emissions!AO36:AO41)</f>
        <v>2.6887817317009004</v>
      </c>
      <c r="AN20" s="27">
        <f>SUM(Emissions!AP36:AP41)</f>
        <v>2.7052806234007161</v>
      </c>
      <c r="AO20" s="27">
        <f>SUM(Emissions!AQ36:AQ41)</f>
        <v>2.7368031738529197</v>
      </c>
      <c r="AP20" s="27">
        <f>SUM(Emissions!AR36:AR41)</f>
        <v>2.7826958123422552</v>
      </c>
      <c r="AQ20" s="27">
        <f>SUM(Emissions!AS36:AS41)</f>
        <v>2.8356643448523782</v>
      </c>
      <c r="AR20" s="27">
        <f>SUM(Emissions!AT36:AT41)</f>
        <v>2.8977147403550707</v>
      </c>
      <c r="AS20" s="27">
        <f>SUM(Emissions!AU36:AU41)</f>
        <v>2.9749708152792502</v>
      </c>
      <c r="AT20" s="27">
        <f>SUM(Emissions!AV36:AV41)</f>
        <v>3.0667273564091038</v>
      </c>
      <c r="AU20" s="27">
        <f>SUM(Emissions!AW36:AW41)</f>
        <v>3.1613561317109511</v>
      </c>
      <c r="AV20" s="27">
        <f>SUM(Emissions!AX36:AX41)</f>
        <v>3.2643536661483479</v>
      </c>
      <c r="AW20" s="27">
        <f>SUM(Emissions!AY36:AY41)</f>
        <v>3.3726076567879044</v>
      </c>
      <c r="AX20" s="27">
        <f>SUM(Emissions!AZ36:AZ41)</f>
        <v>3.4875254418050274</v>
      </c>
      <c r="AY20" s="27">
        <f>SUM(Emissions!BA36:BA41)</f>
        <v>3.6076657236956566</v>
      </c>
      <c r="AZ20" s="27">
        <f>SUM(Emissions!BB36:BB41)</f>
        <v>3.7276871096675595</v>
      </c>
      <c r="BA20" s="27">
        <f>SUM(Emissions!BC36:BC41)</f>
        <v>3.8553311585871564</v>
      </c>
      <c r="BB20" s="27">
        <f>SUM(Emissions!BD36:BD41)</f>
        <v>3.9856277194109024</v>
      </c>
      <c r="BC20" s="27">
        <f>SUM(Emissions!BE36:BE41)</f>
        <v>4.1182032738640153</v>
      </c>
      <c r="BD20" s="27">
        <f>SUM(Emissions!BF36:BF41)</f>
        <v>4.2554308092705284</v>
      </c>
      <c r="BE20" s="27">
        <f>SUM(Emissions!BG36:BG41)</f>
        <v>4.395460931857591</v>
      </c>
      <c r="BF20" s="27">
        <f>SUM(Emissions!BH36:BH41)</f>
        <v>4.5425826434901317</v>
      </c>
      <c r="BG20" s="27">
        <f>SUM(Emissions!BI36:BI41)</f>
        <v>4.6997566242412354</v>
      </c>
      <c r="BH20" s="27">
        <f>SUM(Emissions!BJ36:BJ41)</f>
        <v>4.8621486155116678</v>
      </c>
      <c r="BI20" s="27">
        <f>SUM(Emissions!BK36:BK41)</f>
        <v>5.0301194745788056</v>
      </c>
      <c r="BJ20" s="27">
        <f>SUM(Emissions!BL36:BL41)</f>
        <v>5.2092385905362519</v>
      </c>
      <c r="BK20" s="27">
        <f>SUM(Emissions!BM36:BM41)</f>
        <v>5.3978643648980986</v>
      </c>
      <c r="BL20" s="27">
        <f>SUM(Emissions!BN36:BN41)</f>
        <v>5.5949227697506991</v>
      </c>
      <c r="BM20" s="27">
        <f>SUM(Emissions!BO36:BO41)</f>
        <v>5.8041189164290055</v>
      </c>
      <c r="BN20" s="27">
        <f>SUM(Emissions!BP36:BP41)</f>
        <v>6.0049228378106054</v>
      </c>
    </row>
    <row r="21" spans="1:66" x14ac:dyDescent="0.25">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0.18246364199636456</v>
      </c>
      <c r="AK21" s="27">
        <f>SUM(Emissions!AM42:AM43)</f>
        <v>0.18259497555238871</v>
      </c>
      <c r="AL21" s="27">
        <f>SUM(Emissions!AN42:AN43)</f>
        <v>0.18254880147128816</v>
      </c>
      <c r="AM21" s="27">
        <f>SUM(Emissions!AO42:AO43)</f>
        <v>0.18254547730573473</v>
      </c>
      <c r="AN21" s="27">
        <f>SUM(Emissions!AP42:AP43)</f>
        <v>0.18273910502148993</v>
      </c>
      <c r="AO21" s="27">
        <f>SUM(Emissions!AQ42:AQ43)</f>
        <v>0.18305599461929001</v>
      </c>
      <c r="AP21" s="27">
        <f>SUM(Emissions!AR42:AR43)</f>
        <v>0.1833600537041081</v>
      </c>
      <c r="AQ21" s="27">
        <f>SUM(Emissions!AS42:AS43)</f>
        <v>0.1836522632336523</v>
      </c>
      <c r="AR21" s="27">
        <f>SUM(Emissions!AT42:AT43)</f>
        <v>0.18393222441719731</v>
      </c>
      <c r="AS21" s="27">
        <f>SUM(Emissions!AU42:AU43)</f>
        <v>0.1842057715816417</v>
      </c>
      <c r="AT21" s="27">
        <f>SUM(Emissions!AV42:AV43)</f>
        <v>0.18447690053347487</v>
      </c>
      <c r="AU21" s="27">
        <f>SUM(Emissions!AW42:AW43)</f>
        <v>0.18474289084260961</v>
      </c>
      <c r="AV21" s="27">
        <f>SUM(Emissions!AX42:AX43)</f>
        <v>0.18500756701577692</v>
      </c>
      <c r="AW21" s="27">
        <f>SUM(Emissions!AY42:AY43)</f>
        <v>0.1852700952718751</v>
      </c>
      <c r="AX21" s="27">
        <f>SUM(Emissions!AZ42:AZ43)</f>
        <v>0.18552837206951145</v>
      </c>
      <c r="AY21" s="27">
        <f>SUM(Emissions!BA42:BA43)</f>
        <v>0.18578353453009772</v>
      </c>
      <c r="AZ21" s="27">
        <f>SUM(Emissions!BB42:BB43)</f>
        <v>0.1860358549484124</v>
      </c>
      <c r="BA21" s="27">
        <f>SUM(Emissions!BC42:BC43)</f>
        <v>0.18628618993773161</v>
      </c>
      <c r="BB21" s="27">
        <f>SUM(Emissions!BD42:BD43)</f>
        <v>0.18652687974556489</v>
      </c>
      <c r="BC21" s="27">
        <f>SUM(Emissions!BE42:BE43)</f>
        <v>0.18675764276965873</v>
      </c>
      <c r="BD21" s="27">
        <f>SUM(Emissions!BF42:BF43)</f>
        <v>0.18698063574049095</v>
      </c>
      <c r="BE21" s="27">
        <f>SUM(Emissions!BG42:BG43)</f>
        <v>0.18719414158853301</v>
      </c>
      <c r="BF21" s="27">
        <f>SUM(Emissions!BH42:BH43)</f>
        <v>0.18739854763010472</v>
      </c>
      <c r="BG21" s="27">
        <f>SUM(Emissions!BI42:BI43)</f>
        <v>0.18759293321665452</v>
      </c>
      <c r="BH21" s="27">
        <f>SUM(Emissions!BJ42:BJ43)</f>
        <v>0.187774516675214</v>
      </c>
      <c r="BI21" s="27">
        <f>SUM(Emissions!BK42:BK43)</f>
        <v>0.187940720290524</v>
      </c>
      <c r="BJ21" s="27">
        <f>SUM(Emissions!BL42:BL43)</f>
        <v>0.18809137615032484</v>
      </c>
      <c r="BK21" s="27">
        <f>SUM(Emissions!BM42:BM43)</f>
        <v>0.1882253313700275</v>
      </c>
      <c r="BL21" s="27">
        <f>SUM(Emissions!BN42:BN43)</f>
        <v>0.18834252134488594</v>
      </c>
      <c r="BM21" s="27">
        <f>SUM(Emissions!BO42:BO43)</f>
        <v>0.18844518873358101</v>
      </c>
      <c r="BN21" s="27">
        <f>SUM(Emissions!BP42:BP43)</f>
        <v>0.18851999840020225</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0.1313609060950319</v>
      </c>
      <c r="AG22" s="27">
        <f>SUM(Emissions!AI44:AI45)</f>
        <v>0.13212269035728819</v>
      </c>
      <c r="AH22" s="27">
        <f>SUM(Emissions!AJ44:AJ45)</f>
        <v>0.13294253416938448</v>
      </c>
      <c r="AI22" s="27">
        <f>SUM(Emissions!AK44:AK45)</f>
        <v>0.13381719216548246</v>
      </c>
      <c r="AJ22" s="27">
        <f>SUM(Emissions!AL44:AL45)</f>
        <v>0.13348907439919319</v>
      </c>
      <c r="AK22" s="27">
        <f>SUM(Emissions!AM44:AM45)</f>
        <v>0.13371854224601104</v>
      </c>
      <c r="AL22" s="27">
        <f>SUM(Emissions!AN44:AN45)</f>
        <v>0.13374080946827493</v>
      </c>
      <c r="AM22" s="27">
        <f>SUM(Emissions!AO44:AO45)</f>
        <v>0.13380203012582714</v>
      </c>
      <c r="AN22" s="27">
        <f>SUM(Emissions!AP44:AP45)</f>
        <v>0.13407270330027515</v>
      </c>
      <c r="AO22" s="27">
        <f>SUM(Emissions!AQ44:AQ45)</f>
        <v>0.13447084840534604</v>
      </c>
      <c r="AP22" s="27">
        <f>SUM(Emissions!AR44:AR45)</f>
        <v>0.13484667637367553</v>
      </c>
      <c r="AQ22" s="27">
        <f>SUM(Emissions!AS44:AS45)</f>
        <v>0.135201954294531</v>
      </c>
      <c r="AR22" s="27">
        <f>SUM(Emissions!AT44:AT45)</f>
        <v>0.13553686401917603</v>
      </c>
      <c r="AS22" s="27">
        <f>SUM(Emissions!AU44:AU45)</f>
        <v>0.13585833545773915</v>
      </c>
      <c r="AT22" s="27">
        <f>SUM(Emissions!AV44:AV45)</f>
        <v>0.13617119195350036</v>
      </c>
      <c r="AU22" s="27">
        <f>SUM(Emissions!AW44:AW45)</f>
        <v>0.13647287926925422</v>
      </c>
      <c r="AV22" s="27">
        <f>SUM(Emissions!AX44:AX45)</f>
        <v>0.13676792874544863</v>
      </c>
      <c r="AW22" s="27">
        <f>SUM(Emissions!AY44:AY45)</f>
        <v>0.13705576368277475</v>
      </c>
      <c r="AX22" s="27">
        <f>SUM(Emissions!AZ44:AZ45)</f>
        <v>0.13733441455698836</v>
      </c>
      <c r="AY22" s="27">
        <f>SUM(Emissions!BA44:BA45)</f>
        <v>0.13760539794044785</v>
      </c>
      <c r="AZ22" s="27">
        <f>SUM(Emissions!BB44:BB45)</f>
        <v>0.13786926739334113</v>
      </c>
      <c r="BA22" s="27">
        <f>SUM(Emissions!BC44:BC45)</f>
        <v>0.13812718148584757</v>
      </c>
      <c r="BB22" s="27">
        <f>SUM(Emissions!BD44:BD45)</f>
        <v>0.13837114346078036</v>
      </c>
      <c r="BC22" s="27">
        <f>SUM(Emissions!BE44:BE45)</f>
        <v>0.13860109565178344</v>
      </c>
      <c r="BD22" s="27">
        <f>SUM(Emissions!BF44:BF45)</f>
        <v>0.13881957115355692</v>
      </c>
      <c r="BE22" s="27">
        <f>SUM(Emissions!BG44:BG45)</f>
        <v>0.13902494137349267</v>
      </c>
      <c r="BF22" s="27">
        <f>SUM(Emissions!BH44:BH45)</f>
        <v>0.13921781763321434</v>
      </c>
      <c r="BG22" s="27">
        <f>SUM(Emissions!BI44:BI45)</f>
        <v>0.13939740646045315</v>
      </c>
      <c r="BH22" s="27">
        <f>SUM(Emissions!BJ44:BJ45)</f>
        <v>0.13956093581818937</v>
      </c>
      <c r="BI22" s="27">
        <f>SUM(Emissions!BK44:BK45)</f>
        <v>0.13970585930333557</v>
      </c>
      <c r="BJ22" s="27">
        <f>SUM(Emissions!BL44:BL45)</f>
        <v>0.13983218680371737</v>
      </c>
      <c r="BK22" s="27">
        <f>SUM(Emissions!BM44:BM45)</f>
        <v>0.13993888033780913</v>
      </c>
      <c r="BL22" s="27">
        <f>SUM(Emissions!BN44:BN45)</f>
        <v>0.14002604811600253</v>
      </c>
      <c r="BM22" s="27">
        <f>SUM(Emissions!BO44:BO45)</f>
        <v>0.14009621840747832</v>
      </c>
      <c r="BN22" s="27">
        <f>SUM(Emissions!BP44:BP45)</f>
        <v>0.14013553188408892</v>
      </c>
    </row>
    <row r="23" spans="1:66" x14ac:dyDescent="0.25">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0.13492146542995681</v>
      </c>
      <c r="AE25" s="27">
        <f>SUM(Emissions!AG48:AG49)</f>
        <v>0.13368278298717362</v>
      </c>
      <c r="AF25" s="27">
        <f>SUM(Emissions!AH48:AH49)</f>
        <v>0.131659728859289</v>
      </c>
      <c r="AG25" s="27">
        <f>SUM(Emissions!AI48:AI49)</f>
        <v>0.12888464371149955</v>
      </c>
      <c r="AH25" s="27">
        <f>SUM(Emissions!AJ48:AJ49)</f>
        <v>0.12686962414513903</v>
      </c>
      <c r="AI25" s="27">
        <f>SUM(Emissions!AK48:AK49)</f>
        <v>0.12503290678710086</v>
      </c>
      <c r="AJ25" s="27">
        <f>SUM(Emissions!AL48:AL49)</f>
        <v>0.11231953254152316</v>
      </c>
      <c r="AK25" s="27">
        <f>SUM(Emissions!AM48:AM49)</f>
        <v>0.1173951171776909</v>
      </c>
      <c r="AL25" s="27">
        <f>SUM(Emissions!AN48:AN49)</f>
        <v>0.11892961901963964</v>
      </c>
      <c r="AM25" s="27">
        <f>SUM(Emissions!AO48:AO49)</f>
        <v>0.1177558991397879</v>
      </c>
      <c r="AN25" s="27">
        <f>SUM(Emissions!AP48:AP49)</f>
        <v>0.11672361874643203</v>
      </c>
      <c r="AO25" s="27">
        <f>SUM(Emissions!AQ48:AQ49)</f>
        <v>0.11640459206661419</v>
      </c>
      <c r="AP25" s="27">
        <f>SUM(Emissions!AR48:AR49)</f>
        <v>0.11677109928144133</v>
      </c>
      <c r="AQ25" s="27">
        <f>SUM(Emissions!AS48:AS49)</f>
        <v>0.11745375516127411</v>
      </c>
      <c r="AR25" s="27">
        <f>SUM(Emissions!AT48:AT49)</f>
        <v>0.11853044163915259</v>
      </c>
      <c r="AS25" s="27">
        <f>SUM(Emissions!AU48:AU49)</f>
        <v>0.12026003264509512</v>
      </c>
      <c r="AT25" s="27">
        <f>SUM(Emissions!AV48:AV49)</f>
        <v>0.12258214116378446</v>
      </c>
      <c r="AU25" s="27">
        <f>SUM(Emissions!AW48:AW49)</f>
        <v>0.12522504999568007</v>
      </c>
      <c r="AV25" s="27">
        <f>SUM(Emissions!AX48:AX49)</f>
        <v>0.12816252290413602</v>
      </c>
      <c r="AW25" s="27">
        <f>SUM(Emissions!AY48:AY49)</f>
        <v>0.13124762629897524</v>
      </c>
      <c r="AX25" s="27">
        <f>SUM(Emissions!AZ48:AZ49)</f>
        <v>0.13453334394587851</v>
      </c>
      <c r="AY25" s="27">
        <f>SUM(Emissions!BA48:BA49)</f>
        <v>0.1379488558354422</v>
      </c>
      <c r="AZ25" s="27">
        <f>SUM(Emissions!BB48:BB49)</f>
        <v>0.14126336908553844</v>
      </c>
      <c r="BA25" s="27">
        <f>SUM(Emissions!BC48:BC49)</f>
        <v>0.14479709677522781</v>
      </c>
      <c r="BB25" s="27">
        <f>SUM(Emissions!BD48:BD49)</f>
        <v>0.14833787272741317</v>
      </c>
      <c r="BC25" s="27">
        <f>SUM(Emissions!BE48:BE49)</f>
        <v>0.15186710677788712</v>
      </c>
      <c r="BD25" s="27">
        <f>SUM(Emissions!BF48:BF49)</f>
        <v>0.15547611863628502</v>
      </c>
      <c r="BE25" s="27">
        <f>SUM(Emissions!BG48:BG49)</f>
        <v>0.15893152035148708</v>
      </c>
      <c r="BF25" s="27">
        <f>SUM(Emissions!BH48:BH49)</f>
        <v>0.16254739658669715</v>
      </c>
      <c r="BG25" s="27">
        <f>SUM(Emissions!BI48:BI49)</f>
        <v>0.166427982608115</v>
      </c>
      <c r="BH25" s="27">
        <f>SUM(Emissions!BJ48:BJ49)</f>
        <v>0.17037638695545265</v>
      </c>
      <c r="BI25" s="27">
        <f>SUM(Emissions!BK48:BK49)</f>
        <v>0.17439986847534605</v>
      </c>
      <c r="BJ25" s="27">
        <f>SUM(Emissions!BL48:BL49)</f>
        <v>0.17869724235050991</v>
      </c>
      <c r="BK25" s="27">
        <f>SUM(Emissions!BM48:BM49)</f>
        <v>0.18319369641337954</v>
      </c>
      <c r="BL25" s="27">
        <f>SUM(Emissions!BN48:BN49)</f>
        <v>0.18783797711146039</v>
      </c>
      <c r="BM25" s="27">
        <f>SUM(Emissions!BO48:BO49)</f>
        <v>0.19275055956988055</v>
      </c>
      <c r="BN25" s="27">
        <f>SUM(Emissions!BP48:BP49)</f>
        <v>0.19719733596041297</v>
      </c>
    </row>
    <row r="26" spans="1:66" x14ac:dyDescent="0.25">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2.1900184905347508</v>
      </c>
      <c r="AE26" s="27">
        <f>SUM(Emissions!AG50:AG53)</f>
        <v>2.2070152134542438</v>
      </c>
      <c r="AF26" s="27">
        <f>SUM(Emissions!AH50:AH53)</f>
        <v>2.205415691039156</v>
      </c>
      <c r="AG26" s="27">
        <f>SUM(Emissions!AI50:AI53)</f>
        <v>2.1852604118945709</v>
      </c>
      <c r="AH26" s="27">
        <f>SUM(Emissions!AJ50:AJ53)</f>
        <v>2.1799994398925184</v>
      </c>
      <c r="AI26" s="27">
        <f>SUM(Emissions!AK50:AK53)</f>
        <v>2.1772115733745303</v>
      </c>
      <c r="AJ26" s="27">
        <f>SUM(Emissions!AL50:AL53)</f>
        <v>1.9284622678221699</v>
      </c>
      <c r="AK26" s="27">
        <f>SUM(Emissions!AM50:AM53)</f>
        <v>2.085107547317421</v>
      </c>
      <c r="AL26" s="27">
        <f>SUM(Emissions!AN50:AN53)</f>
        <v>2.1622091880895464</v>
      </c>
      <c r="AM26" s="27">
        <f>SUM(Emissions!AO50:AO53)</f>
        <v>2.1750548478898208</v>
      </c>
      <c r="AN26" s="27">
        <f>SUM(Emissions!AP50:AP53)</f>
        <v>2.1896735738809801</v>
      </c>
      <c r="AO26" s="27">
        <f>SUM(Emissions!AQ50:AQ53)</f>
        <v>2.2208245862535172</v>
      </c>
      <c r="AP26" s="27">
        <f>SUM(Emissions!AR50:AR53)</f>
        <v>2.2693401782418601</v>
      </c>
      <c r="AQ26" s="27">
        <f>SUM(Emissions!AS50:AS53)</f>
        <v>2.3265431375122594</v>
      </c>
      <c r="AR26" s="27">
        <f>SUM(Emissions!AT50:AT53)</f>
        <v>2.3947978947014099</v>
      </c>
      <c r="AS26" s="27">
        <f>SUM(Emissions!AU50:AU53)</f>
        <v>2.481278065928207</v>
      </c>
      <c r="AT26" s="27">
        <f>SUM(Emissions!AV50:AV53)</f>
        <v>2.5850846366641034</v>
      </c>
      <c r="AU26" s="27">
        <f>SUM(Emissions!AW50:AW53)</f>
        <v>2.6996129328965166</v>
      </c>
      <c r="AV26" s="27">
        <f>SUM(Emissions!AX50:AX53)</f>
        <v>2.8245233516460178</v>
      </c>
      <c r="AW26" s="27">
        <f>SUM(Emissions!AY50:AY53)</f>
        <v>2.9561471872443672</v>
      </c>
      <c r="AX26" s="27">
        <f>SUM(Emissions!AZ50:AZ53)</f>
        <v>3.0961996792746405</v>
      </c>
      <c r="AY26" s="27">
        <f>SUM(Emissions!BA50:BA53)</f>
        <v>3.2429600251837631</v>
      </c>
      <c r="AZ26" s="27">
        <f>SUM(Emissions!BB50:BB53)</f>
        <v>3.3900272244853862</v>
      </c>
      <c r="BA26" s="27">
        <f>SUM(Emissions!BC50:BC53)</f>
        <v>3.546661470653039</v>
      </c>
      <c r="BB26" s="27">
        <f>SUM(Emissions!BD50:BD53)</f>
        <v>3.7069898072786907</v>
      </c>
      <c r="BC26" s="27">
        <f>SUM(Emissions!BE50:BE53)</f>
        <v>3.8705523089166776</v>
      </c>
      <c r="BD26" s="27">
        <f>SUM(Emissions!BF50:BF53)</f>
        <v>4.0401726076909572</v>
      </c>
      <c r="BE26" s="27">
        <f>SUM(Emissions!BG50:BG53)</f>
        <v>4.2089004252557887</v>
      </c>
      <c r="BF26" s="27">
        <f>SUM(Emissions!BH50:BH53)</f>
        <v>4.3863909427240957</v>
      </c>
      <c r="BG26" s="27">
        <f>SUM(Emissions!BI50:BI53)</f>
        <v>4.5762251228113442</v>
      </c>
      <c r="BH26" s="27">
        <f>SUM(Emissions!BJ50:BJ53)</f>
        <v>4.7725828691036316</v>
      </c>
      <c r="BI26" s="27">
        <f>SUM(Emissions!BK50:BK53)</f>
        <v>4.9759147879802885</v>
      </c>
      <c r="BJ26" s="27">
        <f>SUM(Emissions!BL50:BL53)</f>
        <v>5.1929484060278366</v>
      </c>
      <c r="BK26" s="27">
        <f>SUM(Emissions!BM50:BM53)</f>
        <v>5.4216995992754935</v>
      </c>
      <c r="BL26" s="27">
        <f>SUM(Emissions!BN50:BN53)</f>
        <v>5.6608543521596459</v>
      </c>
      <c r="BM26" s="27">
        <f>SUM(Emissions!BO50:BO53)</f>
        <v>5.9148599518840737</v>
      </c>
      <c r="BN26" s="27">
        <f>SUM(Emissions!BP50:BP53)</f>
        <v>6.1589674406421722</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893.63599451516268</v>
      </c>
      <c r="AL41" s="41">
        <f>Emissions!AN86</f>
        <v>901.53557284553392</v>
      </c>
      <c r="AM41" s="41">
        <f>Emissions!AO86</f>
        <v>905.89010059598195</v>
      </c>
      <c r="AN41" s="41">
        <f>Emissions!AP86</f>
        <v>907.58009218117843</v>
      </c>
      <c r="AO41" s="41">
        <f>Emissions!AQ86</f>
        <v>909.40288860123439</v>
      </c>
      <c r="AP41" s="41">
        <f>Emissions!AR86</f>
        <v>911.92422757648922</v>
      </c>
      <c r="AQ41" s="41">
        <f>Emissions!AS86</f>
        <v>915.10313656095923</v>
      </c>
      <c r="AR41" s="41">
        <f>Emissions!AT86</f>
        <v>918.57833095683384</v>
      </c>
      <c r="AS41" s="41">
        <f>Emissions!AU86</f>
        <v>922.43403487282035</v>
      </c>
      <c r="AT41" s="41">
        <f>Emissions!AV86</f>
        <v>926.93686062638631</v>
      </c>
      <c r="AU41" s="41">
        <f>Emissions!AW86</f>
        <v>932.02307525086815</v>
      </c>
      <c r="AV41" s="41">
        <f>Emissions!AX86</f>
        <v>937.4114004614803</v>
      </c>
      <c r="AW41" s="41">
        <f>Emissions!AY86</f>
        <v>943.0703615154913</v>
      </c>
      <c r="AX41" s="41">
        <f>Emissions!AZ86</f>
        <v>948.84872324168452</v>
      </c>
      <c r="AY41" s="41">
        <f>Emissions!BA86</f>
        <v>954.79399041296358</v>
      </c>
      <c r="AZ41" s="41">
        <f>Emissions!BB86</f>
        <v>960.83317350344373</v>
      </c>
      <c r="BA41" s="41">
        <f>Emissions!BC86</f>
        <v>966.74459566725386</v>
      </c>
      <c r="BB41" s="41">
        <f>Emissions!BD86</f>
        <v>972.83250351153242</v>
      </c>
      <c r="BC41" s="41">
        <f>Emissions!BE86</f>
        <v>978.89306599922156</v>
      </c>
      <c r="BD41" s="41">
        <f>Emissions!BF86</f>
        <v>984.91027811786876</v>
      </c>
      <c r="BE41" s="41">
        <f>Emissions!BG86</f>
        <v>990.96854669159461</v>
      </c>
      <c r="BF41" s="41">
        <f>Emissions!BH86</f>
        <v>996.85817227544851</v>
      </c>
      <c r="BG41" s="41">
        <f>Emissions!BI86</f>
        <v>1002.8620363509766</v>
      </c>
      <c r="BH41" s="41">
        <f>Emissions!BJ86</f>
        <v>1009.0666625916243</v>
      </c>
      <c r="BI41" s="41">
        <f>Emissions!BK86</f>
        <v>1015.2950621882683</v>
      </c>
      <c r="BJ41" s="41">
        <f>Emissions!BL86</f>
        <v>1021.5521396290935</v>
      </c>
      <c r="BK41" s="41">
        <f>Emissions!BM86</f>
        <v>1028.0026193966835</v>
      </c>
      <c r="BL41" s="41">
        <f>Emissions!BN86</f>
        <v>1034.5766203170861</v>
      </c>
      <c r="BM41" s="41">
        <f>Emissions!BO86</f>
        <v>1041.2271453774342</v>
      </c>
      <c r="BN41" s="41">
        <f>Emissions!BP86</f>
        <v>1048.046646803637</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469.91487835797898</v>
      </c>
      <c r="AL42" s="41">
        <f>Emissions!AN87</f>
        <v>469.71584189716231</v>
      </c>
      <c r="AM42" s="41">
        <f>Emissions!AO87</f>
        <v>469.60612594072387</v>
      </c>
      <c r="AN42" s="41">
        <f>Emissions!AP87</f>
        <v>469.56354519402316</v>
      </c>
      <c r="AO42" s="41">
        <f>Emissions!AQ87</f>
        <v>469.51761831880731</v>
      </c>
      <c r="AP42" s="41">
        <f>Emissions!AR87</f>
        <v>469.45409108163506</v>
      </c>
      <c r="AQ42" s="41">
        <f>Emissions!AS87</f>
        <v>469.37399581995572</v>
      </c>
      <c r="AR42" s="41">
        <f>Emissions!AT87</f>
        <v>469.28643540036416</v>
      </c>
      <c r="AS42" s="41">
        <f>Emissions!AU87</f>
        <v>469.18928772623514</v>
      </c>
      <c r="AT42" s="41">
        <f>Emissions!AV87</f>
        <v>469.07583527799261</v>
      </c>
      <c r="AU42" s="41">
        <f>Emissions!AW87</f>
        <v>468.94768386085701</v>
      </c>
      <c r="AV42" s="41">
        <f>Emissions!AX87</f>
        <v>468.81192051567615</v>
      </c>
      <c r="AW42" s="41">
        <f>Emissions!AY87</f>
        <v>468.66933827482927</v>
      </c>
      <c r="AX42" s="41">
        <f>Emissions!AZ87</f>
        <v>468.523747634519</v>
      </c>
      <c r="AY42" s="41">
        <f>Emissions!BA87</f>
        <v>468.37395167239384</v>
      </c>
      <c r="AZ42" s="41">
        <f>Emissions!BB87</f>
        <v>468.22178942039972</v>
      </c>
      <c r="BA42" s="41">
        <f>Emissions!BC87</f>
        <v>468.07284621144964</v>
      </c>
      <c r="BB42" s="41">
        <f>Emissions!BD87</f>
        <v>467.91945629866859</v>
      </c>
      <c r="BC42" s="41">
        <f>Emissions!BE87</f>
        <v>467.76675537494071</v>
      </c>
      <c r="BD42" s="41">
        <f>Emissions!BF87</f>
        <v>467.61514669989612</v>
      </c>
      <c r="BE42" s="41">
        <f>Emissions!BG87</f>
        <v>467.46250357324266</v>
      </c>
      <c r="BF42" s="41">
        <f>Emissions!BH87</f>
        <v>467.31410954729336</v>
      </c>
      <c r="BG42" s="41">
        <f>Emissions!BI87</f>
        <v>467.16283718732154</v>
      </c>
      <c r="BH42" s="41">
        <f>Emissions!BJ87</f>
        <v>467.00650645725204</v>
      </c>
      <c r="BI42" s="41">
        <f>Emissions!BK87</f>
        <v>466.84957673766149</v>
      </c>
      <c r="BJ42" s="41">
        <f>Emissions!BL87</f>
        <v>466.6919244558822</v>
      </c>
      <c r="BK42" s="41">
        <f>Emissions!BM87</f>
        <v>466.52939924126719</v>
      </c>
      <c r="BL42" s="41">
        <f>Emissions!BN87</f>
        <v>466.36376180824482</v>
      </c>
      <c r="BM42" s="41">
        <f>Emissions!BO87</f>
        <v>466.19619628572883</v>
      </c>
      <c r="BN42" s="41">
        <f>Emissions!BP87</f>
        <v>466.02437326282302</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55.141377146941771</v>
      </c>
      <c r="AD43" s="41">
        <f t="shared" si="24"/>
        <v>55.133536751110512</v>
      </c>
      <c r="AE43" s="41">
        <f t="shared" si="24"/>
        <v>54.82749609462973</v>
      </c>
      <c r="AF43" s="41">
        <f t="shared" si="24"/>
        <v>54.339148116939313</v>
      </c>
      <c r="AG43" s="41">
        <f t="shared" si="24"/>
        <v>53.680284142654159</v>
      </c>
      <c r="AH43" s="41">
        <f t="shared" si="24"/>
        <v>53.185580517007523</v>
      </c>
      <c r="AI43" s="41">
        <f t="shared" si="24"/>
        <v>52.728403644181718</v>
      </c>
      <c r="AJ43" s="41">
        <f t="shared" si="24"/>
        <v>49.776002036357177</v>
      </c>
      <c r="AK43" s="41">
        <f t="shared" si="24"/>
        <v>51.003365118719287</v>
      </c>
      <c r="AL43" s="41">
        <f t="shared" si="24"/>
        <v>51.48015462747982</v>
      </c>
      <c r="AM43" s="41">
        <f t="shared" si="24"/>
        <v>51.35236467073296</v>
      </c>
      <c r="AN43" s="41">
        <f t="shared" si="24"/>
        <v>51.263051507469783</v>
      </c>
      <c r="AO43" s="41">
        <f t="shared" si="24"/>
        <v>51.339212557854061</v>
      </c>
      <c r="AP43" s="41">
        <f t="shared" si="24"/>
        <v>51.564010962210261</v>
      </c>
      <c r="AQ43" s="41">
        <f t="shared" si="24"/>
        <v>51.856668367800211</v>
      </c>
      <c r="AR43" s="41">
        <f t="shared" si="24"/>
        <v>52.23458137788618</v>
      </c>
      <c r="AS43" s="41">
        <f t="shared" si="24"/>
        <v>52.757729498670166</v>
      </c>
      <c r="AT43" s="41">
        <f t="shared" si="24"/>
        <v>53.415064810815132</v>
      </c>
      <c r="AU43" s="41">
        <f t="shared" si="24"/>
        <v>53.932248663939241</v>
      </c>
      <c r="AV43" s="41">
        <f t="shared" si="24"/>
        <v>54.503448397646693</v>
      </c>
      <c r="AW43" s="41">
        <f t="shared" si="24"/>
        <v>55.094763067504381</v>
      </c>
      <c r="AX43" s="41">
        <f t="shared" si="24"/>
        <v>55.716628094389577</v>
      </c>
      <c r="AY43" s="41">
        <f t="shared" si="24"/>
        <v>56.352790516314272</v>
      </c>
      <c r="AZ43" s="41">
        <f t="shared" si="24"/>
        <v>56.951910014367307</v>
      </c>
      <c r="BA43" s="41">
        <f t="shared" si="24"/>
        <v>57.583201771834524</v>
      </c>
      <c r="BB43" s="41">
        <f t="shared" si="24"/>
        <v>58.199760424409973</v>
      </c>
      <c r="BC43" s="41">
        <f t="shared" si="24"/>
        <v>58.796707718004413</v>
      </c>
      <c r="BD43" s="41">
        <f t="shared" si="24"/>
        <v>59.393412475129367</v>
      </c>
      <c r="BE43" s="41">
        <f t="shared" si="24"/>
        <v>60.088513363191879</v>
      </c>
      <c r="BF43" s="41">
        <f t="shared" si="24"/>
        <v>60.80879176111231</v>
      </c>
      <c r="BG43" s="41">
        <f t="shared" si="24"/>
        <v>61.576604409888091</v>
      </c>
      <c r="BH43" s="41">
        <f t="shared" si="24"/>
        <v>62.349735070440218</v>
      </c>
      <c r="BI43" s="41">
        <f t="shared" si="24"/>
        <v>63.128761206248519</v>
      </c>
      <c r="BJ43" s="41">
        <f t="shared" si="24"/>
        <v>63.955183987739041</v>
      </c>
      <c r="BK43" s="41">
        <f t="shared" si="24"/>
        <v>64.812971064675466</v>
      </c>
      <c r="BL43" s="41">
        <f t="shared" si="24"/>
        <v>65.690654773508626</v>
      </c>
      <c r="BM43" s="41">
        <f t="shared" si="24"/>
        <v>66.612907292840518</v>
      </c>
      <c r="BN43" s="41">
        <f t="shared" si="24"/>
        <v>67.425578530981952</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6.603634243590573</v>
      </c>
      <c r="AL44" s="22">
        <f>Emissions!AN88</f>
        <v>6.6004971859529533</v>
      </c>
      <c r="AM44" s="22">
        <f>Emissions!AO88</f>
        <v>6.5987679285209158</v>
      </c>
      <c r="AN44" s="22">
        <f>Emissions!AP88</f>
        <v>6.5980968039636112</v>
      </c>
      <c r="AO44" s="22">
        <f>Emissions!AQ88</f>
        <v>6.5973729403354264</v>
      </c>
      <c r="AP44" s="22">
        <f>Emissions!AR88</f>
        <v>6.5963716735135058</v>
      </c>
      <c r="AQ44" s="22">
        <f>Emissions!AS88</f>
        <v>6.5951092743964939</v>
      </c>
      <c r="AR44" s="22">
        <f>Emissions!AT88</f>
        <v>6.5937292152761398</v>
      </c>
      <c r="AS44" s="22">
        <f>Emissions!AU88</f>
        <v>6.5921980493186423</v>
      </c>
      <c r="AT44" s="22">
        <f>Emissions!AV88</f>
        <v>6.5904099002136718</v>
      </c>
      <c r="AU44" s="22">
        <f>Emissions!AW88</f>
        <v>6.5883900774121225</v>
      </c>
      <c r="AV44" s="22">
        <f>Emissions!AX88</f>
        <v>6.5862502813307362</v>
      </c>
      <c r="AW44" s="22">
        <f>Emissions!AY88</f>
        <v>6.5840030111280692</v>
      </c>
      <c r="AX44" s="22">
        <f>Emissions!AZ88</f>
        <v>6.5817083248767299</v>
      </c>
      <c r="AY44" s="22">
        <f>Emissions!BA88</f>
        <v>6.5793473576190653</v>
      </c>
      <c r="AZ44" s="22">
        <f>Emissions!BB88</f>
        <v>6.5769490947439282</v>
      </c>
      <c r="BA44" s="22">
        <f>Emissions!BC88</f>
        <v>6.5746015679174796</v>
      </c>
      <c r="BB44" s="22">
        <f>Emissions!BD88</f>
        <v>6.5721839556094164</v>
      </c>
      <c r="BC44" s="22">
        <f>Emissions!BE88</f>
        <v>6.5697772026100587</v>
      </c>
      <c r="BD44" s="22">
        <f>Emissions!BF88</f>
        <v>6.5673876647835385</v>
      </c>
      <c r="BE44" s="22">
        <f>Emissions!BG88</f>
        <v>6.5649818227366428</v>
      </c>
      <c r="BF44" s="22">
        <f>Emissions!BH88</f>
        <v>6.5626429517048157</v>
      </c>
      <c r="BG44" s="22">
        <f>Emissions!BI88</f>
        <v>6.5602587146144691</v>
      </c>
      <c r="BH44" s="22">
        <f>Emissions!BJ88</f>
        <v>6.557794751435325</v>
      </c>
      <c r="BI44" s="22">
        <f>Emissions!BK88</f>
        <v>6.5553213474499907</v>
      </c>
      <c r="BJ44" s="22">
        <f>Emissions!BL88</f>
        <v>6.552836555002342</v>
      </c>
      <c r="BK44" s="22">
        <f>Emissions!BM88</f>
        <v>6.5502749591835583</v>
      </c>
      <c r="BL44" s="22">
        <f>Emissions!BN88</f>
        <v>6.5476643110027855</v>
      </c>
      <c r="BM44" s="22">
        <f>Emissions!BO88</f>
        <v>6.5450232737774749</v>
      </c>
      <c r="BN44" s="22">
        <f>Emissions!BP88</f>
        <v>6.5423151331477944</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6.0478064170898813</v>
      </c>
      <c r="AC45" s="22">
        <f>Emissions!AE89+SUM(Emissions!AE91:AE106)</f>
        <v>6.0531159936457986</v>
      </c>
      <c r="AD45" s="22">
        <f>Emissions!AF89+SUM(Emissions!AF91:AF106)</f>
        <v>6.0879780513059956</v>
      </c>
      <c r="AE45" s="22">
        <f>Emissions!AG89+SUM(Emissions!AG91:AG106)</f>
        <v>6.0713021029410523</v>
      </c>
      <c r="AF45" s="22">
        <f>Emissions!AH89+SUM(Emissions!AH91:AH106)</f>
        <v>6.0227924876945904</v>
      </c>
      <c r="AG45" s="22">
        <f>Emissions!AI89+SUM(Emissions!AI91:AI106)</f>
        <v>5.9435526503046594</v>
      </c>
      <c r="AH45" s="22">
        <f>Emissions!AJ89+SUM(Emissions!AJ91:AJ106)</f>
        <v>5.8924508429088132</v>
      </c>
      <c r="AI45" s="22">
        <f>Emissions!AK89+SUM(Emissions!AK91:AK106)</f>
        <v>5.8469995385277027</v>
      </c>
      <c r="AJ45" s="22">
        <f>Emissions!AL89+SUM(Emissions!AL91:AL106)</f>
        <v>5.361073172257159</v>
      </c>
      <c r="AK45" s="22">
        <f>Emissions!AM89+SUM(Emissions!AM91:AM106)</f>
        <v>5.6075413127962106</v>
      </c>
      <c r="AL45" s="22">
        <f>Emissions!AN89+SUM(Emissions!AN91:AN106)</f>
        <v>5.7132915850716302</v>
      </c>
      <c r="AM45" s="22">
        <f>Emissions!AO89+SUM(Emissions!AO91:AO106)</f>
        <v>5.7105985000607093</v>
      </c>
      <c r="AN45" s="22">
        <f>Emissions!AP89+SUM(Emissions!AP91:AP106)</f>
        <v>5.7143832691172163</v>
      </c>
      <c r="AO45" s="22">
        <f>Emissions!AQ89+SUM(Emissions!AQ91:AQ106)</f>
        <v>5.7476603812739979</v>
      </c>
      <c r="AP45" s="22">
        <f>Emissions!AR89+SUM(Emissions!AR91:AR106)</f>
        <v>5.8088209787514007</v>
      </c>
      <c r="AQ45" s="22">
        <f>Emissions!AS89+SUM(Emissions!AS91:AS106)</f>
        <v>5.8831888608854204</v>
      </c>
      <c r="AR45" s="22">
        <f>Emissions!AT89+SUM(Emissions!AT91:AT106)</f>
        <v>5.9744150295603697</v>
      </c>
      <c r="AS45" s="22">
        <f>Emissions!AU89+SUM(Emissions!AU91:AU106)</f>
        <v>6.0939934772348945</v>
      </c>
      <c r="AT45" s="22">
        <f>Emissions!AV89+SUM(Emissions!AV91:AV106)</f>
        <v>6.2400941374873407</v>
      </c>
      <c r="AU45" s="22">
        <f>Emissions!AW89+SUM(Emissions!AW91:AW106)</f>
        <v>6.3796223906994687</v>
      </c>
      <c r="AV45" s="22">
        <f>Emissions!AX89+SUM(Emissions!AX91:AX106)</f>
        <v>6.5324503591471625</v>
      </c>
      <c r="AW45" s="22">
        <f>Emissions!AY89+SUM(Emissions!AY91:AY106)</f>
        <v>6.6923947376861594</v>
      </c>
      <c r="AX45" s="22">
        <f>Emissions!AZ89+SUM(Emissions!AZ91:AZ106)</f>
        <v>6.8618531825268221</v>
      </c>
      <c r="AY45" s="22">
        <f>Emissions!BA89+SUM(Emissions!BA91:BA106)</f>
        <v>7.0378833858824095</v>
      </c>
      <c r="AZ45" s="22">
        <f>Emissions!BB89+SUM(Emissions!BB91:BB106)</f>
        <v>7.2104775458860617</v>
      </c>
      <c r="BA45" s="22">
        <f>Emissions!BC89+SUM(Emissions!BC91:BC106)</f>
        <v>7.3937171092740881</v>
      </c>
      <c r="BB45" s="22">
        <f>Emissions!BD89+SUM(Emissions!BD91:BD106)</f>
        <v>7.5783194744295272</v>
      </c>
      <c r="BC45" s="22">
        <f>Emissions!BE89+SUM(Emissions!BE91:BE106)</f>
        <v>7.7635042095877029</v>
      </c>
      <c r="BD45" s="22">
        <f>Emissions!BF89+SUM(Emissions!BF91:BF106)</f>
        <v>7.9533915608848735</v>
      </c>
      <c r="BE45" s="22">
        <f>Emissions!BG89+SUM(Emissions!BG91:BG106)</f>
        <v>8.1528454716375123</v>
      </c>
      <c r="BF45" s="22">
        <f>Emissions!BH89+SUM(Emissions!BH91:BH106)</f>
        <v>8.3616676025144461</v>
      </c>
      <c r="BG45" s="22">
        <f>Emissions!BI89+SUM(Emissions!BI91:BI106)</f>
        <v>8.5847775205882932</v>
      </c>
      <c r="BH45" s="22">
        <f>Emissions!BJ89+SUM(Emissions!BJ91:BJ106)</f>
        <v>8.8134690115460064</v>
      </c>
      <c r="BI45" s="22">
        <f>Emissions!BK89+SUM(Emissions!BK91:BK106)</f>
        <v>9.0481939409864225</v>
      </c>
      <c r="BJ45" s="22">
        <f>Emissions!BL89+SUM(Emissions!BL91:BL106)</f>
        <v>9.298280877352239</v>
      </c>
      <c r="BK45" s="22">
        <f>Emissions!BM89+SUM(Emissions!BM91:BM106)</f>
        <v>9.5605723855677045</v>
      </c>
      <c r="BL45" s="22">
        <f>Emissions!BN89+SUM(Emissions!BN91:BN106)</f>
        <v>9.8329449047528925</v>
      </c>
      <c r="BM45" s="22">
        <f>Emissions!BO89+SUM(Emissions!BO91:BO106)</f>
        <v>10.121321349077933</v>
      </c>
      <c r="BN45" s="22">
        <f>Emissions!BP89+SUM(Emissions!BP91:BP106)</f>
        <v>10.391191329087096</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2.9705633438591348</v>
      </c>
      <c r="AL46" s="22">
        <f>Emissions!AN90</f>
        <v>2.9939833213378622</v>
      </c>
      <c r="AM46" s="22">
        <f>Emissions!AO90</f>
        <v>3.0068932435616724</v>
      </c>
      <c r="AN46" s="22">
        <f>Emissions!AP90</f>
        <v>3.0119035824948748</v>
      </c>
      <c r="AO46" s="22">
        <f>Emissions!AQ90</f>
        <v>3.0173076495628459</v>
      </c>
      <c r="AP46" s="22">
        <f>Emissions!AR90</f>
        <v>3.0247826943750078</v>
      </c>
      <c r="AQ46" s="22">
        <f>Emissions!AS90</f>
        <v>3.0342072451180488</v>
      </c>
      <c r="AR46" s="22">
        <f>Emissions!AT90</f>
        <v>3.0445101968810144</v>
      </c>
      <c r="AS46" s="22">
        <f>Emissions!AU90</f>
        <v>3.0559412499196137</v>
      </c>
      <c r="AT46" s="22">
        <f>Emissions!AV90</f>
        <v>3.0692908330655531</v>
      </c>
      <c r="AU46" s="22">
        <f>Emissions!AW90</f>
        <v>3.0843699964051159</v>
      </c>
      <c r="AV46" s="22">
        <f>Emissions!AX90</f>
        <v>3.1003448307320856</v>
      </c>
      <c r="AW46" s="22">
        <f>Emissions!AY90</f>
        <v>3.1171220224878007</v>
      </c>
      <c r="AX46" s="22">
        <f>Emissions!AZ90</f>
        <v>3.1342532028915815</v>
      </c>
      <c r="AY46" s="22">
        <f>Emissions!BA90</f>
        <v>3.1518792099305966</v>
      </c>
      <c r="AZ46" s="22">
        <f>Emissions!BB90</f>
        <v>3.1697836506556398</v>
      </c>
      <c r="BA46" s="22">
        <f>Emissions!BC90</f>
        <v>3.1873093169828417</v>
      </c>
      <c r="BB46" s="22">
        <f>Emissions!BD90</f>
        <v>3.2053582125874849</v>
      </c>
      <c r="BC46" s="22">
        <f>Emissions!BE90</f>
        <v>3.2233260370755845</v>
      </c>
      <c r="BD46" s="22">
        <f>Emissions!BF90</f>
        <v>3.2411653401889731</v>
      </c>
      <c r="BE46" s="22">
        <f>Emissions!BG90</f>
        <v>3.2591263638820034</v>
      </c>
      <c r="BF46" s="22">
        <f>Emissions!BH90</f>
        <v>3.2765874096193026</v>
      </c>
      <c r="BG46" s="22">
        <f>Emissions!BI90</f>
        <v>3.294387139624336</v>
      </c>
      <c r="BH46" s="22">
        <f>Emissions!BJ90</f>
        <v>3.3127820717007999</v>
      </c>
      <c r="BI46" s="22">
        <f>Emissions!BK90</f>
        <v>3.3312474849395168</v>
      </c>
      <c r="BJ46" s="22">
        <f>Emissions!BL90</f>
        <v>3.3497979197372052</v>
      </c>
      <c r="BK46" s="22">
        <f>Emissions!BM90</f>
        <v>3.3689217368026219</v>
      </c>
      <c r="BL46" s="22">
        <f>Emissions!BN90</f>
        <v>3.3884117585559377</v>
      </c>
      <c r="BM46" s="22">
        <f>Emissions!BO90</f>
        <v>3.4081286523724397</v>
      </c>
      <c r="BN46" s="22">
        <f>Emissions!BP90</f>
        <v>3.4283465125085661</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35.397528140833231</v>
      </c>
      <c r="AC47" s="22">
        <f>SUM(Emissions!AE107:AE122)</f>
        <v>35.20013314724639</v>
      </c>
      <c r="AD47" s="22">
        <f>SUM(Emissions!AF107:AF122)</f>
        <v>35.148510767293075</v>
      </c>
      <c r="AE47" s="22">
        <f>SUM(Emissions!AG107:AG122)</f>
        <v>34.84870552267401</v>
      </c>
      <c r="AF47" s="22">
        <f>SUM(Emissions!AH107:AH122)</f>
        <v>34.401446898347132</v>
      </c>
      <c r="AG47" s="22">
        <f>SUM(Emissions!AI107:AI122)</f>
        <v>33.816363392780282</v>
      </c>
      <c r="AH47" s="22">
        <f>SUM(Emissions!AJ107:AJ122)</f>
        <v>33.369259985013684</v>
      </c>
      <c r="AI47" s="22">
        <f>SUM(Emissions!AK107:AK122)</f>
        <v>32.952568766590424</v>
      </c>
      <c r="AJ47" s="22">
        <f>SUM(Emissions!AL107:AL122)</f>
        <v>30.480934553755446</v>
      </c>
      <c r="AK47" s="22">
        <f>SUM(Emissions!AM107:AM122)</f>
        <v>31.484481480462641</v>
      </c>
      <c r="AL47" s="22">
        <f>SUM(Emissions!AN107:AN122)</f>
        <v>31.834105941397901</v>
      </c>
      <c r="AM47" s="22">
        <f>SUM(Emissions!AO107:AO122)</f>
        <v>31.696696549161452</v>
      </c>
      <c r="AN47" s="22">
        <f>SUM(Emissions!AP107:AP122)</f>
        <v>31.598127546757123</v>
      </c>
      <c r="AO47" s="22">
        <f>SUM(Emissions!AQ107:AQ122)</f>
        <v>31.635199425836099</v>
      </c>
      <c r="AP47" s="22">
        <f>SUM(Emissions!AR107:AR122)</f>
        <v>31.791231599015905</v>
      </c>
      <c r="AQ47" s="22">
        <f>SUM(Emissions!AS107:AS122)</f>
        <v>32.000227115137072</v>
      </c>
      <c r="AR47" s="22">
        <f>SUM(Emissions!AT107:AT122)</f>
        <v>32.27685920819674</v>
      </c>
      <c r="AS47" s="22">
        <f>SUM(Emissions!AU107:AU122)</f>
        <v>32.669397138516359</v>
      </c>
      <c r="AT47" s="22">
        <f>SUM(Emissions!AV107:AV122)</f>
        <v>33.167938500659169</v>
      </c>
      <c r="AU47" s="22">
        <f>SUM(Emissions!AW107:AW122)</f>
        <v>33.531402904324402</v>
      </c>
      <c r="AV47" s="22">
        <f>SUM(Emissions!AX107:AX122)</f>
        <v>33.934807775629835</v>
      </c>
      <c r="AW47" s="22">
        <f>SUM(Emissions!AY107:AY122)</f>
        <v>34.35051628968673</v>
      </c>
      <c r="AX47" s="22">
        <f>SUM(Emissions!AZ107:AZ122)</f>
        <v>34.786954521870079</v>
      </c>
      <c r="AY47" s="22">
        <f>SUM(Emissions!BA107:BA122)</f>
        <v>35.230689844949104</v>
      </c>
      <c r="AZ47" s="22">
        <f>SUM(Emissions!BB107:BB122)</f>
        <v>35.640577149439835</v>
      </c>
      <c r="BA47" s="22">
        <f>SUM(Emissions!BC107:BC122)</f>
        <v>36.072319348309534</v>
      </c>
      <c r="BB47" s="22">
        <f>SUM(Emissions!BD107:BD122)</f>
        <v>36.487512496724221</v>
      </c>
      <c r="BC47" s="22">
        <f>SUM(Emissions!BE107:BE122)</f>
        <v>36.882582127963005</v>
      </c>
      <c r="BD47" s="22">
        <f>SUM(Emissions!BF107:BF122)</f>
        <v>37.272817912795183</v>
      </c>
      <c r="BE47" s="22">
        <f>SUM(Emissions!BG107:BG122)</f>
        <v>37.75177785275018</v>
      </c>
      <c r="BF47" s="22">
        <f>SUM(Emissions!BH107:BH122)</f>
        <v>38.246980089379463</v>
      </c>
      <c r="BG47" s="22">
        <f>SUM(Emissions!BI107:BI122)</f>
        <v>38.775135471457965</v>
      </c>
      <c r="BH47" s="22">
        <f>SUM(Emissions!BJ107:BJ122)</f>
        <v>39.302511816446327</v>
      </c>
      <c r="BI47" s="22">
        <f>SUM(Emissions!BK107:BK122)</f>
        <v>39.829689157852087</v>
      </c>
      <c r="BJ47" s="22">
        <f>SUM(Emissions!BL107:BL122)</f>
        <v>40.388827504918005</v>
      </c>
      <c r="BK47" s="22">
        <f>SUM(Emissions!BM107:BM122)</f>
        <v>40.966628996683589</v>
      </c>
      <c r="BL47" s="22">
        <f>SUM(Emissions!BN107:BN122)</f>
        <v>41.553928957050289</v>
      </c>
      <c r="BM47" s="22">
        <f>SUM(Emissions!BO107:BO122)</f>
        <v>42.169597319757202</v>
      </c>
      <c r="BN47" s="22">
        <f>SUM(Emissions!BP107:BP122)</f>
        <v>42.693757002674289</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6.6159271131948438</v>
      </c>
      <c r="AC49" s="41">
        <f t="shared" si="33"/>
        <v>6.5985117259102442</v>
      </c>
      <c r="AD49" s="41">
        <f t="shared" si="33"/>
        <v>6.6034108162416469</v>
      </c>
      <c r="AE49" s="41">
        <f t="shared" si="33"/>
        <v>6.5718769479322932</v>
      </c>
      <c r="AF49" s="41">
        <f t="shared" si="33"/>
        <v>6.5185214490709118</v>
      </c>
      <c r="AG49" s="41">
        <f t="shared" si="33"/>
        <v>6.4445703159865921</v>
      </c>
      <c r="AH49" s="41">
        <f t="shared" si="33"/>
        <v>6.3913491075327142</v>
      </c>
      <c r="AI49" s="41">
        <f t="shared" si="33"/>
        <v>6.3428476696520812</v>
      </c>
      <c r="AJ49" s="41">
        <f t="shared" si="33"/>
        <v>5.9791685827473202</v>
      </c>
      <c r="AK49" s="41">
        <f t="shared" si="33"/>
        <v>6.1381299513690033</v>
      </c>
      <c r="AL49" s="41">
        <f t="shared" si="33"/>
        <v>6.1985625671056948</v>
      </c>
      <c r="AM49" s="41">
        <f t="shared" si="33"/>
        <v>6.1846210124716059</v>
      </c>
      <c r="AN49" s="41">
        <f t="shared" si="33"/>
        <v>6.1769251765170194</v>
      </c>
      <c r="AO49" s="41">
        <f t="shared" si="33"/>
        <v>6.1903985659434557</v>
      </c>
      <c r="AP49" s="41">
        <f t="shared" si="33"/>
        <v>6.2223332402936933</v>
      </c>
      <c r="AQ49" s="41">
        <f t="shared" si="33"/>
        <v>6.262660576049579</v>
      </c>
      <c r="AR49" s="41">
        <f t="shared" si="33"/>
        <v>6.3136884129231392</v>
      </c>
      <c r="AS49" s="41">
        <f t="shared" si="33"/>
        <v>6.3829999472314789</v>
      </c>
      <c r="AT49" s="41">
        <f t="shared" si="33"/>
        <v>6.4692102331979147</v>
      </c>
      <c r="AU49" s="41">
        <f t="shared" si="33"/>
        <v>6.5404099727968195</v>
      </c>
      <c r="AV49" s="41">
        <f t="shared" si="33"/>
        <v>6.6187621344289038</v>
      </c>
      <c r="AW49" s="41">
        <f t="shared" si="33"/>
        <v>6.7000344561778764</v>
      </c>
      <c r="AX49" s="41">
        <f t="shared" si="33"/>
        <v>6.7856179714582057</v>
      </c>
      <c r="AY49" s="41">
        <f t="shared" si="33"/>
        <v>6.8734826502065198</v>
      </c>
      <c r="AZ49" s="41">
        <f t="shared" si="33"/>
        <v>6.9571421659838686</v>
      </c>
      <c r="BA49" s="41">
        <f t="shared" si="33"/>
        <v>7.0454918355961178</v>
      </c>
      <c r="BB49" s="41">
        <f t="shared" si="33"/>
        <v>7.1324747023749229</v>
      </c>
      <c r="BC49" s="41">
        <f t="shared" si="33"/>
        <v>7.2175349981553847</v>
      </c>
      <c r="BD49" s="41">
        <f t="shared" si="33"/>
        <v>7.303188008852695</v>
      </c>
      <c r="BE49" s="41">
        <f t="shared" si="33"/>
        <v>7.3999031332008629</v>
      </c>
      <c r="BF49" s="41">
        <f t="shared" si="33"/>
        <v>7.5004082711850799</v>
      </c>
      <c r="BG49" s="41">
        <f t="shared" si="33"/>
        <v>7.6075539934610443</v>
      </c>
      <c r="BH49" s="41">
        <f t="shared" si="33"/>
        <v>7.715897234880071</v>
      </c>
      <c r="BI49" s="41">
        <f t="shared" si="33"/>
        <v>7.8255799810559479</v>
      </c>
      <c r="BJ49" s="41">
        <f t="shared" si="33"/>
        <v>7.9420290520828081</v>
      </c>
      <c r="BK49" s="41">
        <f t="shared" si="33"/>
        <v>8.0631725444537814</v>
      </c>
      <c r="BL49" s="41">
        <f t="shared" si="33"/>
        <v>8.1875874242547297</v>
      </c>
      <c r="BM49" s="41">
        <f t="shared" si="33"/>
        <v>8.3185739336066842</v>
      </c>
      <c r="BN49" s="41">
        <f t="shared" si="33"/>
        <v>8.4359059264030698</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6.2677893680252641</v>
      </c>
      <c r="AC50" s="22">
        <f>SUM(Emissions!AE135:AE138)</f>
        <v>6.2499824089430867</v>
      </c>
      <c r="AD50" s="22">
        <f>SUM(Emissions!AF135:AF138)</f>
        <v>6.2533292316834475</v>
      </c>
      <c r="AE50" s="22">
        <f>SUM(Emissions!AG135:AG138)</f>
        <v>6.2219605366729409</v>
      </c>
      <c r="AF50" s="22">
        <f>SUM(Emissions!AH135:AH138)</f>
        <v>6.1699888782464036</v>
      </c>
      <c r="AG50" s="22">
        <f>SUM(Emissions!AI135:AI138)</f>
        <v>6.0985599508144936</v>
      </c>
      <c r="AH50" s="22">
        <f>SUM(Emissions!AJ135:AJ138)</f>
        <v>6.0469682343875704</v>
      </c>
      <c r="AI50" s="22">
        <f>SUM(Emissions!AK135:AK138)</f>
        <v>5.9998429802554343</v>
      </c>
      <c r="AJ50" s="22">
        <f>SUM(Emissions!AL135:AL138)</f>
        <v>5.6527287598282419</v>
      </c>
      <c r="AK50" s="22">
        <f>SUM(Emissions!AM135:AM138)</f>
        <v>5.8040960901331218</v>
      </c>
      <c r="AL50" s="22">
        <f>SUM(Emissions!AN135:AN138)</f>
        <v>5.8600326778661165</v>
      </c>
      <c r="AM50" s="22">
        <f>SUM(Emissions!AO135:AO138)</f>
        <v>5.8456992596274473</v>
      </c>
      <c r="AN50" s="22">
        <f>SUM(Emissions!AP135:AP138)</f>
        <v>5.8376608139168145</v>
      </c>
      <c r="AO50" s="22">
        <f>SUM(Emissions!AQ135:AQ138)</f>
        <v>5.8497605139524165</v>
      </c>
      <c r="AP50" s="22">
        <f>SUM(Emissions!AR135:AR138)</f>
        <v>5.879288016404951</v>
      </c>
      <c r="AQ50" s="22">
        <f>SUM(Emissions!AS135:AS138)</f>
        <v>5.9166852205965652</v>
      </c>
      <c r="AR50" s="22">
        <f>SUM(Emissions!AT135:AT138)</f>
        <v>5.9641709874798829</v>
      </c>
      <c r="AS50" s="22">
        <f>SUM(Emissions!AU135:AU138)</f>
        <v>6.0289233495190517</v>
      </c>
      <c r="AT50" s="22">
        <f>SUM(Emissions!AV135:AV138)</f>
        <v>6.1095932080030462</v>
      </c>
      <c r="AU50" s="22">
        <f>SUM(Emissions!AW135:AW138)</f>
        <v>6.1754195529391147</v>
      </c>
      <c r="AV50" s="22">
        <f>SUM(Emissions!AX135:AX138)</f>
        <v>6.2479085559321508</v>
      </c>
      <c r="AW50" s="22">
        <f>SUM(Emissions!AY135:AY138)</f>
        <v>6.3230445008231042</v>
      </c>
      <c r="AX50" s="22">
        <f>SUM(Emissions!AZ135:AZ138)</f>
        <v>6.4021511821996651</v>
      </c>
      <c r="AY50" s="22">
        <f>SUM(Emissions!BA135:BA138)</f>
        <v>6.4832952170661322</v>
      </c>
      <c r="AZ50" s="22">
        <f>SUM(Emissions!BB135:BB138)</f>
        <v>6.5603430192980863</v>
      </c>
      <c r="BA50" s="22">
        <f>SUM(Emissions!BC135:BC138)</f>
        <v>6.6417267864555569</v>
      </c>
      <c r="BB50" s="22">
        <f>SUM(Emissions!BD135:BD138)</f>
        <v>6.72167866918398</v>
      </c>
      <c r="BC50" s="22">
        <f>SUM(Emissions!BE135:BE138)</f>
        <v>6.7996906881980319</v>
      </c>
      <c r="BD50" s="22">
        <f>SUM(Emissions!BF135:BF138)</f>
        <v>6.8781376191816168</v>
      </c>
      <c r="BE50" s="22">
        <f>SUM(Emissions!BG135:BG138)</f>
        <v>6.9673124150085837</v>
      </c>
      <c r="BF50" s="22">
        <f>SUM(Emissions!BH135:BH138)</f>
        <v>7.0599712830403361</v>
      </c>
      <c r="BG50" s="22">
        <f>SUM(Emissions!BI135:BI138)</f>
        <v>7.158766113343912</v>
      </c>
      <c r="BH50" s="22">
        <f>SUM(Emissions!BJ135:BJ138)</f>
        <v>7.2585453486696663</v>
      </c>
      <c r="BI50" s="22">
        <f>SUM(Emissions!BK135:BK138)</f>
        <v>7.3594535017027063</v>
      </c>
      <c r="BJ50" s="22">
        <f>SUM(Emissions!BL135:BL138)</f>
        <v>7.4665950549063602</v>
      </c>
      <c r="BK50" s="22">
        <f>SUM(Emissions!BM135:BM138)</f>
        <v>7.5779901752161543</v>
      </c>
      <c r="BL50" s="22">
        <f>SUM(Emissions!BN135:BN138)</f>
        <v>7.6922962445499898</v>
      </c>
      <c r="BM50" s="22">
        <f>SUM(Emissions!BO135:BO138)</f>
        <v>7.8126139750670811</v>
      </c>
      <c r="BN50" s="22">
        <f>SUM(Emissions!BP135:BP138)</f>
        <v>7.9198983657603756</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0.34991641125935208</v>
      </c>
      <c r="AF51" s="22">
        <f>SUM(Emissions!AH139:AH154)</f>
        <v>0.34853257082450806</v>
      </c>
      <c r="AG51" s="22">
        <f>SUM(Emissions!AI139:AI154)</f>
        <v>0.34601036517209849</v>
      </c>
      <c r="AH51" s="22">
        <f>SUM(Emissions!AJ139:AJ154)</f>
        <v>0.34438087314514421</v>
      </c>
      <c r="AI51" s="22">
        <f>SUM(Emissions!AK139:AK154)</f>
        <v>0.34300468939664713</v>
      </c>
      <c r="AJ51" s="22">
        <f>SUM(Emissions!AL139:AL154)</f>
        <v>0.32643982291907808</v>
      </c>
      <c r="AK51" s="22">
        <f>SUM(Emissions!AM139:AM154)</f>
        <v>0.3340338612358813</v>
      </c>
      <c r="AL51" s="22">
        <f>SUM(Emissions!AN139:AN154)</f>
        <v>0.33852988923957844</v>
      </c>
      <c r="AM51" s="22">
        <f>SUM(Emissions!AO139:AO154)</f>
        <v>0.33892175284415871</v>
      </c>
      <c r="AN51" s="22">
        <f>SUM(Emissions!AP139:AP154)</f>
        <v>0.33926436260020471</v>
      </c>
      <c r="AO51" s="22">
        <f>SUM(Emissions!AQ139:AQ154)</f>
        <v>0.34063805199103936</v>
      </c>
      <c r="AP51" s="22">
        <f>SUM(Emissions!AR139:AR154)</f>
        <v>0.34304522388874259</v>
      </c>
      <c r="AQ51" s="22">
        <f>SUM(Emissions!AS139:AS154)</f>
        <v>0.34597535545301378</v>
      </c>
      <c r="AR51" s="22">
        <f>SUM(Emissions!AT139:AT154)</f>
        <v>0.34951742544325587</v>
      </c>
      <c r="AS51" s="22">
        <f>SUM(Emissions!AU139:AU154)</f>
        <v>0.35407659771242683</v>
      </c>
      <c r="AT51" s="22">
        <f>SUM(Emissions!AV139:AV154)</f>
        <v>0.3596170251948681</v>
      </c>
      <c r="AU51" s="22">
        <f>SUM(Emissions!AW139:AW154)</f>
        <v>0.36499041985770453</v>
      </c>
      <c r="AV51" s="22">
        <f>SUM(Emissions!AX139:AX154)</f>
        <v>0.37085357849675343</v>
      </c>
      <c r="AW51" s="22">
        <f>SUM(Emissions!AY139:AY154)</f>
        <v>0.37698995535477237</v>
      </c>
      <c r="AX51" s="22">
        <f>SUM(Emissions!AZ139:AZ154)</f>
        <v>0.38346678925854083</v>
      </c>
      <c r="AY51" s="22">
        <f>SUM(Emissions!BA139:BA154)</f>
        <v>0.39018743314038801</v>
      </c>
      <c r="AZ51" s="22">
        <f>SUM(Emissions!BB139:BB154)</f>
        <v>0.39679914668578259</v>
      </c>
      <c r="BA51" s="22">
        <f>SUM(Emissions!BC139:BC154)</f>
        <v>0.40376504914056049</v>
      </c>
      <c r="BB51" s="22">
        <f>SUM(Emissions!BD139:BD154)</f>
        <v>0.41079603319094254</v>
      </c>
      <c r="BC51" s="22">
        <f>SUM(Emissions!BE139:BE154)</f>
        <v>0.41784430995735233</v>
      </c>
      <c r="BD51" s="22">
        <f>SUM(Emissions!BF139:BF154)</f>
        <v>0.42505038967107861</v>
      </c>
      <c r="BE51" s="22">
        <f>SUM(Emissions!BG139:BG154)</f>
        <v>0.4325907181922789</v>
      </c>
      <c r="BF51" s="22">
        <f>SUM(Emissions!BH139:BH154)</f>
        <v>0.44043698814474391</v>
      </c>
      <c r="BG51" s="22">
        <f>SUM(Emissions!BI139:BI154)</f>
        <v>0.448787880117132</v>
      </c>
      <c r="BH51" s="22">
        <f>SUM(Emissions!BJ139:BJ154)</f>
        <v>0.4573518862104044</v>
      </c>
      <c r="BI51" s="22">
        <f>SUM(Emissions!BK139:BK154)</f>
        <v>0.46612647935324192</v>
      </c>
      <c r="BJ51" s="22">
        <f>SUM(Emissions!BL139:BL154)</f>
        <v>0.47543399717644808</v>
      </c>
      <c r="BK51" s="22">
        <f>SUM(Emissions!BM139:BM154)</f>
        <v>0.48518236923762675</v>
      </c>
      <c r="BL51" s="22">
        <f>SUM(Emissions!BN139:BN154)</f>
        <v>0.49529117970474057</v>
      </c>
      <c r="BM51" s="22">
        <f>SUM(Emissions!BO139:BO154)</f>
        <v>0.50595995853960318</v>
      </c>
      <c r="BN51" s="22">
        <f>SUM(Emissions!BP139:BP154)</f>
        <v>0.51600756064269326</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1.5114628716679739</v>
      </c>
      <c r="AD52" s="41">
        <f t="shared" si="38"/>
        <v>1.5337636748745849</v>
      </c>
      <c r="AE52" s="41">
        <f t="shared" si="38"/>
        <v>1.5436359301289113</v>
      </c>
      <c r="AF52" s="41">
        <f t="shared" si="38"/>
        <v>1.5455830647924333</v>
      </c>
      <c r="AG52" s="41">
        <f t="shared" si="38"/>
        <v>1.5396059638680233</v>
      </c>
      <c r="AH52" s="41">
        <f t="shared" si="38"/>
        <v>1.5406069398014894</v>
      </c>
      <c r="AI52" s="41">
        <f t="shared" si="38"/>
        <v>1.5429841908916513</v>
      </c>
      <c r="AJ52" s="41">
        <f t="shared" si="38"/>
        <v>1.4301645714495868</v>
      </c>
      <c r="AK52" s="41">
        <f t="shared" si="38"/>
        <v>1.5018586768335371</v>
      </c>
      <c r="AL52" s="41">
        <f t="shared" si="38"/>
        <v>1.5369941174227948</v>
      </c>
      <c r="AM52" s="41">
        <f t="shared" si="38"/>
        <v>1.5433733807301317</v>
      </c>
      <c r="AN52" s="41">
        <f t="shared" si="38"/>
        <v>1.5513661118529765</v>
      </c>
      <c r="AO52" s="41">
        <f t="shared" si="38"/>
        <v>1.5673098642621071</v>
      </c>
      <c r="AP52" s="41">
        <f t="shared" si="38"/>
        <v>1.591013223682068</v>
      </c>
      <c r="AQ52" s="41">
        <f t="shared" si="38"/>
        <v>1.6185773869229654</v>
      </c>
      <c r="AR52" s="41">
        <f t="shared" si="38"/>
        <v>1.6510705043700964</v>
      </c>
      <c r="AS52" s="41">
        <f t="shared" si="38"/>
        <v>1.6917550985069707</v>
      </c>
      <c r="AT52" s="41">
        <f t="shared" si="38"/>
        <v>1.7402496652192294</v>
      </c>
      <c r="AU52" s="41">
        <f t="shared" si="38"/>
        <v>1.7937331445887523</v>
      </c>
      <c r="AV52" s="41">
        <f t="shared" si="38"/>
        <v>1.8519415903845209</v>
      </c>
      <c r="AW52" s="41">
        <f t="shared" si="38"/>
        <v>1.9132244473231923</v>
      </c>
      <c r="AX52" s="41">
        <f t="shared" si="38"/>
        <v>1.9783541346860378</v>
      </c>
      <c r="AY52" s="41">
        <f t="shared" si="38"/>
        <v>2.0465663325361767</v>
      </c>
      <c r="AZ52" s="41">
        <f t="shared" si="38"/>
        <v>2.1149777935041607</v>
      </c>
      <c r="BA52" s="41">
        <f t="shared" si="38"/>
        <v>2.1877811234945517</v>
      </c>
      <c r="BB52" s="41">
        <f t="shared" si="38"/>
        <v>2.2622983454331687</v>
      </c>
      <c r="BC52" s="41">
        <f t="shared" si="38"/>
        <v>2.338326278142139</v>
      </c>
      <c r="BD52" s="41">
        <f t="shared" si="38"/>
        <v>2.4171575764404047</v>
      </c>
      <c r="BE52" s="41">
        <f t="shared" si="38"/>
        <v>2.4954738283833682</v>
      </c>
      <c r="BF52" s="41">
        <f t="shared" si="38"/>
        <v>2.5778026991774565</v>
      </c>
      <c r="BG52" s="41">
        <f t="shared" si="38"/>
        <v>2.6657710683224694</v>
      </c>
      <c r="BH52" s="41">
        <f t="shared" si="38"/>
        <v>2.7567392107077291</v>
      </c>
      <c r="BI52" s="41">
        <f t="shared" si="38"/>
        <v>2.8509078868334945</v>
      </c>
      <c r="BJ52" s="41">
        <f t="shared" si="38"/>
        <v>2.9513366610388774</v>
      </c>
      <c r="BK52" s="41">
        <f t="shared" si="38"/>
        <v>3.0571319989920727</v>
      </c>
      <c r="BL52" s="41">
        <f t="shared" si="38"/>
        <v>3.1677078146976503</v>
      </c>
      <c r="BM52" s="41">
        <f t="shared" si="38"/>
        <v>3.2851048107640843</v>
      </c>
      <c r="BN52" s="41">
        <f t="shared" si="38"/>
        <v>3.3980289415077438</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1.138191698010641</v>
      </c>
      <c r="AD53" s="22">
        <f>SUM(Emissions!AF156:AF171)</f>
        <v>1.1560242056612524</v>
      </c>
      <c r="AE53" s="22">
        <f>SUM(Emissions!AG156:AG171)</f>
        <v>1.1644338155648368</v>
      </c>
      <c r="AF53" s="22">
        <f>SUM(Emissions!AH156:AH171)</f>
        <v>1.1668147538350462</v>
      </c>
      <c r="AG53" s="22">
        <f>SUM(Emissions!AI156:AI171)</f>
        <v>1.1631491557292368</v>
      </c>
      <c r="AH53" s="22">
        <f>SUM(Emissions!AJ156:AJ171)</f>
        <v>1.164779548726063</v>
      </c>
      <c r="AI53" s="22">
        <f>SUM(Emissions!AK156:AK171)</f>
        <v>1.1674495942945498</v>
      </c>
      <c r="AJ53" s="22">
        <f>SUM(Emissions!AL156:AL171)</f>
        <v>1.0823089733230329</v>
      </c>
      <c r="AK53" s="22">
        <f>SUM(Emissions!AM156:AM171)</f>
        <v>1.1374472166179572</v>
      </c>
      <c r="AL53" s="22">
        <f>SUM(Emissions!AN156:AN171)</f>
        <v>1.1647188755624529</v>
      </c>
      <c r="AM53" s="22">
        <f>SUM(Emissions!AO156:AO171)</f>
        <v>1.1700192296897183</v>
      </c>
      <c r="AN53" s="22">
        <f>SUM(Emissions!AP156:AP171)</f>
        <v>1.1765294613922754</v>
      </c>
      <c r="AO53" s="22">
        <f>SUM(Emissions!AQ156:AQ171)</f>
        <v>1.1891121844975103</v>
      </c>
      <c r="AP53" s="22">
        <f>SUM(Emissions!AR156:AR171)</f>
        <v>1.2076476966073777</v>
      </c>
      <c r="AQ53" s="22">
        <f>SUM(Emissions!AS156:AS171)</f>
        <v>1.2291568453938746</v>
      </c>
      <c r="AR53" s="22">
        <f>SUM(Emissions!AT156:AT171)</f>
        <v>1.2544618278367823</v>
      </c>
      <c r="AS53" s="22">
        <f>SUM(Emissions!AU156:AU171)</f>
        <v>1.2860677961521865</v>
      </c>
      <c r="AT53" s="22">
        <f>SUM(Emissions!AV156:AV171)</f>
        <v>1.3236893048812783</v>
      </c>
      <c r="AU53" s="22">
        <f>SUM(Emissions!AW156:AW171)</f>
        <v>1.3655695052969905</v>
      </c>
      <c r="AV53" s="22">
        <f>SUM(Emissions!AX156:AX171)</f>
        <v>1.4111361545972323</v>
      </c>
      <c r="AW53" s="22">
        <f>SUM(Emissions!AY156:AY171)</f>
        <v>1.4591277902193562</v>
      </c>
      <c r="AX53" s="22">
        <f>SUM(Emissions!AZ156:AZ171)</f>
        <v>1.5101433168220004</v>
      </c>
      <c r="AY53" s="22">
        <f>SUM(Emissions!BA156:BA171)</f>
        <v>1.5635997759783933</v>
      </c>
      <c r="AZ53" s="22">
        <f>SUM(Emissions!BB156:BB171)</f>
        <v>1.6172800290608709</v>
      </c>
      <c r="BA53" s="22">
        <f>SUM(Emissions!BC156:BC171)</f>
        <v>1.6744158750752371</v>
      </c>
      <c r="BB53" s="22">
        <f>SUM(Emissions!BD156:BD171)</f>
        <v>1.7329484614903599</v>
      </c>
      <c r="BC53" s="22">
        <f>SUM(Emissions!BE156:BE171)</f>
        <v>1.7927228173696281</v>
      </c>
      <c r="BD53" s="22">
        <f>SUM(Emissions!BF156:BF171)</f>
        <v>1.8547389245878807</v>
      </c>
      <c r="BE53" s="22">
        <f>SUM(Emissions!BG156:BG171)</f>
        <v>1.9161558554959894</v>
      </c>
      <c r="BF53" s="22">
        <f>SUM(Emissions!BH156:BH171)</f>
        <v>1.980735844013932</v>
      </c>
      <c r="BG53" s="22">
        <f>SUM(Emissions!BI156:BI171)</f>
        <v>2.0497421710381132</v>
      </c>
      <c r="BH53" s="22">
        <f>SUM(Emissions!BJ156:BJ171)</f>
        <v>2.1211374497038769</v>
      </c>
      <c r="BI53" s="22">
        <f>SUM(Emissions!BK156:BK171)</f>
        <v>2.1950803577017264</v>
      </c>
      <c r="BJ53" s="22">
        <f>SUM(Emissions!BL156:BL171)</f>
        <v>2.2739452944220382</v>
      </c>
      <c r="BK53" s="22">
        <f>SUM(Emissions!BM156:BM171)</f>
        <v>2.3570461224603427</v>
      </c>
      <c r="BL53" s="22">
        <f>SUM(Emissions!BN156:BN171)</f>
        <v>2.4439336059253538</v>
      </c>
      <c r="BM53" s="22">
        <f>SUM(Emissions!BO156:BO171)</f>
        <v>2.5361962441291781</v>
      </c>
      <c r="BN53" s="22">
        <f>SUM(Emissions!BP156:BP171)</f>
        <v>2.6250714575198604</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0.37327117365733292</v>
      </c>
      <c r="AD54" s="22">
        <f>SUM(Emissions!AF172:AF187)</f>
        <v>0.3777394692133324</v>
      </c>
      <c r="AE54" s="22">
        <f>SUM(Emissions!AG172:AG187)</f>
        <v>0.37920211456407454</v>
      </c>
      <c r="AF54" s="22">
        <f>SUM(Emissions!AH172:AH187)</f>
        <v>0.37876831095738728</v>
      </c>
      <c r="AG54" s="22">
        <f>SUM(Emissions!AI172:AI187)</f>
        <v>0.3764568081387864</v>
      </c>
      <c r="AH54" s="22">
        <f>SUM(Emissions!AJ172:AJ187)</f>
        <v>0.37582739107542651</v>
      </c>
      <c r="AI54" s="22">
        <f>SUM(Emissions!AK172:AK187)</f>
        <v>0.37553459659710148</v>
      </c>
      <c r="AJ54" s="22">
        <f>SUM(Emissions!AL172:AL187)</f>
        <v>0.34785559812655398</v>
      </c>
      <c r="AK54" s="22">
        <f>SUM(Emissions!AM172:AM187)</f>
        <v>0.3644114602155798</v>
      </c>
      <c r="AL54" s="22">
        <f>SUM(Emissions!AN172:AN187)</f>
        <v>0.37227524186034183</v>
      </c>
      <c r="AM54" s="22">
        <f>SUM(Emissions!AO172:AO187)</f>
        <v>0.37335415104041347</v>
      </c>
      <c r="AN54" s="22">
        <f>SUM(Emissions!AP172:AP187)</f>
        <v>0.37483665046070103</v>
      </c>
      <c r="AO54" s="22">
        <f>SUM(Emissions!AQ172:AQ187)</f>
        <v>0.37819767976459673</v>
      </c>
      <c r="AP54" s="22">
        <f>SUM(Emissions!AR172:AR187)</f>
        <v>0.38336552707469035</v>
      </c>
      <c r="AQ54" s="22">
        <f>SUM(Emissions!AS172:AS187)</f>
        <v>0.38942054152909067</v>
      </c>
      <c r="AR54" s="22">
        <f>SUM(Emissions!AT172:AT187)</f>
        <v>0.39660867653331411</v>
      </c>
      <c r="AS54" s="22">
        <f>SUM(Emissions!AU172:AU187)</f>
        <v>0.40568730235478412</v>
      </c>
      <c r="AT54" s="22">
        <f>SUM(Emissions!AV172:AV187)</f>
        <v>0.41656036033795096</v>
      </c>
      <c r="AU54" s="22">
        <f>SUM(Emissions!AW172:AW187)</f>
        <v>0.42816363929176188</v>
      </c>
      <c r="AV54" s="22">
        <f>SUM(Emissions!AX172:AX187)</f>
        <v>0.44080543578728848</v>
      </c>
      <c r="AW54" s="22">
        <f>SUM(Emissions!AY172:AY187)</f>
        <v>0.45409665710383612</v>
      </c>
      <c r="AX54" s="22">
        <f>SUM(Emissions!AZ172:AZ187)</f>
        <v>0.46821081786403745</v>
      </c>
      <c r="AY54" s="22">
        <f>SUM(Emissions!BA172:BA187)</f>
        <v>0.48296655655778331</v>
      </c>
      <c r="AZ54" s="22">
        <f>SUM(Emissions!BB172:BB187)</f>
        <v>0.49769776444328961</v>
      </c>
      <c r="BA54" s="22">
        <f>SUM(Emissions!BC172:BC187)</f>
        <v>0.51336524841931452</v>
      </c>
      <c r="BB54" s="22">
        <f>SUM(Emissions!BD172:BD187)</f>
        <v>0.52934988394280857</v>
      </c>
      <c r="BC54" s="22">
        <f>SUM(Emissions!BE172:BE187)</f>
        <v>0.54560346077251087</v>
      </c>
      <c r="BD54" s="22">
        <f>SUM(Emissions!BF172:BF187)</f>
        <v>0.56241865185252404</v>
      </c>
      <c r="BE54" s="22">
        <f>SUM(Emissions!BG172:BG187)</f>
        <v>0.57931797288737874</v>
      </c>
      <c r="BF54" s="22">
        <f>SUM(Emissions!BH172:BH187)</f>
        <v>0.59706685516352465</v>
      </c>
      <c r="BG54" s="22">
        <f>SUM(Emissions!BI172:BI187)</f>
        <v>0.61602889728435628</v>
      </c>
      <c r="BH54" s="22">
        <f>SUM(Emissions!BJ172:BJ187)</f>
        <v>0.63560176100385213</v>
      </c>
      <c r="BI54" s="22">
        <f>SUM(Emissions!BK172:BK187)</f>
        <v>0.65582752913176801</v>
      </c>
      <c r="BJ54" s="22">
        <f>SUM(Emissions!BL172:BL187)</f>
        <v>0.67739136661683896</v>
      </c>
      <c r="BK54" s="22">
        <f>SUM(Emissions!BM172:BM187)</f>
        <v>0.70008587653172982</v>
      </c>
      <c r="BL54" s="22">
        <f>SUM(Emissions!BN172:BN187)</f>
        <v>0.72377420877229648</v>
      </c>
      <c r="BM54" s="22">
        <f>SUM(Emissions!BO172:BO187)</f>
        <v>0.74890856663490624</v>
      </c>
      <c r="BN54" s="22">
        <f>SUM(Emissions!BP172:BP187)</f>
        <v>0.77295748398788333</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24596.567437021011</v>
      </c>
      <c r="AC58" s="22">
        <f t="shared" si="42"/>
        <v>24497.747310072344</v>
      </c>
      <c r="AD58" s="22">
        <f t="shared" si="42"/>
        <v>24503.520525013511</v>
      </c>
      <c r="AE58" s="22">
        <f t="shared" si="42"/>
        <v>24330.600675717971</v>
      </c>
      <c r="AF58" s="22">
        <f t="shared" si="42"/>
        <v>24050.505209418385</v>
      </c>
      <c r="AG58" s="22">
        <f t="shared" si="42"/>
        <v>23669.383405227258</v>
      </c>
      <c r="AH58" s="22">
        <f t="shared" si="42"/>
        <v>23387.298701141393</v>
      </c>
      <c r="AI58" s="22">
        <f t="shared" si="42"/>
        <v>23126.61405950896</v>
      </c>
      <c r="AJ58" s="22">
        <f t="shared" si="42"/>
        <v>21369.845788427832</v>
      </c>
      <c r="AK58" s="22">
        <f t="shared" si="42"/>
        <v>22130.690210491619</v>
      </c>
      <c r="AL58" s="22">
        <f t="shared" ref="AL58:BN58" si="43">AL4*CH4GWP</f>
        <v>22415.522364806249</v>
      </c>
      <c r="AM58" s="22">
        <f t="shared" si="43"/>
        <v>22342.904855677618</v>
      </c>
      <c r="AN58" s="22">
        <f t="shared" si="43"/>
        <v>22297.353936164949</v>
      </c>
      <c r="AO58" s="22">
        <f t="shared" si="43"/>
        <v>22351.074137831845</v>
      </c>
      <c r="AP58" s="22">
        <f t="shared" si="43"/>
        <v>22493.352984543399</v>
      </c>
      <c r="AQ58" s="22">
        <f t="shared" si="43"/>
        <v>22675.772991138219</v>
      </c>
      <c r="AR58" s="22">
        <f t="shared" si="43"/>
        <v>22909.483096038628</v>
      </c>
      <c r="AS58" s="22">
        <f t="shared" si="43"/>
        <v>23230.671225335645</v>
      </c>
      <c r="AT58" s="22">
        <f t="shared" si="43"/>
        <v>23632.453983382034</v>
      </c>
      <c r="AU58" s="22">
        <f t="shared" si="43"/>
        <v>23954.238691339007</v>
      </c>
      <c r="AV58" s="22">
        <f t="shared" si="43"/>
        <v>24309.371207343283</v>
      </c>
      <c r="AW58" s="22">
        <f t="shared" si="43"/>
        <v>24677.52071412162</v>
      </c>
      <c r="AX58" s="22">
        <f t="shared" si="43"/>
        <v>25065.354226144031</v>
      </c>
      <c r="AY58" s="22">
        <f t="shared" si="43"/>
        <v>25463.056169326916</v>
      </c>
      <c r="AZ58" s="22">
        <f t="shared" si="43"/>
        <v>25839.628795434342</v>
      </c>
      <c r="BA58" s="22">
        <f t="shared" si="43"/>
        <v>26237.542604884566</v>
      </c>
      <c r="BB58" s="22">
        <f t="shared" si="43"/>
        <v>26627.896881498975</v>
      </c>
      <c r="BC58" s="22">
        <f t="shared" si="43"/>
        <v>27008.085436548117</v>
      </c>
      <c r="BD58" s="22">
        <f t="shared" si="43"/>
        <v>27390.010382681361</v>
      </c>
      <c r="BE58" s="22">
        <f t="shared" si="43"/>
        <v>27829.312175818228</v>
      </c>
      <c r="BF58" s="22">
        <f t="shared" si="43"/>
        <v>28285.897616724691</v>
      </c>
      <c r="BG58" s="22">
        <f t="shared" si="43"/>
        <v>28773.155862944026</v>
      </c>
      <c r="BH58" s="22">
        <f t="shared" si="43"/>
        <v>29265.211239222921</v>
      </c>
      <c r="BI58" s="22">
        <f t="shared" si="43"/>
        <v>29762.789642045263</v>
      </c>
      <c r="BJ58" s="22">
        <f t="shared" si="43"/>
        <v>30291.528189428875</v>
      </c>
      <c r="BK58" s="22">
        <f t="shared" si="43"/>
        <v>30841.488997699438</v>
      </c>
      <c r="BL58" s="22">
        <f t="shared" si="43"/>
        <v>31405.876857713662</v>
      </c>
      <c r="BM58" s="22">
        <f t="shared" si="43"/>
        <v>32000.167587001302</v>
      </c>
      <c r="BN58" s="22">
        <f t="shared" si="43"/>
        <v>32529.032115555776</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776.88026181002772</v>
      </c>
      <c r="AE59" s="22">
        <f t="shared" si="45"/>
        <v>774.22773270072685</v>
      </c>
      <c r="AF59" s="22">
        <f t="shared" si="45"/>
        <v>767.77846974201918</v>
      </c>
      <c r="AG59" s="22">
        <f t="shared" si="45"/>
        <v>757.64147058917911</v>
      </c>
      <c r="AH59" s="22">
        <f t="shared" si="45"/>
        <v>751.15754383054082</v>
      </c>
      <c r="AI59" s="22">
        <f t="shared" si="45"/>
        <v>745.51317364056126</v>
      </c>
      <c r="AJ59" s="22">
        <f t="shared" si="45"/>
        <v>685.26188604267395</v>
      </c>
      <c r="AK59" s="22">
        <f t="shared" si="45"/>
        <v>713.14475725713066</v>
      </c>
      <c r="AL59" s="22">
        <f t="shared" ref="AL59:BN59" si="46">AL11*CH4GWP</f>
        <v>723.46821531053001</v>
      </c>
      <c r="AM59" s="22">
        <f t="shared" si="46"/>
        <v>720.33443143967384</v>
      </c>
      <c r="AN59" s="22">
        <f t="shared" si="46"/>
        <v>718.01520835412771</v>
      </c>
      <c r="AO59" s="22">
        <f t="shared" si="46"/>
        <v>719.35822432662496</v>
      </c>
      <c r="AP59" s="22">
        <f t="shared" si="46"/>
        <v>724.17377271170653</v>
      </c>
      <c r="AQ59" s="22">
        <f t="shared" si="46"/>
        <v>730.62750312540061</v>
      </c>
      <c r="AR59" s="22">
        <f t="shared" si="46"/>
        <v>739.14138127166734</v>
      </c>
      <c r="AS59" s="22">
        <f t="shared" si="46"/>
        <v>751.08019887343528</v>
      </c>
      <c r="AT59" s="22">
        <f t="shared" si="46"/>
        <v>766.18255786583677</v>
      </c>
      <c r="AU59" s="22">
        <f t="shared" si="46"/>
        <v>783.09636080775022</v>
      </c>
      <c r="AV59" s="22">
        <f t="shared" si="46"/>
        <v>801.70025670894506</v>
      </c>
      <c r="AW59" s="22">
        <f t="shared" si="46"/>
        <v>821.2493011868969</v>
      </c>
      <c r="AX59" s="22">
        <f t="shared" si="46"/>
        <v>842.03581787579844</v>
      </c>
      <c r="AY59" s="22">
        <f t="shared" si="46"/>
        <v>863.70574846866975</v>
      </c>
      <c r="AZ59" s="22">
        <f t="shared" si="46"/>
        <v>885.04838862658357</v>
      </c>
      <c r="BA59" s="22">
        <f t="shared" si="46"/>
        <v>907.77067647743138</v>
      </c>
      <c r="BB59" s="22">
        <f t="shared" si="46"/>
        <v>930.75177558977202</v>
      </c>
      <c r="BC59" s="22">
        <f t="shared" si="46"/>
        <v>953.89780561401676</v>
      </c>
      <c r="BD59" s="22">
        <f t="shared" si="46"/>
        <v>977.70997578364313</v>
      </c>
      <c r="BE59" s="22">
        <f t="shared" si="46"/>
        <v>1000.9164526188529</v>
      </c>
      <c r="BF59" s="22">
        <f t="shared" si="46"/>
        <v>1025.241214134383</v>
      </c>
      <c r="BG59" s="22">
        <f t="shared" si="46"/>
        <v>1051.276258278521</v>
      </c>
      <c r="BH59" s="22">
        <f t="shared" si="46"/>
        <v>1077.9616391688305</v>
      </c>
      <c r="BI59" s="22">
        <f t="shared" si="46"/>
        <v>1105.3494215415274</v>
      </c>
      <c r="BJ59" s="22">
        <f t="shared" si="46"/>
        <v>1134.5635346074182</v>
      </c>
      <c r="BK59" s="22">
        <f t="shared" si="46"/>
        <v>1165.2163924314029</v>
      </c>
      <c r="BL59" s="22">
        <f t="shared" si="46"/>
        <v>1197.0463551047183</v>
      </c>
      <c r="BM59" s="22">
        <f t="shared" si="46"/>
        <v>1230.7617610577402</v>
      </c>
      <c r="BN59" s="22">
        <f t="shared" si="46"/>
        <v>1262.2047270799694</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1611.8202237640569</v>
      </c>
      <c r="AC60" s="22">
        <f t="shared" si="48"/>
        <v>1628.3498454049941</v>
      </c>
      <c r="AD60" s="22">
        <f t="shared" si="48"/>
        <v>1654.3267410473238</v>
      </c>
      <c r="AE60" s="22">
        <f t="shared" si="48"/>
        <v>1663.6384309182042</v>
      </c>
      <c r="AF60" s="22">
        <f t="shared" si="48"/>
        <v>1662.3021398559852</v>
      </c>
      <c r="AG60" s="22">
        <f t="shared" si="48"/>
        <v>1650.3976769413116</v>
      </c>
      <c r="AH60" s="22">
        <f t="shared" si="48"/>
        <v>1647.5009704288245</v>
      </c>
      <c r="AI60" s="22">
        <f t="shared" si="48"/>
        <v>1646.2684747308629</v>
      </c>
      <c r="AJ60" s="22">
        <f t="shared" si="48"/>
        <v>1496.9632118820093</v>
      </c>
      <c r="AK60" s="22">
        <f t="shared" si="48"/>
        <v>1589.4536201520787</v>
      </c>
      <c r="AL60" s="22">
        <f t="shared" ref="AL60:BN60" si="49">AL19*N2OGWP</f>
        <v>1634.6379842255499</v>
      </c>
      <c r="AM60" s="22">
        <f t="shared" si="49"/>
        <v>1642.3613957102418</v>
      </c>
      <c r="AN60" s="22">
        <f t="shared" si="49"/>
        <v>1651.831783548467</v>
      </c>
      <c r="AO60" s="22">
        <f t="shared" si="49"/>
        <v>1671.3833505112827</v>
      </c>
      <c r="AP60" s="22">
        <f t="shared" si="49"/>
        <v>1700.9742841824357</v>
      </c>
      <c r="AQ60" s="22">
        <f t="shared" si="49"/>
        <v>1735.5397910667693</v>
      </c>
      <c r="AR60" s="22">
        <f t="shared" si="49"/>
        <v>1776.4587711909221</v>
      </c>
      <c r="AS60" s="22">
        <f t="shared" si="49"/>
        <v>1827.9376364764994</v>
      </c>
      <c r="AT60" s="22">
        <f t="shared" si="49"/>
        <v>1889.4630902844299</v>
      </c>
      <c r="AU60" s="22">
        <f t="shared" si="49"/>
        <v>1955.2970642616535</v>
      </c>
      <c r="AV60" s="22">
        <f t="shared" si="49"/>
        <v>2027.0326613025154</v>
      </c>
      <c r="AW60" s="22">
        <f t="shared" si="49"/>
        <v>2102.5217820786279</v>
      </c>
      <c r="AX60" s="22">
        <f t="shared" si="49"/>
        <v>2182.7475880121342</v>
      </c>
      <c r="AY60" s="22">
        <f t="shared" si="49"/>
        <v>2266.7086965274766</v>
      </c>
      <c r="AZ60" s="22">
        <f t="shared" si="49"/>
        <v>2350.6936759298737</v>
      </c>
      <c r="BA60" s="22">
        <f t="shared" si="49"/>
        <v>2440.0729602060906</v>
      </c>
      <c r="BB60" s="22">
        <f t="shared" si="49"/>
        <v>2531.4145610132391</v>
      </c>
      <c r="BC60" s="22">
        <f t="shared" si="49"/>
        <v>2624.4542426738071</v>
      </c>
      <c r="BD60" s="22">
        <f t="shared" si="49"/>
        <v>2720.8327201724637</v>
      </c>
      <c r="BE60" s="22">
        <f t="shared" si="49"/>
        <v>2817.7487077323372</v>
      </c>
      <c r="BF60" s="22">
        <f t="shared" si="49"/>
        <v>2919.6225778999151</v>
      </c>
      <c r="BG60" s="22">
        <f t="shared" si="49"/>
        <v>3028.5140214947187</v>
      </c>
      <c r="BH60" s="22">
        <f t="shared" si="49"/>
        <v>3141.0574304598881</v>
      </c>
      <c r="BI60" s="22">
        <f t="shared" si="49"/>
        <v>3257.5050202947727</v>
      </c>
      <c r="BJ60" s="22">
        <f t="shared" si="49"/>
        <v>3381.7304185792786</v>
      </c>
      <c r="BK60" s="22">
        <f t="shared" si="49"/>
        <v>3512.5857804113907</v>
      </c>
      <c r="BL60" s="22">
        <f t="shared" si="49"/>
        <v>3649.3149372296352</v>
      </c>
      <c r="BM60" s="22">
        <f t="shared" si="49"/>
        <v>3794.4839588574464</v>
      </c>
      <c r="BN60" s="22">
        <f t="shared" si="49"/>
        <v>3933.8203748562191</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893.63599451516268</v>
      </c>
      <c r="AL63" s="22">
        <f t="shared" si="57"/>
        <v>901.53557284553392</v>
      </c>
      <c r="AM63" s="22">
        <f t="shared" si="57"/>
        <v>905.89010059598195</v>
      </c>
      <c r="AN63" s="22">
        <f t="shared" si="57"/>
        <v>907.58009218117843</v>
      </c>
      <c r="AO63" s="22">
        <f t="shared" si="57"/>
        <v>909.40288860123439</v>
      </c>
      <c r="AP63" s="22">
        <f t="shared" si="57"/>
        <v>911.92422757648922</v>
      </c>
      <c r="AQ63" s="22">
        <f t="shared" si="57"/>
        <v>915.10313656095923</v>
      </c>
      <c r="AR63" s="22">
        <f t="shared" si="57"/>
        <v>918.57833095683384</v>
      </c>
      <c r="AS63" s="22">
        <f t="shared" si="57"/>
        <v>922.43403487282035</v>
      </c>
      <c r="AT63" s="22">
        <f t="shared" si="57"/>
        <v>926.93686062638631</v>
      </c>
      <c r="AU63" s="22">
        <f t="shared" si="57"/>
        <v>932.02307525086815</v>
      </c>
      <c r="AV63" s="22">
        <f t="shared" si="57"/>
        <v>937.4114004614803</v>
      </c>
      <c r="AW63" s="22">
        <f t="shared" si="57"/>
        <v>943.0703615154913</v>
      </c>
      <c r="AX63" s="22">
        <f t="shared" si="57"/>
        <v>948.84872324168452</v>
      </c>
      <c r="AY63" s="22">
        <f t="shared" si="57"/>
        <v>954.79399041296358</v>
      </c>
      <c r="AZ63" s="22">
        <f t="shared" si="57"/>
        <v>960.83317350344373</v>
      </c>
      <c r="BA63" s="22">
        <f t="shared" si="57"/>
        <v>966.74459566725386</v>
      </c>
      <c r="BB63" s="22">
        <f t="shared" si="57"/>
        <v>972.83250351153242</v>
      </c>
      <c r="BC63" s="22">
        <f t="shared" si="57"/>
        <v>978.89306599922156</v>
      </c>
      <c r="BD63" s="22">
        <f t="shared" si="57"/>
        <v>984.91027811786876</v>
      </c>
      <c r="BE63" s="22">
        <f t="shared" si="57"/>
        <v>990.96854669159461</v>
      </c>
      <c r="BF63" s="22">
        <f t="shared" si="57"/>
        <v>996.85817227544851</v>
      </c>
      <c r="BG63" s="22">
        <f t="shared" si="57"/>
        <v>1002.8620363509766</v>
      </c>
      <c r="BH63" s="22">
        <f t="shared" si="57"/>
        <v>1009.0666625916243</v>
      </c>
      <c r="BI63" s="22">
        <f t="shared" si="57"/>
        <v>1015.2950621882683</v>
      </c>
      <c r="BJ63" s="22">
        <f t="shared" si="57"/>
        <v>1021.5521396290935</v>
      </c>
      <c r="BK63" s="22">
        <f t="shared" si="57"/>
        <v>1028.0026193966835</v>
      </c>
      <c r="BL63" s="22">
        <f t="shared" si="57"/>
        <v>1034.5766203170861</v>
      </c>
      <c r="BM63" s="22">
        <f t="shared" si="57"/>
        <v>1041.2271453774342</v>
      </c>
      <c r="BN63" s="22">
        <f t="shared" si="57"/>
        <v>1048.046646803637</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469.91487835797898</v>
      </c>
      <c r="AL64" s="22">
        <f t="shared" si="58"/>
        <v>469.71584189716231</v>
      </c>
      <c r="AM64" s="22">
        <f t="shared" si="58"/>
        <v>469.60612594072387</v>
      </c>
      <c r="AN64" s="22">
        <f t="shared" si="58"/>
        <v>469.56354519402316</v>
      </c>
      <c r="AO64" s="22">
        <f t="shared" si="58"/>
        <v>469.51761831880731</v>
      </c>
      <c r="AP64" s="22">
        <f t="shared" si="58"/>
        <v>469.45409108163506</v>
      </c>
      <c r="AQ64" s="22">
        <f t="shared" si="58"/>
        <v>469.37399581995572</v>
      </c>
      <c r="AR64" s="22">
        <f t="shared" si="58"/>
        <v>469.28643540036416</v>
      </c>
      <c r="AS64" s="22">
        <f t="shared" si="58"/>
        <v>469.18928772623514</v>
      </c>
      <c r="AT64" s="22">
        <f t="shared" si="58"/>
        <v>469.07583527799261</v>
      </c>
      <c r="AU64" s="22">
        <f t="shared" si="58"/>
        <v>468.94768386085701</v>
      </c>
      <c r="AV64" s="22">
        <f t="shared" si="58"/>
        <v>468.81192051567615</v>
      </c>
      <c r="AW64" s="22">
        <f t="shared" si="58"/>
        <v>468.66933827482927</v>
      </c>
      <c r="AX64" s="22">
        <f t="shared" si="58"/>
        <v>468.523747634519</v>
      </c>
      <c r="AY64" s="22">
        <f t="shared" si="58"/>
        <v>468.37395167239384</v>
      </c>
      <c r="AZ64" s="22">
        <f t="shared" si="58"/>
        <v>468.22178942039972</v>
      </c>
      <c r="BA64" s="22">
        <f t="shared" si="58"/>
        <v>468.07284621144964</v>
      </c>
      <c r="BB64" s="22">
        <f t="shared" si="58"/>
        <v>467.91945629866859</v>
      </c>
      <c r="BC64" s="22">
        <f t="shared" si="58"/>
        <v>467.76675537494071</v>
      </c>
      <c r="BD64" s="22">
        <f t="shared" si="58"/>
        <v>467.61514669989612</v>
      </c>
      <c r="BE64" s="22">
        <f t="shared" si="58"/>
        <v>467.46250357324266</v>
      </c>
      <c r="BF64" s="22">
        <f t="shared" si="58"/>
        <v>467.31410954729336</v>
      </c>
      <c r="BG64" s="22">
        <f t="shared" si="58"/>
        <v>467.16283718732154</v>
      </c>
      <c r="BH64" s="22">
        <f t="shared" si="58"/>
        <v>467.00650645725204</v>
      </c>
      <c r="BI64" s="22">
        <f t="shared" si="58"/>
        <v>466.84957673766149</v>
      </c>
      <c r="BJ64" s="22">
        <f t="shared" si="58"/>
        <v>466.6919244558822</v>
      </c>
      <c r="BK64" s="22">
        <f t="shared" si="58"/>
        <v>466.52939924126719</v>
      </c>
      <c r="BL64" s="22">
        <f t="shared" si="58"/>
        <v>466.36376180824482</v>
      </c>
      <c r="BM64" s="22">
        <f t="shared" si="58"/>
        <v>466.19619628572883</v>
      </c>
      <c r="BN64" s="22">
        <f t="shared" si="58"/>
        <v>466.02437326282302</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17093.826915551948</v>
      </c>
      <c r="AD65" s="22">
        <f t="shared" si="59"/>
        <v>17091.396392844257</v>
      </c>
      <c r="AE65" s="22">
        <f t="shared" si="59"/>
        <v>16996.523789335217</v>
      </c>
      <c r="AF65" s="22">
        <f t="shared" si="59"/>
        <v>16845.135916251187</v>
      </c>
      <c r="AG65" s="22">
        <f t="shared" si="59"/>
        <v>16640.888084222788</v>
      </c>
      <c r="AH65" s="22">
        <f t="shared" si="59"/>
        <v>16487.529960272332</v>
      </c>
      <c r="AI65" s="22">
        <f t="shared" si="59"/>
        <v>16345.805129696333</v>
      </c>
      <c r="AJ65" s="22">
        <f t="shared" si="59"/>
        <v>15430.560631270724</v>
      </c>
      <c r="AK65" s="22">
        <f t="shared" si="59"/>
        <v>15811.043186802979</v>
      </c>
      <c r="AL65" s="22">
        <f t="shared" ref="AL65:BN65" si="60">AL43*N2OGWP</f>
        <v>15958.847934518744</v>
      </c>
      <c r="AM65" s="22">
        <f t="shared" si="60"/>
        <v>15919.233047927217</v>
      </c>
      <c r="AN65" s="22">
        <f t="shared" si="60"/>
        <v>15891.545967315633</v>
      </c>
      <c r="AO65" s="22">
        <f t="shared" si="60"/>
        <v>15915.155892934759</v>
      </c>
      <c r="AP65" s="22">
        <f t="shared" si="60"/>
        <v>15984.84339828518</v>
      </c>
      <c r="AQ65" s="22">
        <f t="shared" si="60"/>
        <v>16075.567194018065</v>
      </c>
      <c r="AR65" s="22">
        <f t="shared" si="60"/>
        <v>16192.720227144715</v>
      </c>
      <c r="AS65" s="22">
        <f t="shared" si="60"/>
        <v>16354.896144587752</v>
      </c>
      <c r="AT65" s="22">
        <f t="shared" si="60"/>
        <v>16558.670091352691</v>
      </c>
      <c r="AU65" s="22">
        <f t="shared" si="60"/>
        <v>16718.997085821164</v>
      </c>
      <c r="AV65" s="22">
        <f t="shared" si="60"/>
        <v>16896.069003270473</v>
      </c>
      <c r="AW65" s="22">
        <f t="shared" si="60"/>
        <v>17079.376550926358</v>
      </c>
      <c r="AX65" s="22">
        <f t="shared" si="60"/>
        <v>17272.154709260769</v>
      </c>
      <c r="AY65" s="22">
        <f t="shared" si="60"/>
        <v>17469.365060057426</v>
      </c>
      <c r="AZ65" s="22">
        <f t="shared" si="60"/>
        <v>17655.092104453866</v>
      </c>
      <c r="BA65" s="22">
        <f t="shared" si="60"/>
        <v>17850.792549268703</v>
      </c>
      <c r="BB65" s="22">
        <f t="shared" si="60"/>
        <v>18041.925731567091</v>
      </c>
      <c r="BC65" s="22">
        <f t="shared" si="60"/>
        <v>18226.979392581368</v>
      </c>
      <c r="BD65" s="22">
        <f t="shared" si="60"/>
        <v>18411.957867290104</v>
      </c>
      <c r="BE65" s="22">
        <f t="shared" si="60"/>
        <v>18627.439142589483</v>
      </c>
      <c r="BF65" s="22">
        <f t="shared" si="60"/>
        <v>18850.725445944816</v>
      </c>
      <c r="BG65" s="22">
        <f t="shared" si="60"/>
        <v>19088.747367065309</v>
      </c>
      <c r="BH65" s="22">
        <f t="shared" si="60"/>
        <v>19328.417871836467</v>
      </c>
      <c r="BI65" s="22">
        <f t="shared" si="60"/>
        <v>19569.915973937041</v>
      </c>
      <c r="BJ65" s="22">
        <f t="shared" si="60"/>
        <v>19826.107036199104</v>
      </c>
      <c r="BK65" s="22">
        <f t="shared" si="60"/>
        <v>20092.021030049393</v>
      </c>
      <c r="BL65" s="22">
        <f t="shared" si="60"/>
        <v>20364.102979787673</v>
      </c>
      <c r="BM65" s="22">
        <f t="shared" si="60"/>
        <v>20650.001260780562</v>
      </c>
      <c r="BN65" s="22">
        <f t="shared" si="60"/>
        <v>20901.929344604407</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2050.9374050904016</v>
      </c>
      <c r="AC66" s="22">
        <f t="shared" si="62"/>
        <v>2045.5386350321758</v>
      </c>
      <c r="AD66" s="22">
        <f t="shared" si="62"/>
        <v>2047.0573530349106</v>
      </c>
      <c r="AE66" s="22">
        <f t="shared" si="62"/>
        <v>2037.2818538590109</v>
      </c>
      <c r="AF66" s="22">
        <f t="shared" si="62"/>
        <v>2020.7416492119826</v>
      </c>
      <c r="AG66" s="22">
        <f t="shared" si="62"/>
        <v>1997.8167979558436</v>
      </c>
      <c r="AH66" s="22">
        <f t="shared" si="62"/>
        <v>1981.3182233351415</v>
      </c>
      <c r="AI66" s="22">
        <f t="shared" si="62"/>
        <v>1966.2827775921453</v>
      </c>
      <c r="AJ66" s="22">
        <f t="shared" si="62"/>
        <v>1853.5422606516693</v>
      </c>
      <c r="AK66" s="22">
        <f t="shared" si="62"/>
        <v>1902.820284924391</v>
      </c>
      <c r="AL66" s="22">
        <f t="shared" ref="AL66:BN66" si="63">AL49*N2OGWP</f>
        <v>1921.5543958027654</v>
      </c>
      <c r="AM66" s="22">
        <f t="shared" si="63"/>
        <v>1917.2325138661979</v>
      </c>
      <c r="AN66" s="22">
        <f t="shared" si="63"/>
        <v>1914.8468047202759</v>
      </c>
      <c r="AO66" s="22">
        <f t="shared" si="63"/>
        <v>1919.0235554424712</v>
      </c>
      <c r="AP66" s="22">
        <f t="shared" si="63"/>
        <v>1928.923304491045</v>
      </c>
      <c r="AQ66" s="22">
        <f t="shared" si="63"/>
        <v>1941.4247785753696</v>
      </c>
      <c r="AR66" s="22">
        <f t="shared" si="63"/>
        <v>1957.2434080061732</v>
      </c>
      <c r="AS66" s="22">
        <f t="shared" si="63"/>
        <v>1978.7299836417585</v>
      </c>
      <c r="AT66" s="22">
        <f t="shared" si="63"/>
        <v>2005.4551722913536</v>
      </c>
      <c r="AU66" s="22">
        <f t="shared" si="63"/>
        <v>2027.5270915670139</v>
      </c>
      <c r="AV66" s="22">
        <f t="shared" si="63"/>
        <v>2051.8162616729601</v>
      </c>
      <c r="AW66" s="22">
        <f t="shared" si="63"/>
        <v>2077.0106814151418</v>
      </c>
      <c r="AX66" s="22">
        <f t="shared" si="63"/>
        <v>2103.5415711520436</v>
      </c>
      <c r="AY66" s="22">
        <f t="shared" si="63"/>
        <v>2130.779621564021</v>
      </c>
      <c r="AZ66" s="22">
        <f t="shared" si="63"/>
        <v>2156.7140714549992</v>
      </c>
      <c r="BA66" s="22">
        <f t="shared" si="63"/>
        <v>2184.1024690347967</v>
      </c>
      <c r="BB66" s="22">
        <f t="shared" si="63"/>
        <v>2211.0671577362259</v>
      </c>
      <c r="BC66" s="22">
        <f t="shared" si="63"/>
        <v>2237.4358494281691</v>
      </c>
      <c r="BD66" s="22">
        <f t="shared" si="63"/>
        <v>2263.9882827443353</v>
      </c>
      <c r="BE66" s="22">
        <f t="shared" si="63"/>
        <v>2293.9699712922675</v>
      </c>
      <c r="BF66" s="22">
        <f t="shared" si="63"/>
        <v>2325.1265640673746</v>
      </c>
      <c r="BG66" s="22">
        <f t="shared" si="63"/>
        <v>2358.341737972924</v>
      </c>
      <c r="BH66" s="22">
        <f t="shared" si="63"/>
        <v>2391.928142812822</v>
      </c>
      <c r="BI66" s="22">
        <f t="shared" si="63"/>
        <v>2425.9297941273439</v>
      </c>
      <c r="BJ66" s="22">
        <f t="shared" si="63"/>
        <v>2462.0290061456703</v>
      </c>
      <c r="BK66" s="22">
        <f t="shared" si="63"/>
        <v>2499.5834887806723</v>
      </c>
      <c r="BL66" s="22">
        <f t="shared" si="63"/>
        <v>2538.1521015189664</v>
      </c>
      <c r="BM66" s="22">
        <f t="shared" si="63"/>
        <v>2578.7579194180721</v>
      </c>
      <c r="BN66" s="22">
        <f t="shared" si="63"/>
        <v>2615.1308371849518</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468.5534902170719</v>
      </c>
      <c r="AD67" s="22">
        <f t="shared" si="65"/>
        <v>475.46673921112131</v>
      </c>
      <c r="AE67" s="22">
        <f t="shared" si="65"/>
        <v>478.52713833996251</v>
      </c>
      <c r="AF67" s="22">
        <f t="shared" si="65"/>
        <v>479.13075008565431</v>
      </c>
      <c r="AG67" s="22">
        <f t="shared" si="65"/>
        <v>477.27784879908722</v>
      </c>
      <c r="AH67" s="22">
        <f t="shared" si="65"/>
        <v>477.58815133846173</v>
      </c>
      <c r="AI67" s="22">
        <f t="shared" si="65"/>
        <v>478.32509917641192</v>
      </c>
      <c r="AJ67" s="22">
        <f t="shared" si="65"/>
        <v>443.3510171493719</v>
      </c>
      <c r="AK67" s="22">
        <f t="shared" si="65"/>
        <v>465.57618981839653</v>
      </c>
      <c r="AL67" s="22">
        <f t="shared" ref="AL67:BN67" si="66">AL52*N2OGWP</f>
        <v>476.46817640106639</v>
      </c>
      <c r="AM67" s="22">
        <f t="shared" si="66"/>
        <v>478.44574802634082</v>
      </c>
      <c r="AN67" s="22">
        <f t="shared" si="66"/>
        <v>480.92349467442273</v>
      </c>
      <c r="AO67" s="22">
        <f t="shared" si="66"/>
        <v>485.86605792125317</v>
      </c>
      <c r="AP67" s="22">
        <f t="shared" si="66"/>
        <v>493.21409934144106</v>
      </c>
      <c r="AQ67" s="22">
        <f t="shared" si="66"/>
        <v>501.75898994611924</v>
      </c>
      <c r="AR67" s="22">
        <f t="shared" si="66"/>
        <v>511.83185635472989</v>
      </c>
      <c r="AS67" s="22">
        <f t="shared" si="66"/>
        <v>524.44408053716097</v>
      </c>
      <c r="AT67" s="22">
        <f t="shared" si="66"/>
        <v>539.47739621796109</v>
      </c>
      <c r="AU67" s="22">
        <f t="shared" si="66"/>
        <v>556.05727482251325</v>
      </c>
      <c r="AV67" s="22">
        <f t="shared" si="66"/>
        <v>574.1018930192015</v>
      </c>
      <c r="AW67" s="22">
        <f t="shared" si="66"/>
        <v>593.09957867018966</v>
      </c>
      <c r="AX67" s="22">
        <f t="shared" si="66"/>
        <v>613.28978175267173</v>
      </c>
      <c r="AY67" s="22">
        <f t="shared" si="66"/>
        <v>634.43556308621476</v>
      </c>
      <c r="AZ67" s="22">
        <f t="shared" si="66"/>
        <v>655.64311598628979</v>
      </c>
      <c r="BA67" s="22">
        <f t="shared" si="66"/>
        <v>678.21214828331097</v>
      </c>
      <c r="BB67" s="22">
        <f t="shared" si="66"/>
        <v>701.31248708428234</v>
      </c>
      <c r="BC67" s="22">
        <f t="shared" si="66"/>
        <v>724.88114622406306</v>
      </c>
      <c r="BD67" s="22">
        <f t="shared" si="66"/>
        <v>749.31884869652549</v>
      </c>
      <c r="BE67" s="22">
        <f t="shared" si="66"/>
        <v>773.59688679884414</v>
      </c>
      <c r="BF67" s="22">
        <f t="shared" si="66"/>
        <v>799.11883674501155</v>
      </c>
      <c r="BG67" s="22">
        <f t="shared" si="66"/>
        <v>826.38903117996551</v>
      </c>
      <c r="BH67" s="22">
        <f t="shared" si="66"/>
        <v>854.58915531939601</v>
      </c>
      <c r="BI67" s="22">
        <f t="shared" si="66"/>
        <v>883.78144491838327</v>
      </c>
      <c r="BJ67" s="22">
        <f t="shared" si="66"/>
        <v>914.91436492205196</v>
      </c>
      <c r="BK67" s="22">
        <f t="shared" si="66"/>
        <v>947.71091968754251</v>
      </c>
      <c r="BL67" s="22">
        <f t="shared" si="66"/>
        <v>981.98942255627162</v>
      </c>
      <c r="BM67" s="22">
        <f t="shared" si="66"/>
        <v>1018.3824913368661</v>
      </c>
      <c r="BN67" s="22">
        <f t="shared" si="66"/>
        <v>1053.3889718674006</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26982.018509963771</v>
      </c>
      <c r="AC71" s="22">
        <f t="shared" si="67"/>
        <v>26899.412164760473</v>
      </c>
      <c r="AD71" s="22">
        <f t="shared" si="67"/>
        <v>26934.727527870862</v>
      </c>
      <c r="AE71" s="22">
        <f t="shared" si="67"/>
        <v>26768.466839336899</v>
      </c>
      <c r="AF71" s="22">
        <f t="shared" si="67"/>
        <v>26480.585819016389</v>
      </c>
      <c r="AG71" s="22">
        <f t="shared" si="67"/>
        <v>26077.422552757751</v>
      </c>
      <c r="AH71" s="22">
        <f t="shared" ref="AH71:BN71" si="68">SUM(AH58:AH60)</f>
        <v>25785.957215400758</v>
      </c>
      <c r="AI71" s="22">
        <f t="shared" si="68"/>
        <v>25518.395707880383</v>
      </c>
      <c r="AJ71" s="22">
        <f t="shared" si="68"/>
        <v>23552.070886352514</v>
      </c>
      <c r="AK71" s="22">
        <f t="shared" si="68"/>
        <v>24433.288587900828</v>
      </c>
      <c r="AL71" s="22">
        <f t="shared" si="68"/>
        <v>24773.628564342329</v>
      </c>
      <c r="AM71" s="22">
        <f t="shared" si="68"/>
        <v>24705.600682827535</v>
      </c>
      <c r="AN71" s="22">
        <f t="shared" si="68"/>
        <v>24667.200928067545</v>
      </c>
      <c r="AO71" s="22">
        <f t="shared" si="68"/>
        <v>24741.815712669752</v>
      </c>
      <c r="AP71" s="22">
        <f t="shared" si="68"/>
        <v>24918.501041437543</v>
      </c>
      <c r="AQ71" s="22">
        <f t="shared" si="68"/>
        <v>25141.940285330391</v>
      </c>
      <c r="AR71" s="22">
        <f t="shared" si="68"/>
        <v>25425.083248501218</v>
      </c>
      <c r="AS71" s="22">
        <f t="shared" si="68"/>
        <v>25809.689060685581</v>
      </c>
      <c r="AT71" s="22">
        <f t="shared" si="68"/>
        <v>26288.099631532299</v>
      </c>
      <c r="AU71" s="22">
        <f t="shared" si="68"/>
        <v>26692.632116408411</v>
      </c>
      <c r="AV71" s="22">
        <f t="shared" si="68"/>
        <v>27138.104125354745</v>
      </c>
      <c r="AW71" s="22">
        <f t="shared" si="68"/>
        <v>27601.291797387144</v>
      </c>
      <c r="AX71" s="22">
        <f t="shared" si="68"/>
        <v>28090.137632031965</v>
      </c>
      <c r="AY71" s="22">
        <f t="shared" si="68"/>
        <v>28593.470614323061</v>
      </c>
      <c r="AZ71" s="22">
        <f t="shared" si="68"/>
        <v>29075.370859990799</v>
      </c>
      <c r="BA71" s="22">
        <f t="shared" si="68"/>
        <v>29585.386241568085</v>
      </c>
      <c r="BB71" s="22">
        <f t="shared" si="68"/>
        <v>30090.063218101986</v>
      </c>
      <c r="BC71" s="22">
        <f t="shared" si="68"/>
        <v>30586.43748483594</v>
      </c>
      <c r="BD71" s="22">
        <f t="shared" si="68"/>
        <v>31088.553078637469</v>
      </c>
      <c r="BE71" s="22">
        <f t="shared" si="68"/>
        <v>31647.977336169421</v>
      </c>
      <c r="BF71" s="22">
        <f t="shared" si="68"/>
        <v>32230.76140875899</v>
      </c>
      <c r="BG71" s="22">
        <f t="shared" si="68"/>
        <v>32852.946142717265</v>
      </c>
      <c r="BH71" s="22">
        <f t="shared" si="68"/>
        <v>33484.230308851635</v>
      </c>
      <c r="BI71" s="22">
        <f t="shared" si="68"/>
        <v>34125.644083881562</v>
      </c>
      <c r="BJ71" s="22">
        <f t="shared" si="68"/>
        <v>34807.822142615572</v>
      </c>
      <c r="BK71" s="22">
        <f t="shared" si="68"/>
        <v>35519.29117054223</v>
      </c>
      <c r="BL71" s="22">
        <f t="shared" si="68"/>
        <v>36252.238150048011</v>
      </c>
      <c r="BM71" s="22">
        <f t="shared" si="68"/>
        <v>37025.413306916489</v>
      </c>
      <c r="BN71" s="22">
        <f t="shared" si="68"/>
        <v>37725.057217491965</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22897.455060347875</v>
      </c>
      <c r="AC72" s="22">
        <f t="shared" si="69"/>
        <v>22916.931601602209</v>
      </c>
      <c r="AD72" s="22">
        <f t="shared" si="69"/>
        <v>22902.965793483327</v>
      </c>
      <c r="AE72" s="22">
        <f t="shared" si="69"/>
        <v>22783.717172728906</v>
      </c>
      <c r="AF72" s="22">
        <f t="shared" si="69"/>
        <v>22638.455195046361</v>
      </c>
      <c r="AG72" s="22">
        <f t="shared" si="69"/>
        <v>22428.717383211704</v>
      </c>
      <c r="AH72" s="22">
        <f t="shared" ref="AH72:BN72" si="70">SUM(AH61:AH67)</f>
        <v>22266.130401341314</v>
      </c>
      <c r="AI72" s="22">
        <f t="shared" si="70"/>
        <v>22119.9220695435</v>
      </c>
      <c r="AJ72" s="22">
        <f t="shared" si="70"/>
        <v>21066.851364518014</v>
      </c>
      <c r="AK72" s="22">
        <f t="shared" si="70"/>
        <v>21518.166899748245</v>
      </c>
      <c r="AL72" s="22">
        <f t="shared" si="70"/>
        <v>21711.657758655714</v>
      </c>
      <c r="AM72" s="22">
        <f t="shared" si="70"/>
        <v>21682.302845408005</v>
      </c>
      <c r="AN72" s="22">
        <f t="shared" si="70"/>
        <v>21664.714684998176</v>
      </c>
      <c r="AO72" s="22">
        <f t="shared" si="70"/>
        <v>21707.58026599227</v>
      </c>
      <c r="AP72" s="22">
        <f t="shared" si="70"/>
        <v>21805.332845410634</v>
      </c>
      <c r="AQ72" s="22">
        <f t="shared" si="70"/>
        <v>21928.561291416416</v>
      </c>
      <c r="AR72" s="22">
        <f t="shared" si="70"/>
        <v>22083.352926219864</v>
      </c>
      <c r="AS72" s="22">
        <f t="shared" si="70"/>
        <v>22291.745671583874</v>
      </c>
      <c r="AT72" s="22">
        <f t="shared" si="70"/>
        <v>22550.026967845635</v>
      </c>
      <c r="AU72" s="22">
        <f t="shared" si="70"/>
        <v>22761.978025927001</v>
      </c>
      <c r="AV72" s="22">
        <f t="shared" si="70"/>
        <v>22994.650496069706</v>
      </c>
      <c r="AW72" s="22">
        <f t="shared" si="70"/>
        <v>23235.680730457254</v>
      </c>
      <c r="AX72" s="22">
        <f t="shared" si="70"/>
        <v>23488.826955222266</v>
      </c>
      <c r="AY72" s="22">
        <f t="shared" si="70"/>
        <v>23748.230811498932</v>
      </c>
      <c r="AZ72" s="22">
        <f t="shared" si="70"/>
        <v>23995.001082050243</v>
      </c>
      <c r="BA72" s="22">
        <f t="shared" si="70"/>
        <v>24254.435638222087</v>
      </c>
      <c r="BB72" s="22">
        <f t="shared" si="70"/>
        <v>24509.582568479706</v>
      </c>
      <c r="BC72" s="22">
        <f t="shared" si="70"/>
        <v>24757.976947088013</v>
      </c>
      <c r="BD72" s="22">
        <f t="shared" si="70"/>
        <v>25007.306666227323</v>
      </c>
      <c r="BE72" s="22">
        <f t="shared" si="70"/>
        <v>25290.44879882237</v>
      </c>
      <c r="BF72" s="22">
        <f t="shared" si="70"/>
        <v>25583.650381655225</v>
      </c>
      <c r="BG72" s="22">
        <f t="shared" si="70"/>
        <v>25895.505768030125</v>
      </c>
      <c r="BH72" s="22">
        <f t="shared" si="70"/>
        <v>26210.506602489535</v>
      </c>
      <c r="BI72" s="22">
        <f t="shared" si="70"/>
        <v>26528.765620579015</v>
      </c>
      <c r="BJ72" s="22">
        <f t="shared" si="70"/>
        <v>26865.783745220466</v>
      </c>
      <c r="BK72" s="22">
        <f t="shared" si="70"/>
        <v>27215.832236222563</v>
      </c>
      <c r="BL72" s="22">
        <f t="shared" si="70"/>
        <v>27574.665170253593</v>
      </c>
      <c r="BM72" s="22">
        <f t="shared" si="70"/>
        <v>27951.540802662363</v>
      </c>
      <c r="BN72" s="22">
        <f t="shared" si="70"/>
        <v>28288.991468385262</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49879.473570311646</v>
      </c>
      <c r="AC73" s="22">
        <f t="shared" si="71"/>
        <v>49816.343766362683</v>
      </c>
      <c r="AD73" s="22">
        <f t="shared" si="71"/>
        <v>49837.693321354192</v>
      </c>
      <c r="AE73" s="22">
        <f t="shared" si="71"/>
        <v>49552.184012065802</v>
      </c>
      <c r="AF73" s="22">
        <f t="shared" si="71"/>
        <v>49119.04101406275</v>
      </c>
      <c r="AG73" s="22">
        <f t="shared" si="71"/>
        <v>48506.139935969455</v>
      </c>
      <c r="AH73" s="22">
        <f t="shared" ref="AH73:BN73" si="72">SUM(AH71:AH72)</f>
        <v>48052.087616742072</v>
      </c>
      <c r="AI73" s="22">
        <f t="shared" si="72"/>
        <v>47638.317777423887</v>
      </c>
      <c r="AJ73" s="22">
        <f t="shared" si="72"/>
        <v>44618.922250870528</v>
      </c>
      <c r="AK73" s="22">
        <f t="shared" si="72"/>
        <v>45951.455487649073</v>
      </c>
      <c r="AL73" s="22">
        <f t="shared" si="72"/>
        <v>46485.286322998043</v>
      </c>
      <c r="AM73" s="22">
        <f t="shared" si="72"/>
        <v>46387.90352823554</v>
      </c>
      <c r="AN73" s="22">
        <f t="shared" si="72"/>
        <v>46331.915613065721</v>
      </c>
      <c r="AO73" s="22">
        <f t="shared" si="72"/>
        <v>46449.395978662025</v>
      </c>
      <c r="AP73" s="22">
        <f t="shared" si="72"/>
        <v>46723.833886848181</v>
      </c>
      <c r="AQ73" s="22">
        <f t="shared" si="72"/>
        <v>47070.501576746807</v>
      </c>
      <c r="AR73" s="22">
        <f t="shared" si="72"/>
        <v>47508.436174721079</v>
      </c>
      <c r="AS73" s="22">
        <f t="shared" si="72"/>
        <v>48101.434732269452</v>
      </c>
      <c r="AT73" s="22">
        <f t="shared" si="72"/>
        <v>48838.126599377938</v>
      </c>
      <c r="AU73" s="22">
        <f t="shared" si="72"/>
        <v>49454.610142335412</v>
      </c>
      <c r="AV73" s="22">
        <f t="shared" si="72"/>
        <v>50132.75462142445</v>
      </c>
      <c r="AW73" s="22">
        <f t="shared" si="72"/>
        <v>50836.972527844395</v>
      </c>
      <c r="AX73" s="22">
        <f t="shared" si="72"/>
        <v>51578.964587254231</v>
      </c>
      <c r="AY73" s="22">
        <f t="shared" si="72"/>
        <v>52341.701425821993</v>
      </c>
      <c r="AZ73" s="22">
        <f t="shared" si="72"/>
        <v>53070.371942041042</v>
      </c>
      <c r="BA73" s="22">
        <f t="shared" si="72"/>
        <v>53839.821879790172</v>
      </c>
      <c r="BB73" s="22">
        <f t="shared" si="72"/>
        <v>54599.645786581692</v>
      </c>
      <c r="BC73" s="22">
        <f t="shared" si="72"/>
        <v>55344.414431923957</v>
      </c>
      <c r="BD73" s="22">
        <f t="shared" si="72"/>
        <v>56095.859744864792</v>
      </c>
      <c r="BE73" s="22">
        <f t="shared" si="72"/>
        <v>56938.426134991794</v>
      </c>
      <c r="BF73" s="22">
        <f t="shared" si="72"/>
        <v>57814.411790414219</v>
      </c>
      <c r="BG73" s="22">
        <f t="shared" si="72"/>
        <v>58748.45191074739</v>
      </c>
      <c r="BH73" s="22">
        <f t="shared" si="72"/>
        <v>59694.73691134117</v>
      </c>
      <c r="BI73" s="22">
        <f t="shared" si="72"/>
        <v>60654.409704460573</v>
      </c>
      <c r="BJ73" s="22">
        <f t="shared" si="72"/>
        <v>61673.605887836035</v>
      </c>
      <c r="BK73" s="22">
        <f t="shared" si="72"/>
        <v>62735.123406764789</v>
      </c>
      <c r="BL73" s="22">
        <f t="shared" si="72"/>
        <v>63826.903320301601</v>
      </c>
      <c r="BM73" s="22">
        <f t="shared" si="72"/>
        <v>64976.954109578852</v>
      </c>
      <c r="BN73" s="22">
        <f t="shared" si="72"/>
        <v>66014.048685877235</v>
      </c>
    </row>
    <row r="74" spans="1:72" x14ac:dyDescent="0.25">
      <c r="C74" t="s">
        <v>929</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929</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929</v>
      </c>
      <c r="E76" t="s">
        <v>935</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928</v>
      </c>
      <c r="E77" t="s">
        <v>930</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928</v>
      </c>
      <c r="E78" t="s">
        <v>931</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928</v>
      </c>
      <c r="E79" t="s">
        <v>932</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-6.1935604806494356E-2</v>
      </c>
      <c r="AC80" s="49">
        <f t="shared" si="74"/>
        <v>-0.10492356125464231</v>
      </c>
      <c r="AD80" s="49">
        <f t="shared" si="74"/>
        <v>-0.10668176726843398</v>
      </c>
      <c r="AE80" s="49">
        <f t="shared" si="74"/>
        <v>-9.4260181583125921E-2</v>
      </c>
      <c r="AF80" s="49">
        <f t="shared" si="74"/>
        <v>-5.0716322987690743E-2</v>
      </c>
      <c r="AG80" s="49">
        <f t="shared" si="74"/>
        <v>-6.1361999160036741E-2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5546875" defaultRowHeight="15" x14ac:dyDescent="0.25"/>
  <cols>
    <col min="1" max="1" width="12.28515625" style="90" customWidth="1"/>
    <col min="2" max="2" width="53.85546875" customWidth="1"/>
    <col min="3" max="3" width="12.42578125" customWidth="1"/>
    <col min="4" max="4" width="14" customWidth="1"/>
    <col min="5" max="5" width="12.42578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939</v>
      </c>
      <c r="C1" s="90">
        <f>DriversCGE!E87</f>
        <v>-1</v>
      </c>
    </row>
    <row r="2" spans="1:8" x14ac:dyDescent="0.25">
      <c r="B2" s="87"/>
    </row>
    <row r="3" spans="1:8" s="99" customFormat="1" ht="21.75" customHeight="1" x14ac:dyDescent="0.25">
      <c r="A3" s="98"/>
      <c r="B3" s="98" t="s">
        <v>1001</v>
      </c>
      <c r="C3" s="98"/>
      <c r="D3" s="98"/>
      <c r="E3" s="98"/>
      <c r="F3" s="98"/>
      <c r="G3" s="98"/>
      <c r="H3" s="98"/>
    </row>
    <row r="4" spans="1:8" s="44" customFormat="1" x14ac:dyDescent="0.25">
      <c r="A4" s="91" t="s">
        <v>1403</v>
      </c>
      <c r="B4" s="36" t="s">
        <v>1383</v>
      </c>
      <c r="C4" s="36"/>
    </row>
    <row r="5" spans="1:8" x14ac:dyDescent="0.25">
      <c r="A5" s="90">
        <v>1</v>
      </c>
      <c r="B5" t="s">
        <v>1002</v>
      </c>
      <c r="C5" s="105" t="str">
        <f>IF($C$1-2&gt;A5,"On","Off")</f>
        <v>Off</v>
      </c>
      <c r="F5" t="s">
        <v>1384</v>
      </c>
    </row>
    <row r="6" spans="1:8" x14ac:dyDescent="0.25">
      <c r="A6" s="90">
        <v>1</v>
      </c>
      <c r="B6" t="s">
        <v>944</v>
      </c>
      <c r="C6" s="105" t="str">
        <f t="shared" ref="C6:C14" si="0">IF($C$1-2&gt;A6,"On","Off")</f>
        <v>Off</v>
      </c>
    </row>
    <row r="7" spans="1:8" x14ac:dyDescent="0.25">
      <c r="A7" s="90">
        <v>1</v>
      </c>
      <c r="B7" t="s">
        <v>1336</v>
      </c>
      <c r="C7" s="105" t="str">
        <f t="shared" si="0"/>
        <v>Off</v>
      </c>
    </row>
    <row r="8" spans="1:8" x14ac:dyDescent="0.25">
      <c r="A8" s="90">
        <v>1</v>
      </c>
      <c r="B8" t="s">
        <v>986</v>
      </c>
      <c r="C8" s="105" t="str">
        <f t="shared" si="0"/>
        <v>Off</v>
      </c>
    </row>
    <row r="9" spans="1:8" x14ac:dyDescent="0.25">
      <c r="A9" s="90">
        <v>1</v>
      </c>
      <c r="B9" t="s">
        <v>987</v>
      </c>
      <c r="C9" s="105" t="str">
        <f t="shared" si="0"/>
        <v>Off</v>
      </c>
    </row>
    <row r="10" spans="1:8" x14ac:dyDescent="0.25">
      <c r="A10" s="90">
        <v>1</v>
      </c>
      <c r="B10" t="s">
        <v>990</v>
      </c>
      <c r="C10" s="105" t="str">
        <f t="shared" si="0"/>
        <v>Off</v>
      </c>
    </row>
    <row r="11" spans="1:8" x14ac:dyDescent="0.25">
      <c r="A11" s="90">
        <v>1</v>
      </c>
      <c r="B11" s="103" t="s">
        <v>988</v>
      </c>
      <c r="C11" s="105" t="str">
        <f t="shared" si="0"/>
        <v>Off</v>
      </c>
      <c r="F11" t="s">
        <v>1385</v>
      </c>
    </row>
    <row r="12" spans="1:8" ht="64.5" customHeight="1" x14ac:dyDescent="0.25">
      <c r="A12" s="90">
        <v>2</v>
      </c>
      <c r="B12" t="s">
        <v>992</v>
      </c>
      <c r="C12" s="105" t="str">
        <f>IF($C$1-2&gt;A12,"PB","Off")</f>
        <v>Off</v>
      </c>
      <c r="D12" s="138" t="s">
        <v>1381</v>
      </c>
      <c r="E12" s="139"/>
    </row>
    <row r="13" spans="1:8" x14ac:dyDescent="0.25">
      <c r="A13" s="90">
        <v>2</v>
      </c>
      <c r="B13" s="103" t="s">
        <v>993</v>
      </c>
      <c r="C13" s="105" t="str">
        <f t="shared" si="0"/>
        <v>Off</v>
      </c>
      <c r="F13" t="s">
        <v>1386</v>
      </c>
    </row>
    <row r="14" spans="1:8" x14ac:dyDescent="0.25">
      <c r="A14" s="90">
        <v>2</v>
      </c>
      <c r="B14" t="s">
        <v>1382</v>
      </c>
      <c r="C14" s="105" t="str">
        <f t="shared" si="0"/>
        <v>Off</v>
      </c>
    </row>
    <row r="15" spans="1:8" x14ac:dyDescent="0.25">
      <c r="B15" s="87"/>
    </row>
    <row r="16" spans="1:8" s="99" customFormat="1" ht="29.25" customHeight="1" x14ac:dyDescent="0.25">
      <c r="A16" s="98"/>
      <c r="B16" s="98" t="s">
        <v>1373</v>
      </c>
      <c r="C16" s="98">
        <v>2020</v>
      </c>
      <c r="D16" s="98">
        <v>2030</v>
      </c>
      <c r="E16" s="98">
        <v>2040</v>
      </c>
      <c r="F16" s="98">
        <v>2050</v>
      </c>
    </row>
    <row r="17" spans="1:8" s="107" customFormat="1" x14ac:dyDescent="0.25">
      <c r="A17" s="106"/>
      <c r="B17" s="107" t="s">
        <v>1002</v>
      </c>
      <c r="H17" s="108"/>
    </row>
    <row r="18" spans="1:8" x14ac:dyDescent="0.25">
      <c r="A18" s="90" t="s">
        <v>946</v>
      </c>
      <c r="B18" t="s">
        <v>947</v>
      </c>
      <c r="C18">
        <v>3</v>
      </c>
      <c r="D18">
        <v>4</v>
      </c>
      <c r="E18">
        <v>4</v>
      </c>
      <c r="F18">
        <v>4</v>
      </c>
      <c r="H18" s="92"/>
    </row>
    <row r="19" spans="1:8" x14ac:dyDescent="0.25">
      <c r="A19" s="90" t="s">
        <v>946</v>
      </c>
      <c r="B19" t="s">
        <v>949</v>
      </c>
      <c r="C19">
        <v>2</v>
      </c>
      <c r="D19">
        <v>4</v>
      </c>
      <c r="E19">
        <v>4</v>
      </c>
      <c r="F19">
        <v>4</v>
      </c>
      <c r="H19" s="92"/>
    </row>
    <row r="20" spans="1:8" x14ac:dyDescent="0.25">
      <c r="A20" s="90" t="s">
        <v>946</v>
      </c>
      <c r="B20" t="s">
        <v>948</v>
      </c>
      <c r="C20">
        <v>3</v>
      </c>
      <c r="D20">
        <v>4</v>
      </c>
      <c r="E20">
        <v>4</v>
      </c>
      <c r="F20">
        <v>4</v>
      </c>
      <c r="H20" s="92"/>
    </row>
    <row r="21" spans="1:8" x14ac:dyDescent="0.25">
      <c r="A21" s="90" t="s">
        <v>946</v>
      </c>
      <c r="B21" t="s">
        <v>1012</v>
      </c>
      <c r="C21">
        <v>0</v>
      </c>
      <c r="D21">
        <v>80</v>
      </c>
      <c r="E21">
        <v>100</v>
      </c>
      <c r="F21">
        <v>100</v>
      </c>
      <c r="H21" s="92"/>
    </row>
    <row r="22" spans="1:8" x14ac:dyDescent="0.25">
      <c r="A22" s="90" t="s">
        <v>946</v>
      </c>
      <c r="B22" t="s">
        <v>1014</v>
      </c>
      <c r="C22">
        <v>0</v>
      </c>
      <c r="D22">
        <v>50</v>
      </c>
      <c r="E22">
        <v>80</v>
      </c>
      <c r="F22">
        <v>100</v>
      </c>
      <c r="H22" s="92"/>
    </row>
    <row r="23" spans="1:8" x14ac:dyDescent="0.25">
      <c r="A23" s="90" t="s">
        <v>946</v>
      </c>
      <c r="B23" t="s">
        <v>1013</v>
      </c>
      <c r="C23">
        <v>0</v>
      </c>
      <c r="D23">
        <v>80</v>
      </c>
      <c r="E23">
        <v>100</v>
      </c>
      <c r="F23">
        <v>100</v>
      </c>
      <c r="H23" s="92"/>
    </row>
    <row r="25" spans="1:8" s="107" customFormat="1" x14ac:dyDescent="0.25">
      <c r="A25" s="106"/>
      <c r="B25" s="107" t="s">
        <v>944</v>
      </c>
      <c r="H25" s="108"/>
    </row>
    <row r="26" spans="1:8" x14ac:dyDescent="0.25">
      <c r="A26" s="90" t="s">
        <v>946</v>
      </c>
      <c r="B26" t="s">
        <v>1338</v>
      </c>
      <c r="C26">
        <v>0</v>
      </c>
      <c r="D26">
        <v>20</v>
      </c>
      <c r="E26">
        <v>20</v>
      </c>
      <c r="F26">
        <v>20</v>
      </c>
      <c r="H26" s="92"/>
    </row>
    <row r="27" spans="1:8" x14ac:dyDescent="0.25">
      <c r="A27" s="90" t="s">
        <v>946</v>
      </c>
      <c r="B27" t="s">
        <v>1342</v>
      </c>
      <c r="C27">
        <v>0</v>
      </c>
      <c r="D27">
        <v>20</v>
      </c>
      <c r="E27">
        <v>20</v>
      </c>
      <c r="F27">
        <v>20</v>
      </c>
      <c r="H27" s="92"/>
    </row>
    <row r="28" spans="1:8" x14ac:dyDescent="0.25">
      <c r="A28" s="90" t="s">
        <v>946</v>
      </c>
      <c r="B28" t="s">
        <v>1016</v>
      </c>
      <c r="C28">
        <v>0</v>
      </c>
      <c r="D28">
        <v>70</v>
      </c>
      <c r="E28">
        <v>100</v>
      </c>
      <c r="F28">
        <v>100</v>
      </c>
      <c r="H28" s="92" t="s">
        <v>1387</v>
      </c>
    </row>
    <row r="29" spans="1:8" x14ac:dyDescent="0.25">
      <c r="A29" s="90" t="s">
        <v>946</v>
      </c>
      <c r="B29" t="s">
        <v>1013</v>
      </c>
      <c r="C29">
        <v>0</v>
      </c>
      <c r="D29">
        <v>70</v>
      </c>
      <c r="E29">
        <v>100</v>
      </c>
      <c r="F29">
        <v>100</v>
      </c>
    </row>
    <row r="31" spans="1:8" s="107" customFormat="1" x14ac:dyDescent="0.25">
      <c r="A31" s="106"/>
      <c r="B31" s="107" t="s">
        <v>1336</v>
      </c>
      <c r="H31" s="108"/>
    </row>
    <row r="32" spans="1:8" x14ac:dyDescent="0.25">
      <c r="B32" t="s">
        <v>1338</v>
      </c>
      <c r="C32">
        <v>0</v>
      </c>
      <c r="D32">
        <v>10</v>
      </c>
      <c r="E32">
        <v>15</v>
      </c>
      <c r="F32">
        <v>20</v>
      </c>
    </row>
    <row r="33" spans="1:8" x14ac:dyDescent="0.25">
      <c r="B33" t="s">
        <v>1339</v>
      </c>
      <c r="C33">
        <v>0</v>
      </c>
      <c r="D33">
        <v>10</v>
      </c>
      <c r="E33">
        <v>15</v>
      </c>
      <c r="F33">
        <v>20</v>
      </c>
    </row>
    <row r="34" spans="1:8" x14ac:dyDescent="0.25">
      <c r="B34" t="s">
        <v>1340</v>
      </c>
      <c r="C34">
        <v>0</v>
      </c>
      <c r="D34">
        <v>10</v>
      </c>
      <c r="E34">
        <v>15</v>
      </c>
      <c r="F34">
        <v>20</v>
      </c>
    </row>
    <row r="35" spans="1:8" x14ac:dyDescent="0.25">
      <c r="B35" t="s">
        <v>1341</v>
      </c>
      <c r="C35">
        <v>0</v>
      </c>
      <c r="D35">
        <v>10</v>
      </c>
      <c r="E35">
        <v>15</v>
      </c>
      <c r="F35">
        <v>20</v>
      </c>
    </row>
    <row r="36" spans="1:8" x14ac:dyDescent="0.25">
      <c r="B36" t="s">
        <v>1342</v>
      </c>
      <c r="C36">
        <v>0</v>
      </c>
      <c r="D36">
        <v>10</v>
      </c>
      <c r="E36">
        <v>15</v>
      </c>
      <c r="F36">
        <v>20</v>
      </c>
    </row>
    <row r="37" spans="1:8" x14ac:dyDescent="0.25">
      <c r="B37" t="s">
        <v>1361</v>
      </c>
      <c r="C37">
        <v>0</v>
      </c>
      <c r="D37">
        <v>2</v>
      </c>
      <c r="E37">
        <v>3.5</v>
      </c>
      <c r="F37">
        <v>5</v>
      </c>
    </row>
    <row r="38" spans="1:8" x14ac:dyDescent="0.25">
      <c r="B38" t="s">
        <v>1363</v>
      </c>
      <c r="C38">
        <v>0</v>
      </c>
      <c r="D38">
        <v>2</v>
      </c>
      <c r="E38">
        <v>3.5</v>
      </c>
      <c r="F38">
        <v>5</v>
      </c>
    </row>
    <row r="39" spans="1:8" x14ac:dyDescent="0.25">
      <c r="B39" t="s">
        <v>1016</v>
      </c>
      <c r="C39">
        <v>0</v>
      </c>
      <c r="D39">
        <v>40</v>
      </c>
      <c r="E39">
        <v>60</v>
      </c>
      <c r="F39">
        <v>80</v>
      </c>
    </row>
    <row r="40" spans="1:8" x14ac:dyDescent="0.25">
      <c r="B40" t="s">
        <v>1351</v>
      </c>
      <c r="C40">
        <v>0</v>
      </c>
      <c r="D40">
        <v>40</v>
      </c>
      <c r="E40">
        <v>60</v>
      </c>
      <c r="F40">
        <v>80</v>
      </c>
    </row>
    <row r="41" spans="1:8" x14ac:dyDescent="0.25">
      <c r="B41" t="s">
        <v>1045</v>
      </c>
      <c r="C41">
        <v>0</v>
      </c>
      <c r="D41">
        <v>40</v>
      </c>
      <c r="E41">
        <v>60</v>
      </c>
      <c r="F41">
        <v>80</v>
      </c>
    </row>
    <row r="42" spans="1:8" x14ac:dyDescent="0.25">
      <c r="B42" t="s">
        <v>1014</v>
      </c>
      <c r="C42">
        <v>0</v>
      </c>
      <c r="D42">
        <v>40</v>
      </c>
      <c r="E42">
        <v>60</v>
      </c>
      <c r="F42">
        <v>80</v>
      </c>
    </row>
    <row r="43" spans="1:8" x14ac:dyDescent="0.25">
      <c r="B43" t="s">
        <v>1046</v>
      </c>
      <c r="C43">
        <v>0</v>
      </c>
      <c r="D43">
        <v>40</v>
      </c>
      <c r="E43">
        <v>60</v>
      </c>
      <c r="F43">
        <v>80</v>
      </c>
    </row>
    <row r="45" spans="1:8" s="107" customFormat="1" x14ac:dyDescent="0.25">
      <c r="A45" s="106"/>
      <c r="B45" s="107" t="s">
        <v>986</v>
      </c>
      <c r="H45" s="108"/>
    </row>
    <row r="46" spans="1:8" x14ac:dyDescent="0.25">
      <c r="B46" t="s">
        <v>1040</v>
      </c>
      <c r="C46">
        <v>70</v>
      </c>
      <c r="D46">
        <v>80</v>
      </c>
      <c r="E46">
        <v>85</v>
      </c>
      <c r="F46">
        <v>85</v>
      </c>
    </row>
    <row r="47" spans="1:8" x14ac:dyDescent="0.25">
      <c r="B47" t="s">
        <v>1033</v>
      </c>
      <c r="C47">
        <v>70</v>
      </c>
      <c r="D47">
        <v>80</v>
      </c>
      <c r="E47">
        <v>80</v>
      </c>
      <c r="F47">
        <v>80</v>
      </c>
    </row>
    <row r="48" spans="1:8" x14ac:dyDescent="0.25">
      <c r="B48" t="s">
        <v>1041</v>
      </c>
      <c r="C48">
        <v>60</v>
      </c>
      <c r="D48">
        <v>70</v>
      </c>
      <c r="E48">
        <v>70</v>
      </c>
      <c r="F48">
        <v>70</v>
      </c>
    </row>
    <row r="49" spans="2:8" x14ac:dyDescent="0.25">
      <c r="B49" t="s">
        <v>1034</v>
      </c>
      <c r="C49">
        <v>60</v>
      </c>
      <c r="D49">
        <v>70</v>
      </c>
      <c r="E49">
        <v>70</v>
      </c>
      <c r="F49">
        <v>70</v>
      </c>
    </row>
    <row r="50" spans="2:8" x14ac:dyDescent="0.25">
      <c r="B50" t="s">
        <v>1042</v>
      </c>
      <c r="C50">
        <v>75</v>
      </c>
      <c r="D50">
        <v>80</v>
      </c>
      <c r="E50">
        <v>85</v>
      </c>
      <c r="F50">
        <v>85</v>
      </c>
    </row>
    <row r="51" spans="2:8" x14ac:dyDescent="0.25">
      <c r="B51" t="s">
        <v>1035</v>
      </c>
      <c r="C51">
        <v>50</v>
      </c>
      <c r="D51">
        <v>60</v>
      </c>
      <c r="E51">
        <v>60</v>
      </c>
      <c r="F51">
        <v>60</v>
      </c>
    </row>
    <row r="52" spans="2:8" x14ac:dyDescent="0.25">
      <c r="B52" t="s">
        <v>1036</v>
      </c>
      <c r="C52">
        <v>60</v>
      </c>
      <c r="D52">
        <v>70</v>
      </c>
      <c r="E52">
        <v>70</v>
      </c>
      <c r="F52">
        <v>70</v>
      </c>
    </row>
    <row r="53" spans="2:8" x14ac:dyDescent="0.25">
      <c r="B53" t="s">
        <v>1037</v>
      </c>
      <c r="C53">
        <v>50</v>
      </c>
      <c r="D53">
        <v>60</v>
      </c>
      <c r="E53">
        <v>60</v>
      </c>
      <c r="F53">
        <v>60</v>
      </c>
    </row>
    <row r="54" spans="2:8" x14ac:dyDescent="0.25">
      <c r="B54" t="s">
        <v>1038</v>
      </c>
      <c r="C54">
        <v>60</v>
      </c>
      <c r="D54">
        <v>70</v>
      </c>
      <c r="E54">
        <v>70</v>
      </c>
      <c r="F54">
        <v>70</v>
      </c>
    </row>
    <row r="55" spans="2:8" x14ac:dyDescent="0.25">
      <c r="B55" t="s">
        <v>1039</v>
      </c>
      <c r="C55">
        <v>50</v>
      </c>
      <c r="D55">
        <v>60</v>
      </c>
      <c r="E55">
        <v>60</v>
      </c>
      <c r="F55">
        <v>60</v>
      </c>
    </row>
    <row r="56" spans="2:8" x14ac:dyDescent="0.25">
      <c r="B56" t="s">
        <v>1016</v>
      </c>
      <c r="C56">
        <v>0</v>
      </c>
      <c r="D56">
        <v>85</v>
      </c>
      <c r="E56">
        <v>85</v>
      </c>
      <c r="F56">
        <v>85</v>
      </c>
      <c r="H56" s="92"/>
    </row>
    <row r="57" spans="2:8" x14ac:dyDescent="0.25">
      <c r="B57" t="s">
        <v>1044</v>
      </c>
      <c r="C57">
        <v>0</v>
      </c>
      <c r="D57">
        <v>85</v>
      </c>
      <c r="E57">
        <v>85</v>
      </c>
      <c r="F57">
        <v>85</v>
      </c>
    </row>
    <row r="58" spans="2:8" x14ac:dyDescent="0.25">
      <c r="B58" t="s">
        <v>1045</v>
      </c>
      <c r="C58">
        <v>0</v>
      </c>
      <c r="D58">
        <v>60</v>
      </c>
      <c r="E58">
        <v>60</v>
      </c>
      <c r="F58">
        <v>60</v>
      </c>
    </row>
    <row r="59" spans="2:8" x14ac:dyDescent="0.25">
      <c r="B59" t="s">
        <v>1014</v>
      </c>
      <c r="C59">
        <v>0</v>
      </c>
      <c r="D59">
        <v>60</v>
      </c>
      <c r="E59">
        <v>60</v>
      </c>
      <c r="F59">
        <v>60</v>
      </c>
    </row>
    <row r="60" spans="2:8" x14ac:dyDescent="0.25">
      <c r="B60" t="s">
        <v>1047</v>
      </c>
      <c r="C60">
        <v>0</v>
      </c>
      <c r="D60">
        <v>60</v>
      </c>
      <c r="E60">
        <v>60</v>
      </c>
      <c r="F60">
        <v>60</v>
      </c>
    </row>
    <row r="61" spans="2:8" x14ac:dyDescent="0.25">
      <c r="B61" t="s">
        <v>1046</v>
      </c>
      <c r="C61">
        <v>0</v>
      </c>
      <c r="D61">
        <v>85</v>
      </c>
      <c r="E61">
        <v>85</v>
      </c>
      <c r="F61">
        <v>85</v>
      </c>
    </row>
    <row r="62" spans="2:8" x14ac:dyDescent="0.25">
      <c r="B62" t="s">
        <v>1015</v>
      </c>
      <c r="C62">
        <v>0</v>
      </c>
      <c r="D62">
        <v>60</v>
      </c>
      <c r="E62">
        <v>60</v>
      </c>
      <c r="F62">
        <v>60</v>
      </c>
    </row>
    <row r="63" spans="2:8" x14ac:dyDescent="0.25">
      <c r="B63" t="s">
        <v>1048</v>
      </c>
      <c r="C63">
        <v>0</v>
      </c>
      <c r="D63">
        <v>40</v>
      </c>
      <c r="E63">
        <v>40</v>
      </c>
      <c r="F63">
        <v>40</v>
      </c>
    </row>
    <row r="64" spans="2:8" x14ac:dyDescent="0.25">
      <c r="B64" t="s">
        <v>1050</v>
      </c>
      <c r="C64">
        <v>0</v>
      </c>
      <c r="D64">
        <v>0</v>
      </c>
      <c r="E64">
        <v>40</v>
      </c>
      <c r="F64">
        <v>40</v>
      </c>
    </row>
    <row r="65" spans="1:8" x14ac:dyDescent="0.25">
      <c r="B65" t="s">
        <v>1049</v>
      </c>
      <c r="C65">
        <v>0</v>
      </c>
      <c r="D65">
        <v>0</v>
      </c>
      <c r="E65">
        <v>20</v>
      </c>
      <c r="F65">
        <v>20</v>
      </c>
    </row>
    <row r="67" spans="1:8" s="107" customFormat="1" x14ac:dyDescent="0.25">
      <c r="A67" s="106"/>
      <c r="B67" s="107" t="s">
        <v>987</v>
      </c>
      <c r="H67" s="108"/>
    </row>
    <row r="68" spans="1:8" x14ac:dyDescent="0.25">
      <c r="B68" t="s">
        <v>1113</v>
      </c>
      <c r="C68">
        <v>0</v>
      </c>
      <c r="D68">
        <v>50</v>
      </c>
      <c r="E68">
        <v>100</v>
      </c>
      <c r="F68">
        <v>100</v>
      </c>
    </row>
    <row r="69" spans="1:8" x14ac:dyDescent="0.25">
      <c r="B69" t="s">
        <v>1114</v>
      </c>
      <c r="C69">
        <v>0</v>
      </c>
      <c r="D69">
        <v>50</v>
      </c>
      <c r="E69">
        <v>100</v>
      </c>
      <c r="F69">
        <v>100</v>
      </c>
    </row>
    <row r="70" spans="1:8" x14ac:dyDescent="0.25">
      <c r="B70" t="s">
        <v>1123</v>
      </c>
      <c r="C70">
        <v>0</v>
      </c>
      <c r="D70">
        <v>50</v>
      </c>
      <c r="E70">
        <v>100</v>
      </c>
      <c r="F70">
        <v>100</v>
      </c>
    </row>
    <row r="72" spans="1:8" s="107" customFormat="1" x14ac:dyDescent="0.25">
      <c r="A72" s="106"/>
      <c r="B72" s="107" t="s">
        <v>990</v>
      </c>
      <c r="H72" s="108"/>
    </row>
    <row r="73" spans="1:8" x14ac:dyDescent="0.25">
      <c r="B73" t="s">
        <v>1216</v>
      </c>
      <c r="C73">
        <v>0</v>
      </c>
      <c r="D73">
        <v>80</v>
      </c>
      <c r="E73">
        <v>100</v>
      </c>
      <c r="F73">
        <v>100</v>
      </c>
    </row>
    <row r="74" spans="1:8" x14ac:dyDescent="0.25">
      <c r="B74" t="s">
        <v>1217</v>
      </c>
      <c r="C74">
        <v>0</v>
      </c>
      <c r="D74">
        <v>0</v>
      </c>
      <c r="E74">
        <v>0</v>
      </c>
      <c r="F74">
        <v>0</v>
      </c>
    </row>
    <row r="75" spans="1:8" x14ac:dyDescent="0.25">
      <c r="B75" t="s">
        <v>1234</v>
      </c>
      <c r="C75">
        <v>0</v>
      </c>
      <c r="D75">
        <v>30</v>
      </c>
      <c r="E75">
        <v>40</v>
      </c>
      <c r="F75">
        <v>50</v>
      </c>
    </row>
    <row r="77" spans="1:8" s="107" customFormat="1" x14ac:dyDescent="0.25">
      <c r="A77" s="106"/>
      <c r="B77" s="107" t="s">
        <v>1375</v>
      </c>
      <c r="H77" s="108"/>
    </row>
    <row r="78" spans="1:8" x14ac:dyDescent="0.25">
      <c r="B78" t="s">
        <v>1366</v>
      </c>
      <c r="C78">
        <v>0</v>
      </c>
      <c r="D78">
        <v>15</v>
      </c>
      <c r="E78">
        <v>25</v>
      </c>
      <c r="F78">
        <v>30</v>
      </c>
    </row>
    <row r="79" spans="1:8" x14ac:dyDescent="0.25">
      <c r="B79" t="s">
        <v>1367</v>
      </c>
      <c r="C79">
        <v>0</v>
      </c>
      <c r="D79">
        <f>D78/3</f>
        <v>5</v>
      </c>
      <c r="E79" s="85">
        <f>E78/3</f>
        <v>8.3333333333333339</v>
      </c>
      <c r="F79">
        <f>F78/3</f>
        <v>10</v>
      </c>
    </row>
    <row r="80" spans="1:8" x14ac:dyDescent="0.25">
      <c r="B80" t="s">
        <v>1368</v>
      </c>
      <c r="C80">
        <v>0</v>
      </c>
      <c r="D80">
        <f>(D78-D79)+(0.05*(D78-D79))</f>
        <v>10.5</v>
      </c>
      <c r="E80">
        <f t="shared" ref="E80:F80" si="1">(E78-E79)+(0.05*(E78-E79))</f>
        <v>17.499999999999996</v>
      </c>
      <c r="F80">
        <f t="shared" si="1"/>
        <v>21</v>
      </c>
    </row>
    <row r="82" spans="1:8" s="107" customFormat="1" x14ac:dyDescent="0.25">
      <c r="A82" s="106"/>
      <c r="B82" s="107" t="s">
        <v>1376</v>
      </c>
      <c r="H82" s="108"/>
    </row>
    <row r="83" spans="1:8" x14ac:dyDescent="0.25">
      <c r="B83" t="s">
        <v>1366</v>
      </c>
      <c r="C83">
        <f>C78</f>
        <v>0</v>
      </c>
      <c r="D83">
        <f t="shared" ref="D83:F83" si="2">D78</f>
        <v>15</v>
      </c>
      <c r="E83">
        <f t="shared" si="2"/>
        <v>25</v>
      </c>
      <c r="F83">
        <f t="shared" si="2"/>
        <v>30</v>
      </c>
    </row>
    <row r="85" spans="1:8" s="107" customFormat="1" x14ac:dyDescent="0.25">
      <c r="A85" s="106"/>
      <c r="B85" s="107" t="s">
        <v>993</v>
      </c>
      <c r="H85" s="108"/>
    </row>
    <row r="88" spans="1:8" s="107" customFormat="1" x14ac:dyDescent="0.25">
      <c r="A88" s="106"/>
      <c r="B88" s="107" t="s">
        <v>1255</v>
      </c>
      <c r="H88" s="108"/>
    </row>
    <row r="89" spans="1:8" x14ac:dyDescent="0.25">
      <c r="B89" t="s">
        <v>1256</v>
      </c>
      <c r="C89">
        <v>0</v>
      </c>
      <c r="D89">
        <v>0.5</v>
      </c>
      <c r="E89">
        <v>0.8</v>
      </c>
      <c r="F89">
        <v>1</v>
      </c>
    </row>
    <row r="90" spans="1:8" x14ac:dyDescent="0.25">
      <c r="B90" t="s">
        <v>1257</v>
      </c>
      <c r="C90">
        <v>0</v>
      </c>
      <c r="D90">
        <v>0.2</v>
      </c>
      <c r="E90">
        <v>0.3</v>
      </c>
      <c r="F90">
        <v>0.4</v>
      </c>
    </row>
    <row r="91" spans="1:8" x14ac:dyDescent="0.25">
      <c r="B91" t="s">
        <v>1258</v>
      </c>
      <c r="C91">
        <v>0</v>
      </c>
      <c r="D91">
        <v>0.2</v>
      </c>
      <c r="E91">
        <v>0.3</v>
      </c>
      <c r="F91">
        <v>0.4</v>
      </c>
    </row>
    <row r="92" spans="1:8" x14ac:dyDescent="0.25">
      <c r="B92" t="s">
        <v>1259</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29604.633101526648</v>
      </c>
      <c r="AU4" s="81">
        <f t="shared" si="0"/>
        <v>28926.379495885223</v>
      </c>
      <c r="AV4" s="81">
        <f t="shared" si="0"/>
        <v>28670.664413493127</v>
      </c>
      <c r="AW4" s="81">
        <f>AW11-AV11</f>
        <v>28127.276113010943</v>
      </c>
      <c r="AX4" s="81">
        <f t="shared" si="0"/>
        <v>27988.312158547342</v>
      </c>
      <c r="AY4" s="81">
        <f t="shared" si="0"/>
        <v>27761.179611247033</v>
      </c>
      <c r="AZ4" s="81">
        <f t="shared" si="0"/>
        <v>27311.607044387609</v>
      </c>
      <c r="BA4" s="15">
        <f>BA8/'Intermediate calculations'!AV8</f>
        <v>3.5308171115186591</v>
      </c>
      <c r="BB4" s="15">
        <f>BB8/'Intermediate calculations'!AW8</f>
        <v>3.433253102298393</v>
      </c>
      <c r="BC4" s="15">
        <f>BC8/'Intermediate calculations'!AX8</f>
        <v>3.3377541092705756</v>
      </c>
      <c r="BD4" s="15">
        <f>BD8/'Intermediate calculations'!AY8</f>
        <v>3.2442330159192263</v>
      </c>
      <c r="BE4" s="15">
        <f>BE8/'Intermediate calculations'!AZ8</f>
        <v>3.1526086459819278</v>
      </c>
      <c r="BF4" s="15">
        <f>BF8/'Intermediate calculations'!BA8</f>
        <v>3.0628052211155765</v>
      </c>
      <c r="BG4" s="15">
        <f>BG8/'Intermediate calculations'!BB8</f>
        <v>2.9899291852606651</v>
      </c>
      <c r="BH4" s="15">
        <f>BH8/'Intermediate calculations'!BC8</f>
        <v>2.9184695640871481</v>
      </c>
      <c r="BI4" s="15">
        <f>BI8/'Intermediate calculations'!BD8</f>
        <v>2.8483729040734156</v>
      </c>
      <c r="BJ4" s="15">
        <f>BJ8/'Intermediate calculations'!BE8</f>
        <v>2.7795890112494352</v>
      </c>
      <c r="BK4" s="15">
        <f>BK8/'Intermediate calculations'!BF8</f>
        <v>2.7120706846423075</v>
      </c>
      <c r="BL4" s="15">
        <f>BL8/'Intermediate calculations'!BG8</f>
        <v>2.6457734767135377</v>
      </c>
      <c r="BM4" s="15">
        <f>BM8/'Intermediate calculations'!BH8</f>
        <v>2.5806554775554118</v>
      </c>
      <c r="BN4" s="15">
        <f>BN8/'Intermediate calculations'!BI8</f>
        <v>2.5166771200581555</v>
      </c>
      <c r="BO4" s="15">
        <f>BO8/'Intermediate calculations'!BJ8</f>
        <v>2.4538010036352187</v>
      </c>
      <c r="BP4" s="15">
        <f>BP8/'Intermediate calculations'!BK8</f>
        <v>2.3919917344128283</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593358.66490468499</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591037.14961379278</v>
      </c>
      <c r="AM5" s="102">
        <f>IF($AD$2="Off",'Activity data'!AM5,'Net zero Intermediate calcs'!AH15*'Net zero Intermediate calcs'!AH16*Constants!$H$18)</f>
        <v>602956.03617813659</v>
      </c>
      <c r="AN5" s="102">
        <f>IF($AD$2="Off",'Activity data'!AN5,'Net zero Intermediate calcs'!AI15*'Net zero Intermediate calcs'!AI16*Constants!$H$18)</f>
        <v>608872.68170862389</v>
      </c>
      <c r="AO5" s="102">
        <f>IF($AD$2="Off",'Activity data'!AO5,'Net zero Intermediate calcs'!AJ15*'Net zero Intermediate calcs'!AJ16*Constants!$H$18)</f>
        <v>610417.86935989198</v>
      </c>
      <c r="AP5" s="102">
        <f>IF($AD$2="Off",'Activity data'!AP5,'Net zero Intermediate calcs'!AK15*'Net zero Intermediate calcs'!AK16*Constants!$H$18)</f>
        <v>612614.94471857976</v>
      </c>
      <c r="AQ5" s="102">
        <f>IF($AD$2="Off",'Activity data'!AQ5,'Net zero Intermediate calcs'!AL15*'Net zero Intermediate calcs'!AL16*Constants!$H$18)</f>
        <v>616301.6537342408</v>
      </c>
      <c r="AR5" s="102">
        <f>IF($AD$2="Off",'Activity data'!AR5,'Net zero Intermediate calcs'!AM15*'Net zero Intermediate calcs'!AM16*Constants!$H$18)</f>
        <v>621171.9260892031</v>
      </c>
      <c r="AS5" s="102">
        <f>IF($AD$2="Off",'Activity data'!AS5,'Net zero Intermediate calcs'!AN15*'Net zero Intermediate calcs'!AN16*Constants!$H$18)</f>
        <v>626624.7388894558</v>
      </c>
      <c r="AT5" s="102">
        <f>IF($AD$2="Off",'Activity data'!AT5,'Net zero Intermediate calcs'!AO15*'Net zero Intermediate calcs'!AO16*Constants!$H$18)</f>
        <v>632831.82517196704</v>
      </c>
      <c r="AU5" s="102">
        <f>IF($AD$2="Off",'Activity data'!AU5,'Net zero Intermediate calcs'!AP15*'Net zero Intermediate calcs'!AP16*Constants!$H$18)</f>
        <v>640325.3816612243</v>
      </c>
      <c r="AV5" s="102">
        <f>IF($AD$2="Off",'Activity data'!AV5,'Net zero Intermediate calcs'!AQ15*'Net zero Intermediate calcs'!AQ16*Constants!$H$18)</f>
        <v>649061.87713400729</v>
      </c>
      <c r="AW5" s="102">
        <f>IF($AD$2="Off",'Activity data'!AW5,'Net zero Intermediate calcs'!AR15*'Net zero Intermediate calcs'!AR16*Constants!$H$18)</f>
        <v>658570.8020478657</v>
      </c>
      <c r="AX5" s="102">
        <f>IF($AD$2="Off",'Activity data'!AX5,'Net zero Intermediate calcs'!AS15*'Net zero Intermediate calcs'!AS16*Constants!$H$18)</f>
        <v>668843.56237672991</v>
      </c>
      <c r="AY5" s="102">
        <f>IF($AD$2="Off",'Activity data'!AY5,'Net zero Intermediate calcs'!AT15*'Net zero Intermediate calcs'!AT16*Constants!$H$18)</f>
        <v>679619.47621619399</v>
      </c>
      <c r="AZ5" s="102">
        <f>IF($AD$2="Off",'Activity data'!AZ5,'Net zero Intermediate calcs'!AU15*'Net zero Intermediate calcs'!AU16*Constants!$H$18)</f>
        <v>691019.0701412101</v>
      </c>
      <c r="BA5" s="102">
        <f>IF($AD$2="Off",'Activity data'!BA5,'Net zero Intermediate calcs'!AV15*'Net zero Intermediate calcs'!AV16*Constants!$H$18)</f>
        <v>702925.13128206437</v>
      </c>
      <c r="BB5" s="102">
        <f>IF($AD$2="Off",'Activity data'!BB5,'Net zero Intermediate calcs'!AW15*'Net zero Intermediate calcs'!AW16*Constants!$H$18)</f>
        <v>714878.86917754635</v>
      </c>
      <c r="BC5" s="102">
        <f>IF($AD$2="Off",'Activity data'!BC5,'Net zero Intermediate calcs'!AX15*'Net zero Intermediate calcs'!AX16*Constants!$H$18)</f>
        <v>727552.6518650424</v>
      </c>
      <c r="BD5" s="102">
        <f>IF($AD$2="Off",'Activity data'!BD5,'Net zero Intermediate calcs'!AY15*'Net zero Intermediate calcs'!AY16*Constants!$H$18)</f>
        <v>740503.44254802458</v>
      </c>
      <c r="BE5" s="102">
        <f>IF($AD$2="Off",'Activity data'!BE5,'Net zero Intermediate calcs'!AZ15*'Net zero Intermediate calcs'!AZ16*Constants!$H$18)</f>
        <v>753698.30318611918</v>
      </c>
      <c r="BF5" s="102">
        <f>IF($AD$2="Off",'Activity data'!BF5,'Net zero Intermediate calcs'!BA15*'Net zero Intermediate calcs'!BA16*Constants!$H$18)</f>
        <v>767349.81888702617</v>
      </c>
      <c r="BG5" s="102">
        <f>IF($AD$2="Off",'Activity data'!BG5,'Net zero Intermediate calcs'!BB15*'Net zero Intermediate calcs'!BB16*Constants!$H$18)</f>
        <v>780948.35952281742</v>
      </c>
      <c r="BH5" s="102">
        <f>IF($AD$2="Off",'Activity data'!BH5,'Net zero Intermediate calcs'!BC15*'Net zero Intermediate calcs'!BC16*Constants!$H$18)</f>
        <v>795200.10820186988</v>
      </c>
      <c r="BI5" s="102">
        <f>IF($AD$2="Off",'Activity data'!BI5,'Net zero Intermediate calcs'!BD15*'Net zero Intermediate calcs'!BD16*Constants!$H$18)</f>
        <v>810368.19006591034</v>
      </c>
      <c r="BJ5" s="102">
        <f>IF($AD$2="Off",'Activity data'!BJ5,'Net zero Intermediate calcs'!BE15*'Net zero Intermediate calcs'!BE16*Constants!$H$18)</f>
        <v>826022.58345255663</v>
      </c>
      <c r="BK5" s="102">
        <f>IF($AD$2="Off",'Activity data'!BK5,'Net zero Intermediate calcs'!BF15*'Net zero Intermediate calcs'!BF16*Constants!$H$18)</f>
        <v>842191.6096591925</v>
      </c>
      <c r="BL5" s="102">
        <f>IF($AD$2="Off",'Activity data'!BL5,'Net zero Intermediate calcs'!BG15*'Net zero Intermediate calcs'!BG16*Constants!$H$18)</f>
        <v>859372.82823453296</v>
      </c>
      <c r="BM5" s="102">
        <f>IF($AD$2="Off",'Activity data'!BM5,'Net zero Intermediate calcs'!BH15*'Net zero Intermediate calcs'!BH16*Constants!$H$18)</f>
        <v>877421.74418922595</v>
      </c>
      <c r="BN5" s="102">
        <f>IF($AD$2="Off",'Activity data'!BN5,'Net zero Intermediate calcs'!BI15*'Net zero Intermediate calcs'!BI16*Constants!$H$18)</f>
        <v>896245.23756638065</v>
      </c>
      <c r="BO5" s="102">
        <f>IF($AD$2="Off",'Activity data'!BO5,'Net zero Intermediate calcs'!BJ15*'Net zero Intermediate calcs'!BJ16*Constants!$H$18)</f>
        <v>916182.49352342752</v>
      </c>
      <c r="BP5" s="102">
        <f>IF($AD$2="Off",'Activity data'!BP5,'Net zero Intermediate calcs'!BK15*'Net zero Intermediate calcs'!BK16*Constants!$H$18)</f>
        <v>935365.80916547542</v>
      </c>
      <c r="BQ5">
        <v>840617.99710661627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491640.03663531045</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489716.49539428548</v>
      </c>
      <c r="AM6" s="102">
        <f>IF($AD$2="Off",'Activity data'!AM6,'Net zero Intermediate calcs'!AH15*'Net zero Intermediate calcs'!AH16*Constants!$H$19)</f>
        <v>499592.14426188462</v>
      </c>
      <c r="AN6" s="102">
        <f>IF($AD$2="Off",'Activity data'!AN6,'Net zero Intermediate calcs'!AI15*'Net zero Intermediate calcs'!AI16*Constants!$H$19)</f>
        <v>504494.50770143128</v>
      </c>
      <c r="AO6" s="102">
        <f>IF($AD$2="Off",'Activity data'!AO6,'Net zero Intermediate calcs'!AJ15*'Net zero Intermediate calcs'!AJ16*Constants!$H$19)</f>
        <v>505774.80604105332</v>
      </c>
      <c r="AP6" s="102">
        <f>IF($AD$2="Off",'Activity data'!AP6,'Net zero Intermediate calcs'!AK15*'Net zero Intermediate calcs'!AK16*Constants!$H$19)</f>
        <v>507595.23990968033</v>
      </c>
      <c r="AQ6" s="102">
        <f>IF($AD$2="Off",'Activity data'!AQ6,'Net zero Intermediate calcs'!AL15*'Net zero Intermediate calcs'!AL16*Constants!$H$19)</f>
        <v>510649.94166551379</v>
      </c>
      <c r="AR6" s="102">
        <f>IF($AD$2="Off",'Activity data'!AR6,'Net zero Intermediate calcs'!AM15*'Net zero Intermediate calcs'!AM16*Constants!$H$19)</f>
        <v>514685.31018819683</v>
      </c>
      <c r="AS6" s="102">
        <f>IF($AD$2="Off",'Activity data'!AS6,'Net zero Intermediate calcs'!AN15*'Net zero Intermediate calcs'!AN16*Constants!$H$19)</f>
        <v>519203.35507983482</v>
      </c>
      <c r="AT6" s="102">
        <f>IF($AD$2="Off",'Activity data'!AT6,'Net zero Intermediate calcs'!AO15*'Net zero Intermediate calcs'!AO16*Constants!$H$19)</f>
        <v>524346.36942820135</v>
      </c>
      <c r="AU6" s="102">
        <f>IF($AD$2="Off",'Activity data'!AU6,'Net zero Intermediate calcs'!AP15*'Net zero Intermediate calcs'!AP16*Constants!$H$19)</f>
        <v>530555.31623358582</v>
      </c>
      <c r="AV6" s="102">
        <f>IF($AD$2="Off",'Activity data'!AV6,'Net zero Intermediate calcs'!AQ15*'Net zero Intermediate calcs'!AQ16*Constants!$H$19)</f>
        <v>537794.12676817749</v>
      </c>
      <c r="AW6" s="102">
        <f>IF($AD$2="Off",'Activity data'!AW6,'Net zero Intermediate calcs'!AR15*'Net zero Intermediate calcs'!AR16*Constants!$H$19)</f>
        <v>545672.95026823157</v>
      </c>
      <c r="AX6" s="102">
        <f>IF($AD$2="Off",'Activity data'!AX6,'Net zero Intermediate calcs'!AS15*'Net zero Intermediate calcs'!AS16*Constants!$H$19)</f>
        <v>554184.66596929042</v>
      </c>
      <c r="AY6" s="102">
        <f>IF($AD$2="Off",'Activity data'!AY6,'Net zero Intermediate calcs'!AT15*'Net zero Intermediate calcs'!AT16*Constants!$H$19)</f>
        <v>563113.28029341786</v>
      </c>
      <c r="AZ6" s="102">
        <f>IF($AD$2="Off",'Activity data'!AZ6,'Net zero Intermediate calcs'!AU15*'Net zero Intermediate calcs'!AU16*Constants!$H$19)</f>
        <v>572558.65811700269</v>
      </c>
      <c r="BA6" s="102">
        <f>IF($AD$2="Off",'Activity data'!BA6,'Net zero Intermediate calcs'!AV15*'Net zero Intermediate calcs'!AV16*Constants!$H$19)</f>
        <v>582423.68020513898</v>
      </c>
      <c r="BB6" s="102">
        <f>IF($AD$2="Off",'Activity data'!BB6,'Net zero Intermediate calcs'!AW15*'Net zero Intermediate calcs'!AW16*Constants!$H$19)</f>
        <v>592328.20588996704</v>
      </c>
      <c r="BC6" s="102">
        <f>IF($AD$2="Off",'Activity data'!BC6,'Net zero Intermediate calcs'!AX15*'Net zero Intermediate calcs'!AX16*Constants!$H$19)</f>
        <v>602829.3401167494</v>
      </c>
      <c r="BD6" s="102">
        <f>IF($AD$2="Off",'Activity data'!BD6,'Net zero Intermediate calcs'!AY15*'Net zero Intermediate calcs'!AY16*Constants!$H$19)</f>
        <v>613559.9952540776</v>
      </c>
      <c r="BE6" s="102">
        <f>IF($AD$2="Off",'Activity data'!BE6,'Net zero Intermediate calcs'!AZ15*'Net zero Intermediate calcs'!AZ16*Constants!$H$19)</f>
        <v>624492.8797827845</v>
      </c>
      <c r="BF6" s="102">
        <f>IF($AD$2="Off",'Activity data'!BF6,'Net zero Intermediate calcs'!BA15*'Net zero Intermediate calcs'!BA16*Constants!$H$19)</f>
        <v>635804.13564925024</v>
      </c>
      <c r="BG6" s="102">
        <f>IF($AD$2="Off",'Activity data'!BG6,'Net zero Intermediate calcs'!BB15*'Net zero Intermediate calcs'!BB16*Constants!$H$19)</f>
        <v>647071.49789033434</v>
      </c>
      <c r="BH6" s="102">
        <f>IF($AD$2="Off",'Activity data'!BH6,'Net zero Intermediate calcs'!BC15*'Net zero Intermediate calcs'!BC16*Constants!$H$19)</f>
        <v>658880.08965297788</v>
      </c>
      <c r="BI6" s="102">
        <f>IF($AD$2="Off",'Activity data'!BI6,'Net zero Intermediate calcs'!BD15*'Net zero Intermediate calcs'!BD16*Constants!$H$19)</f>
        <v>671447.92891175428</v>
      </c>
      <c r="BJ6" s="102">
        <f>IF($AD$2="Off",'Activity data'!BJ6,'Net zero Intermediate calcs'!BE15*'Net zero Intermediate calcs'!BE16*Constants!$H$19)</f>
        <v>684418.71200354688</v>
      </c>
      <c r="BK6" s="102">
        <f>IF($AD$2="Off",'Activity data'!BK6,'Net zero Intermediate calcs'!BF15*'Net zero Intermediate calcs'!BF16*Constants!$H$19)</f>
        <v>697815.9051461881</v>
      </c>
      <c r="BL6" s="102">
        <f>IF($AD$2="Off",'Activity data'!BL6,'Net zero Intermediate calcs'!BG15*'Net zero Intermediate calcs'!BG16*Constants!$H$19)</f>
        <v>712051.77196575585</v>
      </c>
      <c r="BM6" s="102">
        <f>IF($AD$2="Off",'Activity data'!BM6,'Net zero Intermediate calcs'!BH15*'Net zero Intermediate calcs'!BH16*Constants!$H$19)</f>
        <v>727006.58804250148</v>
      </c>
      <c r="BN6" s="102">
        <f>IF($AD$2="Off",'Activity data'!BN6,'Net zero Intermediate calcs'!BI15*'Net zero Intermediate calcs'!BI16*Constants!$H$19)</f>
        <v>742603.19684071536</v>
      </c>
      <c r="BO6" s="102">
        <f>IF($AD$2="Off",'Activity data'!BO6,'Net zero Intermediate calcs'!BJ15*'Net zero Intermediate calcs'!BJ16*Constants!$H$19)</f>
        <v>759122.63749083993</v>
      </c>
      <c r="BP6" s="102">
        <f>IF($AD$2="Off",'Activity data'!BP6,'Net zero Intermediate calcs'!BK15*'Net zero Intermediate calcs'!BK16*Constants!$H$19)</f>
        <v>775017.38473710825</v>
      </c>
      <c r="BQ6">
        <v>696512.05474548205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607923.92531704414</v>
      </c>
      <c r="AM7" s="102">
        <f>IF($AD$2="Off",'Activity data'!AM7,'Net zero Intermediate calcs'!AH15*'Net zero Intermediate calcs'!AH16*(1-Constants!$H$18-Constants!$H$19))</f>
        <v>620183.35149751208</v>
      </c>
      <c r="AN7" s="102">
        <f>IF($AD$2="Off",'Activity data'!AN7,'Net zero Intermediate calcs'!AI15*'Net zero Intermediate calcs'!AI16*(1-Constants!$H$18-Constants!$H$19))</f>
        <v>626269.0440431562</v>
      </c>
      <c r="AO7" s="102">
        <f>IF($AD$2="Off",'Activity data'!AO7,'Net zero Intermediate calcs'!AJ15*'Net zero Intermediate calcs'!AJ16*(1-Constants!$H$18-Constants!$H$19))</f>
        <v>627858.37991303182</v>
      </c>
      <c r="AP7" s="102">
        <f>IF($AD$2="Off",'Activity data'!AP7,'Net zero Intermediate calcs'!AK15*'Net zero Intermediate calcs'!AK16*(1-Constants!$H$18-Constants!$H$19))</f>
        <v>630118.22885339637</v>
      </c>
      <c r="AQ7" s="102">
        <f>IF($AD$2="Off",'Activity data'!AQ7,'Net zero Intermediate calcs'!AL15*'Net zero Intermediate calcs'!AL16*(1-Constants!$H$18-Constants!$H$19))</f>
        <v>633910.27241236204</v>
      </c>
      <c r="AR7" s="102">
        <f>IF($AD$2="Off",'Activity data'!AR7,'Net zero Intermediate calcs'!AM15*'Net zero Intermediate calcs'!AM16*(1-Constants!$H$18-Constants!$H$19))</f>
        <v>638919.6954060375</v>
      </c>
      <c r="AS7" s="102">
        <f>IF($AD$2="Off",'Activity data'!AS7,'Net zero Intermediate calcs'!AN15*'Net zero Intermediate calcs'!AN16*(1-Constants!$H$18-Constants!$H$19))</f>
        <v>644528.30285772611</v>
      </c>
      <c r="AT7" s="102">
        <f>IF($AD$2="Off",'Activity data'!AT7,'Net zero Intermediate calcs'!AO15*'Net zero Intermediate calcs'!AO16*(1-Constants!$H$18-Constants!$H$19))</f>
        <v>650912.73446259485</v>
      </c>
      <c r="AU7" s="102">
        <f>IF($AD$2="Off",'Activity data'!AU7,'Net zero Intermediate calcs'!AP15*'Net zero Intermediate calcs'!AP16*(1-Constants!$H$18-Constants!$H$19))</f>
        <v>658620.39256583073</v>
      </c>
      <c r="AV7" s="102">
        <f>IF($AD$2="Off",'Activity data'!AV7,'Net zero Intermediate calcs'!AQ15*'Net zero Intermediate calcs'!AQ16*(1-Constants!$H$18-Constants!$H$19))</f>
        <v>667606.502194979</v>
      </c>
      <c r="AW7" s="102">
        <f>IF($AD$2="Off",'Activity data'!AW7,'Net zero Intermediate calcs'!AR15*'Net zero Intermediate calcs'!AR16*(1-Constants!$H$18-Constants!$H$19))</f>
        <v>677387.1106778048</v>
      </c>
      <c r="AX7" s="102">
        <f>IF($AD$2="Off",'Activity data'!AX7,'Net zero Intermediate calcs'!AS15*'Net zero Intermediate calcs'!AS16*(1-Constants!$H$18-Constants!$H$19))</f>
        <v>687953.37844463659</v>
      </c>
      <c r="AY7" s="102">
        <f>IF($AD$2="Off",'Activity data'!AY7,'Net zero Intermediate calcs'!AT15*'Net zero Intermediate calcs'!AT16*(1-Constants!$H$18-Constants!$H$19))</f>
        <v>699037.17553665675</v>
      </c>
      <c r="AZ7" s="102">
        <f>IF($AD$2="Off",'Activity data'!AZ7,'Net zero Intermediate calcs'!AU15*'Net zero Intermediate calcs'!AU16*(1-Constants!$H$18-Constants!$H$19))</f>
        <v>710762.47214524483</v>
      </c>
      <c r="BA7" s="102">
        <f>IF($AD$2="Off",'Activity data'!BA7,'Net zero Intermediate calcs'!AV15*'Net zero Intermediate calcs'!AV16*(1-Constants!$H$18-Constants!$H$19))</f>
        <v>723008.70646155195</v>
      </c>
      <c r="BB7" s="102">
        <f>IF($AD$2="Off",'Activity data'!BB7,'Net zero Intermediate calcs'!AW15*'Net zero Intermediate calcs'!AW16*(1-Constants!$H$18-Constants!$H$19))</f>
        <v>735303.97972547635</v>
      </c>
      <c r="BC7" s="102">
        <f>IF($AD$2="Off",'Activity data'!BC7,'Net zero Intermediate calcs'!AX15*'Net zero Intermediate calcs'!AX16*(1-Constants!$H$18-Constants!$H$19))</f>
        <v>748339.87048975797</v>
      </c>
      <c r="BD7" s="102">
        <f>IF($AD$2="Off",'Activity data'!BD7,'Net zero Intermediate calcs'!AY15*'Net zero Intermediate calcs'!AY16*(1-Constants!$H$18-Constants!$H$19))</f>
        <v>761660.68376368261</v>
      </c>
      <c r="BE7" s="102">
        <f>IF($AD$2="Off",'Activity data'!BE7,'Net zero Intermediate calcs'!AZ15*'Net zero Intermediate calcs'!AZ16*(1-Constants!$H$18-Constants!$H$19))</f>
        <v>775232.54042000847</v>
      </c>
      <c r="BF7" s="102">
        <f>IF($AD$2="Off",'Activity data'!BF7,'Net zero Intermediate calcs'!BA15*'Net zero Intermediate calcs'!BA16*(1-Constants!$H$18-Constants!$H$19))</f>
        <v>789274.09942665556</v>
      </c>
      <c r="BG7" s="102">
        <f>IF($AD$2="Off",'Activity data'!BG7,'Net zero Intermediate calcs'!BB15*'Net zero Intermediate calcs'!BB16*(1-Constants!$H$18-Constants!$H$19))</f>
        <v>803261.16979489801</v>
      </c>
      <c r="BH7" s="102">
        <f>IF($AD$2="Off",'Activity data'!BH7,'Net zero Intermediate calcs'!BC15*'Net zero Intermediate calcs'!BC16*(1-Constants!$H$18-Constants!$H$19))</f>
        <v>817920.11129335209</v>
      </c>
      <c r="BI7" s="102">
        <f>IF($AD$2="Off",'Activity data'!BI7,'Net zero Intermediate calcs'!BD15*'Net zero Intermediate calcs'!BD16*(1-Constants!$H$18-Constants!$H$19))</f>
        <v>833521.56692493649</v>
      </c>
      <c r="BJ7" s="102">
        <f>IF($AD$2="Off",'Activity data'!BJ7,'Net zero Intermediate calcs'!BE15*'Net zero Intermediate calcs'!BE16*(1-Constants!$H$18-Constants!$H$19))</f>
        <v>849623.22869405837</v>
      </c>
      <c r="BK7" s="102">
        <f>IF($AD$2="Off",'Activity data'!BK7,'Net zero Intermediate calcs'!BF15*'Net zero Intermediate calcs'!BF16*(1-Constants!$H$18-Constants!$H$19))</f>
        <v>866254.22707802674</v>
      </c>
      <c r="BL7" s="102">
        <f>IF($AD$2="Off",'Activity data'!BL7,'Net zero Intermediate calcs'!BG15*'Net zero Intermediate calcs'!BG16*(1-Constants!$H$18-Constants!$H$19))</f>
        <v>883926.33761266258</v>
      </c>
      <c r="BM7" s="102">
        <f>IF($AD$2="Off",'Activity data'!BM7,'Net zero Intermediate calcs'!BH15*'Net zero Intermediate calcs'!BH16*(1-Constants!$H$18-Constants!$H$19))</f>
        <v>902490.93688034685</v>
      </c>
      <c r="BN7" s="102">
        <f>IF($AD$2="Off",'Activity data'!BN7,'Net zero Intermediate calcs'!BI15*'Net zero Intermediate calcs'!BI16*(1-Constants!$H$18-Constants!$H$19))</f>
        <v>921852.2443539917</v>
      </c>
      <c r="BO7" s="102">
        <f>IF($AD$2="Off",'Activity data'!BO7,'Net zero Intermediate calcs'!BJ15*'Net zero Intermediate calcs'!BJ16*(1-Constants!$H$18-Constants!$H$19))</f>
        <v>942359.13619552553</v>
      </c>
      <c r="BP7" s="102">
        <f>IF($AD$2="Off",'Activity data'!BP7,'Net zero Intermediate calcs'!BK15*'Net zero Intermediate calcs'!BK16*(1-Constants!$H$18-Constants!$H$19))</f>
        <v>962090.5465702035</v>
      </c>
      <c r="BQ7">
        <v>864635.65416680544</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5954880.1627134709</v>
      </c>
      <c r="AE8" s="102">
        <f>IF($AD$2="Off",'Activity data'!AE8,'Net zero Intermediate calcs'!Z10*'Net zero Intermediate calcs'!Z11*Constants!$H$20)</f>
        <v>5903235.3888004757</v>
      </c>
      <c r="AF8" s="102">
        <f>IF($AD$2="Off",'Activity data'!AF8,'Net zero Intermediate calcs'!AA10*'Net zero Intermediate calcs'!AA11*Constants!$H$20)</f>
        <v>5883575.7867908701</v>
      </c>
      <c r="AG8" s="102">
        <f>IF($AD$2="Off",'Activity data'!AG8,'Net zero Intermediate calcs'!AB10*'Net zero Intermediate calcs'!AB11*Constants!$H$20)</f>
        <v>5805008.3335930631</v>
      </c>
      <c r="AH8" s="102">
        <f>IF($AD$2="Off",'Activity data'!AH8,'Net zero Intermediate calcs'!AC10*'Net zero Intermediate calcs'!AC11*Constants!$H$20)</f>
        <v>5690965.7565264758</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4748663.1043264745</v>
      </c>
      <c r="AM8" s="102">
        <f>IF($AD$2="Off",'Activity data'!AM8,'Net zero Intermediate calcs'!AH10*'Net zero Intermediate calcs'!AH11*Constants!$H$20)</f>
        <v>4975698.1204633834</v>
      </c>
      <c r="AN8" s="102">
        <f>IF($AD$2="Off",'Activity data'!AN8,'Net zero Intermediate calcs'!AI10*'Net zero Intermediate calcs'!AI11*Constants!$H$20)</f>
        <v>5054297.6867420916</v>
      </c>
      <c r="AO8" s="102">
        <f>IF($AD$2="Off",'Activity data'!AO8,'Net zero Intermediate calcs'!AJ10*'Net zero Intermediate calcs'!AJ11*Constants!$H$20)</f>
        <v>5020164.632735569</v>
      </c>
      <c r="AP8" s="102">
        <f>IF($AD$2="Off",'Activity data'!AP8,'Net zero Intermediate calcs'!AK10*'Net zero Intermediate calcs'!AK11*Constants!$H$20)</f>
        <v>4992399.7967124144</v>
      </c>
      <c r="AQ8" s="102">
        <f>IF($AD$2="Off",'Activity data'!AQ8,'Net zero Intermediate calcs'!AL10*'Net zero Intermediate calcs'!AL11*Constants!$H$20)</f>
        <v>4994223.6401157631</v>
      </c>
      <c r="AR8" s="102">
        <f>IF($AD$2="Off",'Activity data'!AR8,'Net zero Intermediate calcs'!AM10*'Net zero Intermediate calcs'!AM11*Constants!$H$20)</f>
        <v>5023550.103307955</v>
      </c>
      <c r="AS8" s="102">
        <f>IF($AD$2="Off",'Activity data'!AS8,'Net zero Intermediate calcs'!AN10*'Net zero Intermediate calcs'!AN11*Constants!$H$20)</f>
        <v>5065162.3418486938</v>
      </c>
      <c r="AT8" s="102">
        <f>IF($AD$2="Off",'Activity data'!AT8,'Net zero Intermediate calcs'!AO10*'Net zero Intermediate calcs'!AO11*Constants!$H$20)</f>
        <v>5122412.1723342743</v>
      </c>
      <c r="AU8" s="102">
        <f>IF($AD$2="Off",'Activity data'!AU8,'Net zero Intermediate calcs'!AP10*'Net zero Intermediate calcs'!AP11*Constants!$H$20)</f>
        <v>5206271.9395817183</v>
      </c>
      <c r="AV8" s="102">
        <f>IF($AD$2="Off",'Activity data'!AV8,'Net zero Intermediate calcs'!AQ10*'Net zero Intermediate calcs'!AQ11*Constants!$H$20)</f>
        <v>5314373.2496831566</v>
      </c>
      <c r="AW8" s="102">
        <f>IF($AD$2="Off",'Activity data'!AW8,'Net zero Intermediate calcs'!AR10*'Net zero Intermediate calcs'!AR11*Constants!$H$20)</f>
        <v>5389740.9504844137</v>
      </c>
      <c r="AX8" s="102">
        <f>IF($AD$2="Off",'Activity data'!AX8,'Net zero Intermediate calcs'!AS10*'Net zero Intermediate calcs'!AS11*Constants!$H$20)</f>
        <v>5474011.7219505608</v>
      </c>
      <c r="AY8" s="102">
        <f>IF($AD$2="Off",'Activity data'!AY8,'Net zero Intermediate calcs'!AT10*'Net zero Intermediate calcs'!AT11*Constants!$H$20)</f>
        <v>5560834.8092291318</v>
      </c>
      <c r="AZ8" s="102">
        <f>IF($AD$2="Off",'Activity data'!AZ8,'Net zero Intermediate calcs'!AU10*'Net zero Intermediate calcs'!AU11*Constants!$H$20)</f>
        <v>5652138.8869073428</v>
      </c>
      <c r="BA8" s="102">
        <f>IF($AD$2="Off",'Activity data'!BA8,'Net zero Intermediate calcs'!AV10*'Net zero Intermediate calcs'!AV11*Constants!$H$20)</f>
        <v>5744810.5110138832</v>
      </c>
      <c r="BB8" s="102">
        <f>IF($AD$2="Off",'Activity data'!BB8,'Net zero Intermediate calcs'!AW10*'Net zero Intermediate calcs'!AW11*Constants!$H$20)</f>
        <v>5829436.1712408708</v>
      </c>
      <c r="BC8" s="102">
        <f>IF($AD$2="Off",'Activity data'!BC8,'Net zero Intermediate calcs'!AX10*'Net zero Intermediate calcs'!AX11*Constants!$H$20)</f>
        <v>5918700.71135238</v>
      </c>
      <c r="BD8" s="102">
        <f>IF($AD$2="Off",'Activity data'!BD8,'Net zero Intermediate calcs'!AY10*'Net zero Intermediate calcs'!AY11*Constants!$H$20)</f>
        <v>6003923.363982847</v>
      </c>
      <c r="BE8" s="102">
        <f>IF($AD$2="Off",'Activity data'!BE8,'Net zero Intermediate calcs'!AZ10*'Net zero Intermediate calcs'!AZ11*Constants!$H$20)</f>
        <v>6084283.1029933132</v>
      </c>
      <c r="BF8" s="102">
        <f>IF($AD$2="Off",'Activity data'!BF8,'Net zero Intermediate calcs'!BA10*'Net zero Intermediate calcs'!BA11*Constants!$H$20)</f>
        <v>6163215.0126304673</v>
      </c>
      <c r="BG8" s="102">
        <f>IF($AD$2="Off",'Activity data'!BG8,'Net zero Intermediate calcs'!BB10*'Net zero Intermediate calcs'!BB11*Constants!$H$20)</f>
        <v>6263446.5925146369</v>
      </c>
      <c r="BH8" s="102">
        <f>IF($AD$2="Off",'Activity data'!BH8,'Net zero Intermediate calcs'!BC10*'Net zero Intermediate calcs'!BC11*Constants!$H$20)</f>
        <v>6367117.1108291112</v>
      </c>
      <c r="BI8" s="102">
        <f>IF($AD$2="Off",'Activity data'!BI8,'Net zero Intermediate calcs'!BD10*'Net zero Intermediate calcs'!BD11*Constants!$H$20)</f>
        <v>6477994.0702043502</v>
      </c>
      <c r="BJ8" s="102">
        <f>IF($AD$2="Off",'Activity data'!BJ8,'Net zero Intermediate calcs'!BE10*'Net zero Intermediate calcs'!BE11*Constants!$H$20)</f>
        <v>6588439.6438278789</v>
      </c>
      <c r="BK8" s="102">
        <f>IF($AD$2="Off",'Activity data'!BK8,'Net zero Intermediate calcs'!BF10*'Net zero Intermediate calcs'!BF11*Constants!$H$20)</f>
        <v>6698597.1834595762</v>
      </c>
      <c r="BL8" s="102">
        <f>IF($AD$2="Off",'Activity data'!BL8,'Net zero Intermediate calcs'!BG10*'Net zero Intermediate calcs'!BG11*Constants!$H$20)</f>
        <v>6815706.2516582739</v>
      </c>
      <c r="BM8" s="102">
        <f>IF($AD$2="Off",'Activity data'!BM8,'Net zero Intermediate calcs'!BH10*'Net zero Intermediate calcs'!BH11*Constants!$H$20)</f>
        <v>6936734.5992281614</v>
      </c>
      <c r="BN8" s="102">
        <f>IF($AD$2="Off",'Activity data'!BN8,'Net zero Intermediate calcs'!BI10*'Net zero Intermediate calcs'!BI11*Constants!$H$20)</f>
        <v>7059578.032431215</v>
      </c>
      <c r="BO8" s="102">
        <f>IF($AD$2="Off",'Activity data'!BO8,'Net zero Intermediate calcs'!BJ10*'Net zero Intermediate calcs'!BJ11*Constants!$H$20)</f>
        <v>7188416.9901146693</v>
      </c>
      <c r="BP8" s="102">
        <f>IF($AD$2="Off",'Activity data'!BP8,'Net zero Intermediate calcs'!BK10*'Net zero Intermediate calcs'!BK11*Constants!$H$20)</f>
        <v>7296432.4292359715</v>
      </c>
      <c r="BQ8" s="11">
        <v>5916196.5823583361</v>
      </c>
    </row>
    <row r="9" spans="1:72" x14ac:dyDescent="0.25">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5280742.7858025106</v>
      </c>
      <c r="AE9" s="102">
        <f>IF($AD$2="Off",'Activity data'!AE9,'Net zero Intermediate calcs'!Z10*'Net zero Intermediate calcs'!Z11*(1-Constants!$H$20))</f>
        <v>5234944.5900683459</v>
      </c>
      <c r="AF9" s="102">
        <f>IF($AD$2="Off",'Activity data'!AF9,'Net zero Intermediate calcs'!AA10*'Net zero Intermediate calcs'!AA11*(1-Constants!$H$20))</f>
        <v>5217510.6033805832</v>
      </c>
      <c r="AG9" s="102">
        <f>IF($AD$2="Off",'Activity data'!AG9,'Net zero Intermediate calcs'!AB10*'Net zero Intermediate calcs'!AB11*(1-Constants!$H$20))</f>
        <v>5147837.5788466781</v>
      </c>
      <c r="AH9" s="102">
        <f>IF($AD$2="Off",'Activity data'!AH9,'Net zero Intermediate calcs'!AC10*'Net zero Intermediate calcs'!AC11*(1-Constants!$H$20))</f>
        <v>5046705.4822027236</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4211078.601949892</v>
      </c>
      <c r="AM9" s="102">
        <f>IF($AD$2="Off",'Activity data'!AM9,'Net zero Intermediate calcs'!AH10*'Net zero Intermediate calcs'!AH11*(1-Constants!$H$20))</f>
        <v>4412411.5407882826</v>
      </c>
      <c r="AN9" s="102">
        <f>IF($AD$2="Off",'Activity data'!AN9,'Net zero Intermediate calcs'!AI10*'Net zero Intermediate calcs'!AI11*(1-Constants!$H$20))</f>
        <v>4482113.0429599676</v>
      </c>
      <c r="AO9" s="102">
        <f>IF($AD$2="Off",'Activity data'!AO9,'Net zero Intermediate calcs'!AJ10*'Net zero Intermediate calcs'!AJ11*(1-Constants!$H$20))</f>
        <v>4451844.1082749385</v>
      </c>
      <c r="AP9" s="102">
        <f>IF($AD$2="Off",'Activity data'!AP9,'Net zero Intermediate calcs'!AK10*'Net zero Intermediate calcs'!AK11*(1-Constants!$H$20))</f>
        <v>4427222.4612355372</v>
      </c>
      <c r="AQ9" s="102">
        <f>IF($AD$2="Off",'Activity data'!AQ9,'Net zero Intermediate calcs'!AL10*'Net zero Intermediate calcs'!AL11*(1-Constants!$H$20))</f>
        <v>4428839.8318007709</v>
      </c>
      <c r="AR9" s="102">
        <f>IF($AD$2="Off",'Activity data'!AR9,'Net zero Intermediate calcs'!AM10*'Net zero Intermediate calcs'!AM11*(1-Constants!$H$20))</f>
        <v>4454846.3180278093</v>
      </c>
      <c r="AS9" s="102">
        <f>IF($AD$2="Off",'Activity data'!AS9,'Net zero Intermediate calcs'!AN10*'Net zero Intermediate calcs'!AN11*(1-Constants!$H$20))</f>
        <v>4491747.7371111047</v>
      </c>
      <c r="AT9" s="102">
        <f>IF($AD$2="Off",'Activity data'!AT9,'Net zero Intermediate calcs'!AO10*'Net zero Intermediate calcs'!AO11*(1-Constants!$H$20))</f>
        <v>4542516.4547115266</v>
      </c>
      <c r="AU9" s="102">
        <f>IF($AD$2="Off",'Activity data'!AU9,'Net zero Intermediate calcs'!AP10*'Net zero Intermediate calcs'!AP11*(1-Constants!$H$20))</f>
        <v>4616882.6634026561</v>
      </c>
      <c r="AV9" s="102">
        <f>IF($AD$2="Off",'Activity data'!AV9,'Net zero Intermediate calcs'!AQ10*'Net zero Intermediate calcs'!AQ11*(1-Constants!$H$20))</f>
        <v>4712746.0893416665</v>
      </c>
      <c r="AW9" s="102">
        <f>IF($AD$2="Off",'Activity data'!AW9,'Net zero Intermediate calcs'!AR10*'Net zero Intermediate calcs'!AR11*(1-Constants!$H$20))</f>
        <v>4779581.5975993853</v>
      </c>
      <c r="AX9" s="102">
        <f>IF($AD$2="Off",'Activity data'!AX9,'Net zero Intermediate calcs'!AS10*'Net zero Intermediate calcs'!AS11*(1-Constants!$H$20))</f>
        <v>4854312.2817297429</v>
      </c>
      <c r="AY9" s="102">
        <f>IF($AD$2="Off",'Activity data'!AY9,'Net zero Intermediate calcs'!AT10*'Net zero Intermediate calcs'!AT11*(1-Constants!$H$20))</f>
        <v>4931306.340259796</v>
      </c>
      <c r="AZ9" s="102">
        <f>IF($AD$2="Off",'Activity data'!AZ9,'Net zero Intermediate calcs'!AU10*'Net zero Intermediate calcs'!AU11*(1-Constants!$H$20))</f>
        <v>5012274.1072574537</v>
      </c>
      <c r="BA9" s="102">
        <f>IF($AD$2="Off",'Activity data'!BA9,'Net zero Intermediate calcs'!AV10*'Net zero Intermediate calcs'!AV11*(1-Constants!$H$20))</f>
        <v>5094454.6041066507</v>
      </c>
      <c r="BB9" s="102">
        <f>IF($AD$2="Off",'Activity data'!BB9,'Net zero Intermediate calcs'!AW10*'Net zero Intermediate calcs'!AW11*(1-Constants!$H$20))</f>
        <v>5169500.0009117154</v>
      </c>
      <c r="BC9" s="102">
        <f>IF($AD$2="Off",'Activity data'!BC9,'Net zero Intermediate calcs'!AX10*'Net zero Intermediate calcs'!AX11*(1-Constants!$H$20))</f>
        <v>5248659.1213879585</v>
      </c>
      <c r="BD9" s="102">
        <f>IF($AD$2="Off",'Activity data'!BD9,'Net zero Intermediate calcs'!AY10*'Net zero Intermediate calcs'!AY11*(1-Constants!$H$20))</f>
        <v>5324233.9265508261</v>
      </c>
      <c r="BE9" s="102">
        <f>IF($AD$2="Off",'Activity data'!BE9,'Net zero Intermediate calcs'!AZ10*'Net zero Intermediate calcs'!AZ11*(1-Constants!$H$20))</f>
        <v>5395496.3366167117</v>
      </c>
      <c r="BF9" s="102">
        <f>IF($AD$2="Off",'Activity data'!BF9,'Net zero Intermediate calcs'!BA10*'Net zero Intermediate calcs'!BA11*(1-Constants!$H$20))</f>
        <v>5465492.5583704142</v>
      </c>
      <c r="BG9" s="102">
        <f>IF($AD$2="Off",'Activity data'!BG9,'Net zero Intermediate calcs'!BB10*'Net zero Intermediate calcs'!BB11*(1-Constants!$H$20))</f>
        <v>5554377.1669469411</v>
      </c>
      <c r="BH9" s="102">
        <f>IF($AD$2="Off",'Activity data'!BH9,'Net zero Intermediate calcs'!BC10*'Net zero Intermediate calcs'!BC11*(1-Constants!$H$20))</f>
        <v>5646311.4001692105</v>
      </c>
      <c r="BI9" s="102">
        <f>IF($AD$2="Off",'Activity data'!BI9,'Net zero Intermediate calcs'!BD10*'Net zero Intermediate calcs'!BD11*(1-Constants!$H$20))</f>
        <v>5744636.2509359317</v>
      </c>
      <c r="BJ9" s="102">
        <f>IF($AD$2="Off",'Activity data'!BJ9,'Net zero Intermediate calcs'!BE10*'Net zero Intermediate calcs'!BE11*(1-Constants!$H$20))</f>
        <v>5842578.5520737795</v>
      </c>
      <c r="BK9" s="102">
        <f>IF($AD$2="Off",'Activity data'!BK9,'Net zero Intermediate calcs'!BF10*'Net zero Intermediate calcs'!BF11*(1-Constants!$H$20))</f>
        <v>5940265.4268415105</v>
      </c>
      <c r="BL9" s="102">
        <f>IF($AD$2="Off",'Activity data'!BL9,'Net zero Intermediate calcs'!BG10*'Net zero Intermediate calcs'!BG11*(1-Constants!$H$20))</f>
        <v>6044116.8646780904</v>
      </c>
      <c r="BM9" s="102">
        <f>IF($AD$2="Off",'Activity data'!BM9,'Net zero Intermediate calcs'!BH10*'Net zero Intermediate calcs'!BH11*(1-Constants!$H$20))</f>
        <v>6151443.8898815764</v>
      </c>
      <c r="BN9" s="102">
        <f>IF($AD$2="Off",'Activity data'!BN9,'Net zero Intermediate calcs'!BI10*'Net zero Intermediate calcs'!BI11*(1-Constants!$H$20))</f>
        <v>6260380.5193257947</v>
      </c>
      <c r="BO9" s="102">
        <f>IF($AD$2="Off",'Activity data'!BO9,'Net zero Intermediate calcs'!BJ10*'Net zero Intermediate calcs'!BJ11*(1-Constants!$H$20))</f>
        <v>6374633.9346299889</v>
      </c>
      <c r="BP9" s="102">
        <f>IF($AD$2="Off",'Activity data'!BP9,'Net zero Intermediate calcs'!BK10*'Net zero Intermediate calcs'!BK11*(1-Constants!$H$20))</f>
        <v>6470421.2108318983</v>
      </c>
      <c r="BQ9" s="11">
        <v>5246438.4786951281</v>
      </c>
    </row>
    <row r="10" spans="1:72" x14ac:dyDescent="0.25">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541460.03376820474</v>
      </c>
      <c r="AE10" s="102">
        <f>IF($AD$2="Off",'Activity data'!AE10,(((('Net zero Intermediate calcs'!Z9/('Net zero Intermediate calcs'!Z64+0.27))*ttokg)/Constants!$H$21)/(365/'Net zero Intermediate calcs'!Z65)))</f>
        <v>559717.10307730944</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597546.77075746434</v>
      </c>
      <c r="AH10" s="102">
        <f>IF($AD$2="Off",'Activity data'!AH10,(((('Net zero Intermediate calcs'!AC9/('Net zero Intermediate calcs'!AC64+0.27))*ttokg)/Constants!$H$21)/(365/'Net zero Intermediate calcs'!AC65)))</f>
        <v>610009.49754182214</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597014.6851984323</v>
      </c>
      <c r="AM10" s="102">
        <f>IF($AD$2="Off",'Activity data'!AM10,(((('Net zero Intermediate calcs'!AH9/('Net zero Intermediate calcs'!AH64+0.27))*ttokg)/Constants!$H$21)/(365/'Net zero Intermediate calcs'!AH65)))</f>
        <v>640629.51808142359</v>
      </c>
      <c r="AN10" s="102">
        <f>IF($AD$2="Off",'Activity data'!AN10,(((('Net zero Intermediate calcs'!AI9/('Net zero Intermediate calcs'!AI64+0.27))*ttokg)/Constants!$H$21)/(365/'Net zero Intermediate calcs'!AI65)))</f>
        <v>666212.35601499933</v>
      </c>
      <c r="AO10" s="102">
        <f>IF($AD$2="Off",'Activity data'!AO10,(((('Net zero Intermediate calcs'!AJ9/('Net zero Intermediate calcs'!AJ64+0.27))*ttokg)/Constants!$H$21)/(365/'Net zero Intermediate calcs'!AJ65)))</f>
        <v>677236.93449176487</v>
      </c>
      <c r="AP10" s="102">
        <f>IF($AD$2="Off",'Activity data'!AP10,(((('Net zero Intermediate calcs'!AK9/('Net zero Intermediate calcs'!AK64+0.27))*ttokg)/Constants!$H$21)/(365/'Net zero Intermediate calcs'!AK65)))</f>
        <v>689105.39494050061</v>
      </c>
      <c r="AQ10" s="102">
        <f>IF($AD$2="Off",'Activity data'!AQ10,(((('Net zero Intermediate calcs'!AL9/('Net zero Intermediate calcs'!AL64+0.27))*ttokg)/Constants!$H$21)/(365/'Net zero Intermediate calcs'!AL65)))</f>
        <v>705164.71894820069</v>
      </c>
      <c r="AR10" s="102">
        <f>IF($AD$2="Off",'Activity data'!AR10,(((('Net zero Intermediate calcs'!AM9/('Net zero Intermediate calcs'!AM64+0.27))*ttokg)/Constants!$H$21)/(365/'Net zero Intermediate calcs'!AM65)))</f>
        <v>725406.17317973659</v>
      </c>
      <c r="AS10" s="102">
        <f>IF($AD$2="Off",'Activity data'!AS10,(((('Net zero Intermediate calcs'!AN9/('Net zero Intermediate calcs'!AN64+0.27))*ttokg)/Constants!$H$21)/(365/'Net zero Intermediate calcs'!AN65)))</f>
        <v>747862.16579298896</v>
      </c>
      <c r="AT10" s="102">
        <f>IF($AD$2="Off",'Activity data'!AT10,(((('Net zero Intermediate calcs'!AO9/('Net zero Intermediate calcs'!AO64+0.27))*ttokg)/Constants!$H$21)/(365/'Net zero Intermediate calcs'!AO65)))</f>
        <v>773174.64753167983</v>
      </c>
      <c r="AU10" s="102">
        <f>IF($AD$2="Off",'Activity data'!AU10,(((('Net zero Intermediate calcs'!AP9/('Net zero Intermediate calcs'!AP64+0.27))*ttokg)/Constants!$H$21)/(365/'Net zero Intermediate calcs'!AP65)))</f>
        <v>803209.53882740473</v>
      </c>
      <c r="AV10" s="102">
        <f>IF($AD$2="Off",'Activity data'!AV10,(((('Net zero Intermediate calcs'!AQ9/('Net zero Intermediate calcs'!AQ64+0.27))*ttokg)/Constants!$H$21)/(365/'Net zero Intermediate calcs'!AQ65)))</f>
        <v>837882.86375355208</v>
      </c>
      <c r="AW10" s="102">
        <f>IF($AD$2="Off",'Activity data'!AW10,(((('Net zero Intermediate calcs'!AR9/('Net zero Intermediate calcs'!AR64+0.27))*ttokg)/Constants!$H$21)/(365/'Net zero Intermediate calcs'!AR65)))</f>
        <v>877946.13137026876</v>
      </c>
      <c r="AX10" s="102">
        <f>IF($AD$2="Off",'Activity data'!AX10,(((('Net zero Intermediate calcs'!AS9/('Net zero Intermediate calcs'!AS64+0.27))*ttokg)/Constants!$H$21)/(365/'Net zero Intermediate calcs'!AS65)))</f>
        <v>921300.15899073158</v>
      </c>
      <c r="AY10" s="102">
        <f>IF($AD$2="Off",'Activity data'!AY10,(((('Net zero Intermediate calcs'!AT9/('Net zero Intermediate calcs'!AT64+0.27))*ttokg)/Constants!$H$21)/(365/'Net zero Intermediate calcs'!AT65)))</f>
        <v>967089.19243832561</v>
      </c>
      <c r="AZ10" s="102">
        <f>IF($AD$2="Off",'Activity data'!AZ10,(((('Net zero Intermediate calcs'!AU9/('Net zero Intermediate calcs'!AU64+0.27))*ttokg)/Constants!$H$21)/(365/'Net zero Intermediate calcs'!AU65)))</f>
        <v>1015815.809260074</v>
      </c>
      <c r="BA10" s="102">
        <f>IF($AD$2="Off",'Activity data'!BA10,(((('Net zero Intermediate calcs'!AV9/('Net zero Intermediate calcs'!AV64+0.27))*ttokg)/Constants!$H$21)/(365/'Net zero Intermediate calcs'!AV65)))</f>
        <v>1067103.9132946692</v>
      </c>
      <c r="BB10" s="102">
        <f>IF($AD$2="Off",'Activity data'!BB10,(((('Net zero Intermediate calcs'!AW9/('Net zero Intermediate calcs'!AW64+0.27))*ttokg)/Constants!$H$21)/(365/'Net zero Intermediate calcs'!AW65)))</f>
        <v>1119304.9312915269</v>
      </c>
      <c r="BC10" s="102">
        <f>IF($AD$2="Off",'Activity data'!BC10,(((('Net zero Intermediate calcs'!AX9/('Net zero Intermediate calcs'!AX64+0.27))*ttokg)/Constants!$H$21)/(365/'Net zero Intermediate calcs'!AX65)))</f>
        <v>1174924.2894494412</v>
      </c>
      <c r="BD10" s="102">
        <f>IF($AD$2="Off",'Activity data'!BD10,(((('Net zero Intermediate calcs'!AY9/('Net zero Intermediate calcs'!AY64+0.27))*ttokg)/Constants!$H$21)/(365/'Net zero Intermediate calcs'!AY65)))</f>
        <v>1232423.3164023301</v>
      </c>
      <c r="BE10" s="102">
        <f>IF($AD$2="Off",'Activity data'!BE10,(((('Net zero Intermediate calcs'!AZ9/('Net zero Intermediate calcs'!AZ64+0.27))*ttokg)/Constants!$H$21)/(365/'Net zero Intermediate calcs'!AZ65)))</f>
        <v>1291707.0898985872</v>
      </c>
      <c r="BF10" s="102">
        <f>IF($AD$2="Off",'Activity data'!BF10,(((('Net zero Intermediate calcs'!BA9/('Net zero Intermediate calcs'!BA64+0.27))*ttokg)/Constants!$H$21)/(365/'Net zero Intermediate calcs'!BA65)))</f>
        <v>1353597.5244011215</v>
      </c>
      <c r="BG10" s="102">
        <f>IF($AD$2="Off",'Activity data'!BG10,(((('Net zero Intermediate calcs'!BB9/('Net zero Intermediate calcs'!BB64+0.27))*ttokg)/Constants!$H$21)/(365/'Net zero Intermediate calcs'!BB65)))</f>
        <v>1414424.0937777301</v>
      </c>
      <c r="BH10" s="102">
        <f>IF($AD$2="Off",'Activity data'!BH10,(((('Net zero Intermediate calcs'!BC9/('Net zero Intermediate calcs'!BC64+0.27))*ttokg)/Constants!$H$21)/(365/'Net zero Intermediate calcs'!BC65)))</f>
        <v>1478544.2798039929</v>
      </c>
      <c r="BI10" s="102">
        <f>IF($AD$2="Off",'Activity data'!BI10,(((('Net zero Intermediate calcs'!BD9/('Net zero Intermediate calcs'!BD64+0.27))*ttokg)/Constants!$H$21)/(365/'Net zero Intermediate calcs'!BD65)))</f>
        <v>1547048.2047428007</v>
      </c>
      <c r="BJ10" s="102">
        <f>IF($AD$2="Off",'Activity data'!BJ10,(((('Net zero Intermediate calcs'!BE9/('Net zero Intermediate calcs'!BE64+0.27))*ttokg)/Constants!$H$21)/(365/'Net zero Intermediate calcs'!BE65)))</f>
        <v>1618339.5175338604</v>
      </c>
      <c r="BK10" s="102">
        <f>IF($AD$2="Off",'Activity data'!BK10,(((('Net zero Intermediate calcs'!BF9/('Net zero Intermediate calcs'!BF64+0.27))*ttokg)/Constants!$H$21)/(365/'Net zero Intermediate calcs'!BF65)))</f>
        <v>1692591.2487318111</v>
      </c>
      <c r="BL10" s="102">
        <f>IF($AD$2="Off",'Activity data'!BL10,(((('Net zero Intermediate calcs'!BG9/('Net zero Intermediate calcs'!BG64+0.27))*ttokg)/Constants!$H$21)/(365/'Net zero Intermediate calcs'!BG65)))</f>
        <v>1771834.4197072859</v>
      </c>
      <c r="BM10" s="102">
        <f>IF($AD$2="Off",'Activity data'!BM10,(((('Net zero Intermediate calcs'!BH9/('Net zero Intermediate calcs'!BH64+0.27))*ttokg)/Constants!$H$21)/(365/'Net zero Intermediate calcs'!BH65)))</f>
        <v>1855580.6313194891</v>
      </c>
      <c r="BN10" s="102">
        <f>IF($AD$2="Off",'Activity data'!BN10,(((('Net zero Intermediate calcs'!BI9/('Net zero Intermediate calcs'!BI64+0.27))*ttokg)/Constants!$H$21)/(365/'Net zero Intermediate calcs'!BI65)))</f>
        <v>1943524.761329802</v>
      </c>
      <c r="BO10" s="102">
        <f>IF($AD$2="Off",'Activity data'!BO10,(((('Net zero Intermediate calcs'!BJ9/('Net zero Intermediate calcs'!BJ64+0.27))*ttokg)/Constants!$H$21)/(365/'Net zero Intermediate calcs'!BJ65)))</f>
        <v>2037093.9360268321</v>
      </c>
      <c r="BP10" s="102">
        <f>IF($AD$2="Off",'Activity data'!BP10,(((('Net zero Intermediate calcs'!BK9/('Net zero Intermediate calcs'!BK64+0.27))*ttokg)/Constants!$H$21)/(365/'Net zero Intermediate calcs'!BK65)))</f>
        <v>2128828.1623534956</v>
      </c>
      <c r="BQ10" s="11">
        <v>1714907.4323024135</v>
      </c>
    </row>
    <row r="11" spans="1:72" x14ac:dyDescent="0.25">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19294707.59935737</v>
      </c>
      <c r="AM11" s="23">
        <f>('Net zero Intermediate calcs'!AH27*'Net zero Intermediate calcs'!AH28)*Constants!$H$22</f>
        <v>19308595.530858379</v>
      </c>
      <c r="AN11" s="23">
        <f>('Net zero Intermediate calcs'!AI27*'Net zero Intermediate calcs'!AI28)*Constants!$H$22</f>
        <v>19303712.829933655</v>
      </c>
      <c r="AO11" s="23">
        <f>('Net zero Intermediate calcs'!AJ27*'Net zero Intermediate calcs'!AJ28)*Constants!$H$22</f>
        <v>19303361.314411636</v>
      </c>
      <c r="AP11" s="23">
        <f>('Net zero Intermediate calcs'!AK27*'Net zero Intermediate calcs'!AK28)*Constants!$H$22</f>
        <v>19323836.572483618</v>
      </c>
      <c r="AQ11" s="23">
        <f>('Net zero Intermediate calcs'!AL27*'Net zero Intermediate calcs'!AL28)*Constants!$H$22</f>
        <v>19357346.218920205</v>
      </c>
      <c r="AR11" s="23">
        <f>('Net zero Intermediate calcs'!AM27*'Net zero Intermediate calcs'!AM28)*Constants!$H$22</f>
        <v>19389499.096448597</v>
      </c>
      <c r="AS11" s="23">
        <f>('Net zero Intermediate calcs'!AN27*'Net zero Intermediate calcs'!AN28)*Constants!$H$22</f>
        <v>19420398.936924286</v>
      </c>
      <c r="AT11" s="23">
        <f>('Net zero Intermediate calcs'!AO27*'Net zero Intermediate calcs'!AO28)*Constants!$H$22</f>
        <v>19450003.570025813</v>
      </c>
      <c r="AU11" s="23">
        <f>('Net zero Intermediate calcs'!AP27*'Net zero Intermediate calcs'!AP28)*Constants!$H$22</f>
        <v>19478929.949521698</v>
      </c>
      <c r="AV11" s="23">
        <f>('Net zero Intermediate calcs'!AQ27*'Net zero Intermediate calcs'!AQ28)*Constants!$H$22</f>
        <v>19507600.613935191</v>
      </c>
      <c r="AW11" s="23">
        <f>('Net zero Intermediate calcs'!AR27*'Net zero Intermediate calcs'!AR28)*Constants!$H$22</f>
        <v>19535727.890048202</v>
      </c>
      <c r="AX11" s="23">
        <f>('Net zero Intermediate calcs'!AS27*'Net zero Intermediate calcs'!AS28)*Constants!$H$22</f>
        <v>19563716.202206749</v>
      </c>
      <c r="AY11" s="23">
        <f>('Net zero Intermediate calcs'!AT27*'Net zero Intermediate calcs'!AT28)*Constants!$H$22</f>
        <v>19591477.381817997</v>
      </c>
      <c r="AZ11" s="23">
        <f>('Net zero Intermediate calcs'!AU27*'Net zero Intermediate calcs'!AU28)*Constants!$H$22</f>
        <v>19618788.988862384</v>
      </c>
      <c r="BA11" s="23">
        <f>('Net zero Intermediate calcs'!AV27*'Net zero Intermediate calcs'!AV28)*Constants!$H$22</f>
        <v>19645771.268803079</v>
      </c>
      <c r="BB11" s="23">
        <f>('Net zero Intermediate calcs'!AW27*'Net zero Intermediate calcs'!AW28)*Constants!$H$22</f>
        <v>19672453.015585411</v>
      </c>
      <c r="BC11" s="23">
        <f>('Net zero Intermediate calcs'!AX27*'Net zero Intermediate calcs'!AX28)*Constants!$H$22</f>
        <v>19698924.812201742</v>
      </c>
      <c r="BD11" s="23">
        <f>('Net zero Intermediate calcs'!AY27*'Net zero Intermediate calcs'!AY28)*Constants!$H$22</f>
        <v>19724376.674356177</v>
      </c>
      <c r="BE11" s="23">
        <f>('Net zero Intermediate calcs'!AZ27*'Net zero Intermediate calcs'!AZ28)*Constants!$H$22</f>
        <v>19748778.823879883</v>
      </c>
      <c r="BF11" s="23">
        <f>('Net zero Intermediate calcs'!BA27*'Net zero Intermediate calcs'!BA28)*Constants!$H$22</f>
        <v>19772359.32529838</v>
      </c>
      <c r="BG11" s="23">
        <f>('Net zero Intermediate calcs'!BB27*'Net zero Intermediate calcs'!BB28)*Constants!$H$22</f>
        <v>19794936.606249541</v>
      </c>
      <c r="BH11" s="23">
        <f>('Net zero Intermediate calcs'!BC27*'Net zero Intermediate calcs'!BC28)*Constants!$H$22</f>
        <v>19816551.623688176</v>
      </c>
      <c r="BI11" s="23">
        <f>('Net zero Intermediate calcs'!BD27*'Net zero Intermediate calcs'!BD28)*Constants!$H$22</f>
        <v>19837107.023180217</v>
      </c>
      <c r="BJ11" s="23">
        <f>('Net zero Intermediate calcs'!BE27*'Net zero Intermediate calcs'!BE28)*Constants!$H$22</f>
        <v>19856308.655348971</v>
      </c>
      <c r="BK11" s="23">
        <f>('Net zero Intermediate calcs'!BF27*'Net zero Intermediate calcs'!BF28)*Constants!$H$22</f>
        <v>19873883.938426055</v>
      </c>
      <c r="BL11" s="23">
        <f>('Net zero Intermediate calcs'!BG27*'Net zero Intermediate calcs'!BG28)*Constants!$H$22</f>
        <v>19889815.116446964</v>
      </c>
      <c r="BM11" s="23">
        <f>('Net zero Intermediate calcs'!BH27*'Net zero Intermediate calcs'!BH28)*Constants!$H$22</f>
        <v>19903980.277063575</v>
      </c>
      <c r="BN11" s="23">
        <f>('Net zero Intermediate calcs'!BI27*'Net zero Intermediate calcs'!BI28)*Constants!$H$22</f>
        <v>19916372.588615235</v>
      </c>
      <c r="BO11" s="23">
        <f>('Net zero Intermediate calcs'!BJ27*'Net zero Intermediate calcs'!BJ28)*Constants!$H$22</f>
        <v>19927229.202147596</v>
      </c>
      <c r="BP11" s="23">
        <f>('Net zero Intermediate calcs'!BK27*'Net zero Intermediate calcs'!BK28)*Constants!$H$22</f>
        <v>19935139.987152595</v>
      </c>
      <c r="BQ11">
        <v>20235541.527663115</v>
      </c>
    </row>
    <row r="12" spans="1:72" x14ac:dyDescent="0.25">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2883117.227490182</v>
      </c>
      <c r="AM12" s="23">
        <f>('Net zero Intermediate calcs'!AH27*'Net zero Intermediate calcs'!AH28)*(1-Constants!$H$22)</f>
        <v>2885192.4356455053</v>
      </c>
      <c r="AN12" s="23">
        <f>('Net zero Intermediate calcs'!AI27*'Net zero Intermediate calcs'!AI28)*(1-Constants!$H$22)</f>
        <v>2884462.836656753</v>
      </c>
      <c r="AO12" s="23">
        <f>('Net zero Intermediate calcs'!AJ27*'Net zero Intermediate calcs'!AJ28)*(1-Constants!$H$22)</f>
        <v>2884410.3113488653</v>
      </c>
      <c r="AP12" s="23">
        <f>('Net zero Intermediate calcs'!AK27*'Net zero Intermediate calcs'!AK28)*(1-Constants!$H$22)</f>
        <v>2887469.8326699659</v>
      </c>
      <c r="AQ12" s="23">
        <f>('Net zero Intermediate calcs'!AL27*'Net zero Intermediate calcs'!AL28)*(1-Constants!$H$22)</f>
        <v>2892477.0212179618</v>
      </c>
      <c r="AR12" s="23">
        <f>('Net zero Intermediate calcs'!AM27*'Net zero Intermediate calcs'!AM28)*(1-Constants!$H$22)</f>
        <v>2897281.4741819738</v>
      </c>
      <c r="AS12" s="23">
        <f>('Net zero Intermediate calcs'!AN27*'Net zero Intermediate calcs'!AN28)*(1-Constants!$H$22)</f>
        <v>2901898.6917243185</v>
      </c>
      <c r="AT12" s="23">
        <f>('Net zero Intermediate calcs'!AO27*'Net zero Intermediate calcs'!AO28)*(1-Constants!$H$22)</f>
        <v>2906322.3725325931</v>
      </c>
      <c r="AU12" s="23">
        <f>('Net zero Intermediate calcs'!AP27*'Net zero Intermediate calcs'!AP28)*(1-Constants!$H$22)</f>
        <v>2910644.7051009433</v>
      </c>
      <c r="AV12" s="23">
        <f>('Net zero Intermediate calcs'!AQ27*'Net zero Intermediate calcs'!AQ28)*(1-Constants!$H$22)</f>
        <v>2914928.8273696266</v>
      </c>
      <c r="AW12" s="23">
        <f>('Net zero Intermediate calcs'!AR27*'Net zero Intermediate calcs'!AR28)*(1-Constants!$H$22)</f>
        <v>2919131.7536853636</v>
      </c>
      <c r="AX12" s="23">
        <f>('Net zero Intermediate calcs'!AS27*'Net zero Intermediate calcs'!AS28)*(1-Constants!$H$22)</f>
        <v>2923313.9152722731</v>
      </c>
      <c r="AY12" s="23">
        <f>('Net zero Intermediate calcs'!AT27*'Net zero Intermediate calcs'!AT28)*(1-Constants!$H$22)</f>
        <v>2927462.137513034</v>
      </c>
      <c r="AZ12" s="23">
        <f>('Net zero Intermediate calcs'!AU27*'Net zero Intermediate calcs'!AU28)*(1-Constants!$H$22)</f>
        <v>2931543.1822438049</v>
      </c>
      <c r="BA12" s="23">
        <f>('Net zero Intermediate calcs'!AV27*'Net zero Intermediate calcs'!AV28)*(1-Constants!$H$22)</f>
        <v>2935575.0171774714</v>
      </c>
      <c r="BB12" s="23">
        <f>('Net zero Intermediate calcs'!AW27*'Net zero Intermediate calcs'!AW28)*(1-Constants!$H$22)</f>
        <v>2939561.9448575904</v>
      </c>
      <c r="BC12" s="23">
        <f>('Net zero Intermediate calcs'!AX27*'Net zero Intermediate calcs'!AX28)*(1-Constants!$H$22)</f>
        <v>2943517.5006738235</v>
      </c>
      <c r="BD12" s="23">
        <f>('Net zero Intermediate calcs'!AY27*'Net zero Intermediate calcs'!AY28)*(1-Constants!$H$22)</f>
        <v>2947320.652490004</v>
      </c>
      <c r="BE12" s="23">
        <f>('Net zero Intermediate calcs'!AZ27*'Net zero Intermediate calcs'!AZ28)*(1-Constants!$H$22)</f>
        <v>2950966.9506946951</v>
      </c>
      <c r="BF12" s="23">
        <f>('Net zero Intermediate calcs'!BA27*'Net zero Intermediate calcs'!BA28)*(1-Constants!$H$22)</f>
        <v>2954490.47389516</v>
      </c>
      <c r="BG12" s="23">
        <f>('Net zero Intermediate calcs'!BB27*'Net zero Intermediate calcs'!BB28)*(1-Constants!$H$22)</f>
        <v>2957864.090589012</v>
      </c>
      <c r="BH12" s="23">
        <f>('Net zero Intermediate calcs'!BC27*'Net zero Intermediate calcs'!BC28)*(1-Constants!$H$22)</f>
        <v>2961093.9207809921</v>
      </c>
      <c r="BI12" s="23">
        <f>('Net zero Intermediate calcs'!BD27*'Net zero Intermediate calcs'!BD28)*(1-Constants!$H$22)</f>
        <v>2964165.417256814</v>
      </c>
      <c r="BJ12" s="23">
        <f>('Net zero Intermediate calcs'!BE27*'Net zero Intermediate calcs'!BE28)*(1-Constants!$H$22)</f>
        <v>2967034.6266613407</v>
      </c>
      <c r="BK12" s="23">
        <f>('Net zero Intermediate calcs'!BF27*'Net zero Intermediate calcs'!BF28)*(1-Constants!$H$22)</f>
        <v>2969660.8183855028</v>
      </c>
      <c r="BL12" s="23">
        <f>('Net zero Intermediate calcs'!BG27*'Net zero Intermediate calcs'!BG28)*(1-Constants!$H$22)</f>
        <v>2972041.339239202</v>
      </c>
      <c r="BM12" s="23">
        <f>('Net zero Intermediate calcs'!BH27*'Net zero Intermediate calcs'!BH28)*(1-Constants!$H$22)</f>
        <v>2974157.9724347875</v>
      </c>
      <c r="BN12" s="23">
        <f>('Net zero Intermediate calcs'!BI27*'Net zero Intermediate calcs'!BI28)*(1-Constants!$H$22)</f>
        <v>2976009.6971494029</v>
      </c>
      <c r="BO12" s="23">
        <f>('Net zero Intermediate calcs'!BJ27*'Net zero Intermediate calcs'!BJ28)*(1-Constants!$H$22)</f>
        <v>2977631.9497461924</v>
      </c>
      <c r="BP12" s="23">
        <f>('Net zero Intermediate calcs'!BK27*'Net zero Intermediate calcs'!BK28)*(1-Constants!$H$22)</f>
        <v>2978814.0210687784</v>
      </c>
      <c r="BQ12">
        <v>3023701.607581845</v>
      </c>
    </row>
    <row r="13" spans="1:72" x14ac:dyDescent="0.25">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2068089.0408217213</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2125847.6846541637</v>
      </c>
      <c r="AK13" s="23">
        <f>'Net zero Intermediate calcs'!AF22*'Net zero Intermediate calcs'!AF25*Constants!$H$23</f>
        <v>2139834.1013227375</v>
      </c>
      <c r="AL13" s="23">
        <f>'Net zero Intermediate calcs'!AG22*'Net zero Intermediate calcs'!AG25*Constants!$H$23</f>
        <v>2134587.2599102575</v>
      </c>
      <c r="AM13" s="23">
        <f>'Net zero Intermediate calcs'!AH22*'Net zero Intermediate calcs'!AH25*Constants!$H$23</f>
        <v>2138256.6174556674</v>
      </c>
      <c r="AN13" s="23">
        <f>'Net zero Intermediate calcs'!AI22*'Net zero Intermediate calcs'!AI25*Constants!$H$23</f>
        <v>2138612.6865135431</v>
      </c>
      <c r="AO13" s="23">
        <f>'Net zero Intermediate calcs'!AJ22*'Net zero Intermediate calcs'!AJ25*Constants!$H$23</f>
        <v>2139591.6492956472</v>
      </c>
      <c r="AP13" s="23">
        <f>'Net zero Intermediate calcs'!AK22*'Net zero Intermediate calcs'!AK25*Constants!$H$23</f>
        <v>2143919.9099595002</v>
      </c>
      <c r="AQ13" s="23">
        <f>'Net zero Intermediate calcs'!AL22*'Net zero Intermediate calcs'!AL25*Constants!$H$23</f>
        <v>2150286.5393837062</v>
      </c>
      <c r="AR13" s="23">
        <f>'Net zero Intermediate calcs'!AM22*'Net zero Intermediate calcs'!AM25*Constants!$H$23</f>
        <v>2156296.3015812854</v>
      </c>
      <c r="AS13" s="23">
        <f>'Net zero Intermediate calcs'!AN22*'Net zero Intermediate calcs'!AN25*Constants!$H$23</f>
        <v>2161977.4535931544</v>
      </c>
      <c r="AT13" s="23">
        <f>'Net zero Intermediate calcs'!AO22*'Net zero Intermediate calcs'!AO25*Constants!$H$23</f>
        <v>2167332.9033531058</v>
      </c>
      <c r="AU13" s="23">
        <f>'Net zero Intermediate calcs'!AP22*'Net zero Intermediate calcs'!AP25*Constants!$H$23</f>
        <v>2172473.4651576607</v>
      </c>
      <c r="AV13" s="23">
        <f>'Net zero Intermediate calcs'!AQ22*'Net zero Intermediate calcs'!AQ25*Constants!$H$23</f>
        <v>2177476.2677693181</v>
      </c>
      <c r="AW13" s="23">
        <f>'Net zero Intermediate calcs'!AR22*'Net zero Intermediate calcs'!AR25*Constants!$H$23</f>
        <v>2182300.4670798844</v>
      </c>
      <c r="AX13" s="23">
        <f>'Net zero Intermediate calcs'!AS22*'Net zero Intermediate calcs'!AS25*Constants!$H$23</f>
        <v>2187018.5225144769</v>
      </c>
      <c r="AY13" s="23">
        <f>'Net zero Intermediate calcs'!AT22*'Net zero Intermediate calcs'!AT25*Constants!$H$23</f>
        <v>2191621.2122322586</v>
      </c>
      <c r="AZ13" s="23">
        <f>'Net zero Intermediate calcs'!AU22*'Net zero Intermediate calcs'!AU25*Constants!$H$23</f>
        <v>2196077.0421099947</v>
      </c>
      <c r="BA13" s="23">
        <f>'Net zero Intermediate calcs'!AV22*'Net zero Intermediate calcs'!AV25*Constants!$H$23</f>
        <v>2200410.2632412626</v>
      </c>
      <c r="BB13" s="23">
        <f>'Net zero Intermediate calcs'!AW22*'Net zero Intermediate calcs'!AW25*Constants!$H$23</f>
        <v>2204629.727455548</v>
      </c>
      <c r="BC13" s="23">
        <f>'Net zero Intermediate calcs'!AX22*'Net zero Intermediate calcs'!AX25*Constants!$H$23</f>
        <v>2208753.9611315508</v>
      </c>
      <c r="BD13" s="23">
        <f>'Net zero Intermediate calcs'!AY22*'Net zero Intermediate calcs'!AY25*Constants!$H$23</f>
        <v>2212655.0903133801</v>
      </c>
      <c r="BE13" s="23">
        <f>'Net zero Intermediate calcs'!AZ22*'Net zero Intermediate calcs'!AZ25*Constants!$H$23</f>
        <v>2216332.1928741168</v>
      </c>
      <c r="BF13" s="23">
        <f>'Net zero Intermediate calcs'!BA22*'Net zero Intermediate calcs'!BA25*Constants!$H$23</f>
        <v>2219825.7748379377</v>
      </c>
      <c r="BG13" s="23">
        <f>'Net zero Intermediate calcs'!BB22*'Net zero Intermediate calcs'!BB25*Constants!$H$23</f>
        <v>2223109.7938261046</v>
      </c>
      <c r="BH13" s="23">
        <f>'Net zero Intermediate calcs'!BC22*'Net zero Intermediate calcs'!BC25*Constants!$H$23</f>
        <v>2226194.025315416</v>
      </c>
      <c r="BI13" s="23">
        <f>'Net zero Intermediate calcs'!BD22*'Net zero Intermediate calcs'!BD25*Constants!$H$23</f>
        <v>2229065.7811079524</v>
      </c>
      <c r="BJ13" s="23">
        <f>'Net zero Intermediate calcs'!BE22*'Net zero Intermediate calcs'!BE25*Constants!$H$23</f>
        <v>2231680.7343182894</v>
      </c>
      <c r="BK13" s="23">
        <f>'Net zero Intermediate calcs'!BF22*'Net zero Intermediate calcs'!BF25*Constants!$H$23</f>
        <v>2233998.1661114693</v>
      </c>
      <c r="BL13" s="23">
        <f>'Net zero Intermediate calcs'!BG22*'Net zero Intermediate calcs'!BG25*Constants!$H$23</f>
        <v>2236018.2346010059</v>
      </c>
      <c r="BM13" s="23">
        <f>'Net zero Intermediate calcs'!BH22*'Net zero Intermediate calcs'!BH25*Constants!$H$23</f>
        <v>2237724.3417083644</v>
      </c>
      <c r="BN13" s="23">
        <f>'Net zero Intermediate calcs'!BI22*'Net zero Intermediate calcs'!BI25*Constants!$H$23</f>
        <v>2239118.2177963043</v>
      </c>
      <c r="BO13" s="23">
        <f>'Net zero Intermediate calcs'!BJ22*'Net zero Intermediate calcs'!BJ25*Constants!$H$23</f>
        <v>2240240.2917254451</v>
      </c>
      <c r="BP13" s="23">
        <f>'Net zero Intermediate calcs'!BK22*'Net zero Intermediate calcs'!BK25*Constants!$H$23</f>
        <v>2240868.9427719326</v>
      </c>
      <c r="BQ13">
        <v>2288591.5024888623</v>
      </c>
    </row>
    <row r="14" spans="1:72" x14ac:dyDescent="0.25">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4014525.785124517</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4126645.5055051409</v>
      </c>
      <c r="AK14" s="23">
        <f>'Net zero Intermediate calcs'!AF22*'Net zero Intermediate calcs'!AF25*(1-Constants!$H$23)</f>
        <v>4153795.6084500193</v>
      </c>
      <c r="AL14" s="23">
        <f>'Net zero Intermediate calcs'!AG22*'Net zero Intermediate calcs'!AG25*(1-Constants!$H$23)</f>
        <v>4143610.5633552051</v>
      </c>
      <c r="AM14" s="23">
        <f>'Net zero Intermediate calcs'!AH22*'Net zero Intermediate calcs'!AH25*(1-Constants!$H$23)</f>
        <v>4150733.4338845299</v>
      </c>
      <c r="AN14" s="23">
        <f>'Net zero Intermediate calcs'!AI22*'Net zero Intermediate calcs'!AI25*(1-Constants!$H$23)</f>
        <v>4151424.6267615827</v>
      </c>
      <c r="AO14" s="23">
        <f>'Net zero Intermediate calcs'!AJ22*'Net zero Intermediate calcs'!AJ25*(1-Constants!$H$23)</f>
        <v>4153324.9662797847</v>
      </c>
      <c r="AP14" s="23">
        <f>'Net zero Intermediate calcs'!AK22*'Net zero Intermediate calcs'!AK25*(1-Constants!$H$23)</f>
        <v>4161726.8840390295</v>
      </c>
      <c r="AQ14" s="23">
        <f>'Net zero Intermediate calcs'!AL22*'Net zero Intermediate calcs'!AL25*(1-Constants!$H$23)</f>
        <v>4174085.6352742519</v>
      </c>
      <c r="AR14" s="23">
        <f>'Net zero Intermediate calcs'!AM22*'Net zero Intermediate calcs'!AM25*(1-Constants!$H$23)</f>
        <v>4185751.6442460241</v>
      </c>
      <c r="AS14" s="23">
        <f>'Net zero Intermediate calcs'!AN22*'Net zero Intermediate calcs'!AN25*(1-Constants!$H$23)</f>
        <v>4196779.7628572993</v>
      </c>
      <c r="AT14" s="23">
        <f>'Net zero Intermediate calcs'!AO22*'Net zero Intermediate calcs'!AO25*(1-Constants!$H$23)</f>
        <v>4207175.6359207341</v>
      </c>
      <c r="AU14" s="23">
        <f>'Net zero Intermediate calcs'!AP22*'Net zero Intermediate calcs'!AP25*(1-Constants!$H$23)</f>
        <v>4217154.3735413402</v>
      </c>
      <c r="AV14" s="23">
        <f>'Net zero Intermediate calcs'!AQ22*'Net zero Intermediate calcs'!AQ25*(1-Constants!$H$23)</f>
        <v>4226865.6962580876</v>
      </c>
      <c r="AW14" s="23">
        <f>'Net zero Intermediate calcs'!AR22*'Net zero Intermediate calcs'!AR25*(1-Constants!$H$23)</f>
        <v>4236230.3184491871</v>
      </c>
      <c r="AX14" s="23">
        <f>'Net zero Intermediate calcs'!AS22*'Net zero Intermediate calcs'!AS25*(1-Constants!$H$23)</f>
        <v>4245388.896645749</v>
      </c>
      <c r="AY14" s="23">
        <f>'Net zero Intermediate calcs'!AT22*'Net zero Intermediate calcs'!AT25*(1-Constants!$H$23)</f>
        <v>4254323.5296273241</v>
      </c>
      <c r="AZ14" s="23">
        <f>'Net zero Intermediate calcs'!AU22*'Net zero Intermediate calcs'!AU25*(1-Constants!$H$23)</f>
        <v>4262973.0817429293</v>
      </c>
      <c r="BA14" s="23">
        <f>'Net zero Intermediate calcs'!AV22*'Net zero Intermediate calcs'!AV25*(1-Constants!$H$23)</f>
        <v>4271384.6286448035</v>
      </c>
      <c r="BB14" s="23">
        <f>'Net zero Intermediate calcs'!AW22*'Net zero Intermediate calcs'!AW25*(1-Constants!$H$23)</f>
        <v>4279575.3532960629</v>
      </c>
      <c r="BC14" s="23">
        <f>'Net zero Intermediate calcs'!AX22*'Net zero Intermediate calcs'!AX25*(1-Constants!$H$23)</f>
        <v>4287581.2186671272</v>
      </c>
      <c r="BD14" s="23">
        <f>'Net zero Intermediate calcs'!AY22*'Net zero Intermediate calcs'!AY25*(1-Constants!$H$23)</f>
        <v>4295153.9988436196</v>
      </c>
      <c r="BE14" s="23">
        <f>'Net zero Intermediate calcs'!AZ22*'Net zero Intermediate calcs'!AZ25*(1-Constants!$H$23)</f>
        <v>4302291.9038144611</v>
      </c>
      <c r="BF14" s="23">
        <f>'Net zero Intermediate calcs'!BA22*'Net zero Intermediate calcs'!BA25*(1-Constants!$H$23)</f>
        <v>4309073.5629207017</v>
      </c>
      <c r="BG14" s="23">
        <f>'Net zero Intermediate calcs'!BB22*'Net zero Intermediate calcs'!BB25*(1-Constants!$H$23)</f>
        <v>4315448.4233094966</v>
      </c>
      <c r="BH14" s="23">
        <f>'Net zero Intermediate calcs'!BC22*'Net zero Intermediate calcs'!BC25*(1-Constants!$H$23)</f>
        <v>4321435.4609063948</v>
      </c>
      <c r="BI14" s="23">
        <f>'Net zero Intermediate calcs'!BD22*'Net zero Intermediate calcs'!BD25*(1-Constants!$H$23)</f>
        <v>4327010.045680142</v>
      </c>
      <c r="BJ14" s="23">
        <f>'Net zero Intermediate calcs'!BE22*'Net zero Intermediate calcs'!BE25*(1-Constants!$H$23)</f>
        <v>4332086.1313237371</v>
      </c>
      <c r="BK14" s="23">
        <f>'Net zero Intermediate calcs'!BF22*'Net zero Intermediate calcs'!BF25*(1-Constants!$H$23)</f>
        <v>4336584.6753928512</v>
      </c>
      <c r="BL14" s="23">
        <f>'Net zero Intermediate calcs'!BG22*'Net zero Intermediate calcs'!BG25*(1-Constants!$H$23)</f>
        <v>4340505.9848137163</v>
      </c>
      <c r="BM14" s="23">
        <f>'Net zero Intermediate calcs'!BH22*'Net zero Intermediate calcs'!BH25*(1-Constants!$H$23)</f>
        <v>4343817.8397868238</v>
      </c>
      <c r="BN14" s="23">
        <f>'Net zero Intermediate calcs'!BI22*'Net zero Intermediate calcs'!BI25*(1-Constants!$H$23)</f>
        <v>4346523.5992516484</v>
      </c>
      <c r="BO14" s="23">
        <f>'Net zero Intermediate calcs'!BJ22*'Net zero Intermediate calcs'!BJ25*(1-Constants!$H$23)</f>
        <v>4348701.7427611565</v>
      </c>
      <c r="BP14" s="23">
        <f>'Net zero Intermediate calcs'!BK22*'Net zero Intermediate calcs'!BK25*(1-Constants!$H$23)</f>
        <v>4349922.0653808098</v>
      </c>
      <c r="BQ14">
        <v>4442559.9754195558</v>
      </c>
    </row>
    <row r="15" spans="1:72" x14ac:dyDescent="0.25">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312241.56810798898</v>
      </c>
      <c r="AG15" s="23">
        <f>((Data!$AJ$61*((Drivers!AC5*1000000)/Drivers!AC4))+Data!$AK$61)</f>
        <v>312726.42527824303</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308239.46209968906</v>
      </c>
      <c r="AL15" s="23">
        <f>((Data!$AJ$61*((Drivers!AH5*1000000)/Drivers!AH4))+Data!$AK$61)</f>
        <v>294288.06949392188</v>
      </c>
      <c r="AM15" s="23">
        <f>((Data!$AJ$61*((Drivers!AI5*1000000)/Drivers!AI4))+Data!$AK$61)</f>
        <v>303027.95614003902</v>
      </c>
      <c r="AN15" s="23">
        <f>((Data!$AJ$61*((Drivers!AJ5*1000000)/Drivers!AJ4))+Data!$AK$61)</f>
        <v>307386.87813778559</v>
      </c>
      <c r="AO15" s="23">
        <f>((Data!$AJ$61*((Drivers!AK5*1000000)/Drivers!AK4))+Data!$AK$61)</f>
        <v>308045.20224828663</v>
      </c>
      <c r="AP15" s="23">
        <f>((Data!$AJ$61*((Drivers!AL5*1000000)/Drivers!AL4))+Data!$AK$61)</f>
        <v>308624.41284560575</v>
      </c>
      <c r="AQ15" s="23">
        <f>((Data!$AJ$61*((Drivers!AM5*1000000)/Drivers!AM4))+Data!$AK$61)</f>
        <v>310029.84023967013</v>
      </c>
      <c r="AR15" s="23">
        <f>((Data!$AJ$61*((Drivers!AN5*1000000)/Drivers!AN4))+Data!$AK$61)</f>
        <v>312428.79331891559</v>
      </c>
      <c r="AS15" s="23">
        <f>((Data!$AJ$61*((Drivers!AO5*1000000)/Drivers!AO4))+Data!$AK$61)</f>
        <v>315323.2845379496</v>
      </c>
      <c r="AT15" s="23">
        <f>((Data!$AJ$61*((Drivers!AP5*1000000)/Drivers!AP4))+Data!$AK$61)</f>
        <v>318844.64734990173</v>
      </c>
      <c r="AU15" s="23">
        <f>((Data!$AJ$61*((Drivers!AQ5*1000000)/Drivers!AQ4))+Data!$AK$61)</f>
        <v>323388.12851953279</v>
      </c>
      <c r="AV15" s="23">
        <f>((Data!$AJ$61*((Drivers!AR5*1000000)/Drivers!AR4))+Data!$AK$61)</f>
        <v>328894.38205114764</v>
      </c>
      <c r="AW15" s="23">
        <f>((Data!$AJ$61*((Drivers!AS5*1000000)/Drivers!AS4))+Data!$AK$61)</f>
        <v>334991.82956595405</v>
      </c>
      <c r="AX15" s="23">
        <f>((Data!$AJ$61*((Drivers!AT5*1000000)/Drivers!AT4))+Data!$AK$61)</f>
        <v>341655.53306807892</v>
      </c>
      <c r="AY15" s="23">
        <f>((Data!$AJ$61*((Drivers!AU5*1000000)/Drivers!AU4))+Data!$AK$61)</f>
        <v>348679.53226352658</v>
      </c>
      <c r="AZ15" s="23">
        <f>((Data!$AJ$61*((Drivers!AV5*1000000)/Drivers!AV4))+Data!$AK$61)</f>
        <v>356161.9578533743</v>
      </c>
      <c r="BA15" s="23">
        <f>((Data!$AJ$61*((Drivers!AW5*1000000)/Drivers!AW4))+Data!$AK$61)</f>
        <v>364004.83192229457</v>
      </c>
      <c r="BB15" s="23">
        <f>((Data!$AJ$61*((Drivers!AX5*1000000)/Drivers!AX4))+Data!$AK$61)</f>
        <v>371850.4299910689</v>
      </c>
      <c r="BC15" s="23">
        <f>((Data!$AJ$61*((Drivers!AY5*1000000)/Drivers!AY4))+Data!$AK$61)</f>
        <v>380214.88400822948</v>
      </c>
      <c r="BD15" s="23">
        <f>((Data!$AJ$61*((Drivers!AZ5*1000000)/Drivers!AZ4))+Data!$AK$61)</f>
        <v>388782.13711572392</v>
      </c>
      <c r="BE15" s="23">
        <f>((Data!$AJ$61*((Drivers!BA5*1000000)/Drivers!BA4))+Data!$AK$61)</f>
        <v>397528.89013365656</v>
      </c>
      <c r="BF15" s="23">
        <f>((Data!$AJ$61*((Drivers!BB5*1000000)/Drivers!BB4))+Data!$AK$61)</f>
        <v>406610.80865718157</v>
      </c>
      <c r="BG15" s="23">
        <f>((Data!$AJ$61*((Drivers!BC5*1000000)/Drivers!BC4))+Data!$AK$61)</f>
        <v>415645.5849707239</v>
      </c>
      <c r="BH15" s="23">
        <f>((Data!$AJ$61*((Drivers!BD5*1000000)/Drivers!BD4))+Data!$AK$61)</f>
        <v>425172.03385524813</v>
      </c>
      <c r="BI15" s="23">
        <f>((Data!$AJ$61*((Drivers!BE5*1000000)/Drivers!BE4))+Data!$AK$61)</f>
        <v>435393.05600758985</v>
      </c>
      <c r="BJ15" s="23">
        <f>((Data!$AJ$61*((Drivers!BF5*1000000)/Drivers!BF4))+Data!$AK$61)</f>
        <v>445992.78369025595</v>
      </c>
      <c r="BK15" s="23">
        <f>((Data!$AJ$61*((Drivers!BG5*1000000)/Drivers!BG4))+Data!$AK$61)</f>
        <v>457005.01758702658</v>
      </c>
      <c r="BL15" s="23">
        <f>((Data!$AJ$61*((Drivers!BH5*1000000)/Drivers!BH4))+Data!$AK$61)</f>
        <v>468809.16064677841</v>
      </c>
      <c r="BM15" s="23">
        <f>((Data!$AJ$61*((Drivers!BI5*1000000)/Drivers!BI4))+Data!$AK$61)</f>
        <v>481302.79798443045</v>
      </c>
      <c r="BN15" s="23">
        <f>((Data!$AJ$61*((Drivers!BJ5*1000000)/Drivers!BJ4))+Data!$AK$61)</f>
        <v>494419.21522295987</v>
      </c>
      <c r="BO15" s="23">
        <f>((Data!$AJ$61*((Drivers!BK5*1000000)/Drivers!BK4))+Data!$AK$61)</f>
        <v>508408.24121522659</v>
      </c>
      <c r="BP15" s="23">
        <f>((Data!$AJ$61*((Drivers!BL5*1000000)/Drivers!BL4))+Data!$AK$61)</f>
        <v>521927.37253184826</v>
      </c>
      <c r="BQ15">
        <v>439500.1913407169</v>
      </c>
    </row>
    <row r="16" spans="1:72" x14ac:dyDescent="0.25">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5">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1647045.1860532647</v>
      </c>
      <c r="AF17" s="23">
        <f>'Net zero Intermediate calcs'!AA32*'Net zero Intermediate calcs'!AA33*Constants!$H$24</f>
        <v>1647784.0190100386</v>
      </c>
      <c r="AG17" s="23">
        <f>'Net zero Intermediate calcs'!AB32*'Net zero Intermediate calcs'!AB33*Constants!$H$24</f>
        <v>1632656.0990208653</v>
      </c>
      <c r="AH17" s="23">
        <f>'Net zero Intermediate calcs'!AC32*'Net zero Intermediate calcs'!AC33*Constants!$H$24</f>
        <v>1607948.7164639276</v>
      </c>
      <c r="AI17" s="23">
        <f>'Net zero Intermediate calcs'!AD32*'Net zero Intermediate calcs'!AD33*Constants!$H$24</f>
        <v>1574056.8450456359</v>
      </c>
      <c r="AJ17" s="23">
        <f>'Net zero Intermediate calcs'!AE32*'Net zero Intermediate calcs'!AE33*Constants!$H$24</f>
        <v>1549447.5878836231</v>
      </c>
      <c r="AK17" s="23">
        <f>'Net zero Intermediate calcs'!AF32*'Net zero Intermediate calcs'!AF33*Constants!$H$24</f>
        <v>1527015.9199472498</v>
      </c>
      <c r="AL17" s="23">
        <f>'Net zero Intermediate calcs'!AG32*'Net zero Intermediate calcs'!AG33*Constants!$H$24</f>
        <v>1371748.5957835338</v>
      </c>
      <c r="AM17" s="23">
        <f>'Net zero Intermediate calcs'!AH32*'Net zero Intermediate calcs'!AH33*Constants!$H$24</f>
        <v>1433736.2656028473</v>
      </c>
      <c r="AN17" s="23">
        <f>'Net zero Intermediate calcs'!AI32*'Net zero Intermediate calcs'!AI33*Constants!$H$24</f>
        <v>1452477.0019582291</v>
      </c>
      <c r="AO17" s="23">
        <f>'Net zero Intermediate calcs'!AJ32*'Net zero Intermediate calcs'!AJ33*Constants!$H$24</f>
        <v>1438142.4640501887</v>
      </c>
      <c r="AP17" s="23">
        <f>'Net zero Intermediate calcs'!AK32*'Net zero Intermediate calcs'!AK33*Constants!$H$24</f>
        <v>1425535.3141805318</v>
      </c>
      <c r="AQ17" s="23">
        <f>'Net zero Intermediate calcs'!AL32*'Net zero Intermediate calcs'!AL33*Constants!$H$24</f>
        <v>1421639.0693319717</v>
      </c>
      <c r="AR17" s="23">
        <f>'Net zero Intermediate calcs'!AM32*'Net zero Intermediate calcs'!AM33*Constants!$H$24</f>
        <v>1426115.1897885611</v>
      </c>
      <c r="AS17" s="23">
        <f>'Net zero Intermediate calcs'!AN32*'Net zero Intermediate calcs'!AN33*Constants!$H$24</f>
        <v>1434452.4061513322</v>
      </c>
      <c r="AT17" s="23">
        <f>'Net zero Intermediate calcs'!AO32*'Net zero Intermediate calcs'!AO33*Constants!$H$24</f>
        <v>1447601.8836349829</v>
      </c>
      <c r="AU17" s="23">
        <f>'Net zero Intermediate calcs'!AP32*'Net zero Intermediate calcs'!AP33*Constants!$H$24</f>
        <v>1468725.2268326974</v>
      </c>
      <c r="AV17" s="23">
        <f>'Net zero Intermediate calcs'!AQ32*'Net zero Intermediate calcs'!AQ33*Constants!$H$24</f>
        <v>1497084.9344248879</v>
      </c>
      <c r="AW17" s="23">
        <f>'Net zero Intermediate calcs'!AR32*'Net zero Intermediate calcs'!AR33*Constants!$H$24</f>
        <v>1529362.5480945888</v>
      </c>
      <c r="AX17" s="23">
        <f>'Net zero Intermediate calcs'!AS32*'Net zero Intermediate calcs'!AS33*Constants!$H$24</f>
        <v>1565237.646985665</v>
      </c>
      <c r="AY17" s="23">
        <f>'Net zero Intermediate calcs'!AT32*'Net zero Intermediate calcs'!AT33*Constants!$H$24</f>
        <v>1602915.7440535391</v>
      </c>
      <c r="AZ17" s="23">
        <f>'Net zero Intermediate calcs'!AU32*'Net zero Intermediate calcs'!AU33*Constants!$H$24</f>
        <v>1643043.925379565</v>
      </c>
      <c r="BA17" s="23">
        <f>'Net zero Intermediate calcs'!AV32*'Net zero Intermediate calcs'!AV33*Constants!$H$24</f>
        <v>1684757.2724027899</v>
      </c>
      <c r="BB17" s="23">
        <f>'Net zero Intermediate calcs'!AW32*'Net zero Intermediate calcs'!AW33*Constants!$H$24</f>
        <v>1725237.1319040265</v>
      </c>
      <c r="BC17" s="23">
        <f>'Net zero Intermediate calcs'!AX32*'Net zero Intermediate calcs'!AX33*Constants!$H$24</f>
        <v>1768394.2381216898</v>
      </c>
      <c r="BD17" s="23">
        <f>'Net zero Intermediate calcs'!AY32*'Net zero Intermediate calcs'!AY33*Constants!$H$24</f>
        <v>1811637.4241507875</v>
      </c>
      <c r="BE17" s="23">
        <f>'Net zero Intermediate calcs'!AZ32*'Net zero Intermediate calcs'!AZ33*Constants!$H$24</f>
        <v>1854739.6499469937</v>
      </c>
      <c r="BF17" s="23">
        <f>'Net zero Intermediate calcs'!BA32*'Net zero Intermediate calcs'!BA33*Constants!$H$24</f>
        <v>1898816.1951115066</v>
      </c>
      <c r="BG17" s="23">
        <f>'Net zero Intermediate calcs'!BB32*'Net zero Intermediate calcs'!BB33*Constants!$H$24</f>
        <v>1941016.7130752378</v>
      </c>
      <c r="BH17" s="23">
        <f>'Net zero Intermediate calcs'!BC32*'Net zero Intermediate calcs'!BC33*Constants!$H$24</f>
        <v>1985177.0922714637</v>
      </c>
      <c r="BI17" s="23">
        <f>'Net zero Intermediate calcs'!BD32*'Net zero Intermediate calcs'!BD33*Constants!$H$24</f>
        <v>2032570.3488604655</v>
      </c>
      <c r="BJ17" s="23">
        <f>'Net zero Intermediate calcs'!BE32*'Net zero Intermediate calcs'!BE33*Constants!$H$24</f>
        <v>2080791.8647134064</v>
      </c>
      <c r="BK17" s="23">
        <f>'Net zero Intermediate calcs'!BF32*'Net zero Intermediate calcs'!BF33*Constants!$H$24</f>
        <v>2129930.2914873464</v>
      </c>
      <c r="BL17" s="23">
        <f>'Net zero Intermediate calcs'!BG32*'Net zero Intermediate calcs'!BG33*Constants!$H$24</f>
        <v>2182413.7415643274</v>
      </c>
      <c r="BM17" s="23">
        <f>'Net zero Intermediate calcs'!BH32*'Net zero Intermediate calcs'!BH33*Constants!$H$24</f>
        <v>2237328.5405060551</v>
      </c>
      <c r="BN17" s="23">
        <f>'Net zero Intermediate calcs'!BI32*'Net zero Intermediate calcs'!BI33*Constants!$H$24</f>
        <v>2294048.7331730053</v>
      </c>
      <c r="BO17" s="23">
        <f>'Net zero Intermediate calcs'!BJ32*'Net zero Intermediate calcs'!BJ33*Constants!$H$24</f>
        <v>2354045.6716976329</v>
      </c>
      <c r="BP17" s="23">
        <f>'Net zero Intermediate calcs'!BK32*'Net zero Intermediate calcs'!BK33*Constants!$H$24</f>
        <v>2408353.7615859271</v>
      </c>
      <c r="BQ17">
        <v>1950275.6349015508</v>
      </c>
    </row>
    <row r="18" spans="1:72" x14ac:dyDescent="0.25">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224597.07082544517</v>
      </c>
      <c r="AF18" s="23">
        <f>'Net zero Intermediate calcs'!AA32*'Net zero Intermediate calcs'!AA33*(1-Constants!$H$24)</f>
        <v>224697.82077409615</v>
      </c>
      <c r="AG18" s="23">
        <f>'Net zero Intermediate calcs'!AB32*'Net zero Intermediate calcs'!AB33*(1-Constants!$H$24)</f>
        <v>222634.92259375434</v>
      </c>
      <c r="AH18" s="23">
        <f>'Net zero Intermediate calcs'!AC32*'Net zero Intermediate calcs'!AC33*(1-Constants!$H$24)</f>
        <v>219265.73406326285</v>
      </c>
      <c r="AI18" s="23">
        <f>'Net zero Intermediate calcs'!AD32*'Net zero Intermediate calcs'!AD33*(1-Constants!$H$24)</f>
        <v>214644.1152334958</v>
      </c>
      <c r="AJ18" s="23">
        <f>'Net zero Intermediate calcs'!AE32*'Net zero Intermediate calcs'!AE33*(1-Constants!$H$24)</f>
        <v>211288.30743867587</v>
      </c>
      <c r="AK18" s="23">
        <f>'Net zero Intermediate calcs'!AF32*'Net zero Intermediate calcs'!AF33*(1-Constants!$H$24)</f>
        <v>208229.44362917045</v>
      </c>
      <c r="AL18" s="23">
        <f>'Net zero Intermediate calcs'!AG32*'Net zero Intermediate calcs'!AG33*(1-Constants!$H$24)</f>
        <v>187056.62669775457</v>
      </c>
      <c r="AM18" s="23">
        <f>'Net zero Intermediate calcs'!AH32*'Net zero Intermediate calcs'!AH33*(1-Constants!$H$24)</f>
        <v>195509.49076402464</v>
      </c>
      <c r="AN18" s="23">
        <f>'Net zero Intermediate calcs'!AI32*'Net zero Intermediate calcs'!AI33*(1-Constants!$H$24)</f>
        <v>198065.04572157669</v>
      </c>
      <c r="AO18" s="23">
        <f>'Net zero Intermediate calcs'!AJ32*'Net zero Intermediate calcs'!AJ33*(1-Constants!$H$24)</f>
        <v>196110.33600684389</v>
      </c>
      <c r="AP18" s="23">
        <f>'Net zero Intermediate calcs'!AK32*'Net zero Intermediate calcs'!AK33*(1-Constants!$H$24)</f>
        <v>194391.17920643615</v>
      </c>
      <c r="AQ18" s="23">
        <f>'Net zero Intermediate calcs'!AL32*'Net zero Intermediate calcs'!AL33*(1-Constants!$H$24)</f>
        <v>193859.87309072341</v>
      </c>
      <c r="AR18" s="23">
        <f>'Net zero Intermediate calcs'!AM32*'Net zero Intermediate calcs'!AM33*(1-Constants!$H$24)</f>
        <v>194470.25315298559</v>
      </c>
      <c r="AS18" s="23">
        <f>'Net zero Intermediate calcs'!AN32*'Net zero Intermediate calcs'!AN33*(1-Constants!$H$24)</f>
        <v>195607.14629336348</v>
      </c>
      <c r="AT18" s="23">
        <f>'Net zero Intermediate calcs'!AO32*'Net zero Intermediate calcs'!AO33*(1-Constants!$H$24)</f>
        <v>197400.25685931582</v>
      </c>
      <c r="AU18" s="23">
        <f>'Net zero Intermediate calcs'!AP32*'Net zero Intermediate calcs'!AP33*(1-Constants!$H$24)</f>
        <v>200280.71274991328</v>
      </c>
      <c r="AV18" s="23">
        <f>'Net zero Intermediate calcs'!AQ32*'Net zero Intermediate calcs'!AQ33*(1-Constants!$H$24)</f>
        <v>204147.94560339377</v>
      </c>
      <c r="AW18" s="23">
        <f>'Net zero Intermediate calcs'!AR32*'Net zero Intermediate calcs'!AR33*(1-Constants!$H$24)</f>
        <v>208549.43837653482</v>
      </c>
      <c r="AX18" s="23">
        <f>'Net zero Intermediate calcs'!AS32*'Net zero Intermediate calcs'!AS33*(1-Constants!$H$24)</f>
        <v>213441.49731622703</v>
      </c>
      <c r="AY18" s="23">
        <f>'Net zero Intermediate calcs'!AT32*'Net zero Intermediate calcs'!AT33*(1-Constants!$H$24)</f>
        <v>218579.41964366441</v>
      </c>
      <c r="AZ18" s="23">
        <f>'Net zero Intermediate calcs'!AU32*'Net zero Intermediate calcs'!AU33*(1-Constants!$H$24)</f>
        <v>224051.4443699407</v>
      </c>
      <c r="BA18" s="23">
        <f>'Net zero Intermediate calcs'!AV32*'Net zero Intermediate calcs'!AV33*(1-Constants!$H$24)</f>
        <v>229739.62805492588</v>
      </c>
      <c r="BB18" s="23">
        <f>'Net zero Intermediate calcs'!AW32*'Net zero Intermediate calcs'!AW33*(1-Constants!$H$24)</f>
        <v>235259.6088960036</v>
      </c>
      <c r="BC18" s="23">
        <f>'Net zero Intermediate calcs'!AX32*'Net zero Intermediate calcs'!AX33*(1-Constants!$H$24)</f>
        <v>241144.66883477586</v>
      </c>
      <c r="BD18" s="23">
        <f>'Net zero Intermediate calcs'!AY32*'Net zero Intermediate calcs'!AY33*(1-Constants!$H$24)</f>
        <v>247041.46692965282</v>
      </c>
      <c r="BE18" s="23">
        <f>'Net zero Intermediate calcs'!AZ32*'Net zero Intermediate calcs'!AZ33*(1-Constants!$H$24)</f>
        <v>252919.04317459004</v>
      </c>
      <c r="BF18" s="23">
        <f>'Net zero Intermediate calcs'!BA32*'Net zero Intermediate calcs'!BA33*(1-Constants!$H$24)</f>
        <v>258929.48115156908</v>
      </c>
      <c r="BG18" s="23">
        <f>'Net zero Intermediate calcs'!BB32*'Net zero Intermediate calcs'!BB33*(1-Constants!$H$24)</f>
        <v>264684.09723753243</v>
      </c>
      <c r="BH18" s="23">
        <f>'Net zero Intermediate calcs'!BC32*'Net zero Intermediate calcs'!BC33*(1-Constants!$H$24)</f>
        <v>270705.96712792688</v>
      </c>
      <c r="BI18" s="23">
        <f>'Net zero Intermediate calcs'!BD32*'Net zero Intermediate calcs'!BD33*(1-Constants!$H$24)</f>
        <v>277168.68393551797</v>
      </c>
      <c r="BJ18" s="23">
        <f>'Net zero Intermediate calcs'!BE32*'Net zero Intermediate calcs'!BE33*(1-Constants!$H$24)</f>
        <v>283744.3451881918</v>
      </c>
      <c r="BK18" s="23">
        <f>'Net zero Intermediate calcs'!BF32*'Net zero Intermediate calcs'!BF33*(1-Constants!$H$24)</f>
        <v>290445.03974827455</v>
      </c>
      <c r="BL18" s="23">
        <f>'Net zero Intermediate calcs'!BG32*'Net zero Intermediate calcs'!BG33*(1-Constants!$H$24)</f>
        <v>297601.873849681</v>
      </c>
      <c r="BM18" s="23">
        <f>'Net zero Intermediate calcs'!BH32*'Net zero Intermediate calcs'!BH33*(1-Constants!$H$24)</f>
        <v>305090.255523553</v>
      </c>
      <c r="BN18" s="23">
        <f>'Net zero Intermediate calcs'!BI32*'Net zero Intermediate calcs'!BI33*(1-Constants!$H$24)</f>
        <v>312824.82725086436</v>
      </c>
      <c r="BO18" s="23">
        <f>'Net zero Intermediate calcs'!BJ32*'Net zero Intermediate calcs'!BJ33*(1-Constants!$H$24)</f>
        <v>321006.22795876808</v>
      </c>
      <c r="BP18" s="23">
        <f>'Net zero Intermediate calcs'!BK32*'Net zero Intermediate calcs'!BK33*(1-Constants!$H$24)</f>
        <v>328411.87657989911</v>
      </c>
      <c r="BQ18">
        <v>265946.67748657509</v>
      </c>
    </row>
    <row r="19" spans="1:72" x14ac:dyDescent="0.25">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25350316.178505685</v>
      </c>
      <c r="AM19" s="23">
        <f>'Net zero Intermediate calcs'!AH37*'Net zero Intermediate calcs'!AH38*Constants!$H$25</f>
        <v>26408735.533055577</v>
      </c>
      <c r="AN19" s="23">
        <f>'Net zero Intermediate calcs'!AI37*'Net zero Intermediate calcs'!AI38*Constants!$H$25</f>
        <v>27037761.553333167</v>
      </c>
      <c r="AO19" s="23">
        <f>'Net zero Intermediate calcs'!AJ37*'Net zero Intermediate calcs'!AJ38*Constants!$H$25</f>
        <v>27338002.975853834</v>
      </c>
      <c r="AP19" s="23">
        <f>'Net zero Intermediate calcs'!AK37*'Net zero Intermediate calcs'!AK38*Constants!$H$25</f>
        <v>27670981.254269924</v>
      </c>
      <c r="AQ19" s="23">
        <f>'Net zero Intermediate calcs'!AL37*'Net zero Intermediate calcs'!AL38*Constants!$H$25</f>
        <v>28105220.469150901</v>
      </c>
      <c r="AR19" s="23">
        <f>'Net zero Intermediate calcs'!AM37*'Net zero Intermediate calcs'!AM38*Constants!$H$25</f>
        <v>28627932.806100942</v>
      </c>
      <c r="AS19" s="23">
        <f>'Net zero Intermediate calcs'!AN37*'Net zero Intermediate calcs'!AN38*Constants!$H$25</f>
        <v>29194859.417688563</v>
      </c>
      <c r="AT19" s="23">
        <f>'Net zero Intermediate calcs'!AO37*'Net zero Intermediate calcs'!AO38*Constants!$H$25</f>
        <v>29819916.767370615</v>
      </c>
      <c r="AU19" s="23">
        <f>'Net zero Intermediate calcs'!AP37*'Net zero Intermediate calcs'!AP38*Constants!$H$25</f>
        <v>30544491.454696167</v>
      </c>
      <c r="AV19" s="23">
        <f>'Net zero Intermediate calcs'!AQ37*'Net zero Intermediate calcs'!AQ38*Constants!$H$25</f>
        <v>31366383.106817737</v>
      </c>
      <c r="AW19" s="23">
        <f>'Net zero Intermediate calcs'!AR37*'Net zero Intermediate calcs'!AR38*Constants!$H$25</f>
        <v>32250631.586499896</v>
      </c>
      <c r="AX19" s="23">
        <f>'Net zero Intermediate calcs'!AS37*'Net zero Intermediate calcs'!AS38*Constants!$H$25</f>
        <v>33197098.245378032</v>
      </c>
      <c r="AY19" s="23">
        <f>'Net zero Intermediate calcs'!AT37*'Net zero Intermediate calcs'!AT38*Constants!$H$25</f>
        <v>34186211.859999739</v>
      </c>
      <c r="AZ19" s="23">
        <f>'Net zero Intermediate calcs'!AU37*'Net zero Intermediate calcs'!AU38*Constants!$H$25</f>
        <v>35228014.344321951</v>
      </c>
      <c r="BA19" s="23">
        <f>'Net zero Intermediate calcs'!AV37*'Net zero Intermediate calcs'!AV38*Constants!$H$25</f>
        <v>36313753.867247581</v>
      </c>
      <c r="BB19" s="23">
        <f>'Net zero Intermediate calcs'!AW37*'Net zero Intermediate calcs'!AW38*Constants!$H$25</f>
        <v>37407573.988881394</v>
      </c>
      <c r="BC19" s="23">
        <f>'Net zero Intermediate calcs'!AX37*'Net zero Intermediate calcs'!AX38*Constants!$H$25</f>
        <v>38562749.506188259</v>
      </c>
      <c r="BD19" s="23">
        <f>'Net zero Intermediate calcs'!AY37*'Net zero Intermediate calcs'!AY38*Constants!$H$25</f>
        <v>39745096.975792833</v>
      </c>
      <c r="BE19" s="23">
        <f>'Net zero Intermediate calcs'!AZ37*'Net zero Intermediate calcs'!AZ38*Constants!$H$25</f>
        <v>40952188.782423802</v>
      </c>
      <c r="BF19" s="23">
        <f>'Net zero Intermediate calcs'!BA37*'Net zero Intermediate calcs'!BA38*Constants!$H$25</f>
        <v>42201083.559905358</v>
      </c>
      <c r="BG19" s="23">
        <f>'Net zero Intermediate calcs'!BB37*'Net zero Intermediate calcs'!BB38*Constants!$H$25</f>
        <v>43451202.561684646</v>
      </c>
      <c r="BH19" s="23">
        <f>'Net zero Intermediate calcs'!BC37*'Net zero Intermediate calcs'!BC38*Constants!$H$25</f>
        <v>44759448.199851647</v>
      </c>
      <c r="BI19" s="23">
        <f>'Net zero Intermediate calcs'!BD37*'Net zero Intermediate calcs'!BD38*Constants!$H$25</f>
        <v>46147680.988987908</v>
      </c>
      <c r="BJ19" s="23">
        <f>'Net zero Intermediate calcs'!BE37*'Net zero Intermediate calcs'!BE38*Constants!$H$25</f>
        <v>47581799.423311822</v>
      </c>
      <c r="BK19" s="23">
        <f>'Net zero Intermediate calcs'!BF37*'Net zero Intermediate calcs'!BF38*Constants!$H$25</f>
        <v>49064604.117689945</v>
      </c>
      <c r="BL19" s="23">
        <f>'Net zero Intermediate calcs'!BG37*'Net zero Intermediate calcs'!BG38*Constants!$H$25</f>
        <v>50637154.6480323</v>
      </c>
      <c r="BM19" s="23">
        <f>'Net zero Intermediate calcs'!BH37*'Net zero Intermediate calcs'!BH38*Constants!$H$25</f>
        <v>52288374.959454365</v>
      </c>
      <c r="BN19" s="23">
        <f>'Net zero Intermediate calcs'!BI37*'Net zero Intermediate calcs'!BI38*Constants!$H$25</f>
        <v>54011180.429054819</v>
      </c>
      <c r="BO19" s="23">
        <f>'Net zero Intermediate calcs'!BJ37*'Net zero Intermediate calcs'!BJ38*Constants!$H$25</f>
        <v>55833926.495470583</v>
      </c>
      <c r="BP19" s="23">
        <f>'Net zero Intermediate calcs'!BK37*'Net zero Intermediate calcs'!BK38*Constants!$H$25</f>
        <v>57603540.497549266</v>
      </c>
      <c r="BQ19">
        <v>50062195.142061464</v>
      </c>
    </row>
    <row r="20" spans="1:72" x14ac:dyDescent="0.25">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97270973.713722616</v>
      </c>
      <c r="AG20" s="23">
        <f>'Net zero Intermediate calcs'!AB42*'Net zero Intermediate calcs'!AB43*Constants!$H$26</f>
        <v>97842130.84288761</v>
      </c>
      <c r="AH20" s="23">
        <f>'Net zero Intermediate calcs'!AC42*'Net zero Intermediate calcs'!AC43*Constants!$H$26</f>
        <v>97491901.62390025</v>
      </c>
      <c r="AI20" s="23">
        <f>'Net zero Intermediate calcs'!AD42*'Net zero Intermediate calcs'!AD43*Constants!$H$26</f>
        <v>96224012.280420944</v>
      </c>
      <c r="AJ20" s="23">
        <f>'Net zero Intermediate calcs'!AE42*'Net zero Intermediate calcs'!AE43*Constants!$H$26</f>
        <v>95690259.829558313</v>
      </c>
      <c r="AK20" s="23">
        <f>'Net zero Intermediate calcs'!AF42*'Net zero Intermediate calcs'!AF43*Constants!$H$26</f>
        <v>95277598.733681634</v>
      </c>
      <c r="AL20" s="23">
        <f>'Net zero Intermediate calcs'!AG42*'Net zero Intermediate calcs'!AG43*Constants!$H$26</f>
        <v>82894080.954694346</v>
      </c>
      <c r="AM20" s="23">
        <f>'Net zero Intermediate calcs'!AH42*'Net zero Intermediate calcs'!AH43*Constants!$H$26</f>
        <v>90393930.419263557</v>
      </c>
      <c r="AN20" s="23">
        <f>'Net zero Intermediate calcs'!AI42*'Net zero Intermediate calcs'!AI43*Constants!$H$26</f>
        <v>94002622.019163698</v>
      </c>
      <c r="AO20" s="23">
        <f>'Net zero Intermediate calcs'!AJ42*'Net zero Intermediate calcs'!AJ43*Constants!$H$26</f>
        <v>94454154.889687449</v>
      </c>
      <c r="AP20" s="23">
        <f>'Net zero Intermediate calcs'!AK42*'Net zero Intermediate calcs'!AK43*Constants!$H$26</f>
        <v>94974679.786767587</v>
      </c>
      <c r="AQ20" s="23">
        <f>'Net zero Intermediate calcs'!AL42*'Net zero Intermediate calcs'!AL43*Constants!$H$26</f>
        <v>96294735.95473586</v>
      </c>
      <c r="AR20" s="23">
        <f>'Net zero Intermediate calcs'!AM42*'Net zero Intermediate calcs'!AM43*Constants!$H$26</f>
        <v>98468274.24258782</v>
      </c>
      <c r="AS20" s="23">
        <f>'Net zero Intermediate calcs'!AN42*'Net zero Intermediate calcs'!AN43*Constants!$H$26</f>
        <v>101068840.03772344</v>
      </c>
      <c r="AT20" s="23">
        <f>'Net zero Intermediate calcs'!AO42*'Net zero Intermediate calcs'!AO43*Constants!$H$26</f>
        <v>104211214.83932562</v>
      </c>
      <c r="AU20" s="23">
        <f>'Net zero Intermediate calcs'!AP42*'Net zero Intermediate calcs'!AP43*Constants!$H$26</f>
        <v>108244282.49400334</v>
      </c>
      <c r="AV20" s="23">
        <f>'Net zero Intermediate calcs'!AQ42*'Net zero Intermediate calcs'!AQ43*Constants!$H$26</f>
        <v>113122032.67958254</v>
      </c>
      <c r="AW20" s="23">
        <f>'Net zero Intermediate calcs'!AR42*'Net zero Intermediate calcs'!AR43*Constants!$H$26</f>
        <v>118520843.42590588</v>
      </c>
      <c r="AX20" s="23">
        <f>'Net zero Intermediate calcs'!AS42*'Net zero Intermediate calcs'!AS43*Constants!$H$26</f>
        <v>124422803.86290345</v>
      </c>
      <c r="AY20" s="23">
        <f>'Net zero Intermediate calcs'!AT42*'Net zero Intermediate calcs'!AT43*Constants!$H$26</f>
        <v>130648267.66371906</v>
      </c>
      <c r="AZ20" s="23">
        <f>'Net zero Intermediate calcs'!AU42*'Net zero Intermediate calcs'!AU43*Constants!$H$26</f>
        <v>137280542.32060531</v>
      </c>
      <c r="BA20" s="23">
        <f>'Net zero Intermediate calcs'!AV42*'Net zero Intermediate calcs'!AV43*Constants!$H$26</f>
        <v>144235037.05865496</v>
      </c>
      <c r="BB20" s="23">
        <f>'Net zero Intermediate calcs'!AW42*'Net zero Intermediate calcs'!AW43*Constants!$H$26</f>
        <v>151199621.99613568</v>
      </c>
      <c r="BC20" s="23">
        <f>'Net zero Intermediate calcs'!AX42*'Net zero Intermediate calcs'!AX43*Constants!$H$26</f>
        <v>158624775.00255036</v>
      </c>
      <c r="BD20" s="23">
        <f>'Net zero Intermediate calcs'!AY42*'Net zero Intermediate calcs'!AY43*Constants!$H$26</f>
        <v>166225099.24857998</v>
      </c>
      <c r="BE20" s="23">
        <f>'Net zero Intermediate calcs'!AZ42*'Net zero Intermediate calcs'!AZ43*Constants!$H$26</f>
        <v>173978053.60793683</v>
      </c>
      <c r="BF20" s="23">
        <f>'Net zero Intermediate calcs'!BA42*'Net zero Intermediate calcs'!BA43*Constants!$H$26</f>
        <v>182020374.97889093</v>
      </c>
      <c r="BG20" s="23">
        <f>'Net zero Intermediate calcs'!BB42*'Net zero Intermediate calcs'!BB43*Constants!$H$26</f>
        <v>190014409.54631716</v>
      </c>
      <c r="BH20" s="23">
        <f>'Net zero Intermediate calcs'!BC42*'Net zero Intermediate calcs'!BC43*Constants!$H$26</f>
        <v>198428811.99033922</v>
      </c>
      <c r="BI20" s="23">
        <f>'Net zero Intermediate calcs'!BD42*'Net zero Intermediate calcs'!BD43*Constants!$H$26</f>
        <v>207436820.08242714</v>
      </c>
      <c r="BJ20" s="23">
        <f>'Net zero Intermediate calcs'!BE42*'Net zero Intermediate calcs'!BE43*Constants!$H$26</f>
        <v>216755778.63124537</v>
      </c>
      <c r="BK20" s="23">
        <f>'Net zero Intermediate calcs'!BF42*'Net zero Intermediate calcs'!BF43*Constants!$H$26</f>
        <v>226407448.65376598</v>
      </c>
      <c r="BL20" s="23">
        <f>'Net zero Intermediate calcs'!BG42*'Net zero Intermediate calcs'!BG43*Constants!$H$26</f>
        <v>236717297.94777542</v>
      </c>
      <c r="BM20" s="23">
        <f>'Net zero Intermediate calcs'!BH42*'Net zero Intermediate calcs'!BH43*Constants!$H$26</f>
        <v>247588545.91690725</v>
      </c>
      <c r="BN20" s="23">
        <f>'Net zero Intermediate calcs'!BI42*'Net zero Intermediate calcs'!BI43*Constants!$H$26</f>
        <v>258956906.1799702</v>
      </c>
      <c r="BO20" s="23">
        <f>'Net zero Intermediate calcs'!BJ42*'Net zero Intermediate calcs'!BJ43*Constants!$H$26</f>
        <v>271036603.07164901</v>
      </c>
      <c r="BP20" s="23">
        <f>'Net zero Intermediate calcs'!BK42*'Net zero Intermediate calcs'!BK43*Constants!$H$26</f>
        <v>282631869.11967134</v>
      </c>
      <c r="BQ20">
        <v>217498134.58556306</v>
      </c>
    </row>
    <row r="21" spans="1:72" x14ac:dyDescent="0.25">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1061457.1413934436</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1056263.1741044044</v>
      </c>
      <c r="AM21" s="23">
        <f>'Net zero Intermediate calcs'!AH37*'Net zero Intermediate calcs'!AH38*(1-Constants!$H$25)</f>
        <v>1100363.9805439834</v>
      </c>
      <c r="AN21" s="23">
        <f>'Net zero Intermediate calcs'!AI37*'Net zero Intermediate calcs'!AI38*(1-Constants!$H$25)</f>
        <v>1126573.3980555497</v>
      </c>
      <c r="AO21" s="23">
        <f>'Net zero Intermediate calcs'!AJ37*'Net zero Intermediate calcs'!AJ38*(1-Constants!$H$25)</f>
        <v>1139083.4573272441</v>
      </c>
      <c r="AP21" s="23">
        <f>'Net zero Intermediate calcs'!AK37*'Net zero Intermediate calcs'!AK38*(1-Constants!$H$25)</f>
        <v>1152957.552261248</v>
      </c>
      <c r="AQ21" s="23">
        <f>'Net zero Intermediate calcs'!AL37*'Net zero Intermediate calcs'!AL38*(1-Constants!$H$25)</f>
        <v>1171050.8528812886</v>
      </c>
      <c r="AR21" s="23">
        <f>'Net zero Intermediate calcs'!AM37*'Net zero Intermediate calcs'!AM38*(1-Constants!$H$25)</f>
        <v>1192830.5335875405</v>
      </c>
      <c r="AS21" s="23">
        <f>'Net zero Intermediate calcs'!AN37*'Net zero Intermediate calcs'!AN38*(1-Constants!$H$25)</f>
        <v>1216452.4757370246</v>
      </c>
      <c r="AT21" s="23">
        <f>'Net zero Intermediate calcs'!AO37*'Net zero Intermediate calcs'!AO38*(1-Constants!$H$25)</f>
        <v>1242496.5319737766</v>
      </c>
      <c r="AU21" s="23">
        <f>'Net zero Intermediate calcs'!AP37*'Net zero Intermediate calcs'!AP38*(1-Constants!$H$25)</f>
        <v>1272687.1439456749</v>
      </c>
      <c r="AV21" s="23">
        <f>'Net zero Intermediate calcs'!AQ37*'Net zero Intermediate calcs'!AQ38*(1-Constants!$H$25)</f>
        <v>1306932.6294507403</v>
      </c>
      <c r="AW21" s="23">
        <f>'Net zero Intermediate calcs'!AR37*'Net zero Intermediate calcs'!AR38*(1-Constants!$H$25)</f>
        <v>1343776.3161041634</v>
      </c>
      <c r="AX21" s="23">
        <f>'Net zero Intermediate calcs'!AS37*'Net zero Intermediate calcs'!AS38*(1-Constants!$H$25)</f>
        <v>1383212.4268907527</v>
      </c>
      <c r="AY21" s="23">
        <f>'Net zero Intermediate calcs'!AT37*'Net zero Intermediate calcs'!AT38*(1-Constants!$H$25)</f>
        <v>1424425.4941666571</v>
      </c>
      <c r="AZ21" s="23">
        <f>'Net zero Intermediate calcs'!AU37*'Net zero Intermediate calcs'!AU38*(1-Constants!$H$25)</f>
        <v>1467833.9310134158</v>
      </c>
      <c r="BA21" s="23">
        <f>'Net zero Intermediate calcs'!AV37*'Net zero Intermediate calcs'!AV38*(1-Constants!$H$25)</f>
        <v>1513073.077801984</v>
      </c>
      <c r="BB21" s="23">
        <f>'Net zero Intermediate calcs'!AW37*'Net zero Intermediate calcs'!AW38*(1-Constants!$H$25)</f>
        <v>1558648.9162033929</v>
      </c>
      <c r="BC21" s="23">
        <f>'Net zero Intermediate calcs'!AX37*'Net zero Intermediate calcs'!AX38*(1-Constants!$H$25)</f>
        <v>1606781.2294245122</v>
      </c>
      <c r="BD21" s="23">
        <f>'Net zero Intermediate calcs'!AY37*'Net zero Intermediate calcs'!AY38*(1-Constants!$H$25)</f>
        <v>1656045.707324703</v>
      </c>
      <c r="BE21" s="23">
        <f>'Net zero Intermediate calcs'!AZ37*'Net zero Intermediate calcs'!AZ38*(1-Constants!$H$25)</f>
        <v>1706341.19926766</v>
      </c>
      <c r="BF21" s="23">
        <f>'Net zero Intermediate calcs'!BA37*'Net zero Intermediate calcs'!BA38*(1-Constants!$H$25)</f>
        <v>1758378.4816627251</v>
      </c>
      <c r="BG21" s="23">
        <f>'Net zero Intermediate calcs'!BB37*'Net zero Intermediate calcs'!BB38*(1-Constants!$H$25)</f>
        <v>1810466.7734035284</v>
      </c>
      <c r="BH21" s="23">
        <f>'Net zero Intermediate calcs'!BC37*'Net zero Intermediate calcs'!BC38*(1-Constants!$H$25)</f>
        <v>1864977.0083271537</v>
      </c>
      <c r="BI21" s="23">
        <f>'Net zero Intermediate calcs'!BD37*'Net zero Intermediate calcs'!BD38*(1-Constants!$H$25)</f>
        <v>1922820.0412078311</v>
      </c>
      <c r="BJ21" s="23">
        <f>'Net zero Intermediate calcs'!BE37*'Net zero Intermediate calcs'!BE38*(1-Constants!$H$25)</f>
        <v>1982574.9759713276</v>
      </c>
      <c r="BK21" s="23">
        <f>'Net zero Intermediate calcs'!BF37*'Net zero Intermediate calcs'!BF38*(1-Constants!$H$25)</f>
        <v>2044358.5049037496</v>
      </c>
      <c r="BL21" s="23">
        <f>'Net zero Intermediate calcs'!BG37*'Net zero Intermediate calcs'!BG38*(1-Constants!$H$25)</f>
        <v>2109881.4436680144</v>
      </c>
      <c r="BM21" s="23">
        <f>'Net zero Intermediate calcs'!BH37*'Net zero Intermediate calcs'!BH38*(1-Constants!$H$25)</f>
        <v>2178682.2899772674</v>
      </c>
      <c r="BN21" s="23">
        <f>'Net zero Intermediate calcs'!BI37*'Net zero Intermediate calcs'!BI38*(1-Constants!$H$25)</f>
        <v>2250465.8512106193</v>
      </c>
      <c r="BO21" s="23">
        <f>'Net zero Intermediate calcs'!BJ37*'Net zero Intermediate calcs'!BJ38*(1-Constants!$H$25)</f>
        <v>2326413.6039779428</v>
      </c>
      <c r="BP21" s="23">
        <f>'Net zero Intermediate calcs'!BK37*'Net zero Intermediate calcs'!BK38*(1-Constants!$H$25)</f>
        <v>2400147.5207312214</v>
      </c>
      <c r="BQ21">
        <v>2085924.7975858962</v>
      </c>
    </row>
    <row r="22" spans="1:72" x14ac:dyDescent="0.25">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4052957.2380717797</v>
      </c>
      <c r="AG22" s="23">
        <f>'Net zero Intermediate calcs'!AB42*'Net zero Intermediate calcs'!AB43*(1-Constants!$H$26)</f>
        <v>4076755.451786987</v>
      </c>
      <c r="AH22" s="23">
        <f>'Net zero Intermediate calcs'!AC42*'Net zero Intermediate calcs'!AC43*(1-Constants!$H$26)</f>
        <v>4062162.5676625138</v>
      </c>
      <c r="AI22" s="23">
        <f>'Net zero Intermediate calcs'!AD42*'Net zero Intermediate calcs'!AD43*(1-Constants!$H$26)</f>
        <v>4009333.8450175426</v>
      </c>
      <c r="AJ22" s="23">
        <f>'Net zero Intermediate calcs'!AE42*'Net zero Intermediate calcs'!AE43*(1-Constants!$H$26)</f>
        <v>3987094.1595649333</v>
      </c>
      <c r="AK22" s="23">
        <f>'Net zero Intermediate calcs'!AF42*'Net zero Intermediate calcs'!AF43*(1-Constants!$H$26)</f>
        <v>3969899.9472367382</v>
      </c>
      <c r="AL22" s="23">
        <f>'Net zero Intermediate calcs'!AG42*'Net zero Intermediate calcs'!AG43*(1-Constants!$H$26)</f>
        <v>3453920.0397789343</v>
      </c>
      <c r="AM22" s="23">
        <f>'Net zero Intermediate calcs'!AH42*'Net zero Intermediate calcs'!AH43*(1-Constants!$H$26)</f>
        <v>3766413.7674693181</v>
      </c>
      <c r="AN22" s="23">
        <f>'Net zero Intermediate calcs'!AI42*'Net zero Intermediate calcs'!AI43*(1-Constants!$H$26)</f>
        <v>3916775.9174651573</v>
      </c>
      <c r="AO22" s="23">
        <f>'Net zero Intermediate calcs'!AJ42*'Net zero Intermediate calcs'!AJ43*(1-Constants!$H$26)</f>
        <v>3935589.7870703144</v>
      </c>
      <c r="AP22" s="23">
        <f>'Net zero Intermediate calcs'!AK42*'Net zero Intermediate calcs'!AK43*(1-Constants!$H$26)</f>
        <v>3957278.3244486535</v>
      </c>
      <c r="AQ22" s="23">
        <f>'Net zero Intermediate calcs'!AL42*'Net zero Intermediate calcs'!AL43*(1-Constants!$H$26)</f>
        <v>4012280.6647806643</v>
      </c>
      <c r="AR22" s="23">
        <f>'Net zero Intermediate calcs'!AM42*'Net zero Intermediate calcs'!AM43*(1-Constants!$H$26)</f>
        <v>4102844.7601078297</v>
      </c>
      <c r="AS22" s="23">
        <f>'Net zero Intermediate calcs'!AN42*'Net zero Intermediate calcs'!AN43*(1-Constants!$H$26)</f>
        <v>4211201.6682384806</v>
      </c>
      <c r="AT22" s="23">
        <f>'Net zero Intermediate calcs'!AO42*'Net zero Intermediate calcs'!AO43*(1-Constants!$H$26)</f>
        <v>4342133.951638571</v>
      </c>
      <c r="AU22" s="23">
        <f>'Net zero Intermediate calcs'!AP42*'Net zero Intermediate calcs'!AP43*(1-Constants!$H$26)</f>
        <v>4510178.4372501429</v>
      </c>
      <c r="AV22" s="23">
        <f>'Net zero Intermediate calcs'!AQ42*'Net zero Intermediate calcs'!AQ43*(1-Constants!$H$26)</f>
        <v>4713418.0283159437</v>
      </c>
      <c r="AW22" s="23">
        <f>'Net zero Intermediate calcs'!AR42*'Net zero Intermediate calcs'!AR43*(1-Constants!$H$26)</f>
        <v>4938368.4760794165</v>
      </c>
      <c r="AX22" s="23">
        <f>'Net zero Intermediate calcs'!AS42*'Net zero Intermediate calcs'!AS43*(1-Constants!$H$26)</f>
        <v>5184283.4942876482</v>
      </c>
      <c r="AY22" s="23">
        <f>'Net zero Intermediate calcs'!AT42*'Net zero Intermediate calcs'!AT43*(1-Constants!$H$26)</f>
        <v>5443677.8193216324</v>
      </c>
      <c r="AZ22" s="23">
        <f>'Net zero Intermediate calcs'!AU42*'Net zero Intermediate calcs'!AU43*(1-Constants!$H$26)</f>
        <v>5720022.5966918934</v>
      </c>
      <c r="BA22" s="23">
        <f>'Net zero Intermediate calcs'!AV42*'Net zero Intermediate calcs'!AV43*(1-Constants!$H$26)</f>
        <v>6009793.2107772948</v>
      </c>
      <c r="BB22" s="23">
        <f>'Net zero Intermediate calcs'!AW42*'Net zero Intermediate calcs'!AW43*(1-Constants!$H$26)</f>
        <v>6299984.249838993</v>
      </c>
      <c r="BC22" s="23">
        <f>'Net zero Intermediate calcs'!AX42*'Net zero Intermediate calcs'!AX43*(1-Constants!$H$26)</f>
        <v>6609365.6251062714</v>
      </c>
      <c r="BD22" s="23">
        <f>'Net zero Intermediate calcs'!AY42*'Net zero Intermediate calcs'!AY43*(1-Constants!$H$26)</f>
        <v>6926045.8020241726</v>
      </c>
      <c r="BE22" s="23">
        <f>'Net zero Intermediate calcs'!AZ42*'Net zero Intermediate calcs'!AZ43*(1-Constants!$H$26)</f>
        <v>7249085.5669973744</v>
      </c>
      <c r="BF22" s="23">
        <f>'Net zero Intermediate calcs'!BA42*'Net zero Intermediate calcs'!BA43*(1-Constants!$H$26)</f>
        <v>7584182.2907871287</v>
      </c>
      <c r="BG22" s="23">
        <f>'Net zero Intermediate calcs'!BB42*'Net zero Intermediate calcs'!BB43*(1-Constants!$H$26)</f>
        <v>7917267.0644298885</v>
      </c>
      <c r="BH22" s="23">
        <f>'Net zero Intermediate calcs'!BC42*'Net zero Intermediate calcs'!BC43*(1-Constants!$H$26)</f>
        <v>8267867.1662641419</v>
      </c>
      <c r="BI22" s="23">
        <f>'Net zero Intermediate calcs'!BD42*'Net zero Intermediate calcs'!BD43*(1-Constants!$H$26)</f>
        <v>8643200.8367678057</v>
      </c>
      <c r="BJ22" s="23">
        <f>'Net zero Intermediate calcs'!BE42*'Net zero Intermediate calcs'!BE43*(1-Constants!$H$26)</f>
        <v>9031490.7763018981</v>
      </c>
      <c r="BK22" s="23">
        <f>'Net zero Intermediate calcs'!BF42*'Net zero Intermediate calcs'!BF43*(1-Constants!$H$26)</f>
        <v>9433643.6939069256</v>
      </c>
      <c r="BL22" s="23">
        <f>'Net zero Intermediate calcs'!BG42*'Net zero Intermediate calcs'!BG43*(1-Constants!$H$26)</f>
        <v>9863220.7478239853</v>
      </c>
      <c r="BM22" s="23">
        <f>'Net zero Intermediate calcs'!BH42*'Net zero Intermediate calcs'!BH43*(1-Constants!$H$26)</f>
        <v>10316189.413204478</v>
      </c>
      <c r="BN22" s="23">
        <f>'Net zero Intermediate calcs'!BI42*'Net zero Intermediate calcs'!BI43*(1-Constants!$H$26)</f>
        <v>10789871.090832103</v>
      </c>
      <c r="BO22" s="23">
        <f>'Net zero Intermediate calcs'!BJ42*'Net zero Intermediate calcs'!BJ43*(1-Constants!$H$26)</f>
        <v>11293191.794652052</v>
      </c>
      <c r="BP22" s="23">
        <f>'Net zero Intermediate calcs'!BK42*'Net zero Intermediate calcs'!BK43*(1-Constants!$H$26)</f>
        <v>11776327.879986316</v>
      </c>
      <c r="BQ22">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3535652.0338740144</v>
      </c>
      <c r="AN41" s="22">
        <f>((Data!$AJ$42*LN('Intermediate calculations'!AH60))+Data!$AK$42)</f>
        <v>3566906.5495402925</v>
      </c>
      <c r="AO41" s="22">
        <f>((Data!$AJ$42*LN('Intermediate calculations'!AI60))+Data!$AK$42)</f>
        <v>3584135.1470810454</v>
      </c>
      <c r="AP41" s="22">
        <f>((Data!$AJ$42*LN('Intermediate calculations'!AJ60))+Data!$AK$42)</f>
        <v>3590821.5632752273</v>
      </c>
      <c r="AQ41" s="22">
        <f>((Data!$AJ$42*LN('Intermediate calculations'!AK60))+Data!$AK$42)</f>
        <v>3598033.4190078359</v>
      </c>
      <c r="AR41" s="22">
        <f>((Data!$AJ$42*LN('Intermediate calculations'!AL60))+Data!$AK$42)</f>
        <v>3608009.0436812602</v>
      </c>
      <c r="AS41" s="22">
        <f>((Data!$AJ$42*LN('Intermediate calculations'!AM60))+Data!$AK$42)</f>
        <v>3620586.3302782923</v>
      </c>
      <c r="AT41" s="22">
        <f>((Data!$AJ$42*LN('Intermediate calculations'!AN60))+Data!$AK$42)</f>
        <v>3634335.8638795521</v>
      </c>
      <c r="AU41" s="22">
        <f>((Data!$AJ$42*LN('Intermediate calculations'!AO60))+Data!$AK$42)</f>
        <v>3649590.8754012957</v>
      </c>
      <c r="AV41" s="22">
        <f>((Data!$AJ$42*LN('Intermediate calculations'!AP60))+Data!$AK$42)</f>
        <v>3667406.2108751237</v>
      </c>
      <c r="AW41" s="22">
        <f>((Data!$AJ$42*LN('Intermediate calculations'!AQ60))+Data!$AK$42)</f>
        <v>3687529.7121576853</v>
      </c>
      <c r="AX41" s="22">
        <f>((Data!$AJ$42*LN('Intermediate calculations'!AR60))+Data!$AK$42)</f>
        <v>3708848.5076258685</v>
      </c>
      <c r="AY41" s="22">
        <f>((Data!$AJ$42*LN('Intermediate calculations'!AS60))+Data!$AK$42)</f>
        <v>3731238.0681214519</v>
      </c>
      <c r="AZ41" s="22">
        <f>((Data!$AJ$42*LN('Intermediate calculations'!AT60))+Data!$AK$42)</f>
        <v>3754100.0348674972</v>
      </c>
      <c r="BA41" s="22">
        <f>((Data!$AJ$42*LN('Intermediate calculations'!AU60))+Data!$AK$42)</f>
        <v>3777622.3594997562</v>
      </c>
      <c r="BB41" s="22">
        <f>((Data!$AJ$42*LN('Intermediate calculations'!AV60))+Data!$AK$42)</f>
        <v>3801516.2604928315</v>
      </c>
      <c r="BC41" s="22">
        <f>((Data!$AJ$42*LN('Intermediate calculations'!AW60))+Data!$AK$42)</f>
        <v>3824904.678064242</v>
      </c>
      <c r="BD41" s="22">
        <f>((Data!$AJ$42*LN('Intermediate calculations'!AX60))+Data!$AK$42)</f>
        <v>3848991.3575218432</v>
      </c>
      <c r="BE41" s="22">
        <f>((Data!$AJ$42*LN('Intermediate calculations'!AY60))+Data!$AK$42)</f>
        <v>3872969.8456507195</v>
      </c>
      <c r="BF41" s="22">
        <f>((Data!$AJ$42*LN('Intermediate calculations'!AZ60))+Data!$AK$42)</f>
        <v>3896776.8189554252</v>
      </c>
      <c r="BG41" s="22">
        <f>((Data!$AJ$42*LN('Intermediate calculations'!BA60))+Data!$AK$42)</f>
        <v>3920746.231261909</v>
      </c>
      <c r="BH41" s="22">
        <f>((Data!$AJ$42*LN('Intermediate calculations'!BB60))+Data!$AK$42)</f>
        <v>3944048.4111227449</v>
      </c>
      <c r="BI41" s="22">
        <f>((Data!$AJ$42*LN('Intermediate calculations'!BC60))+Data!$AK$42)</f>
        <v>3967802.573175339</v>
      </c>
      <c r="BJ41" s="22">
        <f>((Data!$AJ$42*LN('Intermediate calculations'!BD60))+Data!$AK$42)</f>
        <v>3992351.0465155113</v>
      </c>
      <c r="BK41" s="22">
        <f>((Data!$AJ$42*LN('Intermediate calculations'!BE60))+Data!$AK$42)</f>
        <v>4016993.5786391217</v>
      </c>
      <c r="BL41" s="22">
        <f>((Data!$AJ$42*LN('Intermediate calculations'!BF60))+Data!$AK$42)</f>
        <v>4041749.5740506127</v>
      </c>
      <c r="BM41" s="22">
        <f>((Data!$AJ$42*LN('Intermediate calculations'!BG60))+Data!$AK$42)</f>
        <v>4067270.761703888</v>
      </c>
      <c r="BN41" s="22">
        <f>((Data!$AJ$42*LN('Intermediate calculations'!BH60))+Data!$AK$42)</f>
        <v>4093280.6582026538</v>
      </c>
      <c r="BO41" s="22">
        <f>((Data!$AJ$42*LN('Intermediate calculations'!BI60))+Data!$AK$42)</f>
        <v>4119593.3208530731</v>
      </c>
      <c r="BP41" s="22">
        <f>((Data!$AJ$42*LN('Intermediate calculations'!BJ60))+Data!$AK$42)</f>
        <v>4146574.5349442121</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1949751.260760355</v>
      </c>
      <c r="AN45" s="22">
        <f t="shared" si="46"/>
        <v>1966986.704390256</v>
      </c>
      <c r="AO45" s="22">
        <f t="shared" si="46"/>
        <v>1976487.4922094152</v>
      </c>
      <c r="AP45" s="22">
        <f t="shared" si="46"/>
        <v>1980174.7465771167</v>
      </c>
      <c r="AQ45" s="22">
        <f t="shared" si="46"/>
        <v>1984151.7569481479</v>
      </c>
      <c r="AR45" s="22">
        <f t="shared" si="46"/>
        <v>1989652.8601668857</v>
      </c>
      <c r="AS45" s="22">
        <f t="shared" si="46"/>
        <v>1996588.6615875473</v>
      </c>
      <c r="AT45" s="22">
        <f t="shared" si="46"/>
        <v>2004170.9039058192</v>
      </c>
      <c r="AU45" s="22">
        <f t="shared" si="46"/>
        <v>2012583.3488134262</v>
      </c>
      <c r="AV45" s="22">
        <f t="shared" si="46"/>
        <v>2022407.6959121155</v>
      </c>
      <c r="AW45" s="22">
        <f t="shared" si="46"/>
        <v>2033504.8914564396</v>
      </c>
      <c r="AX45" s="22">
        <f t="shared" si="46"/>
        <v>2045261.2373705024</v>
      </c>
      <c r="AY45" s="22">
        <f t="shared" si="46"/>
        <v>2057608.0614883446</v>
      </c>
      <c r="AZ45" s="22">
        <f t="shared" si="46"/>
        <v>2070215.3961636752</v>
      </c>
      <c r="BA45" s="22">
        <f t="shared" si="46"/>
        <v>2083186.8881737387</v>
      </c>
      <c r="BB45" s="22">
        <f t="shared" si="46"/>
        <v>2096363.2876438773</v>
      </c>
      <c r="BC45" s="22">
        <f t="shared" si="46"/>
        <v>2109260.9360012813</v>
      </c>
      <c r="BD45" s="22">
        <f t="shared" si="46"/>
        <v>2122543.6440251619</v>
      </c>
      <c r="BE45" s="22">
        <f t="shared" si="46"/>
        <v>2135766.689452847</v>
      </c>
      <c r="BF45" s="22">
        <f t="shared" si="46"/>
        <v>2148895.1522571682</v>
      </c>
      <c r="BG45" s="22">
        <f t="shared" si="46"/>
        <v>2162113.1927816612</v>
      </c>
      <c r="BH45" s="22">
        <f t="shared" si="46"/>
        <v>2174963.284964615</v>
      </c>
      <c r="BI45" s="22">
        <f t="shared" si="46"/>
        <v>2188062.6247657673</v>
      </c>
      <c r="BJ45" s="22">
        <f t="shared" si="46"/>
        <v>2201599.9911089987</v>
      </c>
      <c r="BK45" s="22">
        <f t="shared" si="46"/>
        <v>2215189.2265925854</v>
      </c>
      <c r="BL45" s="22">
        <f t="shared" si="46"/>
        <v>2228841.0319180223</v>
      </c>
      <c r="BM45" s="22">
        <f t="shared" si="46"/>
        <v>2242914.8059564005</v>
      </c>
      <c r="BN45" s="22">
        <f t="shared" si="46"/>
        <v>2257258.0806918242</v>
      </c>
      <c r="BO45" s="22">
        <f t="shared" si="46"/>
        <v>2271768.3171871291</v>
      </c>
      <c r="BP45" s="22">
        <f t="shared" si="46"/>
        <v>2286647.2293897537</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640793.01594269858</v>
      </c>
      <c r="AN46" s="22">
        <f>((Data!$AJ$48*'Net zero Activity data'!AN47)+Data!$AK$48)</f>
        <v>640521.60258703947</v>
      </c>
      <c r="AO46" s="22">
        <f>((Data!$AJ$48*'Net zero Activity data'!AO47)+Data!$AK$48)</f>
        <v>640371.98991916887</v>
      </c>
      <c r="AP46" s="22">
        <f>((Data!$AJ$48*'Net zero Activity data'!AP47)+Data!$AK$48)</f>
        <v>640313.92526457703</v>
      </c>
      <c r="AQ46" s="22">
        <f>((Data!$AJ$48*'Net zero Activity data'!AQ47)+Data!$AK$48)</f>
        <v>640251.29770746443</v>
      </c>
      <c r="AR46" s="22">
        <f>((Data!$AJ$48*'Net zero Activity data'!AR47)+Data!$AK$48)</f>
        <v>640164.66965677508</v>
      </c>
      <c r="AS46" s="22">
        <f>((Data!$AJ$48*'Net zero Activity data'!AS47)+Data!$AK$48)</f>
        <v>640055.44884539419</v>
      </c>
      <c r="AT46" s="22">
        <f>((Data!$AJ$48*'Net zero Activity data'!AT47)+Data!$AK$48)</f>
        <v>639936.0482732238</v>
      </c>
      <c r="AU46" s="22">
        <f>((Data!$AJ$48*'Net zero Activity data'!AU47)+Data!$AK$48)</f>
        <v>639803.57417213882</v>
      </c>
      <c r="AV46" s="22">
        <f>((Data!$AJ$48*'Net zero Activity data'!AV47)+Data!$AK$48)</f>
        <v>639648.86628817173</v>
      </c>
      <c r="AW46" s="22">
        <f>((Data!$AJ$48*'Net zero Activity data'!AW47)+Data!$AK$48)</f>
        <v>639474.11435571406</v>
      </c>
      <c r="AX46" s="22">
        <f>((Data!$AJ$48*'Net zero Activity data'!AX47)+Data!$AK$48)</f>
        <v>639288.98252137657</v>
      </c>
      <c r="AY46" s="22">
        <f>((Data!$AJ$48*'Net zero Activity data'!AY47)+Data!$AK$48)</f>
        <v>639094.55219294899</v>
      </c>
      <c r="AZ46" s="22">
        <f>((Data!$AJ$48*'Net zero Activity data'!AZ47)+Data!$AK$48)</f>
        <v>638896.01950161683</v>
      </c>
      <c r="BA46" s="22">
        <f>((Data!$AJ$48*'Net zero Activity data'!BA47)+Data!$AK$48)</f>
        <v>638691.75228053704</v>
      </c>
      <c r="BB46" s="22">
        <f>((Data!$AJ$48*'Net zero Activity data'!BB47)+Data!$AK$48)</f>
        <v>638484.25830054504</v>
      </c>
      <c r="BC46" s="22">
        <f>((Data!$AJ$48*'Net zero Activity data'!BC47)+Data!$AK$48)</f>
        <v>638281.15392470406</v>
      </c>
      <c r="BD46" s="22">
        <f>((Data!$AJ$48*'Net zero Activity data'!BD47)+Data!$AK$48)</f>
        <v>638071.98586182075</v>
      </c>
      <c r="BE46" s="22">
        <f>((Data!$AJ$48*'Net zero Activity data'!BE47)+Data!$AK$48)</f>
        <v>637863.75732946454</v>
      </c>
      <c r="BF46" s="22">
        <f>((Data!$AJ$48*'Net zero Activity data'!BF47)+Data!$AK$48)</f>
        <v>637657.01822713099</v>
      </c>
      <c r="BG46" s="22">
        <f>((Data!$AJ$48*'Net zero Activity data'!BG47)+Data!$AK$48)</f>
        <v>637448.86850896722</v>
      </c>
      <c r="BH46" s="22">
        <f>((Data!$AJ$48*'Net zero Activity data'!BH47)+Data!$AK$48)</f>
        <v>637246.51301903639</v>
      </c>
      <c r="BI46" s="22">
        <f>((Data!$AJ$48*'Net zero Activity data'!BI47)+Data!$AK$48)</f>
        <v>637040.23252816568</v>
      </c>
      <c r="BJ46" s="22">
        <f>((Data!$AJ$48*'Net zero Activity data'!BJ47)+Data!$AK$48)</f>
        <v>636827.05425988906</v>
      </c>
      <c r="BK46" s="22">
        <f>((Data!$AJ$48*'Net zero Activity data'!BK47)+Data!$AK$48)</f>
        <v>636613.05918772018</v>
      </c>
      <c r="BL46" s="22">
        <f>((Data!$AJ$48*'Net zero Activity data'!BL47)+Data!$AK$48)</f>
        <v>636398.07880347571</v>
      </c>
      <c r="BM46" s="22">
        <f>((Data!$AJ$48*'Net zero Activity data'!BM47)+Data!$AK$48)</f>
        <v>636176.45351081889</v>
      </c>
      <c r="BN46" s="22">
        <f>((Data!$AJ$48*'Net zero Activity data'!BN47)+Data!$AK$48)</f>
        <v>635950.58428397018</v>
      </c>
      <c r="BO46" s="22">
        <f>((Data!$AJ$48*'Net zero Activity data'!BO47)+Data!$AK$48)</f>
        <v>635722.08584417566</v>
      </c>
      <c r="BP46" s="22">
        <f>((Data!$AJ$48*'Net zero Activity data'!BP47)+Data!$AK$48)</f>
        <v>635487.78172203142</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420231.2700466729</v>
      </c>
      <c r="AN47" s="22">
        <f>((Data!$AJ$49*'Net zero Activity data'!AN41)+Data!$AK$49)</f>
        <v>420031.63910609711</v>
      </c>
      <c r="AO47" s="22">
        <f>((Data!$AJ$49*'Net zero Activity data'!AO41)+Data!$AK$49)</f>
        <v>419921.595451331</v>
      </c>
      <c r="AP47" s="22">
        <f>((Data!$AJ$49*'Net zero Activity data'!AP41)+Data!$AK$49)</f>
        <v>419878.88752495713</v>
      </c>
      <c r="AQ47" s="22">
        <f>((Data!$AJ$49*'Net zero Activity data'!AQ41)+Data!$AK$49)</f>
        <v>419832.82347589073</v>
      </c>
      <c r="AR47" s="22">
        <f>((Data!$AJ$49*'Net zero Activity data'!AR41)+Data!$AK$49)</f>
        <v>419769.10649631405</v>
      </c>
      <c r="AS47" s="22">
        <f>((Data!$AJ$49*'Net zero Activity data'!AS41)+Data!$AK$49)</f>
        <v>419688.77200704964</v>
      </c>
      <c r="AT47" s="22">
        <f>((Data!$AJ$49*'Net zero Activity data'!AT41)+Data!$AK$49)</f>
        <v>419600.95006302703</v>
      </c>
      <c r="AU47" s="22">
        <f>((Data!$AJ$49*'Net zero Activity data'!AU41)+Data!$AK$49)</f>
        <v>419503.51222936815</v>
      </c>
      <c r="AV47" s="22">
        <f>((Data!$AJ$49*'Net zero Activity data'!AV41)+Data!$AK$49)</f>
        <v>419389.7209226882</v>
      </c>
      <c r="AW47" s="22">
        <f>((Data!$AJ$49*'Net zero Activity data'!AW41)+Data!$AK$49)</f>
        <v>419261.18674440781</v>
      </c>
      <c r="AX47" s="22">
        <f>((Data!$AJ$49*'Net zero Activity data'!AX41)+Data!$AK$49)</f>
        <v>419125.01790286507</v>
      </c>
      <c r="AY47" s="22">
        <f>((Data!$AJ$49*'Net zero Activity data'!AY41)+Data!$AK$49)</f>
        <v>418982.00979905896</v>
      </c>
      <c r="AZ47" s="22">
        <f>((Data!$AJ$49*'Net zero Activity data'!AZ41)+Data!$AK$49)</f>
        <v>418835.98431033734</v>
      </c>
      <c r="BA47" s="22">
        <f>((Data!$AJ$49*'Net zero Activity data'!BA41)+Data!$AK$49)</f>
        <v>418685.74093939515</v>
      </c>
      <c r="BB47" s="22">
        <f>((Data!$AJ$49*'Net zero Activity data'!BB41)+Data!$AK$49)</f>
        <v>418533.12421097729</v>
      </c>
      <c r="BC47" s="22">
        <f>((Data!$AJ$49*'Net zero Activity data'!BC41)+Data!$AK$49)</f>
        <v>418383.73614020331</v>
      </c>
      <c r="BD47" s="22">
        <f>((Data!$AJ$49*'Net zero Activity data'!BD41)+Data!$AK$49)</f>
        <v>418229.8880842356</v>
      </c>
      <c r="BE47" s="22">
        <f>((Data!$AJ$49*'Net zero Activity data'!BE41)+Data!$AK$49)</f>
        <v>418076.73107518558</v>
      </c>
      <c r="BF47" s="22">
        <f>((Data!$AJ$49*'Net zero Activity data'!BF41)+Data!$AK$49)</f>
        <v>417924.66957713431</v>
      </c>
      <c r="BG47" s="22">
        <f>((Data!$AJ$49*'Net zero Activity data'!BG41)+Data!$AK$49)</f>
        <v>417771.57053778635</v>
      </c>
      <c r="BH47" s="22">
        <f>((Data!$AJ$49*'Net zero Activity data'!BH41)+Data!$AK$49)</f>
        <v>417622.73329030647</v>
      </c>
      <c r="BI47" s="22">
        <f>((Data!$AJ$49*'Net zero Activity data'!BI41)+Data!$AK$49)</f>
        <v>417471.00911182986</v>
      </c>
      <c r="BJ47" s="22">
        <f>((Data!$AJ$49*'Net zero Activity data'!BJ41)+Data!$AK$49)</f>
        <v>417314.21145497524</v>
      </c>
      <c r="BK47" s="22">
        <f>((Data!$AJ$49*'Net zero Activity data'!BK41)+Data!$AK$49)</f>
        <v>417156.81301954488</v>
      </c>
      <c r="BL47" s="22">
        <f>((Data!$AJ$49*'Net zero Activity data'!BL41)+Data!$AK$49)</f>
        <v>416998.6898637854</v>
      </c>
      <c r="BM47" s="22">
        <f>((Data!$AJ$49*'Net zero Activity data'!BM41)+Data!$AK$49)</f>
        <v>416835.67922077188</v>
      </c>
      <c r="BN47" s="22">
        <f>((Data!$AJ$49*'Net zero Activity data'!BN41)+Data!$AK$49)</f>
        <v>416669.54706381354</v>
      </c>
      <c r="BO47" s="22">
        <f>((Data!$AJ$49*'Net zero Activity data'!BO41)+Data!$AK$49)</f>
        <v>416501.48105856666</v>
      </c>
      <c r="BP47" s="22">
        <f>((Data!$AJ$49*'Net zero Activity data'!BP41)+Data!$AK$49)</f>
        <v>416329.14483667782</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2773.5263823080418</v>
      </c>
      <c r="AN48" s="22">
        <f t="shared" si="47"/>
        <v>2772.2088181002414</v>
      </c>
      <c r="AO48" s="22">
        <f t="shared" si="47"/>
        <v>2771.4825299787849</v>
      </c>
      <c r="AP48" s="22">
        <f t="shared" si="47"/>
        <v>2771.2006576647177</v>
      </c>
      <c r="AQ48" s="22">
        <f t="shared" si="47"/>
        <v>2770.8966349408793</v>
      </c>
      <c r="AR48" s="22">
        <f t="shared" si="47"/>
        <v>2770.476102875673</v>
      </c>
      <c r="AS48" s="22">
        <f t="shared" si="47"/>
        <v>2769.9458952465284</v>
      </c>
      <c r="AT48" s="22">
        <f t="shared" si="47"/>
        <v>2769.3662704159788</v>
      </c>
      <c r="AU48" s="22">
        <f t="shared" si="47"/>
        <v>2768.7231807138305</v>
      </c>
      <c r="AV48" s="22">
        <f t="shared" si="47"/>
        <v>2767.9721580897422</v>
      </c>
      <c r="AW48" s="22">
        <f t="shared" si="47"/>
        <v>2767.1238325130921</v>
      </c>
      <c r="AX48" s="22">
        <f t="shared" si="47"/>
        <v>2766.2251181589099</v>
      </c>
      <c r="AY48" s="22">
        <f t="shared" si="47"/>
        <v>2765.2812646737898</v>
      </c>
      <c r="AZ48" s="22">
        <f t="shared" si="47"/>
        <v>2764.3174964482268</v>
      </c>
      <c r="BA48" s="22">
        <f t="shared" si="47"/>
        <v>2763.3258902000089</v>
      </c>
      <c r="BB48" s="22">
        <f t="shared" si="47"/>
        <v>2762.3186197924506</v>
      </c>
      <c r="BC48" s="22">
        <f t="shared" si="47"/>
        <v>2761.3326585253421</v>
      </c>
      <c r="BD48" s="22">
        <f t="shared" si="47"/>
        <v>2760.3172613559555</v>
      </c>
      <c r="BE48" s="22">
        <f t="shared" si="47"/>
        <v>2759.3064250962252</v>
      </c>
      <c r="BF48" s="22">
        <f t="shared" si="47"/>
        <v>2758.3028192090869</v>
      </c>
      <c r="BG48" s="22">
        <f t="shared" si="47"/>
        <v>2757.2923655493905</v>
      </c>
      <c r="BH48" s="22">
        <f t="shared" si="47"/>
        <v>2756.3100397160233</v>
      </c>
      <c r="BI48" s="22">
        <f t="shared" si="47"/>
        <v>2755.3086601380778</v>
      </c>
      <c r="BJ48" s="22">
        <f t="shared" si="47"/>
        <v>2754.2737956028373</v>
      </c>
      <c r="BK48" s="22">
        <f t="shared" si="47"/>
        <v>2753.2349659289971</v>
      </c>
      <c r="BL48" s="22">
        <f t="shared" si="47"/>
        <v>2752.1913531009841</v>
      </c>
      <c r="BM48" s="22">
        <f t="shared" si="47"/>
        <v>2751.1154828570948</v>
      </c>
      <c r="BN48" s="22">
        <f t="shared" si="47"/>
        <v>2750.0190106211703</v>
      </c>
      <c r="BO48" s="22">
        <f t="shared" si="47"/>
        <v>2748.9097749865405</v>
      </c>
      <c r="BP48" s="22">
        <f t="shared" si="47"/>
        <v>2747.772355922074</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20319664.252552513</v>
      </c>
      <c r="AM50" s="22">
        <f>((AM5*Constants!$H63*Constants!$H81*(1-Constants!$H99))+(AM5*Constants!$H63*Constants!$H115))</f>
        <v>20729431.681571111</v>
      </c>
      <c r="AN50" s="22">
        <f>((AN5*Constants!$H63*Constants!$H81*(1-Constants!$H99))+(AN5*Constants!$H63*Constants!$H115))</f>
        <v>20932844.023349334</v>
      </c>
      <c r="AO50" s="22">
        <f>((AO5*Constants!$H63*Constants!$H81*(1-Constants!$H99))+(AO5*Constants!$H63*Constants!$H115))</f>
        <v>20985967.070354879</v>
      </c>
      <c r="AP50" s="22">
        <f>((AP5*Constants!$H63*Constants!$H81*(1-Constants!$H99))+(AP5*Constants!$H63*Constants!$H115))</f>
        <v>21061501.803924948</v>
      </c>
      <c r="AQ50" s="22">
        <f>((AQ5*Constants!$H63*Constants!$H81*(1-Constants!$H99))+(AQ5*Constants!$H63*Constants!$H115))</f>
        <v>21188249.65631298</v>
      </c>
      <c r="AR50" s="22">
        <f>((AR5*Constants!$H63*Constants!$H81*(1-Constants!$H99))+(AR5*Constants!$H63*Constants!$H115))</f>
        <v>21355688.029917732</v>
      </c>
      <c r="AS50" s="22">
        <f>((AS5*Constants!$H63*Constants!$H81*(1-Constants!$H99))+(AS5*Constants!$H63*Constants!$H115))</f>
        <v>21543153.953854248</v>
      </c>
      <c r="AT50" s="22">
        <f>((AT5*Constants!$H63*Constants!$H81*(1-Constants!$H99))+(AT5*Constants!$H63*Constants!$H115))</f>
        <v>21756551.553869188</v>
      </c>
      <c r="AU50" s="22">
        <f>((AU5*Constants!$H63*Constants!$H81*(1-Constants!$H99))+(AU5*Constants!$H63*Constants!$H115))</f>
        <v>22014177.579608414</v>
      </c>
      <c r="AV50" s="22">
        <f>((AV5*Constants!$H63*Constants!$H81*(1-Constants!$H99))+(AV5*Constants!$H63*Constants!$H115))</f>
        <v>22314535.441828914</v>
      </c>
      <c r="AW50" s="22">
        <f>((AW5*Constants!$H63*Constants!$H81*(1-Constants!$H99))+(AW5*Constants!$H63*Constants!$H115))</f>
        <v>22641449.176064726</v>
      </c>
      <c r="AX50" s="22">
        <f>((AX5*Constants!$H63*Constants!$H81*(1-Constants!$H99))+(AX5*Constants!$H63*Constants!$H115))</f>
        <v>22994623.322505198</v>
      </c>
      <c r="AY50" s="22">
        <f>((AY5*Constants!$H63*Constants!$H81*(1-Constants!$H99))+(AY5*Constants!$H63*Constants!$H115))</f>
        <v>23365095.722379595</v>
      </c>
      <c r="AZ50" s="22">
        <f>((AZ5*Constants!$H63*Constants!$H81*(1-Constants!$H99))+(AZ5*Constants!$H63*Constants!$H115))</f>
        <v>23757010.039987419</v>
      </c>
      <c r="BA50" s="22">
        <f>((BA5*Constants!$H63*Constants!$H81*(1-Constants!$H99))+(BA5*Constants!$H63*Constants!$H115))</f>
        <v>24166336.535133466</v>
      </c>
      <c r="BB50" s="22">
        <f>((BB5*Constants!$H63*Constants!$H81*(1-Constants!$H99))+(BB5*Constants!$H63*Constants!$H115))</f>
        <v>24577302.141538955</v>
      </c>
      <c r="BC50" s="22">
        <f>((BC5*Constants!$H63*Constants!$H81*(1-Constants!$H99))+(BC5*Constants!$H63*Constants!$H115))</f>
        <v>25013022.652826633</v>
      </c>
      <c r="BD50" s="22">
        <f>((BD5*Constants!$H63*Constants!$H81*(1-Constants!$H99))+(BD5*Constants!$H63*Constants!$H115))</f>
        <v>25458266.608566537</v>
      </c>
      <c r="BE50" s="22">
        <f>((BE5*Constants!$H63*Constants!$H81*(1-Constants!$H99))+(BE5*Constants!$H63*Constants!$H115))</f>
        <v>25911901.609683644</v>
      </c>
      <c r="BF50" s="22">
        <f>((BF5*Constants!$H63*Constants!$H81*(1-Constants!$H99))+(BF5*Constants!$H63*Constants!$H115))</f>
        <v>26381236.262779713</v>
      </c>
      <c r="BG50" s="22">
        <f>((BG5*Constants!$H63*Constants!$H81*(1-Constants!$H99))+(BG5*Constants!$H63*Constants!$H115))</f>
        <v>26848749.650431447</v>
      </c>
      <c r="BH50" s="22">
        <f>((BH5*Constants!$H63*Constants!$H81*(1-Constants!$H99))+(BH5*Constants!$H63*Constants!$H115))</f>
        <v>27338720.117362902</v>
      </c>
      <c r="BI50" s="22">
        <f>((BI5*Constants!$H63*Constants!$H81*(1-Constants!$H99))+(BI5*Constants!$H63*Constants!$H115))</f>
        <v>27860193.82004628</v>
      </c>
      <c r="BJ50" s="22">
        <f>((BJ5*Constants!$H63*Constants!$H81*(1-Constants!$H99))+(BJ5*Constants!$H63*Constants!$H115))</f>
        <v>28398386.754114613</v>
      </c>
      <c r="BK50" s="22">
        <f>((BK5*Constants!$H63*Constants!$H81*(1-Constants!$H99))+(BK5*Constants!$H63*Constants!$H115))</f>
        <v>28954272.596526124</v>
      </c>
      <c r="BL50" s="22">
        <f>((BL5*Constants!$H63*Constants!$H81*(1-Constants!$H99))+(BL5*Constants!$H63*Constants!$H115))</f>
        <v>29544957.282131359</v>
      </c>
      <c r="BM50" s="22">
        <f>((BM5*Constants!$H63*Constants!$H81*(1-Constants!$H99))+(BM5*Constants!$H63*Constants!$H115))</f>
        <v>30165473.12036851</v>
      </c>
      <c r="BN50" s="22">
        <f>((BN5*Constants!$H63*Constants!$H81*(1-Constants!$H99))+(BN5*Constants!$H63*Constants!$H115))</f>
        <v>30812618.677519802</v>
      </c>
      <c r="BO50" s="22">
        <f>((BO5*Constants!$H63*Constants!$H81*(1-Constants!$H99))+(BO5*Constants!$H63*Constants!$H115))</f>
        <v>31498055.028566629</v>
      </c>
      <c r="BP50" s="22">
        <f>((BP5*Constants!$H63*Constants!$H81*(1-Constants!$H99))+(BP5*Constants!$H63*Constants!$H115))</f>
        <v>32157571.157716651</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59414104.210996076</v>
      </c>
      <c r="AM51" s="22">
        <f>((AM6*Constants!$H64*Constants!$H82*(1-Constants!$H100))+(AM6*Constants!$H64*Constants!$H116))</f>
        <v>60612252.193530999</v>
      </c>
      <c r="AN51" s="22">
        <f>((AN6*Constants!$H64*Constants!$H82*(1-Constants!$H100))+(AN6*Constants!$H64*Constants!$H116))</f>
        <v>61207023.933949694</v>
      </c>
      <c r="AO51" s="22">
        <f>((AO6*Constants!$H64*Constants!$H82*(1-Constants!$H100))+(AO6*Constants!$H64*Constants!$H116))</f>
        <v>61362354.170294352</v>
      </c>
      <c r="AP51" s="22">
        <f>((AP6*Constants!$H64*Constants!$H82*(1-Constants!$H100))+(AP6*Constants!$H64*Constants!$H116))</f>
        <v>61583215.522928089</v>
      </c>
      <c r="AQ51" s="22">
        <f>((AQ6*Constants!$H64*Constants!$H82*(1-Constants!$H100))+(AQ6*Constants!$H64*Constants!$H116))</f>
        <v>61953822.53772442</v>
      </c>
      <c r="AR51" s="22">
        <f>((AR6*Constants!$H64*Constants!$H82*(1-Constants!$H100))+(AR6*Constants!$H64*Constants!$H116))</f>
        <v>62443407.446934849</v>
      </c>
      <c r="AS51" s="22">
        <f>((AS6*Constants!$H64*Constants!$H82*(1-Constants!$H100))+(AS6*Constants!$H64*Constants!$H116))</f>
        <v>62991552.327792123</v>
      </c>
      <c r="AT51" s="22">
        <f>((AT6*Constants!$H64*Constants!$H82*(1-Constants!$H100))+(AT6*Constants!$H64*Constants!$H116))</f>
        <v>63615520.671367064</v>
      </c>
      <c r="AU51" s="22">
        <f>((AU6*Constants!$H64*Constants!$H82*(1-Constants!$H100))+(AU6*Constants!$H64*Constants!$H116))</f>
        <v>64368811.638702422</v>
      </c>
      <c r="AV51" s="22">
        <f>((AV6*Constants!$H64*Constants!$H82*(1-Constants!$H100))+(AV6*Constants!$H64*Constants!$H116))</f>
        <v>65247049.246605769</v>
      </c>
      <c r="AW51" s="22">
        <f>((AW6*Constants!$H64*Constants!$H82*(1-Constants!$H100))+(AW6*Constants!$H64*Constants!$H116))</f>
        <v>66202935.447897315</v>
      </c>
      <c r="AX51" s="22">
        <f>((AX6*Constants!$H64*Constants!$H82*(1-Constants!$H100))+(AX6*Constants!$H64*Constants!$H116))</f>
        <v>67235606.326728791</v>
      </c>
      <c r="AY51" s="22">
        <f>((AY6*Constants!$H64*Constants!$H82*(1-Constants!$H100))+(AY6*Constants!$H64*Constants!$H116))</f>
        <v>68318856.792871237</v>
      </c>
      <c r="AZ51" s="22">
        <f>((AZ6*Constants!$H64*Constants!$H82*(1-Constants!$H100))+(AZ6*Constants!$H64*Constants!$H116))</f>
        <v>69464802.799592674</v>
      </c>
      <c r="BA51" s="22">
        <f>((BA6*Constants!$H64*Constants!$H82*(1-Constants!$H100))+(BA6*Constants!$H64*Constants!$H116))</f>
        <v>70661661.504375324</v>
      </c>
      <c r="BB51" s="22">
        <f>((BB6*Constants!$H64*Constants!$H82*(1-Constants!$H100))+(BB6*Constants!$H64*Constants!$H116))</f>
        <v>71863312.922559768</v>
      </c>
      <c r="BC51" s="22">
        <f>((BC6*Constants!$H64*Constants!$H82*(1-Constants!$H100))+(BC6*Constants!$H64*Constants!$H116))</f>
        <v>73137346.958888024</v>
      </c>
      <c r="BD51" s="22">
        <f>((BD6*Constants!$H64*Constants!$H82*(1-Constants!$H100))+(BD6*Constants!$H64*Constants!$H116))</f>
        <v>74439227.268368244</v>
      </c>
      <c r="BE51" s="22">
        <f>((BE6*Constants!$H64*Constants!$H82*(1-Constants!$H100))+(BE6*Constants!$H64*Constants!$H116))</f>
        <v>75765642.749211669</v>
      </c>
      <c r="BF51" s="22">
        <f>((BF6*Constants!$H64*Constants!$H82*(1-Constants!$H100))+(BF6*Constants!$H64*Constants!$H116))</f>
        <v>77137963.553448319</v>
      </c>
      <c r="BG51" s="22">
        <f>((BG6*Constants!$H64*Constants!$H82*(1-Constants!$H100))+(BG6*Constants!$H64*Constants!$H116))</f>
        <v>78504959.03077206</v>
      </c>
      <c r="BH51" s="22">
        <f>((BH6*Constants!$H64*Constants!$H82*(1-Constants!$H100))+(BH6*Constants!$H64*Constants!$H116))</f>
        <v>79937618.351356998</v>
      </c>
      <c r="BI51" s="22">
        <f>((BI6*Constants!$H64*Constants!$H82*(1-Constants!$H100))+(BI6*Constants!$H64*Constants!$H116))</f>
        <v>81462392.212255403</v>
      </c>
      <c r="BJ51" s="22">
        <f>((BJ6*Constants!$H64*Constants!$H82*(1-Constants!$H100))+(BJ6*Constants!$H64*Constants!$H116))</f>
        <v>83036052.616921827</v>
      </c>
      <c r="BK51" s="22">
        <f>((BK6*Constants!$H64*Constants!$H82*(1-Constants!$H100))+(BK6*Constants!$H64*Constants!$H116))</f>
        <v>84661446.568315804</v>
      </c>
      <c r="BL51" s="22">
        <f>((BL6*Constants!$H64*Constants!$H82*(1-Constants!$H100))+(BL6*Constants!$H64*Constants!$H116))</f>
        <v>86388591.319833055</v>
      </c>
      <c r="BM51" s="22">
        <f>((BM6*Constants!$H64*Constants!$H82*(1-Constants!$H100))+(BM6*Constants!$H64*Constants!$H116))</f>
        <v>88202961.489505738</v>
      </c>
      <c r="BN51" s="22">
        <f>((BN6*Constants!$H64*Constants!$H82*(1-Constants!$H100))+(BN6*Constants!$H64*Constants!$H116))</f>
        <v>90095196.178739846</v>
      </c>
      <c r="BO51" s="22">
        <f>((BO6*Constants!$H64*Constants!$H82*(1-Constants!$H100))+(BO6*Constants!$H64*Constants!$H116))</f>
        <v>92099392.029859036</v>
      </c>
      <c r="BP51" s="22">
        <f>((BP6*Constants!$H64*Constants!$H82*(1-Constants!$H100))+(BP6*Constants!$H64*Constants!$H116))</f>
        <v>94027797.909952775</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3178319.5756681897</v>
      </c>
      <c r="AM52" s="22">
        <f>((AM7*Constants!$H65*Constants!$H83*(1-Constants!$H101))+(AM7*Constants!$H65*Constants!$H117))</f>
        <v>3242413.7371136695</v>
      </c>
      <c r="AN52" s="22">
        <f>((AN7*Constants!$H65*Constants!$H83*(1-Constants!$H101))+(AN7*Constants!$H65*Constants!$H117))</f>
        <v>3274230.6716737477</v>
      </c>
      <c r="AO52" s="22">
        <f>((AO7*Constants!$H65*Constants!$H83*(1-Constants!$H101))+(AO7*Constants!$H65*Constants!$H117))</f>
        <v>3282539.9635064439</v>
      </c>
      <c r="AP52" s="22">
        <f>((AP7*Constants!$H65*Constants!$H83*(1-Constants!$H101))+(AP7*Constants!$H65*Constants!$H117))</f>
        <v>3294354.8005709136</v>
      </c>
      <c r="AQ52" s="22">
        <f>((AQ7*Constants!$H65*Constants!$H83*(1-Constants!$H101))+(AQ7*Constants!$H65*Constants!$H117))</f>
        <v>3314180.1862373222</v>
      </c>
      <c r="AR52" s="22">
        <f>((AR7*Constants!$H65*Constants!$H83*(1-Constants!$H101))+(AR7*Constants!$H65*Constants!$H117))</f>
        <v>3340370.2184116561</v>
      </c>
      <c r="AS52" s="22">
        <f>((AS7*Constants!$H65*Constants!$H83*(1-Constants!$H101))+(AS7*Constants!$H65*Constants!$H117))</f>
        <v>3369692.8788854051</v>
      </c>
      <c r="AT52" s="22">
        <f>((AT7*Constants!$H65*Constants!$H83*(1-Constants!$H101))+(AT7*Constants!$H65*Constants!$H117))</f>
        <v>3403071.6670926409</v>
      </c>
      <c r="AU52" s="22">
        <f>((AU7*Constants!$H65*Constants!$H83*(1-Constants!$H101))+(AU7*Constants!$H65*Constants!$H117))</f>
        <v>3443368.4865002604</v>
      </c>
      <c r="AV52" s="22">
        <f>((AV7*Constants!$H65*Constants!$H83*(1-Constants!$H101))+(AV7*Constants!$H65*Constants!$H117))</f>
        <v>3490349.246680948</v>
      </c>
      <c r="AW52" s="22">
        <f>((AW7*Constants!$H65*Constants!$H83*(1-Constants!$H101))+(AW7*Constants!$H65*Constants!$H117))</f>
        <v>3541483.7687952071</v>
      </c>
      <c r="AX52" s="22">
        <f>((AX7*Constants!$H65*Constants!$H83*(1-Constants!$H101))+(AX7*Constants!$H65*Constants!$H117))</f>
        <v>3596725.8382162433</v>
      </c>
      <c r="AY52" s="22">
        <f>((AY7*Constants!$H65*Constants!$H83*(1-Constants!$H101))+(AY7*Constants!$H65*Constants!$H117))</f>
        <v>3654673.6303712074</v>
      </c>
      <c r="AZ52" s="22">
        <f>((AZ7*Constants!$H65*Constants!$H83*(1-Constants!$H101))+(AZ7*Constants!$H65*Constants!$H117))</f>
        <v>3715975.2804455264</v>
      </c>
      <c r="BA52" s="22">
        <f>((BA7*Constants!$H65*Constants!$H83*(1-Constants!$H101))+(BA7*Constants!$H65*Constants!$H117))</f>
        <v>3780000.4728007037</v>
      </c>
      <c r="BB52" s="22">
        <f>((BB7*Constants!$H65*Constants!$H83*(1-Constants!$H101))+(BB7*Constants!$H65*Constants!$H117))</f>
        <v>3844282.0482997112</v>
      </c>
      <c r="BC52" s="22">
        <f>((BC7*Constants!$H65*Constants!$H83*(1-Constants!$H101))+(BC7*Constants!$H65*Constants!$H117))</f>
        <v>3912435.6857483126</v>
      </c>
      <c r="BD52" s="22">
        <f>((BD7*Constants!$H65*Constants!$H83*(1-Constants!$H101))+(BD7*Constants!$H65*Constants!$H117))</f>
        <v>3982078.9418025222</v>
      </c>
      <c r="BE52" s="22">
        <f>((BE7*Constants!$H65*Constants!$H83*(1-Constants!$H101))+(BE7*Constants!$H65*Constants!$H117))</f>
        <v>4053034.691185913</v>
      </c>
      <c r="BF52" s="22">
        <f>((BF7*Constants!$H65*Constants!$H83*(1-Constants!$H101))+(BF7*Constants!$H65*Constants!$H117))</f>
        <v>4126446.1165389316</v>
      </c>
      <c r="BG52" s="22">
        <f>((BG7*Constants!$H65*Constants!$H83*(1-Constants!$H101))+(BG7*Constants!$H65*Constants!$H117))</f>
        <v>4199572.6669283565</v>
      </c>
      <c r="BH52" s="22">
        <f>((BH7*Constants!$H65*Constants!$H83*(1-Constants!$H101))+(BH7*Constants!$H65*Constants!$H117))</f>
        <v>4276211.8626941964</v>
      </c>
      <c r="BI52" s="22">
        <f>((BI7*Constants!$H65*Constants!$H83*(1-Constants!$H101))+(BI7*Constants!$H65*Constants!$H117))</f>
        <v>4357778.6669895258</v>
      </c>
      <c r="BJ52" s="22">
        <f>((BJ7*Constants!$H65*Constants!$H83*(1-Constants!$H101))+(BJ7*Constants!$H65*Constants!$H117))</f>
        <v>4441960.6257352661</v>
      </c>
      <c r="BK52" s="22">
        <f>((BK7*Constants!$H65*Constants!$H83*(1-Constants!$H101))+(BK7*Constants!$H65*Constants!$H117))</f>
        <v>4528910.0375372544</v>
      </c>
      <c r="BL52" s="22">
        <f>((BL7*Constants!$H65*Constants!$H83*(1-Constants!$H101))+(BL7*Constants!$H65*Constants!$H117))</f>
        <v>4621302.543435608</v>
      </c>
      <c r="BM52" s="22">
        <f>((BM7*Constants!$H65*Constants!$H83*(1-Constants!$H101))+(BM7*Constants!$H65*Constants!$H117))</f>
        <v>4718361.1173947509</v>
      </c>
      <c r="BN52" s="22">
        <f>((BN7*Constants!$H65*Constants!$H83*(1-Constants!$H101))+(BN7*Constants!$H65*Constants!$H117))</f>
        <v>4819585.004120254</v>
      </c>
      <c r="BO52" s="22">
        <f>((BO7*Constants!$H65*Constants!$H83*(1-Constants!$H101))+(BO7*Constants!$H65*Constants!$H117))</f>
        <v>4926798.1817264259</v>
      </c>
      <c r="BP52" s="22">
        <f>((BP7*Constants!$H65*Constants!$H83*(1-Constants!$H101))+(BP7*Constants!$H65*Constants!$H117))</f>
        <v>5029957.0232158033</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25454532.089860551</v>
      </c>
      <c r="AE53" s="22">
        <f>((AE8*Constants!$H66*Constants!$H84*(1-Constants!$H102))+(AE8*Constants!$H66*Constants!$H118))</f>
        <v>25233773.062151939</v>
      </c>
      <c r="AF53" s="22">
        <f>((AF8*Constants!$H66*Constants!$H84*(1-Constants!$H102))+(AF8*Constants!$H66*Constants!$H118))</f>
        <v>25149736.783242278</v>
      </c>
      <c r="AG53" s="22">
        <f>((AG8*Constants!$H66*Constants!$H84*(1-Constants!$H102))+(AG8*Constants!$H66*Constants!$H118))</f>
        <v>24813894.968798291</v>
      </c>
      <c r="AH53" s="22">
        <f>((AH8*Constants!$H66*Constants!$H84*(1-Constants!$H102))+(AH8*Constants!$H66*Constants!$H118))</f>
        <v>24326412.37330823</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20298476.891252119</v>
      </c>
      <c r="AM53" s="22">
        <f>((AM8*Constants!$H66*Constants!$H84*(1-Constants!$H102))+(AM8*Constants!$H66*Constants!$H118))</f>
        <v>21268953.19738581</v>
      </c>
      <c r="AN53" s="22">
        <f>((AN8*Constants!$H66*Constants!$H84*(1-Constants!$H102))+(AN8*Constants!$H66*Constants!$H118))</f>
        <v>21604932.281334132</v>
      </c>
      <c r="AO53" s="22">
        <f>((AO8*Constants!$H66*Constants!$H84*(1-Constants!$H102))+(AO8*Constants!$H66*Constants!$H118))</f>
        <v>21459028.26735007</v>
      </c>
      <c r="AP53" s="22">
        <f>((AP8*Constants!$H66*Constants!$H84*(1-Constants!$H102))+(AP8*Constants!$H66*Constants!$H118))</f>
        <v>21340345.625515163</v>
      </c>
      <c r="AQ53" s="22">
        <f>((AQ8*Constants!$H66*Constants!$H84*(1-Constants!$H102))+(AQ8*Constants!$H66*Constants!$H118))</f>
        <v>21348141.765684046</v>
      </c>
      <c r="AR53" s="22">
        <f>((AR8*Constants!$H66*Constants!$H84*(1-Constants!$H102))+(AR8*Constants!$H66*Constants!$H118))</f>
        <v>21473499.686920132</v>
      </c>
      <c r="AS53" s="22">
        <f>((AS8*Constants!$H66*Constants!$H84*(1-Constants!$H102))+(AS8*Constants!$H66*Constants!$H118))</f>
        <v>21651373.97360998</v>
      </c>
      <c r="AT53" s="22">
        <f>((AT8*Constants!$H66*Constants!$H84*(1-Constants!$H102))+(AT8*Constants!$H66*Constants!$H118))</f>
        <v>21896092.189160138</v>
      </c>
      <c r="AU53" s="22">
        <f>((AU8*Constants!$H66*Constants!$H84*(1-Constants!$H102))+(AU8*Constants!$H66*Constants!$H118))</f>
        <v>22254556.352690108</v>
      </c>
      <c r="AV53" s="22">
        <f>((AV8*Constants!$H66*Constants!$H84*(1-Constants!$H102))+(AV8*Constants!$H66*Constants!$H118))</f>
        <v>22716642.606610488</v>
      </c>
      <c r="AW53" s="22">
        <f>((AW8*Constants!$H66*Constants!$H84*(1-Constants!$H102))+(AW8*Constants!$H66*Constants!$H118))</f>
        <v>23038806.866203316</v>
      </c>
      <c r="AX53" s="22">
        <f>((AX8*Constants!$H66*Constants!$H84*(1-Constants!$H102))+(AX8*Constants!$H66*Constants!$H118))</f>
        <v>23399027.894655529</v>
      </c>
      <c r="AY53" s="22">
        <f>((AY8*Constants!$H66*Constants!$H84*(1-Constants!$H102))+(AY8*Constants!$H66*Constants!$H118))</f>
        <v>23770158.967134763</v>
      </c>
      <c r="AZ53" s="22">
        <f>((AZ8*Constants!$H66*Constants!$H84*(1-Constants!$H102))+(AZ8*Constants!$H66*Constants!$H118))</f>
        <v>24160444.331691302</v>
      </c>
      <c r="BA53" s="22">
        <f>((BA8*Constants!$H66*Constants!$H84*(1-Constants!$H102))+(BA8*Constants!$H66*Constants!$H118))</f>
        <v>24556575.364589289</v>
      </c>
      <c r="BB53" s="22">
        <f>((BB8*Constants!$H66*Constants!$H84*(1-Constants!$H102))+(BB8*Constants!$H66*Constants!$H118))</f>
        <v>24918313.388699573</v>
      </c>
      <c r="BC53" s="22">
        <f>((BC8*Constants!$H66*Constants!$H84*(1-Constants!$H102))+(BC8*Constants!$H66*Constants!$H118))</f>
        <v>25299880.614012074</v>
      </c>
      <c r="BD53" s="22">
        <f>((BD8*Constants!$H66*Constants!$H84*(1-Constants!$H102))+(BD8*Constants!$H66*Constants!$H118))</f>
        <v>25664170.521934722</v>
      </c>
      <c r="BE53" s="22">
        <f>((BE8*Constants!$H66*Constants!$H84*(1-Constants!$H102))+(BE8*Constants!$H66*Constants!$H118))</f>
        <v>26007673.581523187</v>
      </c>
      <c r="BF53" s="22">
        <f>((BF8*Constants!$H66*Constants!$H84*(1-Constants!$H102))+(BF8*Constants!$H66*Constants!$H118))</f>
        <v>26345073.289304607</v>
      </c>
      <c r="BG53" s="22">
        <f>((BG8*Constants!$H66*Constants!$H84*(1-Constants!$H102))+(BG8*Constants!$H66*Constants!$H118))</f>
        <v>26773519.856970955</v>
      </c>
      <c r="BH53" s="22">
        <f>((BH8*Constants!$H66*Constants!$H84*(1-Constants!$H102))+(BH8*Constants!$H66*Constants!$H118))</f>
        <v>27216666.396129146</v>
      </c>
      <c r="BI53" s="22">
        <f>((BI8*Constants!$H66*Constants!$H84*(1-Constants!$H102))+(BI8*Constants!$H66*Constants!$H118))</f>
        <v>27690617.347840179</v>
      </c>
      <c r="BJ53" s="22">
        <f>((BJ8*Constants!$H66*Constants!$H84*(1-Constants!$H102))+(BJ8*Constants!$H66*Constants!$H118))</f>
        <v>28162724.3124079</v>
      </c>
      <c r="BK53" s="22">
        <f>((BK8*Constants!$H66*Constants!$H84*(1-Constants!$H102))+(BK8*Constants!$H66*Constants!$H118))</f>
        <v>28633600.056482889</v>
      </c>
      <c r="BL53" s="22">
        <f>((BL8*Constants!$H66*Constants!$H84*(1-Constants!$H102))+(BL8*Constants!$H66*Constants!$H118))</f>
        <v>29134190.572668709</v>
      </c>
      <c r="BM53" s="22">
        <f>((BM8*Constants!$H66*Constants!$H84*(1-Constants!$H102))+(BM8*Constants!$H66*Constants!$H118))</f>
        <v>29651534.309708197</v>
      </c>
      <c r="BN53" s="22">
        <f>((BN8*Constants!$H66*Constants!$H84*(1-Constants!$H102))+(BN8*Constants!$H66*Constants!$H118))</f>
        <v>30176636.751244299</v>
      </c>
      <c r="BO53" s="22">
        <f>((BO8*Constants!$H66*Constants!$H84*(1-Constants!$H102))+(BO8*Constants!$H66*Constants!$H118))</f>
        <v>30727367.461714763</v>
      </c>
      <c r="BP53" s="22">
        <f>((BP8*Constants!$H66*Constants!$H84*(1-Constants!$H102))+(BP8*Constants!$H66*Constants!$H118))</f>
        <v>31189086.654408094</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169291745.38087147</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165031027.64316037</v>
      </c>
      <c r="AH54" s="22">
        <f>((AH9*Constants!$H67*Constants!$H85*(1-Constants!$H103))+(AH9*Constants!$H67*Constants!$H119))</f>
        <v>161788902.46317396</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135000108.01071393</v>
      </c>
      <c r="AM54" s="22">
        <f>((AM9*Constants!$H67*Constants!$H85*(1-Constants!$H103))+(AM9*Constants!$H67*Constants!$H119))</f>
        <v>141454503.91695797</v>
      </c>
      <c r="AN54" s="22">
        <f>((AN9*Constants!$H67*Constants!$H85*(1-Constants!$H103))+(AN9*Constants!$H67*Constants!$H119))</f>
        <v>143689017.02182606</v>
      </c>
      <c r="AO54" s="22">
        <f>((AO9*Constants!$H67*Constants!$H85*(1-Constants!$H103))+(AO9*Constants!$H67*Constants!$H119))</f>
        <v>142718645.80862761</v>
      </c>
      <c r="AP54" s="22">
        <f>((AP9*Constants!$H67*Constants!$H85*(1-Constants!$H103))+(AP9*Constants!$H67*Constants!$H119))</f>
        <v>141929317.15345079</v>
      </c>
      <c r="AQ54" s="22">
        <f>((AQ9*Constants!$H67*Constants!$H85*(1-Constants!$H103))+(AQ9*Constants!$H67*Constants!$H119))</f>
        <v>141981167.33760521</v>
      </c>
      <c r="AR54" s="22">
        <f>((AR9*Constants!$H67*Constants!$H85*(1-Constants!$H103))+(AR9*Constants!$H67*Constants!$H119))</f>
        <v>142814891.61147738</v>
      </c>
      <c r="AS54" s="22">
        <f>((AS9*Constants!$H67*Constants!$H85*(1-Constants!$H103))+(AS9*Constants!$H67*Constants!$H119))</f>
        <v>143997889.1360752</v>
      </c>
      <c r="AT54" s="22">
        <f>((AT9*Constants!$H67*Constants!$H85*(1-Constants!$H103))+(AT9*Constants!$H67*Constants!$H119))</f>
        <v>145625448.96277821</v>
      </c>
      <c r="AU54" s="22">
        <f>((AU9*Constants!$H67*Constants!$H85*(1-Constants!$H103))+(AU9*Constants!$H67*Constants!$H119))</f>
        <v>148009504.72488183</v>
      </c>
      <c r="AV54" s="22">
        <f>((AV9*Constants!$H67*Constants!$H85*(1-Constants!$H103))+(AV9*Constants!$H67*Constants!$H119))</f>
        <v>151082725.1701262</v>
      </c>
      <c r="AW54" s="22">
        <f>((AW9*Constants!$H67*Constants!$H85*(1-Constants!$H103))+(AW9*Constants!$H67*Constants!$H119))</f>
        <v>153225359.32318264</v>
      </c>
      <c r="AX54" s="22">
        <f>((AX9*Constants!$H67*Constants!$H85*(1-Constants!$H103))+(AX9*Constants!$H67*Constants!$H119))</f>
        <v>155621099.555778</v>
      </c>
      <c r="AY54" s="22">
        <f>((AY9*Constants!$H67*Constants!$H85*(1-Constants!$H103))+(AY9*Constants!$H67*Constants!$H119))</f>
        <v>158089399.77057984</v>
      </c>
      <c r="AZ54" s="22">
        <f>((AZ9*Constants!$H67*Constants!$H85*(1-Constants!$H103))+(AZ9*Constants!$H67*Constants!$H119))</f>
        <v>160685090.40551808</v>
      </c>
      <c r="BA54" s="22">
        <f>((BA9*Constants!$H67*Constants!$H85*(1-Constants!$H103))+(BA9*Constants!$H67*Constants!$H119))</f>
        <v>163319659.12287199</v>
      </c>
      <c r="BB54" s="22">
        <f>((BB9*Constants!$H67*Constants!$H85*(1-Constants!$H103))+(BB9*Constants!$H67*Constants!$H119))</f>
        <v>165725488.51529881</v>
      </c>
      <c r="BC54" s="22">
        <f>((BC9*Constants!$H67*Constants!$H85*(1-Constants!$H103))+(BC9*Constants!$H67*Constants!$H119))</f>
        <v>168263196.98015097</v>
      </c>
      <c r="BD54" s="22">
        <f>((BD9*Constants!$H67*Constants!$H85*(1-Constants!$H103))+(BD9*Constants!$H67*Constants!$H119))</f>
        <v>170685998.31545532</v>
      </c>
      <c r="BE54" s="22">
        <f>((BE9*Constants!$H67*Constants!$H85*(1-Constants!$H103))+(BE9*Constants!$H67*Constants!$H119))</f>
        <v>172970551.50606632</v>
      </c>
      <c r="BF54" s="22">
        <f>((BF9*Constants!$H67*Constants!$H85*(1-Constants!$H103))+(BF9*Constants!$H67*Constants!$H119))</f>
        <v>175214512.82579002</v>
      </c>
      <c r="BG54" s="22">
        <f>((BG9*Constants!$H67*Constants!$H85*(1-Constants!$H103))+(BG9*Constants!$H67*Constants!$H119))</f>
        <v>178064004.10642412</v>
      </c>
      <c r="BH54" s="22">
        <f>((BH9*Constants!$H67*Constants!$H85*(1-Constants!$H103))+(BH9*Constants!$H67*Constants!$H119))</f>
        <v>181011261.23174629</v>
      </c>
      <c r="BI54" s="22">
        <f>((BI9*Constants!$H67*Constants!$H85*(1-Constants!$H103))+(BI9*Constants!$H67*Constants!$H119))</f>
        <v>184163390.82331899</v>
      </c>
      <c r="BJ54" s="22">
        <f>((BJ9*Constants!$H67*Constants!$H85*(1-Constants!$H103))+(BJ9*Constants!$H67*Constants!$H119))</f>
        <v>187303256.51623315</v>
      </c>
      <c r="BK54" s="22">
        <f>((BK9*Constants!$H67*Constants!$H85*(1-Constants!$H103))+(BK9*Constants!$H67*Constants!$H119))</f>
        <v>190434933.66867724</v>
      </c>
      <c r="BL54" s="22">
        <f>((BL9*Constants!$H67*Constants!$H85*(1-Constants!$H103))+(BL9*Constants!$H67*Constants!$H119))</f>
        <v>193764236.36051357</v>
      </c>
      <c r="BM54" s="22">
        <f>((BM9*Constants!$H67*Constants!$H85*(1-Constants!$H103))+(BM9*Constants!$H67*Constants!$H119))</f>
        <v>197204960.54652855</v>
      </c>
      <c r="BN54" s="22">
        <f>((BN9*Constants!$H67*Constants!$H85*(1-Constants!$H103))+(BN9*Constants!$H67*Constants!$H119))</f>
        <v>200697285.94137704</v>
      </c>
      <c r="BO54" s="22">
        <f>((BO9*Constants!$H67*Constants!$H85*(1-Constants!$H103))+(BO9*Constants!$H67*Constants!$H119))</f>
        <v>204360058.56203464</v>
      </c>
      <c r="BP54" s="22">
        <f>((BP9*Constants!$H67*Constants!$H85*(1-Constants!$H103))+(BP9*Constants!$H67*Constants!$H119))</f>
        <v>207430837.77459133</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21864231.859672826</v>
      </c>
      <c r="AE55" s="22">
        <f>((AE10*Constants!$H68*Constants!$H86*(1-Constants!$H104))+(AE10*Constants!$H68*Constants!$H120))</f>
        <v>22601454.870712765</v>
      </c>
      <c r="AF55" s="22">
        <f>((AF10*Constants!$H68*Constants!$H86*(1-Constants!$H104))+(AF10*Constants!$H68*Constants!$H120))</f>
        <v>23476461.448728886</v>
      </c>
      <c r="AG55" s="22">
        <f>((AG10*Constants!$H68*Constants!$H86*(1-Constants!$H104))+(AG10*Constants!$H68*Constants!$H120))</f>
        <v>24129022.140224963</v>
      </c>
      <c r="AH55" s="22">
        <f>((AH10*Constants!$H68*Constants!$H86*(1-Constants!$H104))+(AH10*Constants!$H68*Constants!$H120))</f>
        <v>24632268.790066537</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24107536.450965688</v>
      </c>
      <c r="AM55" s="22">
        <f>((AM10*Constants!$H68*Constants!$H86*(1-Constants!$H104))+(AM10*Constants!$H68*Constants!$H120))</f>
        <v>25868709.500134509</v>
      </c>
      <c r="AN55" s="22">
        <f>((AN10*Constants!$H68*Constants!$H86*(1-Constants!$H104))+(AN10*Constants!$H68*Constants!$H120))</f>
        <v>26901748.07237304</v>
      </c>
      <c r="AO55" s="22">
        <f>((AO10*Constants!$H68*Constants!$H86*(1-Constants!$H104))+(AO10*Constants!$H68*Constants!$H120))</f>
        <v>27346922.092500903</v>
      </c>
      <c r="AP55" s="22">
        <f>((AP10*Constants!$H68*Constants!$H86*(1-Constants!$H104))+(AP10*Constants!$H68*Constants!$H120))</f>
        <v>27826172.184631627</v>
      </c>
      <c r="AQ55" s="22">
        <f>((AQ10*Constants!$H68*Constants!$H86*(1-Constants!$H104))+(AQ10*Constants!$H68*Constants!$H120))</f>
        <v>28474649.933156051</v>
      </c>
      <c r="AR55" s="22">
        <f>((AR10*Constants!$H68*Constants!$H86*(1-Constants!$H104))+(AR10*Constants!$H68*Constants!$H120))</f>
        <v>29292002.684780773</v>
      </c>
      <c r="AS55" s="22">
        <f>((AS10*Constants!$H68*Constants!$H86*(1-Constants!$H104))+(AS10*Constants!$H68*Constants!$H120))</f>
        <v>30198778.805851672</v>
      </c>
      <c r="AT55" s="22">
        <f>((AT10*Constants!$H68*Constants!$H86*(1-Constants!$H104))+(AT10*Constants!$H68*Constants!$H120))</f>
        <v>31220900.357144952</v>
      </c>
      <c r="AU55" s="22">
        <f>((AU10*Constants!$H68*Constants!$H86*(1-Constants!$H104))+(AU10*Constants!$H68*Constants!$H120))</f>
        <v>32433713.466544129</v>
      </c>
      <c r="AV55" s="22">
        <f>((AV10*Constants!$H68*Constants!$H86*(1-Constants!$H104))+(AV10*Constants!$H68*Constants!$H120))</f>
        <v>33833827.174392782</v>
      </c>
      <c r="AW55" s="22">
        <f>((AW10*Constants!$H68*Constants!$H86*(1-Constants!$H104))+(AW10*Constants!$H68*Constants!$H120))</f>
        <v>35451587.521600619</v>
      </c>
      <c r="AX55" s="22">
        <f>((AX10*Constants!$H68*Constants!$H86*(1-Constants!$H104))+(AX10*Constants!$H68*Constants!$H120))</f>
        <v>37202229.217807963</v>
      </c>
      <c r="AY55" s="22">
        <f>((AY10*Constants!$H68*Constants!$H86*(1-Constants!$H104))+(AY10*Constants!$H68*Constants!$H120))</f>
        <v>39051196.789728686</v>
      </c>
      <c r="AZ55" s="22">
        <f>((AZ10*Constants!$H68*Constants!$H86*(1-Constants!$H104))+(AZ10*Constants!$H68*Constants!$H120))</f>
        <v>41018784.388971925</v>
      </c>
      <c r="BA55" s="22">
        <f>((BA10*Constants!$H68*Constants!$H86*(1-Constants!$H104))+(BA10*Constants!$H68*Constants!$H120))</f>
        <v>43089805.199965812</v>
      </c>
      <c r="BB55" s="22">
        <f>((BB10*Constants!$H68*Constants!$H86*(1-Constants!$H104))+(BB10*Constants!$H68*Constants!$H120))</f>
        <v>45197689.604381248</v>
      </c>
      <c r="BC55" s="22">
        <f>((BC10*Constants!$H68*Constants!$H86*(1-Constants!$H104))+(BC10*Constants!$H68*Constants!$H120))</f>
        <v>47443607.062384099</v>
      </c>
      <c r="BD55" s="22">
        <f>((BD10*Constants!$H68*Constants!$H86*(1-Constants!$H104))+(BD10*Constants!$H68*Constants!$H120))</f>
        <v>49765425.809105717</v>
      </c>
      <c r="BE55" s="22">
        <f>((BE10*Constants!$H68*Constants!$H86*(1-Constants!$H104))+(BE10*Constants!$H68*Constants!$H120))</f>
        <v>52159312.870756112</v>
      </c>
      <c r="BF55" s="22">
        <f>((BF10*Constants!$H68*Constants!$H86*(1-Constants!$H104))+(BF10*Constants!$H68*Constants!$H120))</f>
        <v>54658457.268251188</v>
      </c>
      <c r="BG55" s="22">
        <f>((BG10*Constants!$H68*Constants!$H86*(1-Constants!$H104))+(BG10*Constants!$H68*Constants!$H120))</f>
        <v>57114642.643233046</v>
      </c>
      <c r="BH55" s="22">
        <f>((BH10*Constants!$H68*Constants!$H86*(1-Constants!$H104))+(BH10*Constants!$H68*Constants!$H120))</f>
        <v>59703824.718975551</v>
      </c>
      <c r="BI55" s="22">
        <f>((BI10*Constants!$H68*Constants!$H86*(1-Constants!$H104))+(BI10*Constants!$H68*Constants!$H120))</f>
        <v>62470022.784853309</v>
      </c>
      <c r="BJ55" s="22">
        <f>((BJ10*Constants!$H68*Constants!$H86*(1-Constants!$H104))+(BJ10*Constants!$H68*Constants!$H120))</f>
        <v>65348775.961881831</v>
      </c>
      <c r="BK55" s="22">
        <f>((BK10*Constants!$H68*Constants!$H86*(1-Constants!$H104))+(BK10*Constants!$H68*Constants!$H120))</f>
        <v>68347071.248047099</v>
      </c>
      <c r="BL55" s="22">
        <f>((BL10*Constants!$H68*Constants!$H86*(1-Constants!$H104))+(BL10*Constants!$H68*Constants!$H120))</f>
        <v>71546921.570232078</v>
      </c>
      <c r="BM55" s="22">
        <f>((BM10*Constants!$H68*Constants!$H86*(1-Constants!$H104))+(BM10*Constants!$H68*Constants!$H120))</f>
        <v>74928605.302853227</v>
      </c>
      <c r="BN55" s="22">
        <f>((BN10*Constants!$H68*Constants!$H86*(1-Constants!$H104))+(BN10*Constants!$H68*Constants!$H120))</f>
        <v>78479801.567259029</v>
      </c>
      <c r="BO55" s="22">
        <f>((BO10*Constants!$H68*Constants!$H86*(1-Constants!$H104))+(BO10*Constants!$H68*Constants!$H120))</f>
        <v>82258137.922495723</v>
      </c>
      <c r="BP55" s="22">
        <f>((BP10*Constants!$H68*Constants!$H86*(1-Constants!$H104))+(BP10*Constants!$H68*Constants!$H120))</f>
        <v>85962378.80601123</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3767695.6699126353</v>
      </c>
      <c r="AM56" s="22">
        <f>((AM11*Constants!$H69*Constants!$H87*(1-Constants!$H105))+(AM11*Constants!$H69*Constants!$H121))</f>
        <v>3770407.5793370688</v>
      </c>
      <c r="AN56" s="22">
        <f>((AN11*Constants!$H69*Constants!$H87*(1-Constants!$H105))+(AN11*Constants!$H69*Constants!$H121))</f>
        <v>3769454.1297428301</v>
      </c>
      <c r="AO56" s="22">
        <f>((AO11*Constants!$H69*Constants!$H87*(1-Constants!$H105))+(AO11*Constants!$H69*Constants!$H121))</f>
        <v>3769385.4889767864</v>
      </c>
      <c r="AP56" s="22">
        <f>((AP11*Constants!$H69*Constants!$H87*(1-Constants!$H105))+(AP11*Constants!$H69*Constants!$H121))</f>
        <v>3773383.7118459796</v>
      </c>
      <c r="AQ56" s="22">
        <f>((AQ11*Constants!$H69*Constants!$H87*(1-Constants!$H105))+(AQ11*Constants!$H69*Constants!$H121))</f>
        <v>3779927.1719699171</v>
      </c>
      <c r="AR56" s="22">
        <f>((AR11*Constants!$H69*Constants!$H87*(1-Constants!$H105))+(AR11*Constants!$H69*Constants!$H121))</f>
        <v>3786205.6945551978</v>
      </c>
      <c r="AS56" s="22">
        <f>((AS11*Constants!$H69*Constants!$H87*(1-Constants!$H105))+(AS11*Constants!$H69*Constants!$H121))</f>
        <v>3792239.5354186441</v>
      </c>
      <c r="AT56" s="22">
        <f>((AT11*Constants!$H69*Constants!$H87*(1-Constants!$H105))+(AT11*Constants!$H69*Constants!$H121))</f>
        <v>3798020.4599219877</v>
      </c>
      <c r="AU56" s="22">
        <f>((AU11*Constants!$H69*Constants!$H87*(1-Constants!$H105))+(AU11*Constants!$H69*Constants!$H121))</f>
        <v>3803668.9412069041</v>
      </c>
      <c r="AV56" s="22">
        <f>((AV11*Constants!$H69*Constants!$H87*(1-Constants!$H105))+(AV11*Constants!$H69*Constants!$H121))</f>
        <v>3809267.4887675741</v>
      </c>
      <c r="AW56" s="22">
        <f>((AW11*Constants!$H69*Constants!$H87*(1-Constants!$H105))+(AW11*Constants!$H69*Constants!$H121))</f>
        <v>3814759.928384589</v>
      </c>
      <c r="AX56" s="22">
        <f>((AX11*Constants!$H69*Constants!$H87*(1-Constants!$H105))+(AX11*Constants!$H69*Constants!$H121))</f>
        <v>3820225.2323797345</v>
      </c>
      <c r="AY56" s="22">
        <f>((AY11*Constants!$H69*Constants!$H87*(1-Constants!$H105))+(AY11*Constants!$H69*Constants!$H121))</f>
        <v>3825646.1839890992</v>
      </c>
      <c r="AZ56" s="22">
        <f>((AZ11*Constants!$H69*Constants!$H87*(1-Constants!$H105))+(AZ11*Constants!$H69*Constants!$H121))</f>
        <v>3830979.3471412025</v>
      </c>
      <c r="BA56" s="22">
        <f>((BA11*Constants!$H69*Constants!$H87*(1-Constants!$H105))+(BA11*Constants!$H69*Constants!$H121))</f>
        <v>3836248.2022805419</v>
      </c>
      <c r="BB56" s="22">
        <f>((BB11*Constants!$H69*Constants!$H87*(1-Constants!$H105))+(BB11*Constants!$H69*Constants!$H121))</f>
        <v>3841458.3720278591</v>
      </c>
      <c r="BC56" s="22">
        <f>((BC11*Constants!$H69*Constants!$H87*(1-Constants!$H105))+(BC11*Constants!$H69*Constants!$H121))</f>
        <v>3846627.5446091252</v>
      </c>
      <c r="BD56" s="22">
        <f>((BD11*Constants!$H69*Constants!$H87*(1-Constants!$H105))+(BD11*Constants!$H69*Constants!$H121))</f>
        <v>3851597.553630339</v>
      </c>
      <c r="BE56" s="22">
        <f>((BE11*Constants!$H69*Constants!$H87*(1-Constants!$H105))+(BE11*Constants!$H69*Constants!$H121))</f>
        <v>3856362.5842805095</v>
      </c>
      <c r="BF56" s="22">
        <f>((BF11*Constants!$H69*Constants!$H87*(1-Constants!$H105))+(BF11*Constants!$H69*Constants!$H121))</f>
        <v>3860967.1709336806</v>
      </c>
      <c r="BG56" s="22">
        <f>((BG11*Constants!$H69*Constants!$H87*(1-Constants!$H105))+(BG11*Constants!$H69*Constants!$H121))</f>
        <v>3865375.8577842102</v>
      </c>
      <c r="BH56" s="22">
        <f>((BH11*Constants!$H69*Constants!$H87*(1-Constants!$H105))+(BH11*Constants!$H69*Constants!$H121))</f>
        <v>3869596.6425351202</v>
      </c>
      <c r="BI56" s="22">
        <f>((BI11*Constants!$H69*Constants!$H87*(1-Constants!$H105))+(BI11*Constants!$H69*Constants!$H121))</f>
        <v>3873610.5146946572</v>
      </c>
      <c r="BJ56" s="22">
        <f>((BJ11*Constants!$H69*Constants!$H87*(1-Constants!$H105))+(BJ11*Constants!$H69*Constants!$H121))</f>
        <v>3877360.0354378428</v>
      </c>
      <c r="BK56" s="22">
        <f>((BK11*Constants!$H69*Constants!$H87*(1-Constants!$H105))+(BK11*Constants!$H69*Constants!$H121))</f>
        <v>3880791.9774668175</v>
      </c>
      <c r="BL56" s="22">
        <f>((BL11*Constants!$H69*Constants!$H87*(1-Constants!$H105))+(BL11*Constants!$H69*Constants!$H121))</f>
        <v>3883902.8735577222</v>
      </c>
      <c r="BM56" s="22">
        <f>((BM11*Constants!$H69*Constants!$H87*(1-Constants!$H105))+(BM11*Constants!$H69*Constants!$H121))</f>
        <v>3886668.917771867</v>
      </c>
      <c r="BN56" s="22">
        <f>((BN11*Constants!$H69*Constants!$H87*(1-Constants!$H105))+(BN11*Constants!$H69*Constants!$H121))</f>
        <v>3889088.7760844622</v>
      </c>
      <c r="BO56" s="22">
        <f>((BO11*Constants!$H69*Constants!$H87*(1-Constants!$H105))+(BO11*Constants!$H69*Constants!$H121))</f>
        <v>3891208.7572028674</v>
      </c>
      <c r="BP56" s="22">
        <f>((BP11*Constants!$H69*Constants!$H87*(1-Constants!$H105))+(BP11*Constants!$H69*Constants!$H121))</f>
        <v>3892753.5036187153</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3066392.1279976745</v>
      </c>
      <c r="AM57" s="22">
        <f>((AM12*Constants!$H70*Constants!$H88*(1-Constants!$H106))+(AM12*Constants!$H70*Constants!$H122))</f>
        <v>3068599.2536361208</v>
      </c>
      <c r="AN57" s="22">
        <f>((AN12*Constants!$H70*Constants!$H88*(1-Constants!$H106))+(AN12*Constants!$H70*Constants!$H122))</f>
        <v>3067823.2752699368</v>
      </c>
      <c r="AO57" s="22">
        <f>((AO12*Constants!$H70*Constants!$H88*(1-Constants!$H106))+(AO12*Constants!$H70*Constants!$H122))</f>
        <v>3067767.4110167967</v>
      </c>
      <c r="AP57" s="22">
        <f>((AP12*Constants!$H70*Constants!$H88*(1-Constants!$H106))+(AP12*Constants!$H70*Constants!$H122))</f>
        <v>3071021.4209491755</v>
      </c>
      <c r="AQ57" s="22">
        <f>((AQ12*Constants!$H70*Constants!$H88*(1-Constants!$H106))+(AQ12*Constants!$H70*Constants!$H122))</f>
        <v>3076346.9080298175</v>
      </c>
      <c r="AR57" s="22">
        <f>((AR12*Constants!$H70*Constants!$H88*(1-Constants!$H106))+(AR12*Constants!$H70*Constants!$H122))</f>
        <v>3081456.7719672634</v>
      </c>
      <c r="AS57" s="22">
        <f>((AS12*Constants!$H70*Constants!$H88*(1-Constants!$H106))+(AS12*Constants!$H70*Constants!$H122))</f>
        <v>3086367.4982430111</v>
      </c>
      <c r="AT57" s="22">
        <f>((AT12*Constants!$H70*Constants!$H88*(1-Constants!$H106))+(AT12*Constants!$H70*Constants!$H122))</f>
        <v>3091072.384980855</v>
      </c>
      <c r="AU57" s="22">
        <f>((AU12*Constants!$H70*Constants!$H88*(1-Constants!$H106))+(AU12*Constants!$H70*Constants!$H122))</f>
        <v>3095669.4809420612</v>
      </c>
      <c r="AV57" s="22">
        <f>((AV12*Constants!$H70*Constants!$H88*(1-Constants!$H106))+(AV12*Constants!$H70*Constants!$H122))</f>
        <v>3100225.9376392816</v>
      </c>
      <c r="AW57" s="22">
        <f>((AW12*Constants!$H70*Constants!$H88*(1-Constants!$H106))+(AW12*Constants!$H70*Constants!$H122))</f>
        <v>3104696.0368937436</v>
      </c>
      <c r="AX57" s="22">
        <f>((AX12*Constants!$H70*Constants!$H88*(1-Constants!$H106))+(AX12*Constants!$H70*Constants!$H122))</f>
        <v>3109144.0514405807</v>
      </c>
      <c r="AY57" s="22">
        <f>((AY12*Constants!$H70*Constants!$H88*(1-Constants!$H106))+(AY12*Constants!$H70*Constants!$H122))</f>
        <v>3113555.9691742649</v>
      </c>
      <c r="AZ57" s="22">
        <f>((AZ12*Constants!$H70*Constants!$H88*(1-Constants!$H106))+(AZ12*Constants!$H70*Constants!$H122))</f>
        <v>3117896.4390369267</v>
      </c>
      <c r="BA57" s="22">
        <f>((BA12*Constants!$H70*Constants!$H88*(1-Constants!$H106))+(BA12*Constants!$H70*Constants!$H122))</f>
        <v>3122184.5709186615</v>
      </c>
      <c r="BB57" s="22">
        <f>((BB12*Constants!$H70*Constants!$H88*(1-Constants!$H106))+(BB12*Constants!$H70*Constants!$H122))</f>
        <v>3126424.9408684662</v>
      </c>
      <c r="BC57" s="22">
        <f>((BC12*Constants!$H70*Constants!$H88*(1-Constants!$H106))+(BC12*Constants!$H70*Constants!$H122))</f>
        <v>3130631.9446978983</v>
      </c>
      <c r="BD57" s="22">
        <f>((BD12*Constants!$H70*Constants!$H88*(1-Constants!$H106))+(BD12*Constants!$H70*Constants!$H122))</f>
        <v>3134676.8564619855</v>
      </c>
      <c r="BE57" s="22">
        <f>((BE12*Constants!$H70*Constants!$H88*(1-Constants!$H106))+(BE12*Constants!$H70*Constants!$H122))</f>
        <v>3138554.9436949939</v>
      </c>
      <c r="BF57" s="22">
        <f>((BF12*Constants!$H70*Constants!$H88*(1-Constants!$H106))+(BF12*Constants!$H70*Constants!$H122))</f>
        <v>3142302.4513237863</v>
      </c>
      <c r="BG57" s="22">
        <f>((BG12*Constants!$H70*Constants!$H88*(1-Constants!$H106))+(BG12*Constants!$H70*Constants!$H122))</f>
        <v>3145890.5231421194</v>
      </c>
      <c r="BH57" s="22">
        <f>((BH12*Constants!$H70*Constants!$H88*(1-Constants!$H106))+(BH12*Constants!$H70*Constants!$H122))</f>
        <v>3149325.6681931168</v>
      </c>
      <c r="BI57" s="22">
        <f>((BI12*Constants!$H70*Constants!$H88*(1-Constants!$H106))+(BI12*Constants!$H70*Constants!$H122))</f>
        <v>3152592.4145206087</v>
      </c>
      <c r="BJ57" s="22">
        <f>((BJ12*Constants!$H70*Constants!$H88*(1-Constants!$H106))+(BJ12*Constants!$H70*Constants!$H122))</f>
        <v>3155644.0147287892</v>
      </c>
      <c r="BK57" s="22">
        <f>((BK12*Constants!$H70*Constants!$H88*(1-Constants!$H106))+(BK12*Constants!$H70*Constants!$H122))</f>
        <v>3158437.1490324517</v>
      </c>
      <c r="BL57" s="22">
        <f>((BL12*Constants!$H70*Constants!$H88*(1-Constants!$H106))+(BL12*Constants!$H70*Constants!$H122))</f>
        <v>3160968.9955826774</v>
      </c>
      <c r="BM57" s="22">
        <f>((BM12*Constants!$H70*Constants!$H88*(1-Constants!$H106))+(BM12*Constants!$H70*Constants!$H122))</f>
        <v>3163220.1795813432</v>
      </c>
      <c r="BN57" s="22">
        <f>((BN12*Constants!$H70*Constants!$H88*(1-Constants!$H106))+(BN12*Constants!$H70*Constants!$H122))</f>
        <v>3165189.6153136035</v>
      </c>
      <c r="BO57" s="22">
        <f>((BO12*Constants!$H70*Constants!$H88*(1-Constants!$H106))+(BO12*Constants!$H70*Constants!$H122))</f>
        <v>3166914.9917724542</v>
      </c>
      <c r="BP57" s="22">
        <f>((BP12*Constants!$H70*Constants!$H88*(1-Constants!$H106))+(BP12*Constants!$H70*Constants!$H122))</f>
        <v>3168172.2053757547</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473840.03926256584</v>
      </c>
      <c r="AM58" s="22">
        <f>((AM13*Constants!$H71*Constants!$H89*(1-Constants!$H107))+(AM13*Constants!$H71*Constants!$H123))</f>
        <v>474654.57074415003</v>
      </c>
      <c r="AN58" s="22">
        <f>((AN13*Constants!$H71*Constants!$H89*(1-Constants!$H107))+(AN13*Constants!$H71*Constants!$H123))</f>
        <v>474733.61168079043</v>
      </c>
      <c r="AO58" s="22">
        <f>((AO13*Constants!$H71*Constants!$H89*(1-Constants!$H107))+(AO13*Constants!$H71*Constants!$H123))</f>
        <v>474950.92383842421</v>
      </c>
      <c r="AP58" s="22">
        <f>((AP13*Constants!$H71*Constants!$H89*(1-Constants!$H107))+(AP13*Constants!$H71*Constants!$H123))</f>
        <v>475911.71997986891</v>
      </c>
      <c r="AQ58" s="22">
        <f>((AQ13*Constants!$H71*Constants!$H89*(1-Constants!$H107))+(AQ13*Constants!$H71*Constants!$H123))</f>
        <v>477324.99738154461</v>
      </c>
      <c r="AR58" s="22">
        <f>((AR13*Constants!$H71*Constants!$H89*(1-Constants!$H107))+(AR13*Constants!$H71*Constants!$H123))</f>
        <v>478659.05666745052</v>
      </c>
      <c r="AS58" s="22">
        <f>((AS13*Constants!$H71*Constants!$H89*(1-Constants!$H107))+(AS13*Constants!$H71*Constants!$H123))</f>
        <v>479920.17039323639</v>
      </c>
      <c r="AT58" s="22">
        <f>((AT13*Constants!$H71*Constants!$H89*(1-Constants!$H107))+(AT13*Constants!$H71*Constants!$H123))</f>
        <v>481108.98406798433</v>
      </c>
      <c r="AU58" s="22">
        <f>((AU13*Constants!$H71*Constants!$H89*(1-Constants!$H107))+(AU13*Constants!$H71*Constants!$H123))</f>
        <v>482250.09647554386</v>
      </c>
      <c r="AV58" s="22">
        <f>((AV13*Constants!$H71*Constants!$H89*(1-Constants!$H107))+(AV13*Constants!$H71*Constants!$H123))</f>
        <v>483360.62881612865</v>
      </c>
      <c r="AW58" s="22">
        <f>((AW13*Constants!$H71*Constants!$H89*(1-Constants!$H107))+(AW13*Constants!$H71*Constants!$H123))</f>
        <v>484431.51443118905</v>
      </c>
      <c r="AX58" s="22">
        <f>((AX13*Constants!$H71*Constants!$H89*(1-Constants!$H107))+(AX13*Constants!$H71*Constants!$H123))</f>
        <v>485478.83801189112</v>
      </c>
      <c r="AY58" s="22">
        <f>((AY13*Constants!$H71*Constants!$H89*(1-Constants!$H107))+(AY13*Constants!$H71*Constants!$H123))</f>
        <v>486500.55247517279</v>
      </c>
      <c r="AZ58" s="22">
        <f>((AZ13*Constants!$H71*Constants!$H89*(1-Constants!$H107))+(AZ13*Constants!$H71*Constants!$H123))</f>
        <v>487489.66669124027</v>
      </c>
      <c r="BA58" s="22">
        <f>((BA13*Constants!$H71*Constants!$H89*(1-Constants!$H107))+(BA13*Constants!$H71*Constants!$H123))</f>
        <v>488451.56396737212</v>
      </c>
      <c r="BB58" s="22">
        <f>((BB13*Constants!$H71*Constants!$H89*(1-Constants!$H107))+(BB13*Constants!$H71*Constants!$H123))</f>
        <v>489388.20925075491</v>
      </c>
      <c r="BC58" s="22">
        <f>((BC13*Constants!$H71*Constants!$H89*(1-Constants!$H107))+(BC13*Constants!$H71*Constants!$H123))</f>
        <v>490303.71506476757</v>
      </c>
      <c r="BD58" s="22">
        <f>((BD13*Constants!$H71*Constants!$H89*(1-Constants!$H107))+(BD13*Constants!$H71*Constants!$H123))</f>
        <v>491169.695687534</v>
      </c>
      <c r="BE58" s="22">
        <f>((BE13*Constants!$H71*Constants!$H89*(1-Constants!$H107))+(BE13*Constants!$H71*Constants!$H123))</f>
        <v>491985.9464234375</v>
      </c>
      <c r="BF58" s="22">
        <f>((BF13*Constants!$H71*Constants!$H89*(1-Constants!$H107))+(BF13*Constants!$H71*Constants!$H123))</f>
        <v>492761.45888244722</v>
      </c>
      <c r="BG58" s="22">
        <f>((BG13*Constants!$H71*Constants!$H89*(1-Constants!$H107))+(BG13*Constants!$H71*Constants!$H123))</f>
        <v>493490.45212414651</v>
      </c>
      <c r="BH58" s="22">
        <f>((BH13*Constants!$H71*Constants!$H89*(1-Constants!$H107))+(BH13*Constants!$H71*Constants!$H123))</f>
        <v>494175.09612883884</v>
      </c>
      <c r="BI58" s="22">
        <f>((BI13*Constants!$H71*Constants!$H89*(1-Constants!$H107))+(BI13*Constants!$H71*Constants!$H123))</f>
        <v>494812.5743444378</v>
      </c>
      <c r="BJ58" s="22">
        <f>((BJ13*Constants!$H71*Constants!$H89*(1-Constants!$H107))+(BJ13*Constants!$H71*Constants!$H123))</f>
        <v>495393.04699839157</v>
      </c>
      <c r="BK58" s="22">
        <f>((BK13*Constants!$H71*Constants!$H89*(1-Constants!$H107))+(BK13*Constants!$H71*Constants!$H123))</f>
        <v>495907.47524055897</v>
      </c>
      <c r="BL58" s="22">
        <f>((BL13*Constants!$H71*Constants!$H89*(1-Constants!$H107))+(BL13*Constants!$H71*Constants!$H123))</f>
        <v>496355.89416930091</v>
      </c>
      <c r="BM58" s="22">
        <f>((BM13*Constants!$H71*Constants!$H89*(1-Constants!$H107))+(BM13*Constants!$H71*Constants!$H123))</f>
        <v>496734.61930924706</v>
      </c>
      <c r="BN58" s="22">
        <f>((BN13*Constants!$H71*Constants!$H89*(1-Constants!$H107))+(BN13*Constants!$H71*Constants!$H123))</f>
        <v>497044.03476985678</v>
      </c>
      <c r="BO58" s="22">
        <f>((BO13*Constants!$H71*Constants!$H89*(1-Constants!$H107))+(BO13*Constants!$H71*Constants!$H123))</f>
        <v>497293.11503217492</v>
      </c>
      <c r="BP58" s="22">
        <f>((BP13*Constants!$H71*Constants!$H89*(1-Constants!$H107))+(BP13*Constants!$H71*Constants!$H123))</f>
        <v>497432.66427532118</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5731435.4528670963</v>
      </c>
      <c r="AL59" s="22">
        <f>((AL14*Constants!$H72*Constants!$H90*(1-Constants!$H108))+(AL14*Constants!$H72*Constants!$H124))</f>
        <v>5717382.0583219454</v>
      </c>
      <c r="AM59" s="22">
        <f>((AM14*Constants!$H72*Constants!$H90*(1-Constants!$H108))+(AM14*Constants!$H72*Constants!$H124))</f>
        <v>5727210.243559299</v>
      </c>
      <c r="AN59" s="22">
        <f>((AN14*Constants!$H72*Constants!$H90*(1-Constants!$H108))+(AN14*Constants!$H72*Constants!$H124))</f>
        <v>5728163.9561955808</v>
      </c>
      <c r="AO59" s="22">
        <f>((AO14*Constants!$H72*Constants!$H90*(1-Constants!$H108))+(AO14*Constants!$H72*Constants!$H124))</f>
        <v>5730786.0575972358</v>
      </c>
      <c r="AP59" s="22">
        <f>((AP14*Constants!$H72*Constants!$H90*(1-Constants!$H108))+(AP14*Constants!$H72*Constants!$H124))</f>
        <v>5742379.0809081197</v>
      </c>
      <c r="AQ59" s="22">
        <f>((AQ14*Constants!$H72*Constants!$H90*(1-Constants!$H108))+(AQ14*Constants!$H72*Constants!$H124))</f>
        <v>5759431.769980887</v>
      </c>
      <c r="AR59" s="22">
        <f>((AR14*Constants!$H72*Constants!$H90*(1-Constants!$H108))+(AR14*Constants!$H72*Constants!$H124))</f>
        <v>5775528.6085634734</v>
      </c>
      <c r="AS59" s="22">
        <f>((AS14*Constants!$H72*Constants!$H90*(1-Constants!$H108))+(AS14*Constants!$H72*Constants!$H124))</f>
        <v>5790745.2816849202</v>
      </c>
      <c r="AT59" s="22">
        <f>((AT14*Constants!$H72*Constants!$H90*(1-Constants!$H108))+(AT14*Constants!$H72*Constants!$H124))</f>
        <v>5805089.5780961514</v>
      </c>
      <c r="AU59" s="22">
        <f>((AU14*Constants!$H72*Constants!$H90*(1-Constants!$H108))+(AU14*Constants!$H72*Constants!$H124))</f>
        <v>5818858.3081841841</v>
      </c>
      <c r="AV59" s="22">
        <f>((AV14*Constants!$H72*Constants!$H90*(1-Constants!$H108))+(AV14*Constants!$H72*Constants!$H124))</f>
        <v>5832258.0573677421</v>
      </c>
      <c r="AW59" s="22">
        <f>((AW14*Constants!$H72*Constants!$H90*(1-Constants!$H108))+(AW14*Constants!$H72*Constants!$H124))</f>
        <v>5845179.4268062348</v>
      </c>
      <c r="AX59" s="22">
        <f>((AX14*Constants!$H72*Constants!$H90*(1-Constants!$H108))+(AX14*Constants!$H72*Constants!$H124))</f>
        <v>5857816.4953386514</v>
      </c>
      <c r="AY59" s="22">
        <f>((AY14*Constants!$H72*Constants!$H90*(1-Constants!$H108))+(AY14*Constants!$H72*Constants!$H124))</f>
        <v>5870144.562739172</v>
      </c>
      <c r="AZ59" s="22">
        <f>((AZ14*Constants!$H72*Constants!$H90*(1-Constants!$H108))+(AZ14*Constants!$H72*Constants!$H124))</f>
        <v>5882079.2736204565</v>
      </c>
      <c r="BA59" s="22">
        <f>((BA14*Constants!$H72*Constants!$H90*(1-Constants!$H108))+(BA14*Constants!$H72*Constants!$H124))</f>
        <v>5893685.5832878798</v>
      </c>
      <c r="BB59" s="22">
        <f>((BB14*Constants!$H72*Constants!$H90*(1-Constants!$H108))+(BB14*Constants!$H72*Constants!$H124))</f>
        <v>5904987.2009109044</v>
      </c>
      <c r="BC59" s="22">
        <f>((BC14*Constants!$H72*Constants!$H90*(1-Constants!$H108))+(BC14*Constants!$H72*Constants!$H124))</f>
        <v>5916033.7484408924</v>
      </c>
      <c r="BD59" s="22">
        <f>((BD14*Constants!$H72*Constants!$H90*(1-Constants!$H108))+(BD14*Constants!$H72*Constants!$H124))</f>
        <v>5926482.7220716653</v>
      </c>
      <c r="BE59" s="22">
        <f>((BE14*Constants!$H72*Constants!$H90*(1-Constants!$H108))+(BE14*Constants!$H72*Constants!$H124))</f>
        <v>5936331.6519337548</v>
      </c>
      <c r="BF59" s="22">
        <f>((BF14*Constants!$H72*Constants!$H90*(1-Constants!$H108))+(BF14*Constants!$H72*Constants!$H124))</f>
        <v>5945689.0313271219</v>
      </c>
      <c r="BG59" s="22">
        <f>((BG14*Constants!$H72*Constants!$H90*(1-Constants!$H108))+(BG14*Constants!$H72*Constants!$H124))</f>
        <v>5954485.1070813285</v>
      </c>
      <c r="BH59" s="22">
        <f>((BH14*Constants!$H72*Constants!$H90*(1-Constants!$H108))+(BH14*Constants!$H72*Constants!$H124))</f>
        <v>5962746.0623076046</v>
      </c>
      <c r="BI59" s="22">
        <f>((BI14*Constants!$H72*Constants!$H90*(1-Constants!$H108))+(BI14*Constants!$H72*Constants!$H124))</f>
        <v>5970437.9123211866</v>
      </c>
      <c r="BJ59" s="22">
        <f>((BJ14*Constants!$H72*Constants!$H90*(1-Constants!$H108))+(BJ14*Constants!$H72*Constants!$H124))</f>
        <v>5977441.9298420055</v>
      </c>
      <c r="BK59" s="22">
        <f>((BK14*Constants!$H72*Constants!$H90*(1-Constants!$H108))+(BK14*Constants!$H72*Constants!$H124))</f>
        <v>5983649.0515673878</v>
      </c>
      <c r="BL59" s="22">
        <f>((BL14*Constants!$H72*Constants!$H90*(1-Constants!$H108))+(BL14*Constants!$H72*Constants!$H124))</f>
        <v>5989059.700996235</v>
      </c>
      <c r="BM59" s="22">
        <f>((BM14*Constants!$H72*Constants!$H90*(1-Constants!$H108))+(BM14*Constants!$H72*Constants!$H124))</f>
        <v>5993629.4210298844</v>
      </c>
      <c r="BN59" s="22">
        <f>((BN14*Constants!$H72*Constants!$H90*(1-Constants!$H108))+(BN14*Constants!$H72*Constants!$H124))</f>
        <v>5997362.8463558881</v>
      </c>
      <c r="BO59" s="22">
        <f>((BO14*Constants!$H72*Constants!$H90*(1-Constants!$H108))+(BO14*Constants!$H72*Constants!$H124))</f>
        <v>6000368.2635955876</v>
      </c>
      <c r="BP59" s="22">
        <f>((BP14*Constants!$H72*Constants!$H90*(1-Constants!$H108))+(BP14*Constants!$H72*Constants!$H124))</f>
        <v>6002052.0730521707</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7887809.5503911283</v>
      </c>
      <c r="AF62" s="22">
        <f>((AF17*Constants!$H75*Constants!$H93*(1-Constants!$H111))+(AF17*Constants!$H75*Constants!$H127))</f>
        <v>7891347.8708342668</v>
      </c>
      <c r="AG62" s="22">
        <f>((AG17*Constants!$H75*Constants!$H93*(1-Constants!$H111))+(AG17*Constants!$H75*Constants!$H127))</f>
        <v>7818899.2502508257</v>
      </c>
      <c r="AH62" s="22">
        <f>((AH17*Constants!$H75*Constants!$H93*(1-Constants!$H111))+(AH17*Constants!$H75*Constants!$H127))</f>
        <v>7700573.9427559059</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7312981.3674521055</v>
      </c>
      <c r="AL62" s="22">
        <f>((AL17*Constants!$H75*Constants!$H93*(1-Constants!$H111))+(AL17*Constants!$H75*Constants!$H127))</f>
        <v>6569395.7677534297</v>
      </c>
      <c r="AM62" s="22">
        <f>((AM17*Constants!$H75*Constants!$H93*(1-Constants!$H111))+(AM17*Constants!$H75*Constants!$H127))</f>
        <v>6866258.8642534791</v>
      </c>
      <c r="AN62" s="22">
        <f>((AN17*Constants!$H75*Constants!$H93*(1-Constants!$H111))+(AN17*Constants!$H75*Constants!$H127))</f>
        <v>6956009.504039851</v>
      </c>
      <c r="AO62" s="22">
        <f>((AO17*Constants!$H75*Constants!$H93*(1-Constants!$H111))+(AO17*Constants!$H75*Constants!$H127))</f>
        <v>6887360.4433043497</v>
      </c>
      <c r="AP62" s="22">
        <f>((AP17*Constants!$H75*Constants!$H93*(1-Constants!$H111))+(AP17*Constants!$H75*Constants!$H127))</f>
        <v>6826983.9594123801</v>
      </c>
      <c r="AQ62" s="22">
        <f>((AQ17*Constants!$H75*Constants!$H93*(1-Constants!$H111))+(AQ17*Constants!$H75*Constants!$H127))</f>
        <v>6808324.5822517695</v>
      </c>
      <c r="AR62" s="22">
        <f>((AR17*Constants!$H75*Constants!$H93*(1-Constants!$H111))+(AR17*Constants!$H75*Constants!$H127))</f>
        <v>6829761.022481312</v>
      </c>
      <c r="AS62" s="22">
        <f>((AS17*Constants!$H75*Constants!$H93*(1-Constants!$H111))+(AS17*Constants!$H75*Constants!$H127))</f>
        <v>6869688.509235654</v>
      </c>
      <c r="AT62" s="22">
        <f>((AT17*Constants!$H75*Constants!$H93*(1-Constants!$H111))+(AT17*Constants!$H75*Constants!$H127))</f>
        <v>6932662.2363419104</v>
      </c>
      <c r="AU62" s="22">
        <f>((AU17*Constants!$H75*Constants!$H93*(1-Constants!$H111))+(AU17*Constants!$H75*Constants!$H127))</f>
        <v>7033823.3396449592</v>
      </c>
      <c r="AV62" s="22">
        <f>((AV17*Constants!$H75*Constants!$H93*(1-Constants!$H111))+(AV17*Constants!$H75*Constants!$H127))</f>
        <v>7169639.8760012025</v>
      </c>
      <c r="AW62" s="22">
        <f>((AW17*Constants!$H75*Constants!$H93*(1-Constants!$H111))+(AW17*Constants!$H75*Constants!$H127))</f>
        <v>7324219.5265922025</v>
      </c>
      <c r="AX62" s="22">
        <f>((AX17*Constants!$H75*Constants!$H93*(1-Constants!$H111))+(AX17*Constants!$H75*Constants!$H127))</f>
        <v>7496027.7745081801</v>
      </c>
      <c r="AY62" s="22">
        <f>((AY17*Constants!$H75*Constants!$H93*(1-Constants!$H111))+(AY17*Constants!$H75*Constants!$H127))</f>
        <v>7676470.7012773613</v>
      </c>
      <c r="AZ62" s="22">
        <f>((AZ17*Constants!$H75*Constants!$H93*(1-Constants!$H111))+(AZ17*Constants!$H75*Constants!$H127))</f>
        <v>7868647.2454204662</v>
      </c>
      <c r="BA62" s="22">
        <f>((BA17*Constants!$H75*Constants!$H93*(1-Constants!$H111))+(BA17*Constants!$H75*Constants!$H127))</f>
        <v>8068415.2541033402</v>
      </c>
      <c r="BB62" s="22">
        <f>((BB17*Constants!$H75*Constants!$H93*(1-Constants!$H111))+(BB17*Constants!$H75*Constants!$H127))</f>
        <v>8262276.0085477643</v>
      </c>
      <c r="BC62" s="22">
        <f>((BC17*Constants!$H75*Constants!$H93*(1-Constants!$H111))+(BC17*Constants!$H75*Constants!$H127))</f>
        <v>8468958.2765714191</v>
      </c>
      <c r="BD62" s="22">
        <f>((BD17*Constants!$H75*Constants!$H93*(1-Constants!$H111))+(BD17*Constants!$H75*Constants!$H127))</f>
        <v>8676052.7865690496</v>
      </c>
      <c r="BE62" s="22">
        <f>((BE17*Constants!$H75*Constants!$H93*(1-Constants!$H111))+(BE17*Constants!$H75*Constants!$H127))</f>
        <v>8882472.2285839412</v>
      </c>
      <c r="BF62" s="22">
        <f>((BF17*Constants!$H75*Constants!$H93*(1-Constants!$H111))+(BF17*Constants!$H75*Constants!$H127))</f>
        <v>9093557.7512161341</v>
      </c>
      <c r="BG62" s="22">
        <f>((BG17*Constants!$H75*Constants!$H93*(1-Constants!$H111))+(BG17*Constants!$H75*Constants!$H127))</f>
        <v>9295658.8541150838</v>
      </c>
      <c r="BH62" s="22">
        <f>((BH17*Constants!$H75*Constants!$H93*(1-Constants!$H111))+(BH17*Constants!$H75*Constants!$H127))</f>
        <v>9507145.8635319714</v>
      </c>
      <c r="BI62" s="22">
        <f>((BI17*Constants!$H75*Constants!$H93*(1-Constants!$H111))+(BI17*Constants!$H75*Constants!$H127))</f>
        <v>9734115.3389977012</v>
      </c>
      <c r="BJ62" s="22">
        <f>((BJ17*Constants!$H75*Constants!$H93*(1-Constants!$H111))+(BJ17*Constants!$H75*Constants!$H127))</f>
        <v>9965051.4034724161</v>
      </c>
      <c r="BK62" s="22">
        <f>((BK17*Constants!$H75*Constants!$H93*(1-Constants!$H111))+(BK17*Constants!$H75*Constants!$H127))</f>
        <v>10200378.615670796</v>
      </c>
      <c r="BL62" s="22">
        <f>((BL17*Constants!$H75*Constants!$H93*(1-Constants!$H111))+(BL17*Constants!$H75*Constants!$H127))</f>
        <v>10451725.3681826</v>
      </c>
      <c r="BM62" s="22">
        <f>((BM17*Constants!$H75*Constants!$H93*(1-Constants!$H111))+(BM17*Constants!$H75*Constants!$H127))</f>
        <v>10714716.013016287</v>
      </c>
      <c r="BN62" s="22">
        <f>((BN17*Constants!$H75*Constants!$H93*(1-Constants!$H111))+(BN17*Constants!$H75*Constants!$H127))</f>
        <v>10986352.809144797</v>
      </c>
      <c r="BO62" s="22">
        <f>((BO17*Constants!$H75*Constants!$H93*(1-Constants!$H111))+(BO17*Constants!$H75*Constants!$H127))</f>
        <v>11273682.160334487</v>
      </c>
      <c r="BP62" s="22">
        <f>((BP17*Constants!$H75*Constants!$H93*(1-Constants!$H111))+(BP17*Constants!$H75*Constants!$H127))</f>
        <v>11533767.23493458</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v>
      </c>
      <c r="AF63" s="22">
        <f>((AF18*Constants!$H76*Constants!$H94*(1-Constants!$H112))+(AF18*Constants!$H76*Constants!$H128))</f>
        <v>2002065.0898019932</v>
      </c>
      <c r="AG63" s="22">
        <f>((AG18*Constants!$H76*Constants!$H94*(1-Constants!$H112))+(AG18*Constants!$H76*Constants!$H128))</f>
        <v>1983684.5980978454</v>
      </c>
      <c r="AH63" s="22">
        <f>((AH18*Constants!$H76*Constants!$H94*(1-Constants!$H112))+(AH18*Constants!$H76*Constants!$H128))</f>
        <v>1953665.0157333158</v>
      </c>
      <c r="AI63" s="22">
        <f>((AI18*Constants!$H76*Constants!$H94*(1-Constants!$H112))+(AI18*Constants!$H76*Constants!$H128))</f>
        <v>1912486.2375610496</v>
      </c>
      <c r="AJ63" s="22">
        <f>((AJ18*Constants!$H76*Constants!$H94*(1-Constants!$H112))+(AJ18*Constants!$H76*Constants!$H128))</f>
        <v>1882585.8779983772</v>
      </c>
      <c r="AK63" s="22">
        <f>((AK18*Constants!$H76*Constants!$H94*(1-Constants!$H112))+(AK18*Constants!$H76*Constants!$H128))</f>
        <v>1855331.2992651619</v>
      </c>
      <c r="AL63" s="22">
        <f>((AL18*Constants!$H76*Constants!$H94*(1-Constants!$H112))+(AL18*Constants!$H76*Constants!$H128))</f>
        <v>1666680.7930647782</v>
      </c>
      <c r="AM63" s="22">
        <f>((AM18*Constants!$H76*Constants!$H94*(1-Constants!$H112))+(AM18*Constants!$H76*Constants!$H128))</f>
        <v>1741996.0942885273</v>
      </c>
      <c r="AN63" s="22">
        <f>((AN18*Constants!$H76*Constants!$H94*(1-Constants!$H112))+(AN18*Constants!$H76*Constants!$H128))</f>
        <v>1764766.174336296</v>
      </c>
      <c r="AO63" s="22">
        <f>((AO18*Constants!$H76*Constants!$H94*(1-Constants!$H112))+(AO18*Constants!$H76*Constants!$H128))</f>
        <v>1747349.6454750844</v>
      </c>
      <c r="AP63" s="22">
        <f>((AP18*Constants!$H76*Constants!$H94*(1-Constants!$H112))+(AP18*Constants!$H76*Constants!$H128))</f>
        <v>1732031.9009498614</v>
      </c>
      <c r="AQ63" s="22">
        <f>((AQ18*Constants!$H76*Constants!$H94*(1-Constants!$H112))+(AQ18*Constants!$H76*Constants!$H128))</f>
        <v>1727297.9457089861</v>
      </c>
      <c r="AR63" s="22">
        <f>((AR18*Constants!$H76*Constants!$H94*(1-Constants!$H112))+(AR18*Constants!$H76*Constants!$H128))</f>
        <v>1732736.4524553192</v>
      </c>
      <c r="AS63" s="22">
        <f>((AS18*Constants!$H76*Constants!$H94*(1-Constants!$H112))+(AS18*Constants!$H76*Constants!$H128))</f>
        <v>1742866.2083174123</v>
      </c>
      <c r="AT63" s="22">
        <f>((AT18*Constants!$H76*Constants!$H94*(1-Constants!$H112))+(AT18*Constants!$H76*Constants!$H128))</f>
        <v>1758842.8833642853</v>
      </c>
      <c r="AU63" s="22">
        <f>((AU18*Constants!$H76*Constants!$H94*(1-Constants!$H112))+(AU18*Constants!$H76*Constants!$H128))</f>
        <v>1784507.8415797791</v>
      </c>
      <c r="AV63" s="22">
        <f>((AV18*Constants!$H76*Constants!$H94*(1-Constants!$H112))+(AV18*Constants!$H76*Constants!$H128))</f>
        <v>1818965.0155008053</v>
      </c>
      <c r="AW63" s="22">
        <f>((AW18*Constants!$H76*Constants!$H94*(1-Constants!$H112))+(AW18*Constants!$H76*Constants!$H128))</f>
        <v>1858182.4631545627</v>
      </c>
      <c r="AX63" s="22">
        <f>((AX18*Constants!$H76*Constants!$H94*(1-Constants!$H112))+(AX18*Constants!$H76*Constants!$H128))</f>
        <v>1901770.8717411256</v>
      </c>
      <c r="AY63" s="22">
        <f>((AY18*Constants!$H76*Constants!$H94*(1-Constants!$H112))+(AY18*Constants!$H76*Constants!$H128))</f>
        <v>1947549.9313263018</v>
      </c>
      <c r="AZ63" s="22">
        <f>((AZ18*Constants!$H76*Constants!$H94*(1-Constants!$H112))+(AZ18*Constants!$H76*Constants!$H128))</f>
        <v>1996305.8544468256</v>
      </c>
      <c r="BA63" s="22">
        <f>((BA18*Constants!$H76*Constants!$H94*(1-Constants!$H112))+(BA18*Constants!$H76*Constants!$H128))</f>
        <v>2046987.7611108839</v>
      </c>
      <c r="BB63" s="22">
        <f>((BB18*Constants!$H76*Constants!$H94*(1-Constants!$H112))+(BB18*Constants!$H76*Constants!$H128))</f>
        <v>2096170.9748164064</v>
      </c>
      <c r="BC63" s="22">
        <f>((BC18*Constants!$H76*Constants!$H94*(1-Constants!$H112))+(BC18*Constants!$H76*Constants!$H128))</f>
        <v>2148607.0554789496</v>
      </c>
      <c r="BD63" s="22">
        <f>((BD18*Constants!$H76*Constants!$H94*(1-Constants!$H112))+(BD18*Constants!$H76*Constants!$H128))</f>
        <v>2201147.723504534</v>
      </c>
      <c r="BE63" s="22">
        <f>((BE18*Constants!$H76*Constants!$H94*(1-Constants!$H112))+(BE18*Constants!$H76*Constants!$H128))</f>
        <v>2253517.1242049919</v>
      </c>
      <c r="BF63" s="22">
        <f>((BF18*Constants!$H76*Constants!$H94*(1-Constants!$H112))+(BF18*Constants!$H76*Constants!$H128))</f>
        <v>2307070.3273765873</v>
      </c>
      <c r="BG63" s="22">
        <f>((BG18*Constants!$H76*Constants!$H94*(1-Constants!$H112))+(BG18*Constants!$H76*Constants!$H128))</f>
        <v>2358344.1489527347</v>
      </c>
      <c r="BH63" s="22">
        <f>((BH18*Constants!$H76*Constants!$H94*(1-Constants!$H112))+(BH18*Constants!$H76*Constants!$H128))</f>
        <v>2411999.2108547785</v>
      </c>
      <c r="BI63" s="22">
        <f>((BI18*Constants!$H76*Constants!$H94*(1-Constants!$H112))+(BI18*Constants!$H76*Constants!$H128))</f>
        <v>2469582.233516858</v>
      </c>
      <c r="BJ63" s="22">
        <f>((BJ18*Constants!$H76*Constants!$H94*(1-Constants!$H112))+(BJ18*Constants!$H76*Constants!$H128))</f>
        <v>2528171.5949578737</v>
      </c>
      <c r="BK63" s="22">
        <f>((BK18*Constants!$H76*Constants!$H94*(1-Constants!$H112))+(BK18*Constants!$H76*Constants!$H128))</f>
        <v>2587875.0073450143</v>
      </c>
      <c r="BL63" s="22">
        <f>((BL18*Constants!$H76*Constants!$H94*(1-Constants!$H112))+(BL18*Constants!$H76*Constants!$H128))</f>
        <v>2651642.6382840592</v>
      </c>
      <c r="BM63" s="22">
        <f>((BM18*Constants!$H76*Constants!$H94*(1-Constants!$H112))+(BM18*Constants!$H76*Constants!$H128))</f>
        <v>2718364.3691701144</v>
      </c>
      <c r="BN63" s="22">
        <f>((BN18*Constants!$H76*Constants!$H94*(1-Constants!$H112))+(BN18*Constants!$H76*Constants!$H128))</f>
        <v>2787279.6616570307</v>
      </c>
      <c r="BO63" s="22">
        <f>((BO18*Constants!$H76*Constants!$H94*(1-Constants!$H112))+(BO18*Constants!$H76*Constants!$H128))</f>
        <v>2860176.215288688</v>
      </c>
      <c r="BP63" s="22">
        <f>((BP18*Constants!$H76*Constants!$H94*(1-Constants!$H112))+(BP18*Constants!$H76*Constants!$H128))</f>
        <v>2926160.7919108742</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10707973.553800801</v>
      </c>
      <c r="AM64" s="22">
        <f>((AM19*Constants!$H77*Constants!$H95*(1-Constants!$H113))+(AM19*Constants!$H77*Constants!$H129))</f>
        <v>11155049.889162675</v>
      </c>
      <c r="AN64" s="22">
        <f>((AN19*Constants!$H77*Constants!$H95*(1-Constants!$H113))+(AN19*Constants!$H77*Constants!$H129))</f>
        <v>11420750.480127929</v>
      </c>
      <c r="AO64" s="22">
        <f>((AO19*Constants!$H77*Constants!$H95*(1-Constants!$H113))+(AO19*Constants!$H77*Constants!$H129))</f>
        <v>11547572.457000658</v>
      </c>
      <c r="AP64" s="22">
        <f>((AP19*Constants!$H77*Constants!$H95*(1-Constants!$H113))+(AP19*Constants!$H77*Constants!$H129))</f>
        <v>11688222.481803615</v>
      </c>
      <c r="AQ64" s="22">
        <f>((AQ19*Constants!$H77*Constants!$H95*(1-Constants!$H113))+(AQ19*Constants!$H77*Constants!$H129))</f>
        <v>11871645.126169339</v>
      </c>
      <c r="AR64" s="22">
        <f>((AR19*Constants!$H77*Constants!$H95*(1-Constants!$H113))+(AR19*Constants!$H77*Constants!$H129))</f>
        <v>12092438.817297036</v>
      </c>
      <c r="AS64" s="22">
        <f>((AS19*Constants!$H77*Constants!$H95*(1-Constants!$H113))+(AS19*Constants!$H77*Constants!$H129))</f>
        <v>12331908.618031647</v>
      </c>
      <c r="AT64" s="22">
        <f>((AT19*Constants!$H77*Constants!$H95*(1-Constants!$H113))+(AT19*Constants!$H77*Constants!$H129))</f>
        <v>12595932.842537347</v>
      </c>
      <c r="AU64" s="22">
        <f>((AU19*Constants!$H77*Constants!$H95*(1-Constants!$H113))+(AU19*Constants!$H77*Constants!$H129))</f>
        <v>12901993.190463658</v>
      </c>
      <c r="AV64" s="22">
        <f>((AV19*Constants!$H77*Constants!$H95*(1-Constants!$H113))+(AV19*Constants!$H77*Constants!$H129))</f>
        <v>13249160.22431981</v>
      </c>
      <c r="AW64" s="22">
        <f>((AW19*Constants!$H77*Constants!$H95*(1-Constants!$H113))+(AW19*Constants!$H77*Constants!$H129))</f>
        <v>13622666.782137556</v>
      </c>
      <c r="AX64" s="22">
        <f>((AX19*Constants!$H77*Constants!$H95*(1-Constants!$H113))+(AX19*Constants!$H77*Constants!$H129))</f>
        <v>14022454.298847679</v>
      </c>
      <c r="AY64" s="22">
        <f>((AY19*Constants!$H77*Constants!$H95*(1-Constants!$H113))+(AY19*Constants!$H77*Constants!$H129))</f>
        <v>14440255.88966389</v>
      </c>
      <c r="AZ64" s="22">
        <f>((AZ19*Constants!$H77*Constants!$H95*(1-Constants!$H113))+(AZ19*Constants!$H77*Constants!$H129))</f>
        <v>14880313.259041591</v>
      </c>
      <c r="BA64" s="22">
        <f>((BA19*Constants!$H77*Constants!$H95*(1-Constants!$H113))+(BA19*Constants!$H77*Constants!$H129))</f>
        <v>15338929.633525377</v>
      </c>
      <c r="BB64" s="22">
        <f>((BB19*Constants!$H77*Constants!$H95*(1-Constants!$H113))+(BB19*Constants!$H77*Constants!$H129))</f>
        <v>15800959.252903499</v>
      </c>
      <c r="BC64" s="22">
        <f>((BC19*Constants!$H77*Constants!$H95*(1-Constants!$H113))+(BC19*Constants!$H77*Constants!$H129))</f>
        <v>16288905.39141392</v>
      </c>
      <c r="BD64" s="22">
        <f>((BD19*Constants!$H77*Constants!$H95*(1-Constants!$H113))+(BD19*Constants!$H77*Constants!$H129))</f>
        <v>16788328.962574892</v>
      </c>
      <c r="BE64" s="22">
        <f>((BE19*Constants!$H77*Constants!$H95*(1-Constants!$H113))+(BE19*Constants!$H77*Constants!$H129))</f>
        <v>17298204.541695815</v>
      </c>
      <c r="BF64" s="22">
        <f>((BF19*Constants!$H77*Constants!$H95*(1-Constants!$H113))+(BF19*Constants!$H77*Constants!$H129))</f>
        <v>17825737.695704024</v>
      </c>
      <c r="BG64" s="22">
        <f>((BG19*Constants!$H77*Constants!$H95*(1-Constants!$H113))+(BG19*Constants!$H77*Constants!$H129))</f>
        <v>18353787.96205559</v>
      </c>
      <c r="BH64" s="22">
        <f>((BH19*Constants!$H77*Constants!$H95*(1-Constants!$H113))+(BH19*Constants!$H77*Constants!$H129))</f>
        <v>18906390.919617333</v>
      </c>
      <c r="BI64" s="22">
        <f>((BI19*Constants!$H77*Constants!$H95*(1-Constants!$H113))+(BI19*Constants!$H77*Constants!$H129))</f>
        <v>19492780.44974849</v>
      </c>
      <c r="BJ64" s="22">
        <f>((BJ19*Constants!$H77*Constants!$H95*(1-Constants!$H113))+(BJ19*Constants!$H77*Constants!$H129))</f>
        <v>20098552.076406911</v>
      </c>
      <c r="BK64" s="22">
        <f>((BK19*Constants!$H77*Constants!$H95*(1-Constants!$H113))+(BK19*Constants!$H77*Constants!$H129))</f>
        <v>20724888.779312231</v>
      </c>
      <c r="BL64" s="22">
        <f>((BL19*Constants!$H77*Constants!$H95*(1-Constants!$H113))+(BL19*Constants!$H77*Constants!$H129))</f>
        <v>21389134.123328842</v>
      </c>
      <c r="BM64" s="22">
        <f>((BM19*Constants!$H77*Constants!$H95*(1-Constants!$H113))+(BM19*Constants!$H77*Constants!$H129))</f>
        <v>22086609.582873523</v>
      </c>
      <c r="BN64" s="22">
        <f>((BN19*Constants!$H77*Constants!$H95*(1-Constants!$H113))+(BN19*Constants!$H77*Constants!$H129))</f>
        <v>22814322.613232754</v>
      </c>
      <c r="BO64" s="22">
        <f>((BO19*Constants!$H77*Constants!$H95*(1-Constants!$H113))+(BO19*Constants!$H77*Constants!$H129))</f>
        <v>23584250.551686771</v>
      </c>
      <c r="BP64" s="22">
        <f>((BP19*Constants!$H77*Constants!$H95*(1-Constants!$H113))+(BP19*Constants!$H77*Constants!$H129))</f>
        <v>24331735.506164808</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51748158.01570043</v>
      </c>
      <c r="AG65" s="22">
        <f>((AG20*Constants!$H78*Constants!$H96*(1-Constants!$H114))+(AG20*Constants!$H78*Constants!$H130))</f>
        <v>52052013.608416207</v>
      </c>
      <c r="AH65" s="22">
        <f>((AH20*Constants!$H78*Constants!$H96*(1-Constants!$H114))+(AH20*Constants!$H78*Constants!$H130))</f>
        <v>51865691.663914926</v>
      </c>
      <c r="AI65" s="22">
        <f>((AI20*Constants!$H78*Constants!$H96*(1-Constants!$H114))+(AI20*Constants!$H78*Constants!$H130))</f>
        <v>51191174.53318394</v>
      </c>
      <c r="AJ65" s="22">
        <f>((AJ20*Constants!$H78*Constants!$H96*(1-Constants!$H114))+(AJ20*Constants!$H78*Constants!$H130))</f>
        <v>50907218.229325019</v>
      </c>
      <c r="AK65" s="22">
        <f>((AK20*Constants!$H78*Constants!$H96*(1-Constants!$H114))+(AK20*Constants!$H78*Constants!$H130))</f>
        <v>50687682.526318632</v>
      </c>
      <c r="AL65" s="22">
        <f>((AL20*Constants!$H78*Constants!$H96*(1-Constants!$H114))+(AL20*Constants!$H78*Constants!$H130))</f>
        <v>44099651.067897394</v>
      </c>
      <c r="AM65" s="22">
        <f>((AM20*Constants!$H78*Constants!$H96*(1-Constants!$H114))+(AM20*Constants!$H78*Constants!$H130))</f>
        <v>48089570.983048208</v>
      </c>
      <c r="AN65" s="22">
        <f>((AN20*Constants!$H78*Constants!$H96*(1-Constants!$H114))+(AN20*Constants!$H78*Constants!$H130))</f>
        <v>50009394.914195083</v>
      </c>
      <c r="AO65" s="22">
        <f>((AO20*Constants!$H78*Constants!$H96*(1-Constants!$H114))+(AO20*Constants!$H78*Constants!$H130))</f>
        <v>50249610.401313715</v>
      </c>
      <c r="AP65" s="22">
        <f>((AP20*Constants!$H78*Constants!$H96*(1-Constants!$H114))+(AP20*Constants!$H78*Constants!$H130))</f>
        <v>50526529.646560349</v>
      </c>
      <c r="AQ65" s="22">
        <f>((AQ20*Constants!$H78*Constants!$H96*(1-Constants!$H114))+(AQ20*Constants!$H78*Constants!$H130))</f>
        <v>51228799.527919471</v>
      </c>
      <c r="AR65" s="22">
        <f>((AR20*Constants!$H78*Constants!$H96*(1-Constants!$H114))+(AR20*Constants!$H78*Constants!$H130))</f>
        <v>52385121.897056714</v>
      </c>
      <c r="AS65" s="22">
        <f>((AS20*Constants!$H78*Constants!$H96*(1-Constants!$H114))+(AS20*Constants!$H78*Constants!$H130))</f>
        <v>53768622.900068872</v>
      </c>
      <c r="AT65" s="22">
        <f>((AT20*Constants!$H78*Constants!$H96*(1-Constants!$H114))+(AT20*Constants!$H78*Constants!$H130))</f>
        <v>55440366.294521227</v>
      </c>
      <c r="AU65" s="22">
        <f>((AU20*Constants!$H78*Constants!$H96*(1-Constants!$H114))+(AU20*Constants!$H78*Constants!$H130))</f>
        <v>57585958.286809772</v>
      </c>
      <c r="AV65" s="22">
        <f>((AV20*Constants!$H78*Constants!$H96*(1-Constants!$H114))+(AV20*Constants!$H78*Constants!$H130))</f>
        <v>60180921.385537907</v>
      </c>
      <c r="AW65" s="22">
        <f>((AW20*Constants!$H78*Constants!$H96*(1-Constants!$H114))+(AW20*Constants!$H78*Constants!$H130))</f>
        <v>63053088.702581927</v>
      </c>
      <c r="AX65" s="22">
        <f>((AX20*Constants!$H78*Constants!$H96*(1-Constants!$H114))+(AX20*Constants!$H78*Constants!$H130))</f>
        <v>66192931.655064628</v>
      </c>
      <c r="AY65" s="22">
        <f>((AY20*Constants!$H78*Constants!$H96*(1-Constants!$H114))+(AY20*Constants!$H78*Constants!$H130))</f>
        <v>69504878.397098541</v>
      </c>
      <c r="AZ65" s="22">
        <f>((AZ20*Constants!$H78*Constants!$H96*(1-Constants!$H114))+(AZ20*Constants!$H78*Constants!$H130))</f>
        <v>73033248.514562026</v>
      </c>
      <c r="BA65" s="22">
        <f>((BA20*Constants!$H78*Constants!$H96*(1-Constants!$H114))+(BA20*Constants!$H78*Constants!$H130))</f>
        <v>76733039.715204433</v>
      </c>
      <c r="BB65" s="22">
        <f>((BB20*Constants!$H78*Constants!$H96*(1-Constants!$H114))+(BB20*Constants!$H78*Constants!$H130))</f>
        <v>80438198.901944175</v>
      </c>
      <c r="BC65" s="22">
        <f>((BC20*Constants!$H78*Constants!$H96*(1-Constants!$H114))+(BC20*Constants!$H78*Constants!$H130))</f>
        <v>84388380.301356792</v>
      </c>
      <c r="BD65" s="22">
        <f>((BD20*Constants!$H78*Constants!$H96*(1-Constants!$H114))+(BD20*Constants!$H78*Constants!$H130))</f>
        <v>88431752.800244555</v>
      </c>
      <c r="BE65" s="22">
        <f>((BE20*Constants!$H78*Constants!$H96*(1-Constants!$H114))+(BE20*Constants!$H78*Constants!$H130))</f>
        <v>92556324.519422397</v>
      </c>
      <c r="BF65" s="22">
        <f>((BF20*Constants!$H78*Constants!$H96*(1-Constants!$H114))+(BF20*Constants!$H78*Constants!$H130))</f>
        <v>96834839.488769963</v>
      </c>
      <c r="BG65" s="22">
        <f>((BG20*Constants!$H78*Constants!$H96*(1-Constants!$H114))+(BG20*Constants!$H78*Constants!$H130))</f>
        <v>101087665.87864073</v>
      </c>
      <c r="BH65" s="22">
        <f>((BH20*Constants!$H78*Constants!$H96*(1-Constants!$H114))+(BH20*Constants!$H78*Constants!$H130))</f>
        <v>105564127.97886045</v>
      </c>
      <c r="BI65" s="22">
        <f>((BI20*Constants!$H78*Constants!$H96*(1-Constants!$H114))+(BI20*Constants!$H78*Constants!$H130))</f>
        <v>110356388.28385124</v>
      </c>
      <c r="BJ65" s="22">
        <f>((BJ20*Constants!$H78*Constants!$H96*(1-Constants!$H114))+(BJ20*Constants!$H78*Constants!$H130))</f>
        <v>115314074.23182254</v>
      </c>
      <c r="BK65" s="22">
        <f>((BK20*Constants!$H78*Constants!$H96*(1-Constants!$H114))+(BK20*Constants!$H78*Constants!$H130))</f>
        <v>120448762.6838035</v>
      </c>
      <c r="BL65" s="22">
        <f>((BL20*Constants!$H78*Constants!$H96*(1-Constants!$H114))+(BL20*Constants!$H78*Constants!$H130))</f>
        <v>125933602.50821653</v>
      </c>
      <c r="BM65" s="22">
        <f>((BM20*Constants!$H78*Constants!$H96*(1-Constants!$H114))+(BM20*Constants!$H78*Constants!$H130))</f>
        <v>131717106.42779465</v>
      </c>
      <c r="BN65" s="22">
        <f>((BN20*Constants!$H78*Constants!$H96*(1-Constants!$H114))+(BN20*Constants!$H78*Constants!$H130))</f>
        <v>137765074.08774415</v>
      </c>
      <c r="BO65" s="22">
        <f>((BO20*Constants!$H78*Constants!$H96*(1-Constants!$H114))+(BO20*Constants!$H78*Constants!$H130))</f>
        <v>144191472.83411726</v>
      </c>
      <c r="BP65" s="22">
        <f>((BP20*Constants!$H78*Constants!$H96*(1-Constants!$H114))+(BP20*Constants!$H78*Constants!$H130))</f>
        <v>150360154.37166515</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35364867.326667368</v>
      </c>
      <c r="AL67" s="22">
        <f>AL6*Constants!$H64*(1-Constants!$H82)</f>
        <v>34343412.838726059</v>
      </c>
      <c r="AM67" s="22">
        <f>AM6*Constants!$H64*(1-Constants!$H82)</f>
        <v>35035983.926896535</v>
      </c>
      <c r="AN67" s="22">
        <f>AN6*Constants!$H64*(1-Constants!$H82)</f>
        <v>35379782.62078017</v>
      </c>
      <c r="AO67" s="22">
        <f>AO6*Constants!$H64*(1-Constants!$H82)</f>
        <v>35469568.884563208</v>
      </c>
      <c r="AP67" s="22">
        <f>AP6*Constants!$H64*(1-Constants!$H82)</f>
        <v>35597234.406316809</v>
      </c>
      <c r="AQ67" s="22">
        <f>AQ6*Constants!$H64*(1-Constants!$H82)</f>
        <v>35811458.114291571</v>
      </c>
      <c r="AR67" s="22">
        <f>AR6*Constants!$H64*(1-Constants!$H82)</f>
        <v>36094455.171638645</v>
      </c>
      <c r="AS67" s="22">
        <f>AS6*Constants!$H64*(1-Constants!$H82)</f>
        <v>36411301.923579261</v>
      </c>
      <c r="AT67" s="22">
        <f>AT6*Constants!$H64*(1-Constants!$H82)</f>
        <v>36771977.266686164</v>
      </c>
      <c r="AU67" s="22">
        <f>AU6*Constants!$H64*(1-Constants!$H82)</f>
        <v>37207405.571504287</v>
      </c>
      <c r="AV67" s="22">
        <f>AV6*Constants!$H64*(1-Constants!$H82)</f>
        <v>37715057.367980212</v>
      </c>
      <c r="AW67" s="22">
        <f>AW6*Constants!$H64*(1-Constants!$H82)</f>
        <v>38267592.744449317</v>
      </c>
      <c r="AX67" s="22">
        <f>AX6*Constants!$H64*(1-Constants!$H82)</f>
        <v>38864512.327588893</v>
      </c>
      <c r="AY67" s="22">
        <f>AY6*Constants!$H64*(1-Constants!$H82)</f>
        <v>39490668.666399553</v>
      </c>
      <c r="AZ67" s="22">
        <f>AZ6*Constants!$H64*(1-Constants!$H82)</f>
        <v>40153065.202076688</v>
      </c>
      <c r="BA67" s="22">
        <f>BA6*Constants!$H64*(1-Constants!$H82)</f>
        <v>40844891.042991512</v>
      </c>
      <c r="BB67" s="22">
        <f>BB6*Constants!$H64*(1-Constants!$H82)</f>
        <v>41539487.238473855</v>
      </c>
      <c r="BC67" s="22">
        <f>BC6*Constants!$H64*(1-Constants!$H82)</f>
        <v>42275923.09762314</v>
      </c>
      <c r="BD67" s="22">
        <f>BD6*Constants!$H64*(1-Constants!$H82)</f>
        <v>43028455.068420947</v>
      </c>
      <c r="BE67" s="22">
        <f>BE6*Constants!$H64*(1-Constants!$H82)</f>
        <v>43795169.219197504</v>
      </c>
      <c r="BF67" s="22">
        <f>BF6*Constants!$H64*(1-Constants!$H82)</f>
        <v>44588418.238987468</v>
      </c>
      <c r="BG67" s="22">
        <f>BG6*Constants!$H64*(1-Constants!$H82)</f>
        <v>45378589.035128355</v>
      </c>
      <c r="BH67" s="22">
        <f>BH6*Constants!$H64*(1-Constants!$H82)</f>
        <v>46206715.810032941</v>
      </c>
      <c r="BI67" s="22">
        <f>BI6*Constants!$H64*(1-Constants!$H82)</f>
        <v>47088087.983962663</v>
      </c>
      <c r="BJ67" s="22">
        <f>BJ6*Constants!$H64*(1-Constants!$H82)</f>
        <v>47997718.275677353</v>
      </c>
      <c r="BK67" s="22">
        <f>BK6*Constants!$H64*(1-Constants!$H82)</f>
        <v>48937252.351627633</v>
      </c>
      <c r="BL67" s="22">
        <f>BL6*Constants!$H64*(1-Constants!$H82)</f>
        <v>49935601.918978639</v>
      </c>
      <c r="BM67" s="22">
        <f>BM6*Constants!$H64*(1-Constants!$H82)</f>
        <v>50984370.803182505</v>
      </c>
      <c r="BN67" s="22">
        <f>BN6*Constants!$H64*(1-Constants!$H82)</f>
        <v>52078148.080196433</v>
      </c>
      <c r="BO67" s="22">
        <f>BO6*Constants!$H64*(1-Constants!$H82)</f>
        <v>53236642.79182604</v>
      </c>
      <c r="BP67" s="22">
        <f>BP6*Constants!$H64*(1-Constants!$H82)</f>
        <v>54351328.271648996</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24083716.618986327</v>
      </c>
      <c r="AL68" s="22">
        <f>AL7*Constants!$H65*(1-Constants!$H83)</f>
        <v>23388099.123817042</v>
      </c>
      <c r="AM68" s="22">
        <f>AM7*Constants!$H65*(1-Constants!$H83)</f>
        <v>23859744.773493305</v>
      </c>
      <c r="AN68" s="22">
        <f>AN7*Constants!$H65*(1-Constants!$H83)</f>
        <v>24093874.036328897</v>
      </c>
      <c r="AO68" s="22">
        <f>AO7*Constants!$H65*(1-Constants!$H83)</f>
        <v>24155019.096290641</v>
      </c>
      <c r="AP68" s="22">
        <f>AP7*Constants!$H65*(1-Constants!$H83)</f>
        <v>24241960.190103546</v>
      </c>
      <c r="AQ68" s="22">
        <f>AQ7*Constants!$H65*(1-Constants!$H83)</f>
        <v>24387848.000971768</v>
      </c>
      <c r="AR68" s="22">
        <f>AR7*Constants!$H65*(1-Constants!$H83)</f>
        <v>24580570.933315825</v>
      </c>
      <c r="AS68" s="22">
        <f>AS7*Constants!$H65*(1-Constants!$H83)</f>
        <v>24796345.739280671</v>
      </c>
      <c r="AT68" s="22">
        <f>AT7*Constants!$H65*(1-Constants!$H83)</f>
        <v>25041968.115708817</v>
      </c>
      <c r="AU68" s="22">
        <f>AU7*Constants!$H65*(1-Constants!$H83)</f>
        <v>25338497.770528637</v>
      </c>
      <c r="AV68" s="22">
        <f>AV7*Constants!$H65*(1-Constants!$H83)</f>
        <v>25684212.117326882</v>
      </c>
      <c r="AW68" s="22">
        <f>AW7*Constants!$H65*(1-Constants!$H83)</f>
        <v>26060492.489197884</v>
      </c>
      <c r="AX68" s="22">
        <f>AX7*Constants!$H65*(1-Constants!$H83)</f>
        <v>26466998.809492111</v>
      </c>
      <c r="AY68" s="22">
        <f>AY7*Constants!$H65*(1-Constants!$H83)</f>
        <v>26893415.560438782</v>
      </c>
      <c r="AZ68" s="22">
        <f>AZ7*Constants!$H65*(1-Constants!$H83)</f>
        <v>27344512.133410145</v>
      </c>
      <c r="BA68" s="22">
        <f>BA7*Constants!$H65*(1-Constants!$H83)</f>
        <v>27815650.26460626</v>
      </c>
      <c r="BB68" s="22">
        <f>BB7*Constants!$H65*(1-Constants!$H83)</f>
        <v>28288675.026217856</v>
      </c>
      <c r="BC68" s="22">
        <f>BC7*Constants!$H65*(1-Constants!$H83)</f>
        <v>28790192.885057297</v>
      </c>
      <c r="BD68" s="22">
        <f>BD7*Constants!$H65*(1-Constants!$H83)</f>
        <v>29302672.306060389</v>
      </c>
      <c r="BE68" s="22">
        <f>BE7*Constants!$H65*(1-Constants!$H83)</f>
        <v>29824809.888664734</v>
      </c>
      <c r="BF68" s="22">
        <f>BF7*Constants!$H65*(1-Constants!$H83)</f>
        <v>30365017.898621108</v>
      </c>
      <c r="BG68" s="22">
        <f>BG7*Constants!$H65*(1-Constants!$H83)</f>
        <v>30903129.617210984</v>
      </c>
      <c r="BH68" s="22">
        <f>BH7*Constants!$H65*(1-Constants!$H83)</f>
        <v>31467089.61703708</v>
      </c>
      <c r="BI68" s="22">
        <f>BI7*Constants!$H65*(1-Constants!$H83)</f>
        <v>32067310.097908981</v>
      </c>
      <c r="BJ68" s="22">
        <f>BJ7*Constants!$H65*(1-Constants!$H83)</f>
        <v>32686774.550336972</v>
      </c>
      <c r="BK68" s="22">
        <f>BK7*Constants!$H65*(1-Constants!$H83)</f>
        <v>33326603.68443371</v>
      </c>
      <c r="BL68" s="22">
        <f>BL7*Constants!$H65*(1-Constants!$H83)</f>
        <v>34006486.570595101</v>
      </c>
      <c r="BM68" s="22">
        <f>BM7*Constants!$H65*(1-Constants!$H83)</f>
        <v>34720705.356506683</v>
      </c>
      <c r="BN68" s="22">
        <f>BN7*Constants!$H65*(1-Constants!$H83)</f>
        <v>35465575.165873282</v>
      </c>
      <c r="BO68" s="22">
        <f>BO7*Constants!$H65*(1-Constants!$H83)</f>
        <v>36254517.991015516</v>
      </c>
      <c r="BP68" s="22">
        <f>BP7*Constants!$H65*(1-Constants!$H83)</f>
        <v>37013626.429550834</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488521322.93671763</v>
      </c>
      <c r="AE69" s="22">
        <f>AE8*Constants!$H66*(1-Constants!$H84)</f>
        <v>484284533.5160473</v>
      </c>
      <c r="AF69" s="22">
        <f>AF8*Constants!$H66*(1-Constants!$H84)</f>
        <v>482671716.04202348</v>
      </c>
      <c r="AG69" s="22">
        <f>AG8*Constants!$H66*(1-Constants!$H84)</f>
        <v>476226267.07794696</v>
      </c>
      <c r="AH69" s="22">
        <f>AH8*Constants!$H66*(1-Constants!$H84)</f>
        <v>466870540.49783468</v>
      </c>
      <c r="AI69" s="22">
        <f>AI8*Constants!$H66*(1-Constants!$H84)</f>
        <v>454797998.08090121</v>
      </c>
      <c r="AJ69" s="22">
        <f>AJ8*Constants!$H66*(1-Constants!$H84)</f>
        <v>445276030.79173326</v>
      </c>
      <c r="AK69" s="22">
        <f>AK8*Constants!$H66*(1-Constants!$H84)</f>
        <v>436267167.24004084</v>
      </c>
      <c r="AL69" s="22">
        <f>AL8*Constants!$H66*(1-Constants!$H84)</f>
        <v>389566728.21594977</v>
      </c>
      <c r="AM69" s="22">
        <f>AM8*Constants!$H66*(1-Constants!$H84)</f>
        <v>408192031.06093973</v>
      </c>
      <c r="AN69" s="22">
        <f>AN8*Constants!$H66*(1-Constants!$H84)</f>
        <v>414640114.49025095</v>
      </c>
      <c r="AO69" s="22">
        <f>AO8*Constants!$H66*(1-Constants!$H84)</f>
        <v>411839936.44409215</v>
      </c>
      <c r="AP69" s="22">
        <f>AP8*Constants!$H66*(1-Constants!$H84)</f>
        <v>409562188.77251315</v>
      </c>
      <c r="AQ69" s="22">
        <f>AQ8*Constants!$H66*(1-Constants!$H84)</f>
        <v>409711811.66464323</v>
      </c>
      <c r="AR69" s="22">
        <f>AR8*Constants!$H66*(1-Constants!$H84)</f>
        <v>412117670.75907326</v>
      </c>
      <c r="AS69" s="22">
        <f>AS8*Constants!$H66*(1-Constants!$H84)</f>
        <v>415531419.69554502</v>
      </c>
      <c r="AT69" s="22">
        <f>AT8*Constants!$H66*(1-Constants!$H84)</f>
        <v>420228031.91317433</v>
      </c>
      <c r="AU69" s="22">
        <f>AU8*Constants!$H66*(1-Constants!$H84)</f>
        <v>427107647.17284042</v>
      </c>
      <c r="AV69" s="22">
        <f>AV8*Constants!$H66*(1-Constants!$H84)</f>
        <v>435975969.21777695</v>
      </c>
      <c r="AW69" s="22">
        <f>AW8*Constants!$H66*(1-Constants!$H84)</f>
        <v>442158919.65440696</v>
      </c>
      <c r="AX69" s="22">
        <f>AX8*Constants!$H66*(1-Constants!$H84)</f>
        <v>449072252.52369195</v>
      </c>
      <c r="AY69" s="22">
        <f>AY8*Constants!$H66*(1-Constants!$H84)</f>
        <v>456194970.07632363</v>
      </c>
      <c r="AZ69" s="22">
        <f>AZ8*Constants!$H66*(1-Constants!$H84)</f>
        <v>463685295.25468147</v>
      </c>
      <c r="BA69" s="22">
        <f>BA8*Constants!$H66*(1-Constants!$H84)</f>
        <v>471287810.02747113</v>
      </c>
      <c r="BB69" s="22">
        <f>BB8*Constants!$H66*(1-Constants!$H84)</f>
        <v>478230256.95484024</v>
      </c>
      <c r="BC69" s="22">
        <f>BC8*Constants!$H66*(1-Constants!$H84)</f>
        <v>485553264.30932266</v>
      </c>
      <c r="BD69" s="22">
        <f>BD8*Constants!$H66*(1-Constants!$H84)</f>
        <v>492544686.78460568</v>
      </c>
      <c r="BE69" s="22">
        <f>BE8*Constants!$H66*(1-Constants!$H84)</f>
        <v>499137169.74640453</v>
      </c>
      <c r="BF69" s="22">
        <f>BF8*Constants!$H66*(1-Constants!$H84)</f>
        <v>505612517.67352271</v>
      </c>
      <c r="BG69" s="22">
        <f>BG8*Constants!$H66*(1-Constants!$H84)</f>
        <v>513835229.57823044</v>
      </c>
      <c r="BH69" s="22">
        <f>BH8*Constants!$H66*(1-Constants!$H84)</f>
        <v>522340062.14793307</v>
      </c>
      <c r="BI69" s="22">
        <f>BI8*Constants!$H66*(1-Constants!$H84)</f>
        <v>531436090.51410437</v>
      </c>
      <c r="BJ69" s="22">
        <f>BJ8*Constants!$H66*(1-Constants!$H84)</f>
        <v>540496729.22803032</v>
      </c>
      <c r="BK69" s="22">
        <f>BK8*Constants!$H66*(1-Constants!$H84)</f>
        <v>549533738.45775235</v>
      </c>
      <c r="BL69" s="22">
        <f>BL8*Constants!$H66*(1-Constants!$H84)</f>
        <v>559141031.19263172</v>
      </c>
      <c r="BM69" s="22">
        <f>BM8*Constants!$H66*(1-Constants!$H84)</f>
        <v>569069850.38833904</v>
      </c>
      <c r="BN69" s="22">
        <f>BN8*Constants!$H66*(1-Constants!$H84)</f>
        <v>579147574.01377952</v>
      </c>
      <c r="BO69" s="22">
        <f>BO8*Constants!$H66*(1-Constants!$H84)</f>
        <v>589717153.30563688</v>
      </c>
      <c r="BP69" s="22">
        <f>BP8*Constants!$H66*(1-Constants!$H84)</f>
        <v>598578430.74116528</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307182602.50561357</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299451461.44928294</v>
      </c>
      <c r="AH70" s="94">
        <f>IF('Net zero activities &amp; levers'!$C$10="Off",AH9*Constants!$H67*(1-Constants!$H85),IF('Net zero activities &amp; levers'!$C$10="On",('Net zero supporting data'!F197*Constants!$H67*(1-Constants!$H85-'Net zero supporting data'!F199))+('Net zero supporting data'!F198*Constants!$H67*(1-Constants!$H85)),"ERROR"))</f>
        <v>293568573.01785594</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244959873.40653741</v>
      </c>
      <c r="AM70" s="94">
        <f>IF('Net zero activities &amp; levers'!$C$10="Off",AM9*Constants!$H67*(1-Constants!$H85),IF('Net zero activities &amp; levers'!$C$10="On",('Net zero supporting data'!K197*Constants!$H67*(1-Constants!$H85-'Net zero supporting data'!K199))+('Net zero supporting data'!K198*Constants!$H67*(1-Constants!$H85)),"ERROR"))</f>
        <v>256671478.88157699</v>
      </c>
      <c r="AN70" s="94">
        <f>IF('Net zero activities &amp; levers'!$C$10="Off",AN9*Constants!$H67*(1-Constants!$H85),IF('Net zero activities &amp; levers'!$C$10="On",('Net zero supporting data'!L197*Constants!$H67*(1-Constants!$H85-'Net zero supporting data'!L199))+('Net zero supporting data'!L198*Constants!$H67*(1-Constants!$H85)),"ERROR"))</f>
        <v>260726038.95089403</v>
      </c>
      <c r="AO70" s="94">
        <f>IF('Net zero activities &amp; levers'!$C$10="Off",AO9*Constants!$H67*(1-Constants!$H85),IF('Net zero activities &amp; levers'!$C$10="On",('Net zero supporting data'!M197*Constants!$H67*(1-Constants!$H85-'Net zero supporting data'!M199))+('Net zero supporting data'!M198*Constants!$H67*(1-Constants!$H85)),"ERROR"))</f>
        <v>258965284.73339683</v>
      </c>
      <c r="AP70" s="94">
        <f>IF('Net zero activities &amp; levers'!$C$10="Off",AP9*Constants!$H67*(1-Constants!$H85),IF('Net zero activities &amp; levers'!$C$10="On",('Net zero supporting data'!N197*Constants!$H67*(1-Constants!$H85-'Net zero supporting data'!N199))+('Net zero supporting data'!N198*Constants!$H67*(1-Constants!$H85)),"ERROR"))</f>
        <v>257533035.15747118</v>
      </c>
      <c r="AQ70" s="94">
        <f>IF('Net zero activities &amp; levers'!$C$10="Off",AQ9*Constants!$H67*(1-Constants!$H85),IF('Net zero activities &amp; levers'!$C$10="On",('Net zero supporting data'!O197*Constants!$H67*(1-Constants!$H85-'Net zero supporting data'!O199))+('Net zero supporting data'!O198*Constants!$H67*(1-Constants!$H85)),"ERROR"))</f>
        <v>257627118.15291268</v>
      </c>
      <c r="AR70" s="94">
        <f>IF('Net zero activities &amp; levers'!$C$10="Off",AR9*Constants!$H67*(1-Constants!$H85),IF('Net zero activities &amp; levers'!$C$10="On",('Net zero supporting data'!P197*Constants!$H67*(1-Constants!$H85-'Net zero supporting data'!P199))+('Net zero supporting data'!P198*Constants!$H67*(1-Constants!$H85)),"ERROR"))</f>
        <v>259139924.29501945</v>
      </c>
      <c r="AS70" s="94">
        <f>IF('Net zero activities &amp; levers'!$C$10="Off",AS9*Constants!$H67*(1-Constants!$H85),IF('Net zero activities &amp; levers'!$C$10="On",('Net zero supporting data'!Q197*Constants!$H67*(1-Constants!$H85-'Net zero supporting data'!Q199))+('Net zero supporting data'!Q198*Constants!$H67*(1-Constants!$H85)),"ERROR"))</f>
        <v>261286492.38400739</v>
      </c>
      <c r="AT70" s="94">
        <f>IF('Net zero activities &amp; levers'!$C$10="Off",AT9*Constants!$H67*(1-Constants!$H85),IF('Net zero activities &amp; levers'!$C$10="On",('Net zero supporting data'!R197*Constants!$H67*(1-Constants!$H85-'Net zero supporting data'!R199))+('Net zero supporting data'!R198*Constants!$H67*(1-Constants!$H85)),"ERROR"))</f>
        <v>264239725.940525</v>
      </c>
      <c r="AU70" s="94">
        <f>IF('Net zero activities &amp; levers'!$C$10="Off",AU9*Constants!$H67*(1-Constants!$H85),IF('Net zero activities &amp; levers'!$C$10="On",('Net zero supporting data'!S197*Constants!$H67*(1-Constants!$H85-'Net zero supporting data'!S199))+('Net zero supporting data'!S198*Constants!$H67*(1-Constants!$H85)),"ERROR"))</f>
        <v>268565633.57337427</v>
      </c>
      <c r="AV70" s="94">
        <f>IF('Net zero activities &amp; levers'!$C$10="Off",AV9*Constants!$H67*(1-Constants!$H85),IF('Net zero activities &amp; levers'!$C$10="On",('Net zero supporting data'!T197*Constants!$H67*(1-Constants!$H85-'Net zero supporting data'!T199))+('Net zero supporting data'!T198*Constants!$H67*(1-Constants!$H85)),"ERROR"))</f>
        <v>274142041.63934189</v>
      </c>
      <c r="AW70" s="94">
        <f>IF('Net zero activities &amp; levers'!$C$10="Off",AW9*Constants!$H67*(1-Constants!$H85),IF('Net zero activities &amp; levers'!$C$10="On",('Net zero supporting data'!U197*Constants!$H67*(1-Constants!$H85-'Net zero supporting data'!U199))+('Net zero supporting data'!U198*Constants!$H67*(1-Constants!$H85)),"ERROR"))</f>
        <v>278029885.86867815</v>
      </c>
      <c r="AX70" s="94">
        <f>IF('Net zero activities &amp; levers'!$C$10="Off",AX9*Constants!$H67*(1-Constants!$H85),IF('Net zero activities &amp; levers'!$C$10="On",('Net zero supporting data'!V197*Constants!$H67*(1-Constants!$H85-'Net zero supporting data'!V199))+('Net zero supporting data'!V198*Constants!$H67*(1-Constants!$H85)),"ERROR"))</f>
        <v>282376995.16169393</v>
      </c>
      <c r="AY70" s="94">
        <f>IF('Net zero activities &amp; levers'!$C$10="Off",AY9*Constants!$H67*(1-Constants!$H85),IF('Net zero activities &amp; levers'!$C$10="On",('Net zero supporting data'!W197*Constants!$H67*(1-Constants!$H85-'Net zero supporting data'!W199))+('Net zero supporting data'!W198*Constants!$H67*(1-Constants!$H85)),"ERROR"))</f>
        <v>286855765.71274567</v>
      </c>
      <c r="AZ70" s="94">
        <f>IF('Net zero activities &amp; levers'!$C$10="Off",AZ9*Constants!$H67*(1-Constants!$H85),IF('Net zero activities &amp; levers'!$C$10="On",('Net zero supporting data'!X197*Constants!$H67*(1-Constants!$H85-'Net zero supporting data'!X199))+('Net zero supporting data'!X198*Constants!$H67*(1-Constants!$H85)),"ERROR"))</f>
        <v>291565688.2358191</v>
      </c>
      <c r="BA70" s="94">
        <f>IF('Net zero activities &amp; levers'!$C$10="Off",BA9*Constants!$H67*(1-Constants!$H85),IF('Net zero activities &amp; levers'!$C$10="On",('Net zero supporting data'!Y197*Constants!$H67*(1-Constants!$H85-'Net zero supporting data'!Y199))+('Net zero supporting data'!Y198*Constants!$H67*(1-Constants!$H85)),"ERROR"))</f>
        <v>296346155.66650164</v>
      </c>
      <c r="BB70" s="94">
        <f>IF('Net zero activities &amp; levers'!$C$10="Off",BB9*Constants!$H67*(1-Constants!$H85),IF('Net zero activities &amp; levers'!$C$10="On",('Net zero supporting data'!Z197*Constants!$H67*(1-Constants!$H85-'Net zero supporting data'!Z199))+('Net zero supporting data'!Z198*Constants!$H67*(1-Constants!$H85)),"ERROR"))</f>
        <v>300711571.90275997</v>
      </c>
      <c r="BC70" s="94">
        <f>IF('Net zero activities &amp; levers'!$C$10="Off",BC9*Constants!$H67*(1-Constants!$H85),IF('Net zero activities &amp; levers'!$C$10="On",('Net zero supporting data'!AA197*Constants!$H67*(1-Constants!$H85-'Net zero supporting data'!AA199))+('Net zero supporting data'!AA198*Constants!$H67*(1-Constants!$H85)),"ERROR"))</f>
        <v>305316284.84301585</v>
      </c>
      <c r="BD70" s="94">
        <f>IF('Net zero activities &amp; levers'!$C$10="Off",BD9*Constants!$H67*(1-Constants!$H85),IF('Net zero activities &amp; levers'!$C$10="On",('Net zero supporting data'!AB197*Constants!$H67*(1-Constants!$H85-'Net zero supporting data'!AB199))+('Net zero supporting data'!AB198*Constants!$H67*(1-Constants!$H85)),"ERROR"))</f>
        <v>309712496.94336647</v>
      </c>
      <c r="BE70" s="94">
        <f>IF('Net zero activities &amp; levers'!$C$10="Off",BE9*Constants!$H67*(1-Constants!$H85),IF('Net zero activities &amp; levers'!$C$10="On",('Net zero supporting data'!AC197*Constants!$H67*(1-Constants!$H85-'Net zero supporting data'!AC199))+('Net zero supporting data'!AC198*Constants!$H67*(1-Constants!$H85)),"ERROR"))</f>
        <v>313857855.55536228</v>
      </c>
      <c r="BF70" s="94">
        <f>IF('Net zero activities &amp; levers'!$C$10="Off",BF9*Constants!$H67*(1-Constants!$H85),IF('Net zero activities &amp; levers'!$C$10="On",('Net zero supporting data'!AD197*Constants!$H67*(1-Constants!$H85-'Net zero supporting data'!AD199))+('Net zero supporting data'!AD198*Constants!$H67*(1-Constants!$H85)),"ERROR"))</f>
        <v>317929559.56292546</v>
      </c>
      <c r="BG70" s="94">
        <f>IF('Net zero activities &amp; levers'!$C$10="Off",BG9*Constants!$H67*(1-Constants!$H85),IF('Net zero activities &amp; levers'!$C$10="On",('Net zero supporting data'!AE197*Constants!$H67*(1-Constants!$H85-'Net zero supporting data'!AE199))+('Net zero supporting data'!AE198*Constants!$H67*(1-Constants!$H85)),"ERROR"))</f>
        <v>323100007.45117283</v>
      </c>
      <c r="BH70" s="94">
        <f>IF('Net zero activities &amp; levers'!$C$10="Off",BH9*Constants!$H67*(1-Constants!$H85),IF('Net zero activities &amp; levers'!$C$10="On",('Net zero supporting data'!AF197*Constants!$H67*(1-Constants!$H85-'Net zero supporting data'!AF199))+('Net zero supporting data'!AF198*Constants!$H67*(1-Constants!$H85)),"ERROR"))</f>
        <v>328447853.04147512</v>
      </c>
      <c r="BI70" s="94">
        <f>IF('Net zero activities &amp; levers'!$C$10="Off",BI9*Constants!$H67*(1-Constants!$H85),IF('Net zero activities &amp; levers'!$C$10="On",('Net zero supporting data'!AG197*Constants!$H67*(1-Constants!$H85-'Net zero supporting data'!AG199))+('Net zero supporting data'!AG198*Constants!$H67*(1-Constants!$H85)),"ERROR"))</f>
        <v>334167443.02618361</v>
      </c>
      <c r="BJ70" s="94">
        <f>IF('Net zero activities &amp; levers'!$C$10="Off",BJ9*Constants!$H67*(1-Constants!$H85),IF('Net zero activities &amp; levers'!$C$10="On",('Net zero supporting data'!AH197*Constants!$H67*(1-Constants!$H85-'Net zero supporting data'!AH199))+('Net zero supporting data'!AH198*Constants!$H67*(1-Constants!$H85)),"ERROR"))</f>
        <v>339864779.96897137</v>
      </c>
      <c r="BK70" s="94">
        <f>IF('Net zero activities &amp; levers'!$C$10="Off",BK9*Constants!$H67*(1-Constants!$H85),IF('Net zero activities &amp; levers'!$C$10="On",('Net zero supporting data'!AI197*Constants!$H67*(1-Constants!$H85-'Net zero supporting data'!AI199))+('Net zero supporting data'!AI198*Constants!$H67*(1-Constants!$H85)),"ERROR"))</f>
        <v>345547258.67300302</v>
      </c>
      <c r="BL70" s="94">
        <f>IF('Net zero activities &amp; levers'!$C$10="Off",BL9*Constants!$H67*(1-Constants!$H85),IF('Net zero activities &amp; levers'!$C$10="On",('Net zero supporting data'!AJ197*Constants!$H67*(1-Constants!$H85-'Net zero supporting data'!AJ199))+('Net zero supporting data'!AJ198*Constants!$H67*(1-Constants!$H85)),"ERROR"))</f>
        <v>351588332.10577059</v>
      </c>
      <c r="BM70" s="94">
        <f>IF('Net zero activities &amp; levers'!$C$10="Off",BM9*Constants!$H67*(1-Constants!$H85),IF('Net zero activities &amp; levers'!$C$10="On",('Net zero supporting data'!AK197*Constants!$H67*(1-Constants!$H85-'Net zero supporting data'!AK199))+('Net zero supporting data'!AK198*Constants!$H67*(1-Constants!$H85)),"ERROR"))</f>
        <v>357831581.63684618</v>
      </c>
      <c r="BN70" s="94">
        <f>IF('Net zero activities &amp; levers'!$C$10="Off",BN9*Constants!$H67*(1-Constants!$H85),IF('Net zero activities &amp; levers'!$C$10="On",('Net zero supporting data'!AL197*Constants!$H67*(1-Constants!$H85-'Net zero supporting data'!AL199))+('Net zero supporting data'!AL198*Constants!$H67*(1-Constants!$H85)),"ERROR"))</f>
        <v>364168462.3936277</v>
      </c>
      <c r="BO70" s="94">
        <f>IF('Net zero activities &amp; levers'!$C$10="Off",BO9*Constants!$H67*(1-Constants!$H85),IF('Net zero activities &amp; levers'!$C$10="On",('Net zero supporting data'!AM197*Constants!$H67*(1-Constants!$H85-'Net zero supporting data'!AM199))+('Net zero supporting data'!AM198*Constants!$H67*(1-Constants!$H85)),"ERROR"))</f>
        <v>370814622.39078867</v>
      </c>
      <c r="BP70" s="94">
        <f>IF('Net zero activities &amp; levers'!$C$10="Off",BP9*Constants!$H67*(1-Constants!$H85),IF('Net zero activities &amp; levers'!$C$10="On",('Net zero supporting data'!AN197*Constants!$H67*(1-Constants!$H85-'Net zero supporting data'!AN199))+('Net zero supporting data'!AN198*Constants!$H67*(1-Constants!$H85)),"ERROR"))</f>
        <v>376386600.80066967</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374499870.80456918</v>
      </c>
      <c r="AM72" s="22">
        <f>AM11*Constants!$H69*(1-Constants!$H87)</f>
        <v>374769428.06663638</v>
      </c>
      <c r="AN72" s="22">
        <f>AN11*Constants!$H69*(1-Constants!$H87)</f>
        <v>374674657.47443795</v>
      </c>
      <c r="AO72" s="22">
        <f>AO11*Constants!$H69*(1-Constants!$H87)</f>
        <v>374667834.74769264</v>
      </c>
      <c r="AP72" s="22">
        <f>AP11*Constants!$H69*(1-Constants!$H87)</f>
        <v>375065248.46661842</v>
      </c>
      <c r="AQ72" s="22">
        <f>AQ11*Constants!$H69*(1-Constants!$H87)</f>
        <v>375715652.63556403</v>
      </c>
      <c r="AR72" s="22">
        <f>AR11*Constants!$H69*(1-Constants!$H87)</f>
        <v>376339722.65157086</v>
      </c>
      <c r="AS72" s="22">
        <f>AS11*Constants!$H69*(1-Constants!$H87)</f>
        <v>376939471.89402187</v>
      </c>
      <c r="AT72" s="22">
        <f>AT11*Constants!$H69*(1-Constants!$H87)</f>
        <v>377514081.85971564</v>
      </c>
      <c r="AU72" s="22">
        <f>AU11*Constants!$H69*(1-Constants!$H87)</f>
        <v>378075527.28863806</v>
      </c>
      <c r="AV72" s="22">
        <f>AV11*Constants!$H69*(1-Constants!$H87)</f>
        <v>378632009.42569262</v>
      </c>
      <c r="AW72" s="22">
        <f>AW11*Constants!$H69*(1-Constants!$H87)</f>
        <v>379177944.6888296</v>
      </c>
      <c r="AX72" s="22">
        <f>AX11*Constants!$H69*(1-Constants!$H87)</f>
        <v>379721182.73653984</v>
      </c>
      <c r="AY72" s="22">
        <f>AY11*Constants!$H69*(1-Constants!$H87)</f>
        <v>380260012.26397669</v>
      </c>
      <c r="AZ72" s="22">
        <f>AZ11*Constants!$H69*(1-Constants!$H87)</f>
        <v>380790115.83030021</v>
      </c>
      <c r="BA72" s="22">
        <f>BA11*Constants!$H69*(1-Constants!$H87)</f>
        <v>381313827.33511406</v>
      </c>
      <c r="BB72" s="22">
        <f>BB11*Constants!$H69*(1-Constants!$H87)</f>
        <v>381831705.65337151</v>
      </c>
      <c r="BC72" s="22">
        <f>BC11*Constants!$H69*(1-Constants!$H87)</f>
        <v>382345508.95211184</v>
      </c>
      <c r="BD72" s="22">
        <f>BD11*Constants!$H69*(1-Constants!$H87)</f>
        <v>382839515.87289512</v>
      </c>
      <c r="BE72" s="22">
        <f>BE11*Constants!$H69*(1-Constants!$H87)</f>
        <v>383313148.4375205</v>
      </c>
      <c r="BF72" s="22">
        <f>BF11*Constants!$H69*(1-Constants!$H87)</f>
        <v>383770833.25545621</v>
      </c>
      <c r="BG72" s="22">
        <f>BG11*Constants!$H69*(1-Constants!$H87)</f>
        <v>384209046.105057</v>
      </c>
      <c r="BH72" s="22">
        <f>BH11*Constants!$H69*(1-Constants!$H87)</f>
        <v>384628581.93873179</v>
      </c>
      <c r="BI72" s="22">
        <f>BI11*Constants!$H69*(1-Constants!$H87)</f>
        <v>385027551.15940875</v>
      </c>
      <c r="BJ72" s="22">
        <f>BJ11*Constants!$H69*(1-Constants!$H87)</f>
        <v>385400244.48629159</v>
      </c>
      <c r="BK72" s="22">
        <f>BK11*Constants!$H69*(1-Constants!$H87)</f>
        <v>385741371.25423181</v>
      </c>
      <c r="BL72" s="22">
        <f>BL11*Constants!$H69*(1-Constants!$H87)</f>
        <v>386050586.82953256</v>
      </c>
      <c r="BM72" s="22">
        <f>BM11*Constants!$H69*(1-Constants!$H87)</f>
        <v>386325524.95925182</v>
      </c>
      <c r="BN72" s="22">
        <f>BN11*Constants!$H69*(1-Constants!$H87)</f>
        <v>386566053.04453987</v>
      </c>
      <c r="BO72" s="22">
        <f>BO11*Constants!$H69*(1-Constants!$H87)</f>
        <v>386776774.05932117</v>
      </c>
      <c r="BP72" s="22">
        <f>BP11*Constants!$H69*(1-Constants!$H87)</f>
        <v>386930318.13077593</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41805243.407429986</v>
      </c>
      <c r="AM73" s="22">
        <f>AM12*Constants!$H70*(1-Constants!$H88)</f>
        <v>41835333.957070902</v>
      </c>
      <c r="AN73" s="22">
        <f>AN12*Constants!$H70*(1-Constants!$H88)</f>
        <v>41824754.760698386</v>
      </c>
      <c r="AO73" s="22">
        <f>AO12*Constants!$H70*(1-Constants!$H88)</f>
        <v>41823993.142939538</v>
      </c>
      <c r="AP73" s="22">
        <f>AP12*Constants!$H70*(1-Constants!$H88)</f>
        <v>41868356.248372532</v>
      </c>
      <c r="AQ73" s="22">
        <f>AQ12*Constants!$H70*(1-Constants!$H88)</f>
        <v>41940960.55805511</v>
      </c>
      <c r="AR73" s="22">
        <f>AR12*Constants!$H70*(1-Constants!$H88)</f>
        <v>42010625.198703423</v>
      </c>
      <c r="AS73" s="22">
        <f>AS12*Constants!$H70*(1-Constants!$H88)</f>
        <v>42077574.92290552</v>
      </c>
      <c r="AT73" s="22">
        <f>AT12*Constants!$H70*(1-Constants!$H88)</f>
        <v>42141718.361536242</v>
      </c>
      <c r="AU73" s="22">
        <f>AU12*Constants!$H70*(1-Constants!$H88)</f>
        <v>42204392.249155112</v>
      </c>
      <c r="AV73" s="22">
        <f>AV12*Constants!$H70*(1-Constants!$H88)</f>
        <v>42266512.086850859</v>
      </c>
      <c r="AW73" s="22">
        <f>AW12*Constants!$H70*(1-Constants!$H88)</f>
        <v>42327454.582000747</v>
      </c>
      <c r="AX73" s="22">
        <f>AX12*Constants!$H70*(1-Constants!$H88)</f>
        <v>42388095.988268554</v>
      </c>
      <c r="AY73" s="22">
        <f>AY12*Constants!$H70*(1-Constants!$H88)</f>
        <v>42448245.273503862</v>
      </c>
      <c r="AZ73" s="22">
        <f>AZ12*Constants!$H70*(1-Constants!$H88)</f>
        <v>42507420.483828209</v>
      </c>
      <c r="BA73" s="22">
        <f>BA12*Constants!$H70*(1-Constants!$H88)</f>
        <v>42565882.151350215</v>
      </c>
      <c r="BB73" s="22">
        <f>BB12*Constants!$H70*(1-Constants!$H88)</f>
        <v>42623692.663016535</v>
      </c>
      <c r="BC73" s="22">
        <f>BC12*Constants!$H70*(1-Constants!$H88)</f>
        <v>42681048.282181993</v>
      </c>
      <c r="BD73" s="22">
        <f>BD12*Constants!$H70*(1-Constants!$H88)</f>
        <v>42736194.041041493</v>
      </c>
      <c r="BE73" s="22">
        <f>BE12*Constants!$H70*(1-Constants!$H88)</f>
        <v>42789065.420161895</v>
      </c>
      <c r="BF73" s="22">
        <f>BF12*Constants!$H70*(1-Constants!$H88)</f>
        <v>42840156.55986397</v>
      </c>
      <c r="BG73" s="22">
        <f>BG12*Constants!$H70*(1-Constants!$H88)</f>
        <v>42889074.052952737</v>
      </c>
      <c r="BH73" s="22">
        <f>BH12*Constants!$H70*(1-Constants!$H88)</f>
        <v>42935906.639589503</v>
      </c>
      <c r="BI73" s="22">
        <f>BI12*Constants!$H70*(1-Constants!$H88)</f>
        <v>42980443.384947091</v>
      </c>
      <c r="BJ73" s="22">
        <f>BJ12*Constants!$H70*(1-Constants!$H88)</f>
        <v>43022046.964711182</v>
      </c>
      <c r="BK73" s="22">
        <f>BK12*Constants!$H70*(1-Constants!$H88)</f>
        <v>43060126.784434214</v>
      </c>
      <c r="BL73" s="22">
        <f>BL12*Constants!$H70*(1-Constants!$H88)</f>
        <v>43094644.372819602</v>
      </c>
      <c r="BM73" s="22">
        <f>BM12*Constants!$H70*(1-Constants!$H88)</f>
        <v>43125335.586170904</v>
      </c>
      <c r="BN73" s="22">
        <f>BN12*Constants!$H70*(1-Constants!$H88)</f>
        <v>43152185.622541241</v>
      </c>
      <c r="BO73" s="22">
        <f>BO12*Constants!$H70*(1-Constants!$H88)</f>
        <v>43175708.309732199</v>
      </c>
      <c r="BP73" s="22">
        <f>BP12*Constants!$H70*(1-Constants!$H88)</f>
        <v>43192848.361789212</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47098558.119471908</v>
      </c>
      <c r="AM74" s="22">
        <f>AM13*Constants!$H71*(1-Constants!$H89)</f>
        <v>47179520.586014912</v>
      </c>
      <c r="AN74" s="22">
        <f>AN13*Constants!$H71*(1-Constants!$H89)</f>
        <v>47187377.064656883</v>
      </c>
      <c r="AO74" s="22">
        <f>AO13*Constants!$H71*(1-Constants!$H89)</f>
        <v>47208977.369481929</v>
      </c>
      <c r="AP74" s="22">
        <f>AP13*Constants!$H71*(1-Constants!$H89)</f>
        <v>47304478.190770105</v>
      </c>
      <c r="AQ74" s="22">
        <f>AQ13*Constants!$H71*(1-Constants!$H89)</f>
        <v>47444954.559008956</v>
      </c>
      <c r="AR74" s="22">
        <f>AR13*Constants!$H71*(1-Constants!$H89)</f>
        <v>47577556.837427311</v>
      </c>
      <c r="AS74" s="22">
        <f>AS13*Constants!$H71*(1-Constants!$H89)</f>
        <v>47702908.502942167</v>
      </c>
      <c r="AT74" s="22">
        <f>AT13*Constants!$H71*(1-Constants!$H89)</f>
        <v>47821073.717600852</v>
      </c>
      <c r="AU74" s="22">
        <f>AU13*Constants!$H71*(1-Constants!$H89)</f>
        <v>47934497.541243814</v>
      </c>
      <c r="AV74" s="22">
        <f>AV13*Constants!$H71*(1-Constants!$H89)</f>
        <v>48044881.779916398</v>
      </c>
      <c r="AW74" s="22">
        <f>AW13*Constants!$H71*(1-Constants!$H89)</f>
        <v>48151325.229606144</v>
      </c>
      <c r="AX74" s="22">
        <f>AX13*Constants!$H71*(1-Constants!$H89)</f>
        <v>48255426.669856645</v>
      </c>
      <c r="AY74" s="22">
        <f>AY13*Constants!$H71*(1-Constants!$H89)</f>
        <v>48356982.62554428</v>
      </c>
      <c r="AZ74" s="22">
        <f>AZ13*Constants!$H71*(1-Constants!$H89)</f>
        <v>48455298.195213646</v>
      </c>
      <c r="BA74" s="22">
        <f>BA13*Constants!$H71*(1-Constants!$H89)</f>
        <v>48550908.466636389</v>
      </c>
      <c r="BB74" s="22">
        <f>BB13*Constants!$H71*(1-Constants!$H89)</f>
        <v>48644008.75082805</v>
      </c>
      <c r="BC74" s="22">
        <f>BC13*Constants!$H71*(1-Constants!$H89)</f>
        <v>48735007.822702803</v>
      </c>
      <c r="BD74" s="22">
        <f>BD13*Constants!$H71*(1-Constants!$H89)</f>
        <v>48821084.20990549</v>
      </c>
      <c r="BE74" s="22">
        <f>BE13*Constants!$H71*(1-Constants!$H89)</f>
        <v>48902217.56618505</v>
      </c>
      <c r="BF74" s="22">
        <f>BF13*Constants!$H71*(1-Constants!$H89)</f>
        <v>48979301.635905899</v>
      </c>
      <c r="BG74" s="22">
        <f>BG13*Constants!$H71*(1-Constants!$H89)</f>
        <v>49051761.807520591</v>
      </c>
      <c r="BH74" s="22">
        <f>BH13*Constants!$H71*(1-Constants!$H89)</f>
        <v>49119813.771842413</v>
      </c>
      <c r="BI74" s="22">
        <f>BI13*Constants!$H71*(1-Constants!$H89)</f>
        <v>49183177.570380867</v>
      </c>
      <c r="BJ74" s="22">
        <f>BJ13*Constants!$H71*(1-Constants!$H89)</f>
        <v>49240875.153454587</v>
      </c>
      <c r="BK74" s="22">
        <f>BK13*Constants!$H71*(1-Constants!$H89)</f>
        <v>49292008.081139892</v>
      </c>
      <c r="BL74" s="22">
        <f>BL13*Constants!$H71*(1-Constants!$H89)</f>
        <v>49336579.842129312</v>
      </c>
      <c r="BM74" s="22">
        <f>BM13*Constants!$H71*(1-Constants!$H89)</f>
        <v>49374224.208449259</v>
      </c>
      <c r="BN74" s="22">
        <f>BN13*Constants!$H71*(1-Constants!$H89)</f>
        <v>49404979.359654434</v>
      </c>
      <c r="BO74" s="22">
        <f>BO13*Constants!$H71*(1-Constants!$H89)</f>
        <v>49429737.337535463</v>
      </c>
      <c r="BP74" s="22">
        <f>BP13*Constants!$H71*(1-Constants!$H89)</f>
        <v>49443608.196040966</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77628020.334349424</v>
      </c>
      <c r="AK75" s="22">
        <f>AK14*Constants!$H72*(1-Constants!$H90)</f>
        <v>78138752.051108971</v>
      </c>
      <c r="AL75" s="22">
        <f>AL14*Constants!$H72*(1-Constants!$H90)</f>
        <v>77947156.992441654</v>
      </c>
      <c r="AM75" s="22">
        <f>AM14*Constants!$H72*(1-Constants!$H90)</f>
        <v>78081148.230010211</v>
      </c>
      <c r="AN75" s="22">
        <f>AN14*Constants!$H72*(1-Constants!$H90)</f>
        <v>78094150.542576984</v>
      </c>
      <c r="AO75" s="22">
        <f>AO14*Constants!$H72*(1-Constants!$H90)</f>
        <v>78129898.608303577</v>
      </c>
      <c r="AP75" s="22">
        <f>AP14*Constants!$H72*(1-Constants!$H90)</f>
        <v>78287950.527663276</v>
      </c>
      <c r="AQ75" s="22">
        <f>AQ14*Constants!$H72*(1-Constants!$H90)</f>
        <v>78520436.063654959</v>
      </c>
      <c r="AR75" s="22">
        <f>AR14*Constants!$H72*(1-Constants!$H90)</f>
        <v>78739890.140937164</v>
      </c>
      <c r="AS75" s="22">
        <f>AS14*Constants!$H72*(1-Constants!$H90)</f>
        <v>78947344.601143077</v>
      </c>
      <c r="AT75" s="22">
        <f>AT14*Constants!$H72*(1-Constants!$H90)</f>
        <v>79142905.631157666</v>
      </c>
      <c r="AU75" s="22">
        <f>AU14*Constants!$H72*(1-Constants!$H90)</f>
        <v>79330619.755351305</v>
      </c>
      <c r="AV75" s="22">
        <f>AV14*Constants!$H72*(1-Constants!$H90)</f>
        <v>79513303.428160951</v>
      </c>
      <c r="AW75" s="22">
        <f>AW14*Constants!$H72*(1-Constants!$H90)</f>
        <v>79689465.175251752</v>
      </c>
      <c r="AX75" s="22">
        <f>AX14*Constants!$H72*(1-Constants!$H90)</f>
        <v>79861750.944292963</v>
      </c>
      <c r="AY75" s="22">
        <f>AY14*Constants!$H72*(1-Constants!$H90)</f>
        <v>80029823.988088086</v>
      </c>
      <c r="AZ75" s="22">
        <f>AZ14*Constants!$H72*(1-Constants!$H90)</f>
        <v>80192534.25884369</v>
      </c>
      <c r="BA75" s="22">
        <f>BA14*Constants!$H72*(1-Constants!$H90)</f>
        <v>80350767.315952897</v>
      </c>
      <c r="BB75" s="22">
        <f>BB14*Constants!$H72*(1-Constants!$H90)</f>
        <v>80504846.395179063</v>
      </c>
      <c r="BC75" s="22">
        <f>BC14*Constants!$H72*(1-Constants!$H90)</f>
        <v>80655448.01070188</v>
      </c>
      <c r="BD75" s="22">
        <f>BD14*Constants!$H72*(1-Constants!$H90)</f>
        <v>80797902.683085069</v>
      </c>
      <c r="BE75" s="22">
        <f>BE14*Constants!$H72*(1-Constants!$H90)</f>
        <v>80932176.739696413</v>
      </c>
      <c r="BF75" s="22">
        <f>BF14*Constants!$H72*(1-Constants!$H90)</f>
        <v>81059749.309304729</v>
      </c>
      <c r="BG75" s="22">
        <f>BG14*Constants!$H72*(1-Constants!$H90)</f>
        <v>81179669.421470851</v>
      </c>
      <c r="BH75" s="22">
        <f>BH14*Constants!$H72*(1-Constants!$H90)</f>
        <v>81292294.04010953</v>
      </c>
      <c r="BI75" s="22">
        <f>BI14*Constants!$H72*(1-Constants!$H90)</f>
        <v>81397159.839605689</v>
      </c>
      <c r="BJ75" s="22">
        <f>BJ14*Constants!$H72*(1-Constants!$H90)</f>
        <v>81492648.167603374</v>
      </c>
      <c r="BK75" s="22">
        <f>BK14*Constants!$H72*(1-Constants!$H90)</f>
        <v>81577272.124278665</v>
      </c>
      <c r="BL75" s="22">
        <f>BL14*Constants!$H72*(1-Constants!$H90)</f>
        <v>81651037.483346745</v>
      </c>
      <c r="BM75" s="22">
        <f>BM14*Constants!$H72*(1-Constants!$H90)</f>
        <v>81713338.144950405</v>
      </c>
      <c r="BN75" s="22">
        <f>BN14*Constants!$H72*(1-Constants!$H90)</f>
        <v>81764237.295477167</v>
      </c>
      <c r="BO75" s="22">
        <f>BO14*Constants!$H72*(1-Constants!$H90)</f>
        <v>81805211.245970771</v>
      </c>
      <c r="BP75" s="22">
        <f>BP14*Constants!$H72*(1-Constants!$H90)</f>
        <v>81828167.235043868</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12333541.940265564</v>
      </c>
      <c r="AG76" s="22">
        <f>AG15*Constants!$H73*(1-Constants!$H91)</f>
        <v>12352693.798490599</v>
      </c>
      <c r="AH76" s="22">
        <f>AH15*Constants!$H73*(1-Constants!$H91)</f>
        <v>12325276.158381388</v>
      </c>
      <c r="AI76" s="22">
        <f>AI15*Constants!$H73*(1-Constants!$H91)</f>
        <v>12252292.423443839</v>
      </c>
      <c r="AJ76" s="22">
        <f>AJ15*Constants!$H73*(1-Constants!$H91)</f>
        <v>12211826.078492031</v>
      </c>
      <c r="AK76" s="22">
        <f>AK15*Constants!$H73*(1-Constants!$H91)</f>
        <v>12175458.752937717</v>
      </c>
      <c r="AL76" s="22">
        <f>AL15*Constants!$H73*(1-Constants!$H91)</f>
        <v>11624378.745009914</v>
      </c>
      <c r="AM76" s="22">
        <f>AM15*Constants!$H73*(1-Constants!$H91)</f>
        <v>11969604.267531542</v>
      </c>
      <c r="AN76" s="22">
        <f>AN15*Constants!$H73*(1-Constants!$H91)</f>
        <v>12141781.686442532</v>
      </c>
      <c r="AO76" s="22">
        <f>AO15*Constants!$H73*(1-Constants!$H91)</f>
        <v>12167785.488807322</v>
      </c>
      <c r="AP76" s="22">
        <f>AP15*Constants!$H73*(1-Constants!$H91)</f>
        <v>12190664.307401428</v>
      </c>
      <c r="AQ76" s="22">
        <f>AQ15*Constants!$H73*(1-Constants!$H91)</f>
        <v>12246178.68946697</v>
      </c>
      <c r="AR76" s="22">
        <f>AR15*Constants!$H73*(1-Constants!$H91)</f>
        <v>12340937.336097166</v>
      </c>
      <c r="AS76" s="22">
        <f>AS15*Constants!$H73*(1-Constants!$H91)</f>
        <v>12455269.73924901</v>
      </c>
      <c r="AT76" s="22">
        <f>AT15*Constants!$H73*(1-Constants!$H91)</f>
        <v>12594363.570321118</v>
      </c>
      <c r="AU76" s="22">
        <f>AU15*Constants!$H73*(1-Constants!$H91)</f>
        <v>12773831.076521546</v>
      </c>
      <c r="AV76" s="22">
        <f>AV15*Constants!$H73*(1-Constants!$H91)</f>
        <v>12991328.091020331</v>
      </c>
      <c r="AW76" s="22">
        <f>AW15*Constants!$H73*(1-Constants!$H91)</f>
        <v>13232177.267855184</v>
      </c>
      <c r="AX76" s="22">
        <f>AX15*Constants!$H73*(1-Constants!$H91)</f>
        <v>13495393.556189118</v>
      </c>
      <c r="AY76" s="22">
        <f>AY15*Constants!$H73*(1-Constants!$H91)</f>
        <v>13772841.5244093</v>
      </c>
      <c r="AZ76" s="22">
        <f>AZ15*Constants!$H73*(1-Constants!$H91)</f>
        <v>14068397.335208286</v>
      </c>
      <c r="BA76" s="22">
        <f>BA15*Constants!$H73*(1-Constants!$H91)</f>
        <v>14378190.860930637</v>
      </c>
      <c r="BB76" s="22">
        <f>BB15*Constants!$H73*(1-Constants!$H91)</f>
        <v>14688091.984647222</v>
      </c>
      <c r="BC76" s="22">
        <f>BC15*Constants!$H73*(1-Constants!$H91)</f>
        <v>15018487.918325065</v>
      </c>
      <c r="BD76" s="22">
        <f>BD15*Constants!$H73*(1-Constants!$H91)</f>
        <v>15356894.416071095</v>
      </c>
      <c r="BE76" s="22">
        <f>BE15*Constants!$H73*(1-Constants!$H91)</f>
        <v>15702391.160279434</v>
      </c>
      <c r="BF76" s="22">
        <f>BF15*Constants!$H73*(1-Constants!$H91)</f>
        <v>16061126.941958671</v>
      </c>
      <c r="BG76" s="22">
        <f>BG15*Constants!$H73*(1-Constants!$H91)</f>
        <v>16418000.606343593</v>
      </c>
      <c r="BH76" s="22">
        <f>BH15*Constants!$H73*(1-Constants!$H91)</f>
        <v>16794295.3372823</v>
      </c>
      <c r="BI76" s="22">
        <f>BI15*Constants!$H73*(1-Constants!$H91)</f>
        <v>17198025.712299798</v>
      </c>
      <c r="BJ76" s="22">
        <f>BJ15*Constants!$H73*(1-Constants!$H91)</f>
        <v>17616714.95576511</v>
      </c>
      <c r="BK76" s="22">
        <f>BK15*Constants!$H73*(1-Constants!$H91)</f>
        <v>18051698.194687549</v>
      </c>
      <c r="BL76" s="22">
        <f>BL15*Constants!$H73*(1-Constants!$H91)</f>
        <v>18517961.845547747</v>
      </c>
      <c r="BM76" s="22">
        <f>BM15*Constants!$H73*(1-Constants!$H91)</f>
        <v>19011460.520385005</v>
      </c>
      <c r="BN76" s="22">
        <f>BN15*Constants!$H73*(1-Constants!$H91)</f>
        <v>19529559.001306914</v>
      </c>
      <c r="BO76" s="22">
        <f>BO15*Constants!$H73*(1-Constants!$H91)</f>
        <v>20082125.52800145</v>
      </c>
      <c r="BP76" s="22">
        <f>BP15*Constants!$H73*(1-Constants!$H91)</f>
        <v>20616131.215008005</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101157903.92380333</v>
      </c>
      <c r="AN82" s="22">
        <f>((AN41*Constants!$H$45*Constants!$H$48)*(1+Constants!$H$51))*Constants!$H$54*Constants!$H$42*Constants!$H$57*Constants!$H$58*ttokg</f>
        <v>102052121.24571839</v>
      </c>
      <c r="AO82" s="22">
        <f>((AO41*Constants!$H$45*Constants!$H$48)*(1+Constants!$H$51))*Constants!$H$54*Constants!$H$42*Constants!$H$57*Constants!$H$58*ttokg</f>
        <v>102545045.5488093</v>
      </c>
      <c r="AP82" s="22">
        <f>((AP41*Constants!$H$45*Constants!$H$48)*(1+Constants!$H$51))*Constants!$H$54*Constants!$H$42*Constants!$H$57*Constants!$H$58*ttokg</f>
        <v>102736349.39898612</v>
      </c>
      <c r="AQ82" s="22">
        <f>((AQ41*Constants!$H$45*Constants!$H$48)*(1+Constants!$H$51))*Constants!$H$54*Constants!$H$42*Constants!$H$57*Constants!$H$58*ttokg</f>
        <v>102942686.50521776</v>
      </c>
      <c r="AR82" s="22">
        <f>((AR41*Constants!$H$45*Constants!$H$48)*(1+Constants!$H$51))*Constants!$H$54*Constants!$H$42*Constants!$H$57*Constants!$H$58*ttokg</f>
        <v>103228097.30713667</v>
      </c>
      <c r="AS82" s="22">
        <f>((AS41*Constants!$H$45*Constants!$H$48)*(1+Constants!$H$51))*Constants!$H$54*Constants!$H$42*Constants!$H$57*Constants!$H$58*ttokg</f>
        <v>103587943.79005276</v>
      </c>
      <c r="AT82" s="22">
        <f>((AT41*Constants!$H$45*Constants!$H$48)*(1+Constants!$H$51))*Constants!$H$54*Constants!$H$42*Constants!$H$57*Constants!$H$58*ttokg</f>
        <v>103981329.22100237</v>
      </c>
      <c r="AU82" s="22">
        <f>((AU41*Constants!$H$45*Constants!$H$48)*(1+Constants!$H$51))*Constants!$H$54*Constants!$H$42*Constants!$H$57*Constants!$H$58*ttokg</f>
        <v>104417787.6097489</v>
      </c>
      <c r="AV82" s="22">
        <f>((AV41*Constants!$H$45*Constants!$H$48)*(1+Constants!$H$51))*Constants!$H$54*Constants!$H$42*Constants!$H$57*Constants!$H$58*ttokg</f>
        <v>104927498.9662302</v>
      </c>
      <c r="AW82" s="22">
        <f>((AW41*Constants!$H$45*Constants!$H$48)*(1+Constants!$H$51))*Constants!$H$54*Constants!$H$42*Constants!$H$57*Constants!$H$58*ttokg</f>
        <v>105503248.83919534</v>
      </c>
      <c r="AX82" s="22">
        <f>((AX41*Constants!$H$45*Constants!$H$48)*(1+Constants!$H$51))*Constants!$H$54*Constants!$H$42*Constants!$H$57*Constants!$H$58*ttokg</f>
        <v>106113197.05895235</v>
      </c>
      <c r="AY82" s="22">
        <f>((AY41*Constants!$H$45*Constants!$H$48)*(1+Constants!$H$51))*Constants!$H$54*Constants!$H$42*Constants!$H$57*Constants!$H$58*ttokg</f>
        <v>106753780.74417061</v>
      </c>
      <c r="AZ82" s="22">
        <f>((AZ41*Constants!$H$45*Constants!$H$48)*(1+Constants!$H$51))*Constants!$H$54*Constants!$H$42*Constants!$H$57*Constants!$H$58*ttokg</f>
        <v>107407880.35958767</v>
      </c>
      <c r="BA82" s="22">
        <f>((BA41*Constants!$H$45*Constants!$H$48)*(1+Constants!$H$51))*Constants!$H$54*Constants!$H$42*Constants!$H$57*Constants!$H$58*ttokg</f>
        <v>108080873.3556228</v>
      </c>
      <c r="BB82" s="22">
        <f>((BB41*Constants!$H$45*Constants!$H$48)*(1+Constants!$H$51))*Constants!$H$54*Constants!$H$42*Constants!$H$57*Constants!$H$58*ttokg</f>
        <v>108764497.45603351</v>
      </c>
      <c r="BC82" s="22">
        <f>((BC41*Constants!$H$45*Constants!$H$48)*(1+Constants!$H$51))*Constants!$H$54*Constants!$H$42*Constants!$H$57*Constants!$H$58*ttokg</f>
        <v>109433659.26125398</v>
      </c>
      <c r="BD82" s="22">
        <f>((BD41*Constants!$H$45*Constants!$H$48)*(1+Constants!$H$51))*Constants!$H$54*Constants!$H$42*Constants!$H$57*Constants!$H$58*ttokg</f>
        <v>110122798.91161306</v>
      </c>
      <c r="BE82" s="22">
        <f>((BE41*Constants!$H$45*Constants!$H$48)*(1+Constants!$H$51))*Constants!$H$54*Constants!$H$42*Constants!$H$57*Constants!$H$58*ttokg</f>
        <v>110808843.11934051</v>
      </c>
      <c r="BF82" s="22">
        <f>((BF41*Constants!$H$45*Constants!$H$48)*(1+Constants!$H$51))*Constants!$H$54*Constants!$H$42*Constants!$H$57*Constants!$H$58*ttokg</f>
        <v>111489980.14730623</v>
      </c>
      <c r="BG82" s="22">
        <f>((BG41*Constants!$H$45*Constants!$H$48)*(1+Constants!$H$51))*Constants!$H$54*Constants!$H$42*Constants!$H$57*Constants!$H$58*ttokg</f>
        <v>112175764.68831286</v>
      </c>
      <c r="BH82" s="22">
        <f>((BH41*Constants!$H$45*Constants!$H$48)*(1+Constants!$H$51))*Constants!$H$54*Constants!$H$42*Constants!$H$57*Constants!$H$58*ttokg</f>
        <v>112842459.16191885</v>
      </c>
      <c r="BI82" s="22">
        <f>((BI41*Constants!$H$45*Constants!$H$48)*(1+Constants!$H$51))*Constants!$H$54*Constants!$H$42*Constants!$H$57*Constants!$H$58*ttokg</f>
        <v>113522085.21665646</v>
      </c>
      <c r="BJ82" s="22">
        <f>((BJ41*Constants!$H$45*Constants!$H$48)*(1+Constants!$H$51))*Constants!$H$54*Constants!$H$42*Constants!$H$57*Constants!$H$58*ttokg</f>
        <v>114224437.16866693</v>
      </c>
      <c r="BK82" s="22">
        <f>((BK41*Constants!$H$45*Constants!$H$48)*(1+Constants!$H$51))*Constants!$H$54*Constants!$H$42*Constants!$H$57*Constants!$H$58*ttokg</f>
        <v>114929480.21959974</v>
      </c>
      <c r="BL82" s="22">
        <f>((BL41*Constants!$H$45*Constants!$H$48)*(1+Constants!$H$51))*Constants!$H$54*Constants!$H$42*Constants!$H$57*Constants!$H$58*ttokg</f>
        <v>115637769.54823875</v>
      </c>
      <c r="BM82" s="22">
        <f>((BM41*Constants!$H$45*Constants!$H$48)*(1+Constants!$H$51))*Constants!$H$54*Constants!$H$42*Constants!$H$57*Constants!$H$58*ttokg</f>
        <v>116367951.65437283</v>
      </c>
      <c r="BN82" s="22">
        <f>((BN41*Constants!$H$45*Constants!$H$48)*(1+Constants!$H$51))*Constants!$H$54*Constants!$H$42*Constants!$H$57*Constants!$H$58*ttokg</f>
        <v>117112116.12131764</v>
      </c>
      <c r="BO82" s="22">
        <f>((BO41*Constants!$H$45*Constants!$H$48)*(1+Constants!$H$51))*Constants!$H$54*Constants!$H$42*Constants!$H$57*Constants!$H$58*ttokg</f>
        <v>117864942.97612952</v>
      </c>
      <c r="BP82" s="22">
        <f>((BP41*Constants!$H$45*Constants!$H$48)*(1+Constants!$H$51))*Constants!$H$54*Constants!$H$42*Constants!$H$57*Constants!$H$58*ttokg</f>
        <v>118636897.63587254</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189035849.15467221</v>
      </c>
      <c r="AN85" s="22">
        <f>SUM(AN82:AN84)/Constants!$H$41</f>
        <v>190526211.35786396</v>
      </c>
      <c r="AO85" s="22">
        <f>SUM(AO82:AO84)/Constants!$H$41</f>
        <v>191347751.86301553</v>
      </c>
      <c r="AP85" s="22">
        <f>SUM(AP82:AP84)/Constants!$H$41</f>
        <v>191666591.61331022</v>
      </c>
      <c r="AQ85" s="22">
        <f>SUM(AQ82:AQ84)/Constants!$H$41</f>
        <v>192010486.79036292</v>
      </c>
      <c r="AR85" s="22">
        <f>SUM(AR82:AR84)/Constants!$H$41</f>
        <v>192486171.46022779</v>
      </c>
      <c r="AS85" s="22">
        <f>SUM(AS82:AS84)/Constants!$H$41</f>
        <v>193085915.59842128</v>
      </c>
      <c r="AT85" s="22">
        <f>SUM(AT82:AT84)/Constants!$H$41</f>
        <v>193741557.98333728</v>
      </c>
      <c r="AU85" s="22">
        <f>SUM(AU82:AU84)/Constants!$H$41</f>
        <v>194468988.63124815</v>
      </c>
      <c r="AV85" s="22">
        <f>SUM(AV82:AV84)/Constants!$H$41</f>
        <v>195318507.55871701</v>
      </c>
      <c r="AW85" s="22">
        <f>SUM(AW82:AW84)/Constants!$H$41</f>
        <v>196278090.68032557</v>
      </c>
      <c r="AX85" s="22">
        <f>SUM(AX82:AX84)/Constants!$H$41</f>
        <v>197294671.04658726</v>
      </c>
      <c r="AY85" s="22">
        <f>SUM(AY82:AY84)/Constants!$H$41</f>
        <v>198362310.52195099</v>
      </c>
      <c r="AZ85" s="22">
        <f>SUM(AZ82:AZ84)/Constants!$H$41</f>
        <v>199452476.54764611</v>
      </c>
      <c r="BA85" s="22">
        <f>SUM(BA82:BA84)/Constants!$H$41</f>
        <v>200574131.54103798</v>
      </c>
      <c r="BB85" s="22">
        <f>SUM(BB82:BB84)/Constants!$H$41</f>
        <v>201713505.04172254</v>
      </c>
      <c r="BC85" s="22">
        <f>SUM(BC82:BC84)/Constants!$H$41</f>
        <v>202828774.71708995</v>
      </c>
      <c r="BD85" s="22">
        <f>SUM(BD82:BD84)/Constants!$H$41</f>
        <v>203977340.80102178</v>
      </c>
      <c r="BE85" s="22">
        <f>SUM(BE82:BE84)/Constants!$H$41</f>
        <v>205120747.81390083</v>
      </c>
      <c r="BF85" s="22">
        <f>SUM(BF82:BF84)/Constants!$H$41</f>
        <v>206255976.19384372</v>
      </c>
      <c r="BG85" s="22">
        <f>SUM(BG82:BG84)/Constants!$H$41</f>
        <v>207398950.42885476</v>
      </c>
      <c r="BH85" s="22">
        <f>SUM(BH82:BH84)/Constants!$H$41</f>
        <v>208510107.88486475</v>
      </c>
      <c r="BI85" s="22">
        <f>SUM(BI82:BI84)/Constants!$H$41</f>
        <v>209642817.97609413</v>
      </c>
      <c r="BJ85" s="22">
        <f>SUM(BJ82:BJ84)/Constants!$H$41</f>
        <v>210813404.5627782</v>
      </c>
      <c r="BK85" s="22">
        <f>SUM(BK82:BK84)/Constants!$H$41</f>
        <v>211988476.3143329</v>
      </c>
      <c r="BL85" s="22">
        <f>SUM(BL82:BL84)/Constants!$H$41</f>
        <v>213168958.52873126</v>
      </c>
      <c r="BM85" s="22">
        <f>SUM(BM82:BM84)/Constants!$H$41</f>
        <v>214385928.70562139</v>
      </c>
      <c r="BN85" s="22">
        <f>SUM(BN82:BN84)/Constants!$H$41</f>
        <v>215626202.81719607</v>
      </c>
      <c r="BO85" s="22">
        <f>SUM(BO82:BO84)/Constants!$H$41</f>
        <v>216880914.24188253</v>
      </c>
      <c r="BP85" s="22">
        <f>SUM(BP82:BP84)/Constants!$H$41</f>
        <v>218167505.34145424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53.190672360352572</v>
      </c>
      <c r="D4" s="22">
        <f>(Drivers!E5*1000000)/Drivers!E4</f>
        <v>53.452366288579142</v>
      </c>
      <c r="E4" s="22">
        <f>(Drivers!F5*1000000)/Drivers!F4</f>
        <v>53.698271372375295</v>
      </c>
      <c r="F4" s="22">
        <f>(Drivers!G5*1000000)/Drivers!G4</f>
        <v>53.967936663175117</v>
      </c>
      <c r="G4" s="22">
        <f>(Drivers!H5*1000000)/Drivers!H4</f>
        <v>54.312125446219277</v>
      </c>
      <c r="H4" s="22">
        <f>(Drivers!I5*1000000)/Drivers!I4</f>
        <v>54.764627905354487</v>
      </c>
      <c r="I4" s="22">
        <f>(Drivers!J5*1000000)/Drivers!J4</f>
        <v>55.976900063728614</v>
      </c>
      <c r="J4" s="22">
        <f>(Drivers!K5*1000000)/Drivers!K4</f>
        <v>56.435024005550034</v>
      </c>
      <c r="K4" s="22">
        <f>(Drivers!L5*1000000)/Drivers!L4</f>
        <v>55.9261444400302</v>
      </c>
      <c r="L4" s="22">
        <f>(Drivers!M5*1000000)/Drivers!M4</f>
        <v>56.586001315990053</v>
      </c>
      <c r="M4" s="22">
        <f>(Drivers!N5*1000000)/Drivers!N4</f>
        <v>58.249227424692251</v>
      </c>
      <c r="N4" s="22">
        <f>(Drivers!O5*1000000)/Drivers!O4</f>
        <v>59.144603754349028</v>
      </c>
      <c r="O4" s="22">
        <f>(Drivers!P5*1000000)/Drivers!P4</f>
        <v>60.621281297308379</v>
      </c>
      <c r="P4" s="22">
        <f>(Drivers!Q5*1000000)/Drivers!Q4</f>
        <v>61.669316267499923</v>
      </c>
      <c r="Q4" s="22">
        <f>(Drivers!R5*1000000)/Drivers!R4</f>
        <v>63.662990040298233</v>
      </c>
      <c r="R4" s="22">
        <f>(Drivers!S5*1000000)/Drivers!S4</f>
        <v>66.22030397119731</v>
      </c>
      <c r="S4" s="22">
        <f>(Drivers!T5*1000000)/Drivers!T4</f>
        <v>69.002307623774243</v>
      </c>
      <c r="T4" s="22">
        <f>(Drivers!U5*1000000)/Drivers!U4</f>
        <v>71.921673494309061</v>
      </c>
      <c r="U4" s="22">
        <f>(Drivers!V5*1000000)/Drivers!V4</f>
        <v>73.63828583995398</v>
      </c>
      <c r="V4" s="22">
        <f>(Drivers!W5*1000000)/Drivers!W4</f>
        <v>71.645920885518635</v>
      </c>
      <c r="W4" s="22">
        <f>(Drivers!X5*1000000)/Drivers!X4</f>
        <v>72.785427559496128</v>
      </c>
      <c r="X4" s="22">
        <f>(Drivers!Y5*1000000)/Drivers!Y4</f>
        <v>74.143459643923279</v>
      </c>
      <c r="Y4" s="22">
        <f>(Drivers!Z5*1000000)/Drivers!Z4</f>
        <v>75.485306046115838</v>
      </c>
      <c r="Z4" s="22">
        <f>(Drivers!AA5*1000000)/Drivers!AA4</f>
        <v>76.024311768927959</v>
      </c>
      <c r="AA4" s="22">
        <f>(Drivers!AB5*1000000)/Drivers!AB4</f>
        <v>76.84226761788716</v>
      </c>
      <c r="AB4" s="22">
        <f>(Drivers!AC5*1000000)/Drivers!AC4</f>
        <v>77.017128903622634</v>
      </c>
      <c r="AC4" s="22">
        <f>(Drivers!AD5*1000000)/Drivers!AD4</f>
        <v>76.766798948952101</v>
      </c>
      <c r="AD4" s="22">
        <f>(Drivers!AE5*1000000)/Drivers!AE4</f>
        <v>76.100439080421197</v>
      </c>
      <c r="AE4" s="22">
        <f>(Drivers!AF5*1000000)/Drivers!AF4</f>
        <v>75.730971166438891</v>
      </c>
      <c r="AF4" s="22">
        <f>(Drivers!AG5*1000000)/Drivers!AG4</f>
        <v>75.398928331197169</v>
      </c>
      <c r="AG4" s="22">
        <f>(Drivers!AH5*1000000)/Drivers!AH4</f>
        <v>70.367429162964569</v>
      </c>
      <c r="AH4" s="22">
        <f>(Drivers!AI5*1000000)/Drivers!AI4</f>
        <v>73.519425069968705</v>
      </c>
      <c r="AI4" s="22">
        <f>(Drivers!AJ5*1000000)/Drivers!AJ4</f>
        <v>75.091448238249882</v>
      </c>
      <c r="AJ4" s="22">
        <f>(Drivers!AK5*1000000)/Drivers!AK4</f>
        <v>75.328869498479065</v>
      </c>
      <c r="AK4" s="22">
        <f>(Drivers!AL5*1000000)/Drivers!AL4</f>
        <v>75.537758870385773</v>
      </c>
      <c r="AL4" s="22">
        <f>(Drivers!AM5*1000000)/Drivers!AM4</f>
        <v>76.04461915050743</v>
      </c>
      <c r="AM4" s="22">
        <f>(Drivers!AN5*1000000)/Drivers!AN4</f>
        <v>76.909789443103378</v>
      </c>
      <c r="AN4" s="22">
        <f>(Drivers!AO5*1000000)/Drivers!AO4</f>
        <v>77.953673059066276</v>
      </c>
      <c r="AO4" s="22">
        <f>(Drivers!AP5*1000000)/Drivers!AP4</f>
        <v>79.223634743898955</v>
      </c>
      <c r="AP4" s="22">
        <f>(Drivers!AQ5*1000000)/Drivers!AQ4</f>
        <v>80.862218243902333</v>
      </c>
      <c r="AQ4" s="22">
        <f>(Drivers!AR5*1000000)/Drivers!AR4</f>
        <v>82.84802072593881</v>
      </c>
      <c r="AR4" s="22">
        <f>(Drivers!AS5*1000000)/Drivers!AS4</f>
        <v>85.047034327377318</v>
      </c>
      <c r="AS4" s="22">
        <f>(Drivers!AT5*1000000)/Drivers!AT4</f>
        <v>87.450265286158455</v>
      </c>
      <c r="AT4" s="22">
        <f>(Drivers!AU5*1000000)/Drivers!AU4</f>
        <v>89.983435064131186</v>
      </c>
      <c r="AU4" s="22">
        <f>(Drivers!AV5*1000000)/Drivers!AV4</f>
        <v>92.68193400223133</v>
      </c>
      <c r="AV4" s="22">
        <f>(Drivers!AW5*1000000)/Drivers!AW4</f>
        <v>95.510426860930849</v>
      </c>
      <c r="AW4" s="22">
        <f>(Drivers!AX5*1000000)/Drivers!AX4</f>
        <v>98.33990211639798</v>
      </c>
      <c r="AX4" s="22">
        <f>(Drivers!AY5*1000000)/Drivers!AY4</f>
        <v>101.35650014494648</v>
      </c>
      <c r="AY4" s="22">
        <f>(Drivers!AZ5*1000000)/Drivers!AZ4</f>
        <v>104.44623663953681</v>
      </c>
      <c r="AZ4" s="22">
        <f>(Drivers!BA5*1000000)/Drivers!BA4</f>
        <v>107.6007088688017</v>
      </c>
      <c r="BA4" s="22">
        <f>(Drivers!BB5*1000000)/Drivers!BB4</f>
        <v>110.8760568421777</v>
      </c>
      <c r="BB4" s="22">
        <f>(Drivers!BC5*1000000)/Drivers!BC4</f>
        <v>114.1344032159988</v>
      </c>
      <c r="BC4" s="22">
        <f>(Drivers!BD5*1000000)/Drivers!BD4</f>
        <v>117.57006881535122</v>
      </c>
      <c r="BD4" s="22">
        <f>(Drivers!BE5*1000000)/Drivers!BE4</f>
        <v>121.25622875014767</v>
      </c>
      <c r="BE4" s="22">
        <f>(Drivers!BF5*1000000)/Drivers!BF4</f>
        <v>125.07896691872163</v>
      </c>
      <c r="BF4" s="22">
        <f>(Drivers!BG5*1000000)/Drivers!BG4</f>
        <v>129.05047336669301</v>
      </c>
      <c r="BG4" s="22">
        <f>(Drivers!BH5*1000000)/Drivers!BH4</f>
        <v>133.30757784831218</v>
      </c>
      <c r="BH4" s="22">
        <f>(Drivers!BI5*1000000)/Drivers!BI4</f>
        <v>137.81334495335449</v>
      </c>
      <c r="BI4" s="22">
        <f>(Drivers!BJ5*1000000)/Drivers!BJ4</f>
        <v>142.54371447923046</v>
      </c>
      <c r="BJ4" s="22">
        <f>(Drivers!BK5*1000000)/Drivers!BK4</f>
        <v>147.58878593793048</v>
      </c>
      <c r="BK4" s="22">
        <f>(Drivers!BL5*1000000)/Drivers!BL4</f>
        <v>152.46439225888591</v>
      </c>
      <c r="BL4">
        <v>89.344659551365254</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920446.26243808516</v>
      </c>
      <c r="Z5" s="93">
        <f>IF('Net zero activities &amp; levers'!$C$12="Off",((Data!$AJ$5*'Intermediate calculations'!Z4)+Data!$AK$5)*Drivers!AA4,'Net zero supporting data'!C205)</f>
        <v>941691.58339834877</v>
      </c>
      <c r="AA5" s="93">
        <f>IF('Net zero activities &amp; levers'!$C$12="Off",((Data!$AJ$5*'Intermediate calculations'!AA4)+Data!$AK$5)*Drivers!AB4,'Net zero supporting data'!D205)</f>
        <v>967640.07013586524</v>
      </c>
      <c r="AB5" s="93">
        <f>IF('Net zero activities &amp; levers'!$C$12="Off",((Data!$AJ$5*'Intermediate calculations'!AB4)+Data!$AK$5)*Drivers!AC4,'Net zero supporting data'!E205)</f>
        <v>985205.9561567097</v>
      </c>
      <c r="AC5" s="93">
        <f>IF('Net zero activities &amp; levers'!$C$12="Off",((Data!$AJ$5*'Intermediate calculations'!AC4)+Data!$AK$5)*Drivers!AD4,'Net zero supporting data'!F205)</f>
        <v>997182.1403323469</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955068.7792857571</v>
      </c>
      <c r="AH5" s="93">
        <f>IF('Net zero activities &amp; levers'!$C$12="Off",((Data!$AJ$5*'Intermediate calculations'!AH4)+Data!$AK$5)*Drivers!AI4,'Net zero supporting data'!K205)</f>
        <v>1013989.1402052072</v>
      </c>
      <c r="AI5" s="93">
        <f>IF('Net zero activities &amp; levers'!$C$12="Off",((Data!$AJ$5*'Intermediate calculations'!AI4)+Data!$AK$5)*Drivers!AJ4,'Net zero supporting data'!L205)</f>
        <v>1047365.0270307051</v>
      </c>
      <c r="AJ5" s="93">
        <f>IF('Net zero activities &amp; levers'!$C$12="Off",((Data!$AJ$5*'Intermediate calculations'!AJ4)+Data!$AK$5)*Drivers!AK4,'Net zero supporting data'!M205)</f>
        <v>1060248.7984417316</v>
      </c>
      <c r="AK5" s="93">
        <f>IF('Net zero activities &amp; levers'!$C$12="Off",((Data!$AJ$5*'Intermediate calculations'!AK4)+Data!$AK$5)*Drivers!AL4,'Net zero supporting data'!N205)</f>
        <v>1074237.9938555181</v>
      </c>
      <c r="AL5" s="93">
        <f>IF('Net zero activities &amp; levers'!$C$12="Off",((Data!$AJ$5*'Intermediate calculations'!AL4)+Data!$AK$5)*Drivers!AM4,'Net zero supporting data'!O205)</f>
        <v>1093968.9102355512</v>
      </c>
      <c r="AM5" s="93">
        <f>IF('Net zero activities &amp; levers'!$C$12="Off",((Data!$AJ$5*'Intermediate calculations'!AM4)+Data!$AK$5)*Drivers!AN4,'Net zero supporting data'!P205)</f>
        <v>1119383.6475715768</v>
      </c>
      <c r="AN5" s="93">
        <f>IF('Net zero activities &amp; levers'!$C$12="Off",((Data!$AJ$5*'Intermediate calculations'!AN4)+Data!$AK$5)*Drivers!AO4,'Net zero supporting data'!Q205)</f>
        <v>1147720.7220830161</v>
      </c>
      <c r="AO5" s="93">
        <f>IF('Net zero activities &amp; levers'!$C$12="Off",((Data!$AJ$5*'Intermediate calculations'!AO4)+Data!$AK$5)*Drivers!AP4,'Net zero supporting data'!R205)</f>
        <v>1179840.8071549842</v>
      </c>
      <c r="AP5" s="93">
        <f>IF('Net zero activities &amp; levers'!$C$12="Off",((Data!$AJ$5*'Intermediate calculations'!AP4)+Data!$AK$5)*Drivers!AQ4,'Net zero supporting data'!S205)</f>
        <v>1218276.2623560796</v>
      </c>
      <c r="AQ5" s="93">
        <f>IF('Net zero activities &amp; levers'!$C$12="Off",((Data!$AJ$5*'Intermediate calculations'!AQ4)+Data!$AK$5)*Drivers!AR4,'Net zero supporting data'!T205)</f>
        <v>1262862.2162198634</v>
      </c>
      <c r="AR5" s="93">
        <f>IF('Net zero activities &amp; levers'!$C$12="Off",((Data!$AJ$5*'Intermediate calculations'!AR4)+Data!$AK$5)*Drivers!AS4,'Net zero supporting data'!U205)</f>
        <v>1311437.3337756915</v>
      </c>
      <c r="AS5" s="93">
        <f>IF('Net zero activities &amp; levers'!$C$12="Off",((Data!$AJ$5*'Intermediate calculations'!AS4)+Data!$AK$5)*Drivers!AT4,'Net zero supporting data'!V205)</f>
        <v>1363966.531514216</v>
      </c>
      <c r="AT5" s="93">
        <f>IF('Net zero activities &amp; levers'!$C$12="Off",((Data!$AJ$5*'Intermediate calculations'!AT4)+Data!$AK$5)*Drivers!AU4,'Net zero supporting data'!W205)</f>
        <v>1419234.5258650507</v>
      </c>
      <c r="AU5" s="93">
        <f>IF('Net zero activities &amp; levers'!$C$12="Off",((Data!$AJ$5*'Intermediate calculations'!AU4)+Data!$AK$5)*Drivers!AV4,'Net zero supporting data'!X205)</f>
        <v>1477873.1012694682</v>
      </c>
      <c r="AV5" s="93">
        <f>IF('Net zero activities &amp; levers'!$C$12="Off",((Data!$AJ$5*'Intermediate calculations'!AV4)+Data!$AK$5)*Drivers!AW4,'Net zero supporting data'!Y205)</f>
        <v>1539328.509702821</v>
      </c>
      <c r="AW5" s="93">
        <f>IF('Net zero activities &amp; levers'!$C$12="Off",((Data!$AJ$5*'Intermediate calculations'!AW4)+Data!$AK$5)*Drivers!AX4,'Net zero supporting data'!Z205)</f>
        <v>1601368.8722208953</v>
      </c>
      <c r="AX5" s="93">
        <f>IF('Net zero activities &amp; levers'!$C$12="Off",((Data!$AJ$5*'Intermediate calculations'!AX4)+Data!$AK$5)*Drivers!AY4,'Net zero supporting data'!AA205)</f>
        <v>1667294.7793142151</v>
      </c>
      <c r="AY5" s="93">
        <f>IF('Net zero activities &amp; levers'!$C$12="Off",((Data!$AJ$5*'Intermediate calculations'!AY4)+Data!$AK$5)*Drivers!AZ4,'Net zero supporting data'!AB205)</f>
        <v>1735025.1434247852</v>
      </c>
      <c r="AZ5" s="93">
        <f>IF('Net zero activities &amp; levers'!$C$12="Off",((Data!$AJ$5*'Intermediate calculations'!AZ4)+Data!$AK$5)*Drivers!BA4,'Net zero supporting data'!AC205)</f>
        <v>1804408.6359732356</v>
      </c>
      <c r="BA5" s="93">
        <f>IF('Net zero activities &amp; levers'!$C$12="Off",((Data!$AJ$5*'Intermediate calculations'!BA4)+Data!$AK$5)*Drivers!BB4,'Net zero supporting data'!AD205)</f>
        <v>1876489.8680039942</v>
      </c>
      <c r="BB5" s="93">
        <f>IF('Net zero activities &amp; levers'!$C$12="Off",((Data!$AJ$5*'Intermediate calculations'!BB4)+Data!$AK$5)*Drivers!BC4,'Net zero supporting data'!AE205)</f>
        <v>1948756.9660272489</v>
      </c>
      <c r="BC5" s="93">
        <f>IF('Net zero activities &amp; levers'!$C$12="Off",((Data!$AJ$5*'Intermediate calculations'!BC4)+Data!$AK$5)*Drivers!BD4,'Net zero supporting data'!AF205)</f>
        <v>2024739.5794352356</v>
      </c>
      <c r="BD5" s="93">
        <f>IF('Net zero activities &amp; levers'!$C$12="Off",((Data!$AJ$5*'Intermediate calculations'!BD4)+Data!$AK$5)*Drivers!BE4,'Net zero supporting data'!AG205)</f>
        <v>2105798.9725117055</v>
      </c>
      <c r="BE5" s="93">
        <f>IF('Net zero activities &amp; levers'!$C$12="Off",((Data!$AJ$5*'Intermediate calculations'!BE4)+Data!$AK$5)*Drivers!BF4,'Net zero supporting data'!AH205)</f>
        <v>2189832.5291066142</v>
      </c>
      <c r="BF5" s="93">
        <f>IF('Net zero activities &amp; levers'!$C$12="Off",((Data!$AJ$5*'Intermediate calculations'!BF4)+Data!$AK$5)*Drivers!BG4,'Net zero supporting data'!AI205)</f>
        <v>2277028.3953659297</v>
      </c>
      <c r="BG5" s="93">
        <f>IF('Net zero activities &amp; levers'!$C$12="Off",((Data!$AJ$5*'Intermediate calculations'!BG4)+Data!$AK$5)*Drivers!BH4,'Net zero supporting data'!AJ205)</f>
        <v>2369936.2271765275</v>
      </c>
      <c r="BH5" s="93">
        <f>IF('Net zero activities &amp; levers'!$C$12="Off",((Data!$AJ$5*'Intermediate calculations'!BH4)+Data!$AK$5)*Drivers!BI4,'Net zero supporting data'!AK205)</f>
        <v>2467874.1978046875</v>
      </c>
      <c r="BI5" s="93">
        <f>IF('Net zero activities &amp; levers'!$C$12="Off",((Data!$AJ$5*'Intermediate calculations'!BI4)+Data!$AK$5)*Drivers!BJ4,'Net zero supporting data'!AL205)</f>
        <v>2570401.9293879163</v>
      </c>
      <c r="BJ5" s="93">
        <f>IF('Net zero activities &amp; levers'!$C$12="Off",((Data!$AJ$5*'Intermediate calculations'!BJ4)+Data!$AK$5)*Drivers!BK4,'Net zero supporting data'!AM205)</f>
        <v>2679265.7100601355</v>
      </c>
      <c r="BK5" s="93">
        <f>IF('Net zero activities &amp; levers'!$C$12="Off",((Data!$AJ$5*'Intermediate calculations'!BK4)+Data!$AK$5)*Drivers!BL4,'Net zero supporting data'!AN205)</f>
        <v>2785041.333326092</v>
      </c>
      <c r="BL5" s="79">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0.16347820299671731</v>
      </c>
      <c r="AP6" s="22"/>
      <c r="AQ6" s="22">
        <f>(AQ8-AD8)/AD8</f>
        <v>0.29211251951912309</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17.590800720417679</v>
      </c>
      <c r="Z7" s="45">
        <f>Z5*ttokg/Drivers!AA4</f>
        <v>17.732839906466506</v>
      </c>
      <c r="AA7" s="45">
        <f>AA5*ttokg/Drivers!AB4</f>
        <v>17.948388235719658</v>
      </c>
      <c r="AB7" s="45">
        <f>AB5*ttokg/Drivers!AC4</f>
        <v>17.994467810845016</v>
      </c>
      <c r="AC7" s="45">
        <f>AC5*ttokg/Drivers!AD4</f>
        <v>17.92850067635981</v>
      </c>
      <c r="AD7" s="45">
        <f>AD5*ttokg/Drivers!AE4</f>
        <v>17.752901031799592</v>
      </c>
      <c r="AE7" s="45">
        <f>AE5*ttokg/Drivers!AF4</f>
        <v>17.655538574311368</v>
      </c>
      <c r="AF7" s="45">
        <f>AF5*ttokg/Drivers!AG4</f>
        <v>17.568038401205563</v>
      </c>
      <c r="AG7" s="45">
        <f>AG5*ttokg/Drivers!AH4</f>
        <v>16.242134025399491</v>
      </c>
      <c r="AH7" s="45">
        <f>AH5*ttokg/Drivers!AI4</f>
        <v>17.072750314080633</v>
      </c>
      <c r="AI7" s="45">
        <f>AI5*ttokg/Drivers!AJ4</f>
        <v>17.487011020085024</v>
      </c>
      <c r="AJ7" s="45">
        <f>AJ5*ttokg/Drivers!AK4</f>
        <v>17.549576445879943</v>
      </c>
      <c r="AK7" s="45">
        <f>AK5*ttokg/Drivers!AL4</f>
        <v>17.604623127397687</v>
      </c>
      <c r="AL7" s="45">
        <f>AL5*ttokg/Drivers!AM4</f>
        <v>17.738191322654224</v>
      </c>
      <c r="AM7" s="45">
        <f>AM5*ttokg/Drivers!AN4</f>
        <v>17.966181636955188</v>
      </c>
      <c r="AN7" s="45">
        <f>AN5*ttokg/Drivers!AO4</f>
        <v>18.241266618182298</v>
      </c>
      <c r="AO7" s="45">
        <f>AO5*ttokg/Drivers!AP4</f>
        <v>18.575927859042086</v>
      </c>
      <c r="AP7" s="45">
        <f>AP5*ttokg/Drivers!AQ4</f>
        <v>19.00772859280654</v>
      </c>
      <c r="AQ7" s="45">
        <f>AQ5*ttokg/Drivers!AR4</f>
        <v>19.531028729084532</v>
      </c>
      <c r="AR7" s="45">
        <f>AR5*ttokg/Drivers!AS4</f>
        <v>20.110514416971188</v>
      </c>
      <c r="AS7" s="45">
        <f>AS5*ttokg/Drivers!AT4</f>
        <v>20.743815613648085</v>
      </c>
      <c r="AT7" s="45">
        <f>AT5*ttokg/Drivers!AU4</f>
        <v>21.411358383898321</v>
      </c>
      <c r="AU7" s="45">
        <f>AU5*ttokg/Drivers!AV4</f>
        <v>22.122468816495658</v>
      </c>
      <c r="AV7" s="45">
        <f>AV5*ttokg/Drivers!AW4</f>
        <v>22.867835343029984</v>
      </c>
      <c r="AW7" s="45">
        <f>AW5*ttokg/Drivers!AX4</f>
        <v>23.613460751485867</v>
      </c>
      <c r="AX7" s="45">
        <f>AX5*ttokg/Drivers!AY4</f>
        <v>24.408396891265735</v>
      </c>
      <c r="AY7" s="45">
        <f>AY5*ttokg/Drivers!AZ4</f>
        <v>25.222606533618524</v>
      </c>
      <c r="AZ7" s="45">
        <f>AZ5*ttokg/Drivers!BA4</f>
        <v>26.053875384570205</v>
      </c>
      <c r="BA7" s="45">
        <f>BA5*ttokg/Drivers!BB4</f>
        <v>26.916997500858319</v>
      </c>
      <c r="BB7" s="45">
        <f>BB5*ttokg/Drivers!BC4</f>
        <v>27.775639343078637</v>
      </c>
      <c r="BC7" s="45">
        <f>BC5*ttokg/Drivers!BD4</f>
        <v>28.681008478534121</v>
      </c>
      <c r="BD7" s="45">
        <f>BD5*ttokg/Drivers!BE4</f>
        <v>29.652388066217618</v>
      </c>
      <c r="BE7" s="45">
        <f>BE5*ttokg/Drivers!BF4</f>
        <v>30.659758850908322</v>
      </c>
      <c r="BF7" s="45">
        <f>BF5*ttokg/Drivers!BG4</f>
        <v>31.706333162428482</v>
      </c>
      <c r="BG7" s="45">
        <f>BG5*ttokg/Drivers!BH4</f>
        <v>32.82816847864602</v>
      </c>
      <c r="BH7" s="45">
        <f>BH5*ttokg/Drivers!BI4</f>
        <v>34.015531552987376</v>
      </c>
      <c r="BI7" s="45">
        <f>BI5*ttokg/Drivers!BJ4</f>
        <v>35.262082023101399</v>
      </c>
      <c r="BJ7" s="45">
        <f>BJ5*ttokg/Drivers!BK4</f>
        <v>36.591562978912506</v>
      </c>
      <c r="BK7" s="45">
        <f>BK5*ttokg/Drivers!BL4</f>
        <v>37.876386356501044</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919934.15141939698</v>
      </c>
      <c r="Z8" s="94">
        <f>IF('Net zero activities &amp; levers'!$C$14="Off",((Data!$AJ$14*'Net zero Intermediate calcs'!Z5)+Data!$AK$14),IF('Net zero activities &amp; levers'!$C$14="On",((Data!$AJ$14*'Net zero Intermediate calcs'!Z5)+Data!$AK$14)*(1-'Net zero supporting data'!C213),"ERROR"))</f>
        <v>944208.34947610204</v>
      </c>
      <c r="AA8" s="94">
        <f>IF('Net zero activities &amp; levers'!$C$14="Off",((Data!$AJ$14*'Net zero Intermediate calcs'!AA5)+Data!$AK$14),IF('Net zero activities &amp; levers'!$C$14="On",((Data!$AJ$14*'Net zero Intermediate calcs'!AA5)+Data!$AK$14)*(1-'Net zero supporting data'!D213),"ERROR"))</f>
        <v>973856.22853221814</v>
      </c>
      <c r="AB8" s="94">
        <f>IF('Net zero activities &amp; levers'!$C$14="Off",((Data!$AJ$14*'Net zero Intermediate calcs'!AB5)+Data!$AK$14),IF('Net zero activities &amp; levers'!$C$14="On",((Data!$AJ$14*'Net zero Intermediate calcs'!AB5)+Data!$AK$14)*(1-'Net zero supporting data'!E213),"ERROR"))</f>
        <v>993926.42644116003</v>
      </c>
      <c r="AC8" s="94">
        <f>IF('Net zero activities &amp; levers'!$C$14="Off",((Data!$AJ$14*'Net zero Intermediate calcs'!AC5)+Data!$AK$14),IF('Net zero activities &amp; levers'!$C$14="On",((Data!$AJ$14*'Net zero Intermediate calcs'!AC5)+Data!$AK$14)*(1-'Net zero supporting data'!F213),"ERROR"))</f>
        <v>1007610.0166861243</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959492.68916772818</v>
      </c>
      <c r="AH8" s="94">
        <f>IF('Net zero activities &amp; levers'!$C$14="Off",((Data!$AJ$14*'Net zero Intermediate calcs'!AH5)+Data!$AK$14),IF('Net zero activities &amp; levers'!$C$14="On",((Data!$AJ$14*'Net zero Intermediate calcs'!AH5)+Data!$AK$14)*(1-'Net zero supporting data'!K213),"ERROR"))</f>
        <v>1026813.1364891101</v>
      </c>
      <c r="AI8" s="94">
        <f>IF('Net zero activities &amp; levers'!$C$14="Off",((Data!$AJ$14*'Net zero Intermediate calcs'!AI5)+Data!$AK$14),IF('Net zero activities &amp; levers'!$C$14="On",((Data!$AJ$14*'Net zero Intermediate calcs'!AI5)+Data!$AK$14)*(1-'Net zero supporting data'!L213),"ERROR"))</f>
        <v>1064947.3161814585</v>
      </c>
      <c r="AJ8" s="94">
        <f>IF('Net zero activities &amp; levers'!$C$14="Off",((Data!$AJ$14*'Net zero Intermediate calcs'!AJ5)+Data!$AK$14),IF('Net zero activities &amp; levers'!$C$14="On",((Data!$AJ$14*'Net zero Intermediate calcs'!AJ5)+Data!$AK$14)*(1-'Net zero supporting data'!M213),"ERROR"))</f>
        <v>1079667.8854556773</v>
      </c>
      <c r="AK8" s="94">
        <f>IF('Net zero activities &amp; levers'!$C$14="Off",((Data!$AJ$14*'Net zero Intermediate calcs'!AK5)+Data!$AK$14),IF('Net zero activities &amp; levers'!$C$14="On",((Data!$AJ$14*'Net zero Intermediate calcs'!AK5)+Data!$AK$14)*(1-'Net zero supporting data'!N213),"ERROR"))</f>
        <v>1095651.4754783148</v>
      </c>
      <c r="AL8" s="94">
        <f>IF('Net zero activities &amp; levers'!$C$14="Off",((Data!$AJ$14*'Net zero Intermediate calcs'!AL5)+Data!$AK$14),IF('Net zero activities &amp; levers'!$C$14="On",((Data!$AJ$14*'Net zero Intermediate calcs'!AL5)+Data!$AK$14)*(1-'Net zero supporting data'!O213),"ERROR"))</f>
        <v>1118195.3651632494</v>
      </c>
      <c r="AM8" s="94">
        <f>IF('Net zero activities &amp; levers'!$C$14="Off",((Data!$AJ$14*'Net zero Intermediate calcs'!AM5)+Data!$AK$14),IF('Net zero activities &amp; levers'!$C$14="On",((Data!$AJ$14*'Net zero Intermediate calcs'!AM5)+Data!$AK$14)*(1-'Net zero supporting data'!P213),"ERROR"))</f>
        <v>1147233.3998819382</v>
      </c>
      <c r="AN8" s="94">
        <f>IF('Net zero activities &amp; levers'!$C$14="Off",((Data!$AJ$14*'Net zero Intermediate calcs'!AN5)+Data!$AK$14),IF('Net zero activities &amp; levers'!$C$14="On",((Data!$AJ$14*'Net zero Intermediate calcs'!AN5)+Data!$AK$14)*(1-'Net zero supporting data'!Q213),"ERROR"))</f>
        <v>1179610.3999905661</v>
      </c>
      <c r="AO8" s="94">
        <f>IF('Net zero activities &amp; levers'!$C$14="Off",((Data!$AJ$14*'Net zero Intermediate calcs'!AO5)+Data!$AK$14),IF('Net zero activities &amp; levers'!$C$14="On",((Data!$AJ$14*'Net zero Intermediate calcs'!AO5)+Data!$AK$14)*(1-'Net zero supporting data'!R213),"ERROR"))</f>
        <v>1216309.7423113277</v>
      </c>
      <c r="AP8" s="94">
        <f>IF('Net zero activities &amp; levers'!$C$14="Off",((Data!$AJ$14*'Net zero Intermediate calcs'!AP5)+Data!$AK$14),IF('Net zero activities &amp; levers'!$C$14="On",((Data!$AJ$14*'Net zero Intermediate calcs'!AP5)+Data!$AK$14)*(1-'Net zero supporting data'!S213),"ERROR"))</f>
        <v>1260224.8167738898</v>
      </c>
      <c r="AQ8" s="94">
        <f>IF('Net zero activities &amp; levers'!$C$14="Off",((Data!$AJ$14*'Net zero Intermediate calcs'!AQ5)+Data!$AK$14),IF('Net zero activities &amp; levers'!$C$14="On",((Data!$AJ$14*'Net zero Intermediate calcs'!AQ5)+Data!$AK$14)*(1-'Net zero supporting data'!T213),"ERROR"))</f>
        <v>1311167.2467169757</v>
      </c>
      <c r="AR8" s="94">
        <f>IF('Net zero activities &amp; levers'!$C$14="Off",((Data!$AJ$14*'Net zero Intermediate calcs'!AR5)+Data!$AK$14),IF('Net zero activities &amp; levers'!$C$14="On",((Data!$AJ$14*'Net zero Intermediate calcs'!AR5)+Data!$AK$14)*(1-'Net zero supporting data'!U213),"ERROR"))</f>
        <v>1366667.5625928</v>
      </c>
      <c r="AS8" s="94">
        <f>IF('Net zero activities &amp; levers'!$C$14="Off",((Data!$AJ$14*'Net zero Intermediate calcs'!AS5)+Data!$AK$14),IF('Net zero activities &amp; levers'!$C$14="On",((Data!$AJ$14*'Net zero Intermediate calcs'!AS5)+Data!$AK$14)*(1-'Net zero supporting data'!V213),"ERROR"))</f>
        <v>1426685.6791488959</v>
      </c>
      <c r="AT8" s="94">
        <f>IF('Net zero activities &amp; levers'!$C$14="Off",((Data!$AJ$14*'Net zero Intermediate calcs'!AT5)+Data!$AK$14),IF('Net zero activities &amp; levers'!$C$14="On",((Data!$AJ$14*'Net zero Intermediate calcs'!AT5)+Data!$AK$14)*(1-'Net zero supporting data'!W213),"ERROR"))</f>
        <v>1489833.0537439075</v>
      </c>
      <c r="AU8" s="94">
        <f>IF('Net zero activities &amp; levers'!$C$14="Off",((Data!$AJ$14*'Net zero Intermediate calcs'!AU5)+Data!$AK$14),IF('Net zero activities &amp; levers'!$C$14="On",((Data!$AJ$14*'Net zero Intermediate calcs'!AU5)+Data!$AK$14)*(1-'Net zero supporting data'!X213),"ERROR"))</f>
        <v>1556831.5422954406</v>
      </c>
      <c r="AV8" s="94">
        <f>IF('Net zero activities &amp; levers'!$C$14="Off",((Data!$AJ$14*'Net zero Intermediate calcs'!AV5)+Data!$AK$14),IF('Net zero activities &amp; levers'!$C$14="On",((Data!$AJ$14*'Net zero Intermediate calcs'!AV5)+Data!$AK$14)*(1-'Net zero supporting data'!Y213),"ERROR"))</f>
        <v>1627048.4507035119</v>
      </c>
      <c r="AW8" s="94">
        <f>IF('Net zero activities &amp; levers'!$C$14="Off",((Data!$AJ$14*'Net zero Intermediate calcs'!AW5)+Data!$AK$14),IF('Net zero activities &amp; levers'!$C$14="On",((Data!$AJ$14*'Net zero Intermediate calcs'!AW5)+Data!$AK$14)*(1-'Net zero supporting data'!Z213),"ERROR"))</f>
        <v>1697933.708219284</v>
      </c>
      <c r="AX8" s="94">
        <f>IF('Net zero activities &amp; levers'!$C$14="Off",((Data!$AJ$14*'Net zero Intermediate calcs'!AX5)+Data!$AK$14),IF('Net zero activities &amp; levers'!$C$14="On",((Data!$AJ$14*'Net zero Intermediate calcs'!AX5)+Data!$AK$14)*(1-'Net zero supporting data'!AA213),"ERROR"))</f>
        <v>1773258.459906694</v>
      </c>
      <c r="AY8" s="94">
        <f>IF('Net zero activities &amp; levers'!$C$14="Off",((Data!$AJ$14*'Net zero Intermediate calcs'!AY5)+Data!$AK$14),IF('Net zero activities &amp; levers'!$C$14="On",((Data!$AJ$14*'Net zero Intermediate calcs'!AY5)+Data!$AK$14)*(1-'Net zero supporting data'!AB213),"ERROR"))</f>
        <v>1850644.9242461966</v>
      </c>
      <c r="AZ8" s="94">
        <f>IF('Net zero activities &amp; levers'!$C$14="Off",((Data!$AJ$14*'Net zero Intermediate calcs'!AZ5)+Data!$AK$14),IF('Net zero activities &amp; levers'!$C$14="On",((Data!$AJ$14*'Net zero Intermediate calcs'!AZ5)+Data!$AK$14)*(1-'Net zero supporting data'!AC213),"ERROR"))</f>
        <v>1929920.1982294477</v>
      </c>
      <c r="BA8" s="94">
        <f>IF('Net zero activities &amp; levers'!$C$14="Off",((Data!$AJ$14*'Net zero Intermediate calcs'!BA5)+Data!$AK$14),IF('Net zero activities &amp; levers'!$C$14="On",((Data!$AJ$14*'Net zero Intermediate calcs'!BA5)+Data!$AK$14)*(1-'Net zero supporting data'!AD213),"ERROR"))</f>
        <v>2012277.8197386046</v>
      </c>
      <c r="BB8" s="94">
        <f>IF('Net zero activities &amp; levers'!$C$14="Off",((Data!$AJ$14*'Net zero Intermediate calcs'!BB5)+Data!$AK$14),IF('Net zero activities &amp; levers'!$C$14="On",((Data!$AJ$14*'Net zero Intermediate calcs'!BB5)+Data!$AK$14)*(1-'Net zero supporting data'!AE213),"ERROR"))</f>
        <v>2094847.8055571686</v>
      </c>
      <c r="BC8" s="94">
        <f>IF('Net zero activities &amp; levers'!$C$14="Off",((Data!$AJ$14*'Net zero Intermediate calcs'!BC5)+Data!$AK$14),IF('Net zero activities &amp; levers'!$C$14="On",((Data!$AJ$14*'Net zero Intermediate calcs'!BC5)+Data!$AK$14)*(1-'Net zero supporting data'!AF213),"ERROR"))</f>
        <v>2181663.0158418822</v>
      </c>
      <c r="BD8" s="94">
        <f>IF('Net zero activities &amp; levers'!$C$14="Off",((Data!$AJ$14*'Net zero Intermediate calcs'!BD5)+Data!$AK$14),IF('Net zero activities &amp; levers'!$C$14="On",((Data!$AJ$14*'Net zero Intermediate calcs'!BD5)+Data!$AK$14)*(1-'Net zero supporting data'!AG213),"ERROR"))</f>
        <v>2274278.7859483804</v>
      </c>
      <c r="BE8" s="94">
        <f>IF('Net zero activities &amp; levers'!$C$14="Off",((Data!$AJ$14*'Net zero Intermediate calcs'!BE5)+Data!$AK$14),IF('Net zero activities &amp; levers'!$C$14="On",((Data!$AJ$14*'Net zero Intermediate calcs'!BE5)+Data!$AK$14)*(1-'Net zero supporting data'!AH213),"ERROR"))</f>
        <v>2370292.7365029235</v>
      </c>
      <c r="BF8" s="94">
        <f>IF('Net zero activities &amp; levers'!$C$14="Off",((Data!$AJ$14*'Net zero Intermediate calcs'!BF5)+Data!$AK$14),IF('Net zero activities &amp; levers'!$C$14="On",((Data!$AJ$14*'Net zero Intermediate calcs'!BF5)+Data!$AK$14)*(1-'Net zero supporting data'!AI213),"ERROR"))</f>
        <v>2469919.8370425394</v>
      </c>
      <c r="BG8" s="94">
        <f>IF('Net zero activities &amp; levers'!$C$14="Off",((Data!$AJ$14*'Net zero Intermediate calcs'!BG5)+Data!$AK$14),IF('Net zero activities &amp; levers'!$C$14="On",((Data!$AJ$14*'Net zero Intermediate calcs'!BG5)+Data!$AK$14)*(1-'Net zero supporting data'!AJ213),"ERROR"))</f>
        <v>2576073.2396956529</v>
      </c>
      <c r="BH8" s="94">
        <f>IF('Net zero activities &amp; levers'!$C$14="Off",((Data!$AJ$14*'Net zero Intermediate calcs'!BH5)+Data!$AK$14),IF('Net zero activities &amp; levers'!$C$14="On",((Data!$AJ$14*'Net zero Intermediate calcs'!BH5)+Data!$AK$14)*(1-'Net zero supporting data'!AK213),"ERROR"))</f>
        <v>2687973.9118834841</v>
      </c>
      <c r="BI8" s="94">
        <f>IF('Net zero activities &amp; levers'!$C$14="Off",((Data!$AJ$14*'Net zero Intermediate calcs'!BI5)+Data!$AK$14),IF('Net zero activities &amp; levers'!$C$14="On",((Data!$AJ$14*'Net zero Intermediate calcs'!BI5)+Data!$AK$14)*(1-'Net zero supporting data'!AL213),"ERROR"))</f>
        <v>2805118.6924876887</v>
      </c>
      <c r="BJ8" s="94">
        <f>IF('Net zero activities &amp; levers'!$C$14="Off",((Data!$AJ$14*'Net zero Intermediate calcs'!BJ5)+Data!$AK$14),IF('Net zero activities &amp; levers'!$C$14="On",((Data!$AJ$14*'Net zero Intermediate calcs'!BJ5)+Data!$AK$14)*(1-'Net zero supporting data'!AM213),"ERROR"))</f>
        <v>2929502.8323263726</v>
      </c>
      <c r="BK8" s="94">
        <f>IF('Net zero activities &amp; levers'!$C$14="Off",((Data!$AJ$14*'Net zero Intermediate calcs'!BK5)+Data!$AK$14),IF('Net zero activities &amp; levers'!$C$14="On",((Data!$AJ$14*'Net zero Intermediate calcs'!BK5)+Data!$AK$14)*(1-'Net zero supporting data'!AN213),"ERROR"))</f>
        <v>3050358.5460871402</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643953.90599357779</v>
      </c>
      <c r="Z9" s="22">
        <f t="shared" si="1"/>
        <v>665666.88638065185</v>
      </c>
      <c r="AA9" s="22">
        <f t="shared" si="1"/>
        <v>691437.92225787486</v>
      </c>
      <c r="AB9" s="22">
        <f t="shared" si="1"/>
        <v>710657.39490542933</v>
      </c>
      <c r="AC9" s="22">
        <f t="shared" si="1"/>
        <v>725479.21201400948</v>
      </c>
      <c r="AD9" s="22">
        <f t="shared" si="1"/>
        <v>735691.54350705037</v>
      </c>
      <c r="AE9" s="22">
        <f t="shared" si="1"/>
        <v>749635.6315856725</v>
      </c>
      <c r="AF9" s="22">
        <f t="shared" si="1"/>
        <v>764253.10717659467</v>
      </c>
      <c r="AG9" s="22">
        <f t="shared" si="1"/>
        <v>710024.58998411882</v>
      </c>
      <c r="AH9" s="22">
        <f t="shared" si="1"/>
        <v>761895.34727491962</v>
      </c>
      <c r="AI9" s="22">
        <f t="shared" si="1"/>
        <v>792320.80323900515</v>
      </c>
      <c r="AJ9" s="22">
        <f t="shared" si="1"/>
        <v>805432.24254993524</v>
      </c>
      <c r="AK9" s="22">
        <f t="shared" si="1"/>
        <v>819547.30365777947</v>
      </c>
      <c r="AL9" s="22">
        <f t="shared" si="1"/>
        <v>838646.52387243707</v>
      </c>
      <c r="AM9" s="22">
        <f t="shared" si="1"/>
        <v>862719.51671121758</v>
      </c>
      <c r="AN9" s="22">
        <f t="shared" si="1"/>
        <v>889426.24159288686</v>
      </c>
      <c r="AO9" s="22">
        <f t="shared" si="1"/>
        <v>919530.16518736375</v>
      </c>
      <c r="AP9" s="22">
        <f t="shared" si="1"/>
        <v>955250.41111460852</v>
      </c>
      <c r="AQ9" s="22">
        <f t="shared" si="1"/>
        <v>996487.10750490159</v>
      </c>
      <c r="AR9" s="22">
        <f t="shared" si="1"/>
        <v>1044134.0178208993</v>
      </c>
      <c r="AS9" s="22">
        <f t="shared" si="1"/>
        <v>1095694.6015863521</v>
      </c>
      <c r="AT9" s="22">
        <f t="shared" si="1"/>
        <v>1150151.1174902967</v>
      </c>
      <c r="AU9" s="22">
        <f t="shared" si="1"/>
        <v>1208101.276821262</v>
      </c>
      <c r="AV9" s="22">
        <f t="shared" si="1"/>
        <v>1269097.7915487394</v>
      </c>
      <c r="AW9" s="22">
        <f t="shared" si="1"/>
        <v>1331180.0272439187</v>
      </c>
      <c r="AX9" s="22">
        <f t="shared" si="1"/>
        <v>1397327.666406475</v>
      </c>
      <c r="AY9" s="22">
        <f t="shared" si="1"/>
        <v>1465710.7800029877</v>
      </c>
      <c r="AZ9" s="22">
        <f t="shared" si="1"/>
        <v>1536216.4777906404</v>
      </c>
      <c r="BA9" s="22">
        <f t="shared" si="1"/>
        <v>1609822.2557908837</v>
      </c>
      <c r="BB9" s="22">
        <f t="shared" si="1"/>
        <v>1682162.7878624063</v>
      </c>
      <c r="BC9" s="22">
        <f t="shared" si="1"/>
        <v>1758420.3907685571</v>
      </c>
      <c r="BD9" s="22">
        <f t="shared" si="1"/>
        <v>1839891.5378322399</v>
      </c>
      <c r="BE9" s="22">
        <f t="shared" si="1"/>
        <v>1924677.702040374</v>
      </c>
      <c r="BF9" s="22">
        <f t="shared" si="1"/>
        <v>2012984.6671896698</v>
      </c>
      <c r="BG9" s="22">
        <f t="shared" si="1"/>
        <v>2107227.9100710442</v>
      </c>
      <c r="BH9" s="22">
        <f t="shared" si="1"/>
        <v>2206826.5816563405</v>
      </c>
      <c r="BI9" s="22">
        <f t="shared" si="1"/>
        <v>2311417.8026098558</v>
      </c>
      <c r="BJ9" s="22">
        <f t="shared" si="1"/>
        <v>2422698.8423339105</v>
      </c>
      <c r="BK9" s="22">
        <f t="shared" si="1"/>
        <v>2531797.5932523264</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275980.24542581919</v>
      </c>
      <c r="Z10" s="22">
        <f t="shared" si="2"/>
        <v>278541.46309545019</v>
      </c>
      <c r="AA10" s="22">
        <f t="shared" si="2"/>
        <v>282418.30627434328</v>
      </c>
      <c r="AB10" s="22">
        <f t="shared" si="2"/>
        <v>283269.0315357307</v>
      </c>
      <c r="AC10" s="22">
        <f t="shared" si="2"/>
        <v>282130.80467211478</v>
      </c>
      <c r="AD10" s="22">
        <f t="shared" si="2"/>
        <v>279055.41305439838</v>
      </c>
      <c r="AE10" s="22">
        <f t="shared" si="2"/>
        <v>277262.49387415289</v>
      </c>
      <c r="AF10" s="22">
        <f t="shared" si="2"/>
        <v>275547.03864190145</v>
      </c>
      <c r="AG10" s="22">
        <f t="shared" si="2"/>
        <v>249468.09918360936</v>
      </c>
      <c r="AH10" s="22">
        <f t="shared" si="2"/>
        <v>264917.78921419044</v>
      </c>
      <c r="AI10" s="22">
        <f t="shared" si="2"/>
        <v>272626.51294245338</v>
      </c>
      <c r="AJ10" s="22">
        <f t="shared" si="2"/>
        <v>274235.64290574205</v>
      </c>
      <c r="AK10" s="22">
        <f t="shared" si="2"/>
        <v>276104.17182053532</v>
      </c>
      <c r="AL10" s="22">
        <f t="shared" si="2"/>
        <v>279548.84129081236</v>
      </c>
      <c r="AM10" s="22">
        <f t="shared" si="2"/>
        <v>284513.88317072066</v>
      </c>
      <c r="AN10" s="22">
        <f t="shared" si="2"/>
        <v>290184.15839767922</v>
      </c>
      <c r="AO10" s="22">
        <f t="shared" si="2"/>
        <v>296779.57712396397</v>
      </c>
      <c r="AP10" s="22">
        <f t="shared" si="2"/>
        <v>304974.4056592813</v>
      </c>
      <c r="AQ10" s="22">
        <f t="shared" si="2"/>
        <v>314680.13921207411</v>
      </c>
      <c r="AR10" s="22">
        <f t="shared" si="2"/>
        <v>322533.54477190075</v>
      </c>
      <c r="AS10" s="22">
        <f t="shared" si="2"/>
        <v>330991.0775625438</v>
      </c>
      <c r="AT10" s="22">
        <f t="shared" si="2"/>
        <v>339681.93625361077</v>
      </c>
      <c r="AU10" s="22">
        <f t="shared" si="2"/>
        <v>348730.2654741786</v>
      </c>
      <c r="AV10" s="22">
        <f t="shared" si="2"/>
        <v>357950.65915477253</v>
      </c>
      <c r="AW10" s="22">
        <f t="shared" si="2"/>
        <v>366753.68097536522</v>
      </c>
      <c r="AX10" s="22">
        <f t="shared" si="2"/>
        <v>375930.79350021901</v>
      </c>
      <c r="AY10" s="22">
        <f t="shared" si="2"/>
        <v>384934.14424320892</v>
      </c>
      <c r="AZ10" s="22">
        <f t="shared" si="2"/>
        <v>393703.72043880727</v>
      </c>
      <c r="BA10" s="22">
        <f t="shared" si="2"/>
        <v>402455.56394772092</v>
      </c>
      <c r="BB10" s="22">
        <f t="shared" si="2"/>
        <v>412685.01769476221</v>
      </c>
      <c r="BC10" s="22">
        <f t="shared" si="2"/>
        <v>423242.62507332512</v>
      </c>
      <c r="BD10" s="22">
        <f t="shared" si="2"/>
        <v>434387.24811614049</v>
      </c>
      <c r="BE10" s="22">
        <f t="shared" si="2"/>
        <v>445615.03446254949</v>
      </c>
      <c r="BF10" s="22">
        <f t="shared" si="2"/>
        <v>456935.16985286959</v>
      </c>
      <c r="BG10" s="22">
        <f t="shared" si="2"/>
        <v>468845.32962460862</v>
      </c>
      <c r="BH10" s="22">
        <f t="shared" si="2"/>
        <v>481147.3302271436</v>
      </c>
      <c r="BI10" s="22">
        <f t="shared" si="2"/>
        <v>493700.88987783296</v>
      </c>
      <c r="BJ10" s="22">
        <f t="shared" si="2"/>
        <v>506803.9899924621</v>
      </c>
      <c r="BK10" s="22">
        <f t="shared" si="2"/>
        <v>518560.95283481386</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1989214.0809840125</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2176243.6654550009</v>
      </c>
      <c r="AG12" s="22">
        <f>((Data!$AJ$6*'Net zero Intermediate calcs'!AG4)+Data!$AK$6)*Drivers!AH4</f>
        <v>2111328.1822015783</v>
      </c>
      <c r="AH12" s="22">
        <f>((Data!$AJ$6*'Net zero Intermediate calcs'!AH4)+Data!$AK$6)*Drivers!AI4</f>
        <v>2183911.4012353132</v>
      </c>
      <c r="AI12" s="22">
        <f>((Data!$AJ$6*'Net zero Intermediate calcs'!AI4)+Data!$AK$6)*Drivers!AJ4</f>
        <v>2228202.0084905801</v>
      </c>
      <c r="AJ12" s="22">
        <f>((Data!$AJ$6*'Net zero Intermediate calcs'!AJ4)+Data!$AK$6)*Drivers!AK4</f>
        <v>2251507.303441416</v>
      </c>
      <c r="AK12" s="22">
        <f>((Data!$AJ$6*'Net zero Intermediate calcs'!AK4)+Data!$AK$6)*Drivers!AL4</f>
        <v>2277580.172229209</v>
      </c>
      <c r="AL12" s="22">
        <f>((Data!$AJ$6*'Net zero Intermediate calcs'!AL4)+Data!$AK$6)*Drivers!AM4</f>
        <v>2310528.863071362</v>
      </c>
      <c r="AM12" s="22">
        <f>((Data!$AJ$6*'Net zero Intermediate calcs'!AM4)+Data!$AK$6)*Drivers!AN4</f>
        <v>2349001.258781428</v>
      </c>
      <c r="AN12" s="22">
        <f>((Data!$AJ$6*'Net zero Intermediate calcs'!AN4)+Data!$AK$6)*Drivers!AO4</f>
        <v>2390174.4122186555</v>
      </c>
      <c r="AO12" s="22">
        <f>((Data!$AJ$6*'Net zero Intermediate calcs'!AO4)+Data!$AK$6)*Drivers!AP4</f>
        <v>2434940.8596843588</v>
      </c>
      <c r="AP12" s="22">
        <f>((Data!$AJ$6*'Net zero Intermediate calcs'!AP4)+Data!$AK$6)*Drivers!AQ4</f>
        <v>2485975.1828273721</v>
      </c>
      <c r="AQ12" s="22">
        <f>((Data!$AJ$6*'Net zero Intermediate calcs'!AQ4)+Data!$AK$6)*Drivers!AR4</f>
        <v>2543156.3761753161</v>
      </c>
      <c r="AR12" s="22">
        <f>((Data!$AJ$6*'Net zero Intermediate calcs'!AR4)+Data!$AK$6)*Drivers!AS4</f>
        <v>2604240.4062412931</v>
      </c>
      <c r="AS12" s="22">
        <f>((Data!$AJ$6*'Net zero Intermediate calcs'!AS4)+Data!$AK$6)*Drivers!AT4</f>
        <v>2669237.2085472224</v>
      </c>
      <c r="AT12" s="22">
        <f>((Data!$AJ$6*'Net zero Intermediate calcs'!AT4)+Data!$AK$6)*Drivers!AU4</f>
        <v>2736894.4922441393</v>
      </c>
      <c r="AU12" s="22">
        <f>((Data!$AJ$6*'Net zero Intermediate calcs'!AU4)+Data!$AK$6)*Drivers!AV4</f>
        <v>2807848.4468153706</v>
      </c>
      <c r="AV12" s="22">
        <f>((Data!$AJ$6*'Net zero Intermediate calcs'!AV4)+Data!$AK$6)*Drivers!AW4</f>
        <v>2881546.4671347784</v>
      </c>
      <c r="AW12" s="22">
        <f>((Data!$AJ$6*'Net zero Intermediate calcs'!AW4)+Data!$AK$6)*Drivers!AX4</f>
        <v>2955698.7584730922</v>
      </c>
      <c r="AX12" s="22">
        <f>((Data!$AJ$6*'Net zero Intermediate calcs'!AX4)+Data!$AK$6)*Drivers!AY4</f>
        <v>3033718.3110835161</v>
      </c>
      <c r="AY12" s="22">
        <f>((Data!$AJ$6*'Net zero Intermediate calcs'!AY4)+Data!$AK$6)*Drivers!AZ4</f>
        <v>3113388.4227531878</v>
      </c>
      <c r="AZ12" s="22">
        <f>((Data!$AJ$6*'Net zero Intermediate calcs'!AZ4)+Data!$AK$6)*Drivers!BA4</f>
        <v>3194554.1766655589</v>
      </c>
      <c r="BA12" s="22">
        <f>((Data!$AJ$6*'Net zero Intermediate calcs'!BA4)+Data!$AK$6)*Drivers!BB4</f>
        <v>3278317.119618122</v>
      </c>
      <c r="BB12" s="22">
        <f>((Data!$AJ$6*'Net zero Intermediate calcs'!BB4)+Data!$AK$6)*Drivers!BC4</f>
        <v>3362076.2238495052</v>
      </c>
      <c r="BC12" s="22">
        <f>((Data!$AJ$6*'Net zero Intermediate calcs'!BC4)+Data!$AK$6)*Drivers!BD4</f>
        <v>3449473.3013086892</v>
      </c>
      <c r="BD12" s="22">
        <f>((Data!$AJ$6*'Net zero Intermediate calcs'!BD4)+Data!$AK$6)*Drivers!BE4</f>
        <v>3541903.3625436947</v>
      </c>
      <c r="BE12" s="22">
        <f>((Data!$AJ$6*'Net zero Intermediate calcs'!BE4)+Data!$AK$6)*Drivers!BF4</f>
        <v>3637174.5198763842</v>
      </c>
      <c r="BF12" s="22">
        <f>((Data!$AJ$6*'Net zero Intermediate calcs'!BF4)+Data!$AK$6)*Drivers!BG4</f>
        <v>3735455.4150252356</v>
      </c>
      <c r="BG12" s="22">
        <f>((Data!$AJ$6*'Net zero Intermediate calcs'!BG4)+Data!$AK$6)*Drivers!BH4</f>
        <v>3839371.4700998603</v>
      </c>
      <c r="BH12" s="22">
        <f>((Data!$AJ$6*'Net zero Intermediate calcs'!BH4)+Data!$AK$6)*Drivers!BI4</f>
        <v>3948209.7995892474</v>
      </c>
      <c r="BI12" s="22">
        <f>((Data!$AJ$6*'Net zero Intermediate calcs'!BI4)+Data!$AK$6)*Drivers!BJ4</f>
        <v>4061517.454351482</v>
      </c>
      <c r="BJ12" s="22">
        <f>((Data!$AJ$6*'Net zero Intermediate calcs'!BJ4)+Data!$AK$6)*Drivers!BK4</f>
        <v>4181117.771897261</v>
      </c>
      <c r="BK12" s="22">
        <f>((Data!$AJ$6*'Net zero Intermediate calcs'!BK4)+Data!$AK$6)*Drivers!BL4</f>
        <v>4297164.316135888</v>
      </c>
      <c r="BL12">
        <v>3795265.5831033587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37.479461161920788</v>
      </c>
      <c r="AE13" s="45">
        <f>AE12*ttokg/Drivers!AF4</f>
        <v>37.378043200844516</v>
      </c>
      <c r="AF13" s="45">
        <f>AF12*ttokg/Drivers!AG4</f>
        <v>37.286898324481022</v>
      </c>
      <c r="AG13" s="45">
        <f>AG12*ttokg/Drivers!AH4</f>
        <v>35.905765166532355</v>
      </c>
      <c r="AH13" s="45">
        <f>AH12*ttokg/Drivers!AI4</f>
        <v>36.770979671260385</v>
      </c>
      <c r="AI13" s="45">
        <f>AI12*ttokg/Drivers!AJ4</f>
        <v>37.202495855638354</v>
      </c>
      <c r="AJ13" s="45">
        <f>AJ12*ttokg/Drivers!AK4</f>
        <v>37.267667360977129</v>
      </c>
      <c r="AK13" s="45">
        <f>AK12*ttokg/Drivers!AL4</f>
        <v>37.325006938752466</v>
      </c>
      <c r="AL13" s="45">
        <f>AL12*ttokg/Drivers!AM4</f>
        <v>37.464138739417962</v>
      </c>
      <c r="AM13" s="45">
        <f>AM12*ttokg/Drivers!AN4</f>
        <v>37.701625686831328</v>
      </c>
      <c r="AN13" s="45">
        <f>AN12*ttokg/Drivers!AO4</f>
        <v>37.988168966843858</v>
      </c>
      <c r="AO13" s="45">
        <f>AO12*ttokg/Drivers!AP4</f>
        <v>38.336770076294677</v>
      </c>
      <c r="AP13" s="45">
        <f>AP12*ttokg/Drivers!AQ4</f>
        <v>38.786556894945235</v>
      </c>
      <c r="AQ13" s="45">
        <f>AQ12*ttokg/Drivers!AR4</f>
        <v>39.331654401945471</v>
      </c>
      <c r="AR13" s="45">
        <f>AR12*ttokg/Drivers!AS4</f>
        <v>39.935277794929888</v>
      </c>
      <c r="AS13" s="45">
        <f>AS12*ttokg/Drivers!AT4</f>
        <v>40.594958310100743</v>
      </c>
      <c r="AT13" s="45">
        <f>AT12*ttokg/Drivers!AU4</f>
        <v>41.290306686020394</v>
      </c>
      <c r="AU13" s="45">
        <f>AU12*ttokg/Drivers!AV4</f>
        <v>42.031037477278481</v>
      </c>
      <c r="AV13" s="45">
        <f>AV12*ttokg/Drivers!AW4</f>
        <v>42.807451254475467</v>
      </c>
      <c r="AW13" s="45">
        <f>AW12*ttokg/Drivers!AX4</f>
        <v>43.584134696975887</v>
      </c>
      <c r="AX13" s="45">
        <f>AX12*ttokg/Drivers!AY4</f>
        <v>44.412182843686487</v>
      </c>
      <c r="AY13" s="45">
        <f>AY12*ttokg/Drivers!AZ4</f>
        <v>45.260307305068785</v>
      </c>
      <c r="AZ13" s="45">
        <f>AZ12*ttokg/Drivers!BA4</f>
        <v>46.126201553680261</v>
      </c>
      <c r="BA13" s="45">
        <f>BA12*ttokg/Drivers!BB4</f>
        <v>47.025275873002585</v>
      </c>
      <c r="BB13" s="45">
        <f>BB12*ttokg/Drivers!BC4</f>
        <v>47.919683298403577</v>
      </c>
      <c r="BC13" s="45">
        <f>BC12*ttokg/Drivers!BD4</f>
        <v>48.862764380250596</v>
      </c>
      <c r="BD13" s="45">
        <f>BD12*ttokg/Drivers!BE4</f>
        <v>49.874605491860592</v>
      </c>
      <c r="BE13" s="45">
        <f>BE12*ttokg/Drivers!BF4</f>
        <v>50.923936965888863</v>
      </c>
      <c r="BF13" s="45">
        <f>BF12*ttokg/Drivers!BG4</f>
        <v>52.014104937481108</v>
      </c>
      <c r="BG13" s="45">
        <f>BG12*ttokg/Drivers!BH4</f>
        <v>53.182668810757349</v>
      </c>
      <c r="BH13" s="45">
        <f>BH12*ttokg/Drivers!BI4</f>
        <v>54.419489913711885</v>
      </c>
      <c r="BI13" s="45">
        <f>BI12*ttokg/Drivers!BJ4</f>
        <v>55.717963784638144</v>
      </c>
      <c r="BJ13" s="45">
        <f>BJ12*ttokg/Drivers!BK4</f>
        <v>57.102822500271934</v>
      </c>
      <c r="BK13" s="45">
        <f>BK12*ttokg/Drivers!BL4</f>
        <v>58.44116348569657</v>
      </c>
      <c r="BL13">
        <v>50.256436652233361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1.7777002258951357E-2</v>
      </c>
      <c r="Z14" s="22">
        <f>((Data!$AJ$6*LN('Net zero Intermediate calcs'!Z4))+Data!$AK$6)</f>
        <v>1.7778955352961274E-2</v>
      </c>
      <c r="AA14" s="22">
        <f>((Data!$AJ$6*LN('Net zero Intermediate calcs'!AA4))+Data!$AK$6)</f>
        <v>1.7781892932277481E-2</v>
      </c>
      <c r="AB14" s="22">
        <f>((Data!$AJ$6*LN('Net zero Intermediate calcs'!AB4))+Data!$AK$6)</f>
        <v>1.7782516865300114E-2</v>
      </c>
      <c r="AC14" s="22">
        <f>((Data!$AJ$6*LN('Net zero Intermediate calcs'!AC4))+Data!$AK$6)</f>
        <v>1.7781623209255179E-2</v>
      </c>
      <c r="AD14" s="22">
        <f>((Data!$AJ$6*LN('Net zero Intermediate calcs'!AD4))+Data!$AK$6)</f>
        <v>1.7779230084672418E-2</v>
      </c>
      <c r="AE14" s="22">
        <f>((Data!$AJ$6*LN('Net zero Intermediate calcs'!AE4))+Data!$AK$6)</f>
        <v>1.7777894153443254E-2</v>
      </c>
      <c r="AF14" s="22">
        <f>((Data!$AJ$6*LN('Net zero Intermediate calcs'!AF4))+Data!$AK$6)</f>
        <v>1.7776687972226667E-2</v>
      </c>
      <c r="AG14" s="22">
        <f>((Data!$AJ$6*LN('Net zero Intermediate calcs'!AG4))+Data!$AK$6)</f>
        <v>1.7757730483040076E-2</v>
      </c>
      <c r="AH14" s="22">
        <f>((Data!$AJ$6*LN('Net zero Intermediate calcs'!AH4))+Data!$AK$6)</f>
        <v>1.7769758724921793E-2</v>
      </c>
      <c r="AI14" s="22">
        <f>((Data!$AJ$6*LN('Net zero Intermediate calcs'!AI4))+Data!$AK$6)</f>
        <v>1.7775566271447968E-2</v>
      </c>
      <c r="AJ14" s="22">
        <f>((Data!$AJ$6*LN('Net zero Intermediate calcs'!AJ4))+Data!$AK$6)</f>
        <v>1.7776432797465731E-2</v>
      </c>
      <c r="AK14" s="22">
        <f>((Data!$AJ$6*LN('Net zero Intermediate calcs'!AK4))+Data!$AK$6)</f>
        <v>1.777719293395234E-2</v>
      </c>
      <c r="AL14" s="22">
        <f>((Data!$AJ$6*LN('Net zero Intermediate calcs'!AL4))+Data!$AK$6)</f>
        <v>1.7779028666060886E-2</v>
      </c>
      <c r="AM14" s="22">
        <f>((Data!$AJ$6*LN('Net zero Intermediate calcs'!AM4))+Data!$AK$6)</f>
        <v>1.7782134029056654E-2</v>
      </c>
      <c r="AN14" s="22">
        <f>((Data!$AJ$6*LN('Net zero Intermediate calcs'!AN4))+Data!$AK$6)</f>
        <v>1.7785834677555092E-2</v>
      </c>
      <c r="AO14" s="22">
        <f>((Data!$AJ$6*LN('Net zero Intermediate calcs'!AO4))+Data!$AK$6)</f>
        <v>1.7790270543018814E-2</v>
      </c>
      <c r="AP14" s="22">
        <f>((Data!$AJ$6*LN('Net zero Intermediate calcs'!AP4))+Data!$AK$6)</f>
        <v>1.7795890059285766E-2</v>
      </c>
      <c r="AQ14" s="22">
        <f>((Data!$AJ$6*LN('Net zero Intermediate calcs'!AQ4))+Data!$AK$6)</f>
        <v>1.7802549682378006E-2</v>
      </c>
      <c r="AR14" s="22">
        <f>((Data!$AJ$6*LN('Net zero Intermediate calcs'!AR4))+Data!$AK$6)</f>
        <v>1.780974057805618E-2</v>
      </c>
      <c r="AS14" s="22">
        <f>((Data!$AJ$6*LN('Net zero Intermediate calcs'!AS4))+Data!$AK$6)</f>
        <v>1.7817389662453866E-2</v>
      </c>
      <c r="AT14" s="22">
        <f>((Data!$AJ$6*LN('Net zero Intermediate calcs'!AT4))+Data!$AK$6)</f>
        <v>1.7825228033894417E-2</v>
      </c>
      <c r="AU14" s="22">
        <f>((Data!$AJ$6*LN('Net zero Intermediate calcs'!AU4))+Data!$AK$6)</f>
        <v>1.7833338872719682E-2</v>
      </c>
      <c r="AV14" s="22">
        <f>((Data!$AJ$6*LN('Net zero Intermediate calcs'!AV4))+Data!$AK$6)</f>
        <v>1.7841590772469138E-2</v>
      </c>
      <c r="AW14" s="22">
        <f>((Data!$AJ$6*LN('Net zero Intermediate calcs'!AW4))+Data!$AK$6)</f>
        <v>1.7849604569616252E-2</v>
      </c>
      <c r="AX14" s="22">
        <f>((Data!$AJ$6*LN('Net zero Intermediate calcs'!AX4))+Data!$AK$6)</f>
        <v>1.785789827075198E-2</v>
      </c>
      <c r="AY14" s="22">
        <f>((Data!$AJ$6*LN('Net zero Intermediate calcs'!AY4))+Data!$AK$6)</f>
        <v>1.7866141000695394E-2</v>
      </c>
      <c r="AZ14" s="22">
        <f>((Data!$AJ$6*LN('Net zero Intermediate calcs'!AZ4))+Data!$AK$6)</f>
        <v>1.787430860839492E-2</v>
      </c>
      <c r="BA14" s="22">
        <f>((Data!$AJ$6*LN('Net zero Intermediate calcs'!BA4))+Data!$AK$6)</f>
        <v>1.7882539613480127E-2</v>
      </c>
      <c r="BB14" s="22">
        <f>((Data!$AJ$6*LN('Net zero Intermediate calcs'!BB4))+Data!$AK$6)</f>
        <v>1.7890490087878252E-2</v>
      </c>
      <c r="BC14" s="22">
        <f>((Data!$AJ$6*LN('Net zero Intermediate calcs'!BC4))+Data!$AK$6)</f>
        <v>1.7898631063311618E-2</v>
      </c>
      <c r="BD14" s="22">
        <f>((Data!$AJ$6*LN('Net zero Intermediate calcs'!BD4))+Data!$AK$6)</f>
        <v>1.7907105184306008E-2</v>
      </c>
      <c r="BE14" s="22">
        <f>((Data!$AJ$6*LN('Net zero Intermediate calcs'!BE4))+Data!$AK$6)</f>
        <v>1.7915625409906651E-2</v>
      </c>
      <c r="BF14" s="22">
        <f>((Data!$AJ$6*LN('Net zero Intermediate calcs'!BF4))+Data!$AK$6)</f>
        <v>1.7924205736013471E-2</v>
      </c>
      <c r="BG14" s="22">
        <f>((Data!$AJ$6*LN('Net zero Intermediate calcs'!BG4))+Data!$AK$6)</f>
        <v>1.7933114678905973E-2</v>
      </c>
      <c r="BH14" s="22">
        <f>((Data!$AJ$6*LN('Net zero Intermediate calcs'!BH4))+Data!$AK$6)</f>
        <v>1.7942239278924497E-2</v>
      </c>
      <c r="BI14" s="22">
        <f>((Data!$AJ$6*LN('Net zero Intermediate calcs'!BI4))+Data!$AK$6)</f>
        <v>1.7951503159163575E-2</v>
      </c>
      <c r="BJ14" s="22">
        <f>((Data!$AJ$6*LN('Net zero Intermediate calcs'!BJ4))+Data!$AK$6)</f>
        <v>1.7961050509563162E-2</v>
      </c>
      <c r="BK14" s="22">
        <f>((Data!$AJ$6*LN('Net zero Intermediate calcs'!BK4))+Data!$AK$6)</f>
        <v>1.7969971986759724E-2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2896085.5151347183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3100724.3936023349</v>
      </c>
      <c r="AG15" s="22">
        <f>((Data!$AJ$17*'Net zero Intermediate calcs'!AG12)+Data!$AK$17)</f>
        <v>3029696.9584201518</v>
      </c>
      <c r="AH15" s="22">
        <f>((Data!$AJ$17*'Net zero Intermediate calcs'!AH12)+Data!$AK$17)</f>
        <v>3109114.0655085593</v>
      </c>
      <c r="AI15" s="22">
        <f>((Data!$AJ$17*'Net zero Intermediate calcs'!AI12)+Data!$AK$17)</f>
        <v>3157574.7420427222</v>
      </c>
      <c r="AJ15" s="22">
        <f>((Data!$AJ$17*'Net zero Intermediate calcs'!AJ12)+Data!$AK$17)</f>
        <v>3183074.2876605215</v>
      </c>
      <c r="AK15" s="22">
        <f>((Data!$AJ$17*'Net zero Intermediate calcs'!AK12)+Data!$AK$17)</f>
        <v>3211601.980978447</v>
      </c>
      <c r="AL15" s="22">
        <f>((Data!$AJ$17*'Net zero Intermediate calcs'!AL12)+Data!$AK$17)</f>
        <v>3247652.8718574792</v>
      </c>
      <c r="AM15" s="22">
        <f>((Data!$AJ$17*'Net zero Intermediate calcs'!AM12)+Data!$AK$17)</f>
        <v>3289747.5379625168</v>
      </c>
      <c r="AN15" s="22">
        <f>((Data!$AJ$17*'Net zero Intermediate calcs'!AN12)+Data!$AK$17)</f>
        <v>3334797.2447573068</v>
      </c>
      <c r="AO15" s="22">
        <f>((Data!$AJ$17*'Net zero Intermediate calcs'!AO12)+Data!$AK$17)</f>
        <v>3383778.5630245348</v>
      </c>
      <c r="AP15" s="22">
        <f>((Data!$AJ$17*'Net zero Intermediate calcs'!AP12)+Data!$AK$17)</f>
        <v>3439617.8928336659</v>
      </c>
      <c r="AQ15" s="22">
        <f>((Data!$AJ$17*'Net zero Intermediate calcs'!AQ12)+Data!$AK$17)</f>
        <v>3502182.8357503749</v>
      </c>
      <c r="AR15" s="22">
        <f>((Data!$AJ$17*'Net zero Intermediate calcs'!AR12)+Data!$AK$17)</f>
        <v>3569018.077032337</v>
      </c>
      <c r="AS15" s="22">
        <f>((Data!$AJ$17*'Net zero Intermediate calcs'!AS12)+Data!$AK$17)</f>
        <v>3640134.4876552243</v>
      </c>
      <c r="AT15" s="22">
        <f>((Data!$AJ$17*'Net zero Intermediate calcs'!AT12)+Data!$AK$17)</f>
        <v>3714161.8705158764</v>
      </c>
      <c r="AU15" s="22">
        <f>((Data!$AJ$17*'Net zero Intermediate calcs'!AU12)+Data!$AK$17)</f>
        <v>3791796.3138974858</v>
      </c>
      <c r="AV15" s="22">
        <f>((Data!$AJ$17*'Net zero Intermediate calcs'!AV12)+Data!$AK$17)</f>
        <v>3872433.1835462376</v>
      </c>
      <c r="AW15" s="22">
        <f>((Data!$AJ$17*'Net zero Intermediate calcs'!AW12)+Data!$AK$17)</f>
        <v>3953567.0949442508</v>
      </c>
      <c r="AX15" s="22">
        <f>((Data!$AJ$17*'Net zero Intermediate calcs'!AX12)+Data!$AK$17)</f>
        <v>4038932.3797461269</v>
      </c>
      <c r="AY15" s="22">
        <f>((Data!$AJ$17*'Net zero Intermediate calcs'!AY12)+Data!$AK$17)</f>
        <v>4126103.6277900441</v>
      </c>
      <c r="AZ15" s="22">
        <f>((Data!$AJ$17*'Net zero Intermediate calcs'!AZ12)+Data!$AK$17)</f>
        <v>4214911.3364613038</v>
      </c>
      <c r="BA15" s="22">
        <f>((Data!$AJ$17*'Net zero Intermediate calcs'!BA12)+Data!$AK$17)</f>
        <v>4306560.765889504</v>
      </c>
      <c r="BB15" s="22">
        <f>((Data!$AJ$17*'Net zero Intermediate calcs'!BB12)+Data!$AK$17)</f>
        <v>4398205.9951715115</v>
      </c>
      <c r="BC15" s="22">
        <f>((Data!$AJ$17*'Net zero Intermediate calcs'!BC12)+Data!$AK$17)</f>
        <v>4493831.7217814596</v>
      </c>
      <c r="BD15" s="22">
        <f>((Data!$AJ$17*'Net zero Intermediate calcs'!BD12)+Data!$AK$17)</f>
        <v>4594964.2999311937</v>
      </c>
      <c r="BE15" s="22">
        <f>((Data!$AJ$17*'Net zero Intermediate calcs'!BE12)+Data!$AK$17)</f>
        <v>4699205.4703429136</v>
      </c>
      <c r="BF15" s="22">
        <f>((Data!$AJ$17*'Net zero Intermediate calcs'!BF12)+Data!$AK$17)</f>
        <v>4806739.7527664201</v>
      </c>
      <c r="BG15" s="22">
        <f>((Data!$AJ$17*'Net zero Intermediate calcs'!BG12)+Data!$AK$17)</f>
        <v>4920439.7592407912</v>
      </c>
      <c r="BH15" s="22">
        <f>((Data!$AJ$17*'Net zero Intermediate calcs'!BH12)+Data!$AK$17)</f>
        <v>5039525.4843360744</v>
      </c>
      <c r="BI15" s="22">
        <f>((Data!$AJ$17*'Net zero Intermediate calcs'!BI12)+Data!$AK$17)</f>
        <v>5163501.3326379573</v>
      </c>
      <c r="BJ15" s="22">
        <f>((Data!$AJ$17*'Net zero Intermediate calcs'!BJ12)+Data!$AK$17)</f>
        <v>5294362.3133548107</v>
      </c>
      <c r="BK15" s="22">
        <f>((Data!$AJ$17*'Net zero Intermediate calcs'!BK12)+Data!$AK$17)</f>
        <v>5421334.92429337</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176619.22821174483</v>
      </c>
      <c r="AH18" s="22">
        <f t="shared" si="3"/>
        <v>177886.9921664685</v>
      </c>
      <c r="AI18" s="22">
        <f t="shared" si="3"/>
        <v>178943.15918820386</v>
      </c>
      <c r="AJ18" s="22">
        <f t="shared" si="3"/>
        <v>180011.77069921987</v>
      </c>
      <c r="AK18" s="22">
        <f t="shared" si="3"/>
        <v>181253.82640881767</v>
      </c>
      <c r="AL18" s="22">
        <f t="shared" si="3"/>
        <v>182598.41719917455</v>
      </c>
      <c r="AM18" s="22">
        <f t="shared" si="3"/>
        <v>183907.94786597023</v>
      </c>
      <c r="AN18" s="22">
        <f t="shared" si="3"/>
        <v>185184.62759203286</v>
      </c>
      <c r="AO18" s="22">
        <f t="shared" si="3"/>
        <v>186429.12054797405</v>
      </c>
      <c r="AP18" s="22">
        <f t="shared" si="3"/>
        <v>187648.54109579092</v>
      </c>
      <c r="AQ18" s="22">
        <f t="shared" si="3"/>
        <v>188848.0816383982</v>
      </c>
      <c r="AR18" s="22">
        <f t="shared" si="3"/>
        <v>190025.78857895857</v>
      </c>
      <c r="AS18" s="22">
        <f t="shared" si="3"/>
        <v>191186.56571236832</v>
      </c>
      <c r="AT18" s="22">
        <f t="shared" si="3"/>
        <v>192330.32513477103</v>
      </c>
      <c r="AU18" s="22">
        <f t="shared" si="3"/>
        <v>193455.53338207159</v>
      </c>
      <c r="AV18" s="22">
        <f t="shared" si="3"/>
        <v>194564.06720356885</v>
      </c>
      <c r="AW18" s="22">
        <f t="shared" si="3"/>
        <v>195656.83488815778</v>
      </c>
      <c r="AX18" s="22">
        <f t="shared" si="3"/>
        <v>196735.34112442267</v>
      </c>
      <c r="AY18" s="22">
        <f t="shared" si="3"/>
        <v>197791.74467185425</v>
      </c>
      <c r="AZ18" s="22">
        <f t="shared" si="3"/>
        <v>198826.14316597657</v>
      </c>
      <c r="BA18" s="22">
        <f t="shared" si="3"/>
        <v>199841.28697883818</v>
      </c>
      <c r="BB18" s="22">
        <f t="shared" si="3"/>
        <v>200835.64626819582</v>
      </c>
      <c r="BC18" s="22">
        <f t="shared" si="3"/>
        <v>201809.97447843666</v>
      </c>
      <c r="BD18" s="22">
        <f t="shared" si="3"/>
        <v>202763.54967569027</v>
      </c>
      <c r="BE18" s="22">
        <f t="shared" si="3"/>
        <v>203693.53241211953</v>
      </c>
      <c r="BF18" s="22">
        <f t="shared" si="3"/>
        <v>204597.24998052631</v>
      </c>
      <c r="BG18" s="22">
        <f t="shared" si="3"/>
        <v>205474.68721956544</v>
      </c>
      <c r="BH18" s="22">
        <f t="shared" si="3"/>
        <v>206324.69871854375</v>
      </c>
      <c r="BI18" s="22">
        <f t="shared" si="3"/>
        <v>207147.34193235237</v>
      </c>
      <c r="BJ18" s="22">
        <f t="shared" si="3"/>
        <v>207945.28453869367</v>
      </c>
      <c r="BK18" s="22">
        <f t="shared" si="3"/>
        <v>208703.44676396463</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189190.28187789526</v>
      </c>
      <c r="AH19" s="94">
        <f>IF('Net zero activities &amp; levers'!$C$12="Off",(((Data!$AJ$7*'Intermediate calculations'!AH4)+Data!$AK$7)*Drivers!AI4),IF('Net zero activities &amp; levers'!$C$12="PB",(((Data!$AJ$7*'Intermediate calculations'!AH4)+Data!$AK$7)*Drivers!AI4),IF('Net zero activities &amp; levers'!$C$12="MS",'Net zero supporting data'!K206,"ERROR")))</f>
        <v>191187.93711403207</v>
      </c>
      <c r="AI19" s="94">
        <f>IF('Net zero activities &amp; levers'!$C$12="Off",(((Data!$AJ$7*'Intermediate calculations'!AI4)+Data!$AK$7)*Drivers!AJ4),IF('Net zero activities &amp; levers'!$C$12="PB",(((Data!$AJ$7*'Intermediate calculations'!AI4)+Data!$AK$7)*Drivers!AJ4),IF('Net zero activities &amp; levers'!$C$12="MS",'Net zero supporting data'!L206,"ERROR")))</f>
        <v>192852.17245795659</v>
      </c>
      <c r="AJ19" s="94">
        <f>IF('Net zero activities &amp; levers'!$C$12="Off",(((Data!$AJ$7*'Intermediate calculations'!AJ4)+Data!$AK$7)*Drivers!AK4),IF('Net zero activities &amp; levers'!$C$12="PB",(((Data!$AJ$7*'Intermediate calculations'!AJ4)+Data!$AK$7)*Drivers!AK4),IF('Net zero activities &amp; levers'!$C$12="MS",'Net zero supporting data'!M206,"ERROR")))</f>
        <v>194536.01697208977</v>
      </c>
      <c r="AK19" s="94">
        <f>IF('Net zero activities &amp; levers'!$C$12="Off",(((Data!$AJ$7*'Intermediate calculations'!AK4)+Data!$AK$7)*Drivers!AL4),IF('Net zero activities &amp; levers'!$C$12="PB",(((Data!$AJ$7*'Intermediate calculations'!AK4)+Data!$AK$7)*Drivers!AL4),IF('Net zero activities &amp; levers'!$C$12="MS",'Net zero supporting data'!N206,"ERROR")))</f>
        <v>196493.16292391051</v>
      </c>
      <c r="AL19" s="94">
        <f>IF('Net zero activities &amp; levers'!$C$12="Off",(((Data!$AJ$7*'Intermediate calculations'!AL4)+Data!$AK$7)*Drivers!AM4),IF('Net zero activities &amp; levers'!$C$12="PB",(((Data!$AJ$7*'Intermediate calculations'!AL4)+Data!$AK$7)*Drivers!AM4),IF('Net zero activities &amp; levers'!$C$12="MS",'Net zero supporting data'!O206,"ERROR")))</f>
        <v>198611.87660306951</v>
      </c>
      <c r="AM19" s="94">
        <f>IF('Net zero activities &amp; levers'!$C$12="Off",(((Data!$AJ$7*'Intermediate calculations'!AM4)+Data!$AK$7)*Drivers!AN4),IF('Net zero activities &amp; levers'!$C$12="PB",(((Data!$AJ$7*'Intermediate calculations'!AM4)+Data!$AK$7)*Drivers!AN4),IF('Net zero activities &amp; levers'!$C$12="MS",'Net zero supporting data'!P206,"ERROR")))</f>
        <v>200675.34495114727</v>
      </c>
      <c r="AN19" s="94">
        <f>IF('Net zero activities &amp; levers'!$C$12="Off",(((Data!$AJ$7*'Intermediate calculations'!AN4)+Data!$AK$7)*Drivers!AO4),IF('Net zero activities &amp; levers'!$C$12="PB",(((Data!$AJ$7*'Intermediate calculations'!AN4)+Data!$AK$7)*Drivers!AO4),IF('Net zero activities &amp; levers'!$C$12="MS",'Net zero supporting data'!Q206,"ERROR")))</f>
        <v>202687.04904648467</v>
      </c>
      <c r="AO19" s="94">
        <f>IF('Net zero activities &amp; levers'!$C$12="Off",(((Data!$AJ$7*'Intermediate calculations'!AO4)+Data!$AK$7)*Drivers!AP4),IF('Net zero activities &amp; levers'!$C$12="PB",(((Data!$AJ$7*'Intermediate calculations'!AO4)+Data!$AK$7)*Drivers!AP4),IF('Net zero activities &amp; levers'!$C$12="MS",'Net zero supporting data'!R206,"ERROR")))</f>
        <v>204648.03544344622</v>
      </c>
      <c r="AP19" s="94">
        <f>IF('Net zero activities &amp; levers'!$C$12="Off",(((Data!$AJ$7*'Intermediate calculations'!AP4)+Data!$AK$7)*Drivers!AQ4),IF('Net zero activities &amp; levers'!$C$12="PB",(((Data!$AJ$7*'Intermediate calculations'!AP4)+Data!$AK$7)*Drivers!AQ4),IF('Net zero activities &amp; levers'!$C$12="MS",'Net zero supporting data'!S206,"ERROR")))</f>
        <v>206569.5144643024</v>
      </c>
      <c r="AQ19" s="94">
        <f>IF('Net zero activities &amp; levers'!$C$12="Off",(((Data!$AJ$7*'Intermediate calculations'!AQ4)+Data!$AK$7)*Drivers!AR4),IF('Net zero activities &amp; levers'!$C$12="PB",(((Data!$AJ$7*'Intermediate calculations'!AQ4)+Data!$AK$7)*Drivers!AR4),IF('Net zero activities &amp; levers'!$C$12="MS",'Net zero supporting data'!T206,"ERROR")))</f>
        <v>208459.66794040447</v>
      </c>
      <c r="AR19" s="94">
        <f>IF('Net zero activities &amp; levers'!$C$12="Off",(((Data!$AJ$7*'Intermediate calculations'!AR4)+Data!$AK$7)*Drivers!AS4),IF('Net zero activities &amp; levers'!$C$12="PB",(((Data!$AJ$7*'Intermediate calculations'!AR4)+Data!$AK$7)*Drivers!AS4),IF('Net zero activities &amp; levers'!$C$12="MS",'Net zero supporting data'!U206,"ERROR")))</f>
        <v>210315.41752823515</v>
      </c>
      <c r="AS19" s="94">
        <f>IF('Net zero activities &amp; levers'!$C$12="Off",(((Data!$AJ$7*'Intermediate calculations'!AS4)+Data!$AK$7)*Drivers!AT4),IF('Net zero activities &amp; levers'!$C$12="PB",(((Data!$AJ$7*'Intermediate calculations'!AS4)+Data!$AK$7)*Drivers!AT4),IF('Net zero activities &amp; levers'!$C$12="MS",'Net zero supporting data'!V206,"ERROR")))</f>
        <v>212144.49029048238</v>
      </c>
      <c r="AT19" s="94">
        <f>IF('Net zero activities &amp; levers'!$C$12="Off",(((Data!$AJ$7*'Intermediate calculations'!AT4)+Data!$AK$7)*Drivers!AU4),IF('Net zero activities &amp; levers'!$C$12="PB",(((Data!$AJ$7*'Intermediate calculations'!AT4)+Data!$AK$7)*Drivers!AU4),IF('Net zero activities &amp; levers'!$C$12="MS",'Net zero supporting data'!W206,"ERROR")))</f>
        <v>213946.74771429566</v>
      </c>
      <c r="AU19" s="94">
        <f>IF('Net zero activities &amp; levers'!$C$12="Off",(((Data!$AJ$7*'Intermediate calculations'!AU4)+Data!$AK$7)*Drivers!AV4),IF('Net zero activities &amp; levers'!$C$12="PB",(((Data!$AJ$7*'Intermediate calculations'!AU4)+Data!$AK$7)*Drivers!AV4),IF('Net zero activities &amp; levers'!$C$12="MS",'Net zero supporting data'!X206,"ERROR")))</f>
        <v>215719.77347243391</v>
      </c>
      <c r="AV19" s="94">
        <f>IF('Net zero activities &amp; levers'!$C$12="Off",(((Data!$AJ$7*'Intermediate calculations'!AV4)+Data!$AK$7)*Drivers!AW4),IF('Net zero activities &amp; levers'!$C$12="PB",(((Data!$AJ$7*'Intermediate calculations'!AV4)+Data!$AK$7)*Drivers!AW4),IF('Net zero activities &amp; levers'!$C$12="MS",'Net zero supporting data'!Y206,"ERROR")))</f>
        <v>217466.52481734924</v>
      </c>
      <c r="AW19" s="94">
        <f>IF('Net zero activities &amp; levers'!$C$12="Off",(((Data!$AJ$7*'Intermediate calculations'!AW4)+Data!$AK$7)*Drivers!AX4),IF('Net zero activities &amp; levers'!$C$12="PB",(((Data!$AJ$7*'Intermediate calculations'!AW4)+Data!$AK$7)*Drivers!AX4),IF('Net zero activities &amp; levers'!$C$12="MS",'Net zero supporting data'!Z206,"ERROR")))</f>
        <v>219188.43296820531</v>
      </c>
      <c r="AX19" s="94">
        <f>IF('Net zero activities &amp; levers'!$C$12="Off",(((Data!$AJ$7*'Intermediate calculations'!AX4)+Data!$AK$7)*Drivers!AY4),IF('Net zero activities &amp; levers'!$C$12="PB",(((Data!$AJ$7*'Intermediate calculations'!AX4)+Data!$AK$7)*Drivers!AY4),IF('Net zero activities &amp; levers'!$C$12="MS",'Net zero supporting data'!AA206,"ERROR")))</f>
        <v>220887.86890977251</v>
      </c>
      <c r="AY19" s="94">
        <f>IF('Net zero activities &amp; levers'!$C$12="Off",(((Data!$AJ$7*'Intermediate calculations'!AY4)+Data!$AK$7)*Drivers!AZ4),IF('Net zero activities &amp; levers'!$C$12="PB",(((Data!$AJ$7*'Intermediate calculations'!AY4)+Data!$AK$7)*Drivers!AZ4),IF('Net zero activities &amp; levers'!$C$12="MS",'Net zero supporting data'!AB206,"ERROR")))</f>
        <v>222552.4769546196</v>
      </c>
      <c r="AZ19" s="94">
        <f>IF('Net zero activities &amp; levers'!$C$12="Off",(((Data!$AJ$7*'Intermediate calculations'!AZ4)+Data!$AK$7)*Drivers!BA4),IF('Net zero activities &amp; levers'!$C$12="PB",(((Data!$AJ$7*'Intermediate calculations'!AZ4)+Data!$AK$7)*Drivers!BA4),IF('Net zero activities &amp; levers'!$C$12="MS",'Net zero supporting data'!AC206,"ERROR")))</f>
        <v>224182.41095008951</v>
      </c>
      <c r="BA19" s="94">
        <f>IF('Net zero activities &amp; levers'!$C$12="Off",(((Data!$AJ$7*'Intermediate calculations'!BA4)+Data!$AK$7)*Drivers!BB4),IF('Net zero activities &amp; levers'!$C$12="PB",(((Data!$AJ$7*'Intermediate calculations'!BA4)+Data!$AK$7)*Drivers!BB4),IF('Net zero activities &amp; levers'!$C$12="MS",'Net zero supporting data'!AD206,"ERROR")))</f>
        <v>225782.00474327078</v>
      </c>
      <c r="BB19" s="94">
        <f>IF('Net zero activities &amp; levers'!$C$12="Off",(((Data!$AJ$7*'Intermediate calculations'!BB4)+Data!$AK$7)*Drivers!BC4),IF('Net zero activities &amp; levers'!$C$12="PB",(((Data!$AJ$7*'Intermediate calculations'!BB4)+Data!$AK$7)*Drivers!BC4),IF('Net zero activities &amp; levers'!$C$12="MS",'Net zero supporting data'!AE206,"ERROR")))</f>
        <v>227348.84771398731</v>
      </c>
      <c r="BC19" s="94">
        <f>IF('Net zero activities &amp; levers'!$C$12="Off",(((Data!$AJ$7*'Intermediate calculations'!BC4)+Data!$AK$7)*Drivers!BD4),IF('Net zero activities &amp; levers'!$C$12="PB",(((Data!$AJ$7*'Intermediate calculations'!BC4)+Data!$AK$7)*Drivers!BD4),IF('Net zero activities &amp; levers'!$C$12="MS",'Net zero supporting data'!AF206,"ERROR")))</f>
        <v>228884.12708807847</v>
      </c>
      <c r="BD19" s="94">
        <f>IF('Net zero activities &amp; levers'!$C$12="Off",(((Data!$AJ$7*'Intermediate calculations'!BD4)+Data!$AK$7)*Drivers!BE4),IF('Net zero activities &amp; levers'!$C$12="PB",(((Data!$AJ$7*'Intermediate calculations'!BD4)+Data!$AK$7)*Drivers!BE4),IF('Net zero activities &amp; levers'!$C$12="MS",'Net zero supporting data'!AG206,"ERROR")))</f>
        <v>230386.70529180963</v>
      </c>
      <c r="BE19" s="94">
        <f>IF('Net zero activities &amp; levers'!$C$12="Off",(((Data!$AJ$7*'Intermediate calculations'!BE4)+Data!$AK$7)*Drivers!BF4),IF('Net zero activities &amp; levers'!$C$12="PB",(((Data!$AJ$7*'Intermediate calculations'!BE4)+Data!$AK$7)*Drivers!BF4),IF('Net zero activities &amp; levers'!$C$12="MS",'Net zero supporting data'!AH206,"ERROR")))</f>
        <v>231852.10811859192</v>
      </c>
      <c r="BF19" s="94">
        <f>IF('Net zero activities &amp; levers'!$C$12="Off",(((Data!$AJ$7*'Intermediate calculations'!BF4)+Data!$AK$7)*Drivers!BG4),IF('Net zero activities &amp; levers'!$C$12="PB",(((Data!$AJ$7*'Intermediate calculations'!BF4)+Data!$AK$7)*Drivers!BG4),IF('Net zero activities &amp; levers'!$C$12="MS",'Net zero supporting data'!AI206,"ERROR")))</f>
        <v>233276.12410026588</v>
      </c>
      <c r="BG19" s="94">
        <f>IF('Net zero activities &amp; levers'!$C$12="Off",(((Data!$AJ$7*'Intermediate calculations'!BG4)+Data!$AK$7)*Drivers!BH4),IF('Net zero activities &amp; levers'!$C$12="PB",(((Data!$AJ$7*'Intermediate calculations'!BG4)+Data!$AK$7)*Drivers!BH4),IF('Net zero activities &amp; levers'!$C$12="MS",'Net zero supporting data'!AJ206,"ERROR")))</f>
        <v>234658.72934662655</v>
      </c>
      <c r="BH19" s="94">
        <f>IF('Net zero activities &amp; levers'!$C$12="Off",(((Data!$AJ$7*'Intermediate calculations'!BH4)+Data!$AK$7)*Drivers!BI4),IF('Net zero activities &amp; levers'!$C$12="PB",(((Data!$AJ$7*'Intermediate calculations'!BH4)+Data!$AK$7)*Drivers!BI4),IF('Net zero activities &amp; levers'!$C$12="MS",'Net zero supporting data'!AK206,"ERROR")))</f>
        <v>235998.11899829135</v>
      </c>
      <c r="BI19" s="94">
        <f>IF('Net zero activities &amp; levers'!$C$12="Off",(((Data!$AJ$7*'Intermediate calculations'!BI4)+Data!$AK$7)*Drivers!BJ4),IF('Net zero activities &amp; levers'!$C$12="PB",(((Data!$AJ$7*'Intermediate calculations'!BI4)+Data!$AK$7)*Drivers!BJ4),IF('Net zero activities &amp; levers'!$C$12="MS",'Net zero supporting data'!AL206,"ERROR")))</f>
        <v>237294.38358872567</v>
      </c>
      <c r="BJ19" s="94">
        <f>IF('Net zero activities &amp; levers'!$C$12="Off",(((Data!$AJ$7*'Intermediate calculations'!BJ4)+Data!$AK$7)*Drivers!BK4),IF('Net zero activities &amp; levers'!$C$12="PB",(((Data!$AJ$7*'Intermediate calculations'!BJ4)+Data!$AK$7)*Drivers!BK4),IF('Net zero activities &amp; levers'!$C$12="MS",'Net zero supporting data'!AM206,"ERROR")))</f>
        <v>238551.72666095538</v>
      </c>
      <c r="BK19" s="94">
        <f>IF('Net zero activities &amp; levers'!$C$12="Off",(((Data!$AJ$7*'Intermediate calculations'!BK4)+Data!$AK$7)*Drivers!BL4),IF('Net zero activities &amp; levers'!$C$12="PB",(((Data!$AJ$7*'Intermediate calculations'!BK4)+Data!$AK$7)*Drivers!BL4),IF('Net zero activities &amp; levers'!$C$12="MS",'Net zero supporting data'!AN206,"ERROR")))</f>
        <v>239746.38654500595</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3.2174163591253612E-3</v>
      </c>
      <c r="AH20" s="22">
        <f>AH19/Drivers!AI4</f>
        <v>3.2190718657513859E-3</v>
      </c>
      <c r="AI20" s="22">
        <f>AI19/Drivers!AJ4</f>
        <v>3.2198975314083663E-3</v>
      </c>
      <c r="AJ20" s="22">
        <f>AJ19/Drivers!AK4</f>
        <v>3.2200222309578153E-3</v>
      </c>
      <c r="AK20" s="22">
        <f>AK19/Drivers!AL4</f>
        <v>3.2201319448500608E-3</v>
      </c>
      <c r="AL20" s="22">
        <f>AL19/Drivers!AM4</f>
        <v>3.220398160472468E-3</v>
      </c>
      <c r="AM20" s="22">
        <f>AM19/Drivers!AN4</f>
        <v>3.2208525694229525E-3</v>
      </c>
      <c r="AN20" s="22">
        <f>AN19/Drivers!AO4</f>
        <v>3.2214008430546492E-3</v>
      </c>
      <c r="AO20" s="22">
        <f>AO19/Drivers!AP4</f>
        <v>3.2220678585096396E-3</v>
      </c>
      <c r="AP20" s="22">
        <f>AP19/Drivers!AQ4</f>
        <v>3.2229284833078901E-3</v>
      </c>
      <c r="AQ20" s="22">
        <f>AQ19/Drivers!AR4</f>
        <v>3.2239714761492459E-3</v>
      </c>
      <c r="AR20" s="22">
        <f>AR19/Drivers!AS4</f>
        <v>3.2251264527720937E-3</v>
      </c>
      <c r="AS20" s="22">
        <f>AS19/Drivers!AT4</f>
        <v>3.2263886894289655E-3</v>
      </c>
      <c r="AT20" s="22">
        <f>AT19/Drivers!AU4</f>
        <v>3.2277191731846589E-3</v>
      </c>
      <c r="AU20" s="22">
        <f>AU19/Drivers!AV4</f>
        <v>3.2291364919262286E-3</v>
      </c>
      <c r="AV20" s="22">
        <f>AV19/Drivers!AW4</f>
        <v>3.2306220867072484E-3</v>
      </c>
      <c r="AW20" s="22">
        <f>AW19/Drivers!AX4</f>
        <v>3.2321081974674786E-3</v>
      </c>
      <c r="AX20" s="22">
        <f>AX19/Drivers!AY4</f>
        <v>3.2336925897610154E-3</v>
      </c>
      <c r="AY20" s="22">
        <f>AY19/Drivers!AZ4</f>
        <v>3.2353153961955355E-3</v>
      </c>
      <c r="AZ20" s="22">
        <f>AZ19/Drivers!BA4</f>
        <v>3.2369722034475868E-3</v>
      </c>
      <c r="BA20" s="22">
        <f>BA19/Drivers!BB4</f>
        <v>3.2386924976460702E-3</v>
      </c>
      <c r="BB20" s="22">
        <f>BB19/Drivers!BC4</f>
        <v>3.2404038621817156E-3</v>
      </c>
      <c r="BC20" s="22">
        <f>BC19/Drivers!BD4</f>
        <v>3.2422083591837248E-3</v>
      </c>
      <c r="BD20" s="22">
        <f>BD19/Drivers!BE4</f>
        <v>3.2441444220393536E-3</v>
      </c>
      <c r="BE20" s="22">
        <f>BE19/Drivers!BF4</f>
        <v>3.2461522191794359E-3</v>
      </c>
      <c r="BF20" s="22">
        <f>BF19/Drivers!BG4</f>
        <v>3.2482381531190418E-3</v>
      </c>
      <c r="BG20" s="22">
        <f>BG19/Drivers!BH4</f>
        <v>3.2504740902474312E-3</v>
      </c>
      <c r="BH20" s="22">
        <f>BH19/Drivers!BI4</f>
        <v>3.2528406311687404E-3</v>
      </c>
      <c r="BI20" s="22">
        <f>BI19/Drivers!BJ4</f>
        <v>3.2553251388663025E-3</v>
      </c>
      <c r="BJ20" s="22">
        <f>BJ19/Drivers!BK4</f>
        <v>3.2579749358441759E-3</v>
      </c>
      <c r="BK20" s="22">
        <f>BK19/Drivers!BL4</f>
        <v>3.260535725517886E-3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3.2174163591253611</v>
      </c>
      <c r="AH21" s="22">
        <f t="shared" si="6"/>
        <v>3.2190718657513862</v>
      </c>
      <c r="AI21" s="22">
        <f t="shared" si="6"/>
        <v>3.2198975314083662</v>
      </c>
      <c r="AJ21" s="22">
        <f t="shared" si="6"/>
        <v>3.2200222309578153</v>
      </c>
      <c r="AK21" s="22">
        <f t="shared" si="6"/>
        <v>3.2201319448500607</v>
      </c>
      <c r="AL21" s="22">
        <f t="shared" si="6"/>
        <v>3.2203981604724681</v>
      </c>
      <c r="AM21" s="22">
        <f t="shared" si="6"/>
        <v>3.2208525694229526</v>
      </c>
      <c r="AN21" s="22">
        <f t="shared" si="6"/>
        <v>3.2214008430546492</v>
      </c>
      <c r="AO21" s="22">
        <f t="shared" si="6"/>
        <v>3.2220678585096394</v>
      </c>
      <c r="AP21" s="22">
        <f t="shared" si="6"/>
        <v>3.2229284833078902</v>
      </c>
      <c r="AQ21" s="22">
        <f t="shared" si="6"/>
        <v>3.223971476149246</v>
      </c>
      <c r="AR21" s="22">
        <f t="shared" si="6"/>
        <v>3.2251264527720935</v>
      </c>
      <c r="AS21" s="22">
        <f t="shared" si="6"/>
        <v>3.2263886894289655</v>
      </c>
      <c r="AT21" s="22">
        <f t="shared" si="6"/>
        <v>3.2277191731846591</v>
      </c>
      <c r="AU21" s="22">
        <f t="shared" si="6"/>
        <v>3.2291364919262286</v>
      </c>
      <c r="AV21" s="22">
        <f t="shared" si="6"/>
        <v>3.2306220867072484</v>
      </c>
      <c r="AW21" s="22">
        <f t="shared" si="6"/>
        <v>3.2321081974674786</v>
      </c>
      <c r="AX21" s="22">
        <f t="shared" si="6"/>
        <v>3.2336925897610156</v>
      </c>
      <c r="AY21" s="22">
        <f t="shared" si="6"/>
        <v>3.2353153961955354</v>
      </c>
      <c r="AZ21" s="22">
        <f t="shared" si="6"/>
        <v>3.236972203447587</v>
      </c>
      <c r="BA21" s="22">
        <f t="shared" si="6"/>
        <v>3.23869249764607</v>
      </c>
      <c r="BB21" s="22">
        <f t="shared" si="6"/>
        <v>3.2404038621817155</v>
      </c>
      <c r="BC21" s="22">
        <f t="shared" si="6"/>
        <v>3.2422083591837247</v>
      </c>
      <c r="BD21" s="22">
        <f t="shared" si="6"/>
        <v>3.2441444220393536</v>
      </c>
      <c r="BE21" s="22">
        <f t="shared" si="6"/>
        <v>3.2461522191794359</v>
      </c>
      <c r="BF21" s="22">
        <f t="shared" si="6"/>
        <v>3.2482381531190416</v>
      </c>
      <c r="BG21" s="22">
        <f t="shared" si="6"/>
        <v>3.2504740902474314</v>
      </c>
      <c r="BH21" s="22">
        <f t="shared" si="6"/>
        <v>3.2528406311687403</v>
      </c>
      <c r="BI21" s="22">
        <f t="shared" si="6"/>
        <v>3.2553251388663025</v>
      </c>
      <c r="BJ21" s="22">
        <f t="shared" si="6"/>
        <v>3.2579749358441759</v>
      </c>
      <c r="BK21" s="22">
        <f t="shared" si="6"/>
        <v>3.2605357255178862</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10754.895090045062</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11434.433042269102</v>
      </c>
      <c r="AD22" s="22">
        <f>((Data!$AJ$8*'Net zero Intermediate calcs'!AD4)+Data!$AK$8)*Drivers!AE4</f>
        <v>11618.606464530285</v>
      </c>
      <c r="AE22" s="22">
        <f>((Data!$AJ$8*'Net zero Intermediate calcs'!AE4)+Data!$AK$8)*Drivers!AF4</f>
        <v>11805.786955654419</v>
      </c>
      <c r="AF22" s="22">
        <f>((Data!$AJ$8*'Net zero Intermediate calcs'!AF4)+Data!$AK$8)*Drivers!AG4</f>
        <v>11996.056186233092</v>
      </c>
      <c r="AG22" s="22">
        <f>((Data!$AJ$8*'Net zero Intermediate calcs'!AG4)+Data!$AK$8)*Drivers!AH4</f>
        <v>12075.975439014592</v>
      </c>
      <c r="AH22" s="22">
        <f>((Data!$AJ$8*'Net zero Intermediate calcs'!AH4)+Data!$AK$8)*Drivers!AI4</f>
        <v>12203.48534770418</v>
      </c>
      <c r="AI22" s="22">
        <f>((Data!$AJ$8*'Net zero Intermediate calcs'!AI4)+Data!$AK$8)*Drivers!AJ4</f>
        <v>12309.713135614251</v>
      </c>
      <c r="AJ22" s="22">
        <f>((Data!$AJ$8*'Net zero Intermediate calcs'!AJ4)+Data!$AK$8)*Drivers!AK4</f>
        <v>12417.192572686583</v>
      </c>
      <c r="AK22" s="22">
        <f>((Data!$AJ$8*'Net zero Intermediate calcs'!AK4)+Data!$AK$8)*Drivers!AL4</f>
        <v>12542.116782377268</v>
      </c>
      <c r="AL22" s="22">
        <f>((Data!$AJ$8*'Net zero Intermediate calcs'!AL4)+Data!$AK$8)*Drivers!AM4</f>
        <v>12677.353825727845</v>
      </c>
      <c r="AM22" s="22">
        <f>((Data!$AJ$8*'Net zero Intermediate calcs'!AM4)+Data!$AK$8)*Drivers!AN4</f>
        <v>12809.064571349827</v>
      </c>
      <c r="AN22" s="22">
        <f>((Data!$AJ$8*'Net zero Intermediate calcs'!AN4)+Data!$AK$8)*Drivers!AO4</f>
        <v>12937.471215733065</v>
      </c>
      <c r="AO22" s="22">
        <f>((Data!$AJ$8*'Net zero Intermediate calcs'!AO4)+Data!$AK$8)*Drivers!AP4</f>
        <v>13062.640560219976</v>
      </c>
      <c r="AP22" s="22">
        <f>((Data!$AJ$8*'Net zero Intermediate calcs'!AP4)+Data!$AK$8)*Drivers!AQ4</f>
        <v>13185.2881572959</v>
      </c>
      <c r="AQ22" s="22">
        <f>((Data!$AJ$8*'Net zero Intermediate calcs'!AQ4)+Data!$AK$8)*Drivers!AR4</f>
        <v>13305.936251515182</v>
      </c>
      <c r="AR22" s="22">
        <f>((Data!$AJ$8*'Net zero Intermediate calcs'!AR4)+Data!$AK$8)*Drivers!AS4</f>
        <v>13424.388352866077</v>
      </c>
      <c r="AS22" s="22">
        <f>((Data!$AJ$8*'Net zero Intermediate calcs'!AS4)+Data!$AK$8)*Drivers!AT4</f>
        <v>13541.137678115902</v>
      </c>
      <c r="AT22" s="22">
        <f>((Data!$AJ$8*'Net zero Intermediate calcs'!AT4)+Data!$AK$8)*Drivers!AU4</f>
        <v>13656.175386018875</v>
      </c>
      <c r="AU22" s="22">
        <f>((Data!$AJ$8*'Net zero Intermediate calcs'!AU4)+Data!$AK$8)*Drivers!AV4</f>
        <v>13769.347242921318</v>
      </c>
      <c r="AV22" s="22">
        <f>((Data!$AJ$8*'Net zero Intermediate calcs'!AV4)+Data!$AK$8)*Drivers!AW4</f>
        <v>13880.842009618042</v>
      </c>
      <c r="AW22" s="22">
        <f>((Data!$AJ$8*'Net zero Intermediate calcs'!AW4)+Data!$AK$8)*Drivers!AX4</f>
        <v>13990.751040523748</v>
      </c>
      <c r="AX22" s="22">
        <f>((Data!$AJ$8*'Net zero Intermediate calcs'!AX4)+Data!$AK$8)*Drivers!AY4</f>
        <v>14099.225675091868</v>
      </c>
      <c r="AY22" s="22">
        <f>((Data!$AJ$8*'Net zero Intermediate calcs'!AY4)+Data!$AK$8)*Drivers!AZ4</f>
        <v>14205.477252422534</v>
      </c>
      <c r="AZ22" s="22">
        <f>((Data!$AJ$8*'Net zero Intermediate calcs'!AZ4)+Data!$AK$8)*Drivers!BA4</f>
        <v>14309.515592558908</v>
      </c>
      <c r="BA22" s="22">
        <f>((Data!$AJ$8*'Net zero Intermediate calcs'!BA4)+Data!$AK$8)*Drivers!BB4</f>
        <v>14411.617324038565</v>
      </c>
      <c r="BB22" s="22">
        <f>((Data!$AJ$8*'Net zero Intermediate calcs'!BB4)+Data!$AK$8)*Drivers!BC4</f>
        <v>14511.628577488556</v>
      </c>
      <c r="BC22" s="22">
        <f>((Data!$AJ$8*'Net zero Intermediate calcs'!BC4)+Data!$AK$8)*Drivers!BD4</f>
        <v>14609.625133281608</v>
      </c>
      <c r="BD22" s="22">
        <f>((Data!$AJ$8*'Net zero Intermediate calcs'!BD4)+Data!$AK$8)*Drivers!BE4</f>
        <v>14705.534380328279</v>
      </c>
      <c r="BE22" s="22">
        <f>((Data!$AJ$8*'Net zero Intermediate calcs'!BE4)+Data!$AK$8)*Drivers!BF4</f>
        <v>14799.070730973957</v>
      </c>
      <c r="BF22" s="22">
        <f>((Data!$AJ$8*'Net zero Intermediate calcs'!BF4)+Data!$AK$8)*Drivers!BG4</f>
        <v>14889.965368102083</v>
      </c>
      <c r="BG22" s="22">
        <f>((Data!$AJ$8*'Net zero Intermediate calcs'!BG4)+Data!$AK$8)*Drivers!BH4</f>
        <v>14978.216766805956</v>
      </c>
      <c r="BH22" s="22">
        <f>((Data!$AJ$8*'Net zero Intermediate calcs'!BH4)+Data!$AK$8)*Drivers!BI4</f>
        <v>15063.709723295198</v>
      </c>
      <c r="BI22" s="22">
        <f>((Data!$AJ$8*'Net zero Intermediate calcs'!BI4)+Data!$AK$8)*Drivers!BJ4</f>
        <v>15146.450016301644</v>
      </c>
      <c r="BJ22" s="22">
        <f>((Data!$AJ$8*'Net zero Intermediate calcs'!BJ4)+Data!$AK$8)*Drivers!BK4</f>
        <v>15226.705957082264</v>
      </c>
      <c r="BK22" s="22">
        <f>((Data!$AJ$8*'Net zero Intermediate calcs'!BK4)+Data!$AK$8)*Drivers!BL4</f>
        <v>15302.960843298259</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2.0554681434588833E-4</v>
      </c>
      <c r="AF23" s="22">
        <f>AF22/Drivers!AG4</f>
        <v>2.0553568261268943E-4</v>
      </c>
      <c r="AG23" s="22">
        <f>AG22/Drivers!AH4</f>
        <v>2.0536700164629966E-4</v>
      </c>
      <c r="AH23" s="22">
        <f>AH22/Drivers!AI4</f>
        <v>2.0547267228200342E-4</v>
      </c>
      <c r="AI23" s="22">
        <f>AI22/Drivers!AJ4</f>
        <v>2.055253743452149E-4</v>
      </c>
      <c r="AJ23" s="22">
        <f>AJ22/Drivers!AK4</f>
        <v>2.0553333389092442E-4</v>
      </c>
      <c r="AK23" s="22">
        <f>AK22/Drivers!AL4</f>
        <v>2.0554033690532304E-4</v>
      </c>
      <c r="AL23" s="22">
        <f>AL22/Drivers!AM4</f>
        <v>2.0555732939185972E-4</v>
      </c>
      <c r="AM23" s="22">
        <f>AM22/Drivers!AN4</f>
        <v>2.0558633421848636E-4</v>
      </c>
      <c r="AN23" s="22">
        <f>AN22/Drivers!AO4</f>
        <v>2.0562133040774361E-4</v>
      </c>
      <c r="AO23" s="22">
        <f>AO22/Drivers!AP4</f>
        <v>2.0566390586231748E-4</v>
      </c>
      <c r="AP23" s="22">
        <f>AP22/Drivers!AQ4</f>
        <v>2.0571883936007813E-4</v>
      </c>
      <c r="AQ23" s="22">
        <f>AQ22/Drivers!AR4</f>
        <v>2.0578541337122852E-4</v>
      </c>
      <c r="AR23" s="22">
        <f>AR22/Drivers!AS4</f>
        <v>2.0585913528332517E-4</v>
      </c>
      <c r="AS23" s="22">
        <f>AS22/Drivers!AT4</f>
        <v>2.0593970358057234E-4</v>
      </c>
      <c r="AT23" s="22">
        <f>AT22/Drivers!AU4</f>
        <v>2.0602462807561657E-4</v>
      </c>
      <c r="AU23" s="22">
        <f>AU22/Drivers!AV4</f>
        <v>2.0611509522933379E-4</v>
      </c>
      <c r="AV23" s="22">
        <f>AV22/Drivers!AW4</f>
        <v>2.0620992042812231E-4</v>
      </c>
      <c r="AW23" s="22">
        <f>AW22/Drivers!AX4</f>
        <v>2.0630477856175403E-4</v>
      </c>
      <c r="AX23" s="22">
        <f>AX22/Drivers!AY4</f>
        <v>2.0640590998474573E-4</v>
      </c>
      <c r="AY23" s="22">
        <f>AY22/Drivers!AZ4</f>
        <v>2.0650949337418318E-4</v>
      </c>
      <c r="AZ23" s="22">
        <f>AZ22/Drivers!BA4</f>
        <v>2.0661524702856942E-4</v>
      </c>
      <c r="BA23" s="22">
        <f>BA22/Drivers!BB4</f>
        <v>2.0672505304123858E-4</v>
      </c>
      <c r="BB23" s="22">
        <f>BB22/Drivers!BC4</f>
        <v>2.0683428907542872E-4</v>
      </c>
      <c r="BC23" s="22">
        <f>BC22/Drivers!BD4</f>
        <v>2.0694946973513143E-4</v>
      </c>
      <c r="BD23" s="22">
        <f>BD22/Drivers!BE4</f>
        <v>2.0707304821527796E-4</v>
      </c>
      <c r="BE23" s="22">
        <f>BE22/Drivers!BF4</f>
        <v>2.0720120547953853E-4</v>
      </c>
      <c r="BF23" s="22">
        <f>BF22/Drivers!BG4</f>
        <v>2.0733435019908785E-4</v>
      </c>
      <c r="BG23" s="22">
        <f>BG22/Drivers!BH4</f>
        <v>2.0747706959026166E-4</v>
      </c>
      <c r="BH23" s="22">
        <f>BH22/Drivers!BI4</f>
        <v>2.0762812539374949E-4</v>
      </c>
      <c r="BI23" s="22">
        <f>BI22/Drivers!BJ4</f>
        <v>2.077867109914662E-4</v>
      </c>
      <c r="BJ23" s="22">
        <f>BJ22/Drivers!BK4</f>
        <v>2.0795584696877727E-4</v>
      </c>
      <c r="BK23" s="22">
        <f>BK22/Drivers!BL4</f>
        <v>2.0811930162880133E-4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v>
      </c>
      <c r="Z24" s="22">
        <f t="shared" si="7"/>
        <v>0.20555664858706674</v>
      </c>
      <c r="AA24" s="22">
        <f t="shared" si="7"/>
        <v>0.2055840705498761</v>
      </c>
      <c r="AB24" s="22">
        <f t="shared" si="7"/>
        <v>0.20558993277297813</v>
      </c>
      <c r="AC24" s="22">
        <f t="shared" si="7"/>
        <v>0.20558154046339838</v>
      </c>
      <c r="AD24" s="22">
        <f t="shared" si="7"/>
        <v>0.20555920075453052</v>
      </c>
      <c r="AE24" s="22">
        <f t="shared" si="7"/>
        <v>0.20554681434588834</v>
      </c>
      <c r="AF24" s="22">
        <f t="shared" si="7"/>
        <v>0.20553568261268942</v>
      </c>
      <c r="AG24" s="22">
        <f t="shared" si="7"/>
        <v>0.20536700164629967</v>
      </c>
      <c r="AH24" s="22">
        <f t="shared" si="7"/>
        <v>0.20547267228200342</v>
      </c>
      <c r="AI24" s="22">
        <f t="shared" si="7"/>
        <v>0.2055253743452149</v>
      </c>
      <c r="AJ24" s="22">
        <f t="shared" si="7"/>
        <v>0.2055333338909244</v>
      </c>
      <c r="AK24" s="22">
        <f t="shared" si="7"/>
        <v>0.20554033690532306</v>
      </c>
      <c r="AL24" s="22">
        <f t="shared" si="7"/>
        <v>0.20555732939185972</v>
      </c>
      <c r="AM24" s="22">
        <f t="shared" si="7"/>
        <v>0.20558633421848635</v>
      </c>
      <c r="AN24" s="22">
        <f t="shared" si="7"/>
        <v>0.20562133040774361</v>
      </c>
      <c r="AO24" s="22">
        <f t="shared" si="7"/>
        <v>0.20566390586231748</v>
      </c>
      <c r="AP24" s="22">
        <f t="shared" si="7"/>
        <v>0.20571883936007812</v>
      </c>
      <c r="AQ24" s="22">
        <f t="shared" si="7"/>
        <v>0.20578541337122852</v>
      </c>
      <c r="AR24" s="22">
        <f t="shared" si="7"/>
        <v>0.20585913528332517</v>
      </c>
      <c r="AS24" s="22">
        <f t="shared" si="7"/>
        <v>0.20593970358057234</v>
      </c>
      <c r="AT24" s="22">
        <f t="shared" si="7"/>
        <v>0.20602462807561658</v>
      </c>
      <c r="AU24" s="22">
        <f t="shared" si="7"/>
        <v>0.2061150952293338</v>
      </c>
      <c r="AV24" s="22">
        <f t="shared" si="7"/>
        <v>0.20620992042812231</v>
      </c>
      <c r="AW24" s="22">
        <f t="shared" si="7"/>
        <v>0.20630477856175403</v>
      </c>
      <c r="AX24" s="22">
        <f t="shared" si="7"/>
        <v>0.20640590998474573</v>
      </c>
      <c r="AY24" s="22">
        <f t="shared" si="7"/>
        <v>0.20650949337418317</v>
      </c>
      <c r="AZ24" s="22">
        <f t="shared" si="7"/>
        <v>0.20661524702856943</v>
      </c>
      <c r="BA24" s="22">
        <f t="shared" si="7"/>
        <v>0.20672505304123859</v>
      </c>
      <c r="BB24" s="22">
        <f t="shared" si="7"/>
        <v>0.20683428907542872</v>
      </c>
      <c r="BC24" s="22">
        <f t="shared" si="7"/>
        <v>0.20694946973513142</v>
      </c>
      <c r="BD24" s="22">
        <f t="shared" si="7"/>
        <v>0.20707304821527797</v>
      </c>
      <c r="BE24" s="22">
        <f t="shared" si="7"/>
        <v>0.20720120547953852</v>
      </c>
      <c r="BF24" s="22">
        <f t="shared" si="7"/>
        <v>0.20733435019908786</v>
      </c>
      <c r="BG24" s="22">
        <f t="shared" si="7"/>
        <v>0.20747706959026166</v>
      </c>
      <c r="BH24" s="22">
        <f t="shared" si="7"/>
        <v>0.20762812539374947</v>
      </c>
      <c r="BI24" s="22">
        <f t="shared" si="7"/>
        <v>0.2077867109914662</v>
      </c>
      <c r="BJ24" s="22">
        <f t="shared" si="7"/>
        <v>0.20795584696877728</v>
      </c>
      <c r="BK24" s="22">
        <f t="shared" si="7"/>
        <v>0.20811930162880132</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3.4227833607716605</v>
      </c>
      <c r="AH26" s="45">
        <f>(AH19+AH22)*ttokg/Drivers!AI4</f>
        <v>3.4245445380333894</v>
      </c>
      <c r="AI26" s="45">
        <f>(AI19+AI22)*ttokg/Drivers!AJ4</f>
        <v>3.4254229057535817</v>
      </c>
      <c r="AJ26" s="45">
        <f>(AJ19+AJ22)*ttokg/Drivers!AK4</f>
        <v>3.4255555648487395</v>
      </c>
      <c r="AK26" s="45">
        <f>(AK19+AK22)*ttokg/Drivers!AL4</f>
        <v>3.4256722817553835</v>
      </c>
      <c r="AL26" s="45">
        <f>(AL19+AL22)*ttokg/Drivers!AM4</f>
        <v>3.4259554898643279</v>
      </c>
      <c r="AM26" s="45">
        <f>(AM19+AM22)*ttokg/Drivers!AN4</f>
        <v>3.4264389036414387</v>
      </c>
      <c r="AN26" s="45">
        <f>(AN19+AN22)*ttokg/Drivers!AO4</f>
        <v>3.4270221734623929</v>
      </c>
      <c r="AO26" s="45">
        <f>(AO19+AO22)*ttokg/Drivers!AP4</f>
        <v>3.4277317643719569</v>
      </c>
      <c r="AP26" s="45">
        <f>(AP19+AP22)*ttokg/Drivers!AQ4</f>
        <v>3.4286473226679686</v>
      </c>
      <c r="AQ26" s="45">
        <f>(AQ19+AQ22)*ttokg/Drivers!AR4</f>
        <v>3.4297568895204744</v>
      </c>
      <c r="AR26" s="45">
        <f>(AR19+AR22)*ttokg/Drivers!AS4</f>
        <v>3.4309855880554188</v>
      </c>
      <c r="AS26" s="45">
        <f>(AS19+AS22)*ttokg/Drivers!AT4</f>
        <v>3.4323283930095378</v>
      </c>
      <c r="AT26" s="45">
        <f>(AT19+AT22)*ttokg/Drivers!AU4</f>
        <v>3.4337438012602752</v>
      </c>
      <c r="AU26" s="45">
        <f>(AU19+AU22)*ttokg/Drivers!AV4</f>
        <v>3.4352515871555624</v>
      </c>
      <c r="AV26" s="45">
        <f>(AV19+AV22)*ttokg/Drivers!AW4</f>
        <v>3.4368320071353704</v>
      </c>
      <c r="AW26" s="45">
        <f>(AW19+AW22)*ttokg/Drivers!AX4</f>
        <v>3.438412976029233</v>
      </c>
      <c r="AX26" s="45">
        <f>(AX19+AX22)*ttokg/Drivers!AY4</f>
        <v>3.4400984997457611</v>
      </c>
      <c r="AY26" s="45">
        <f>(AY19+AY22)*ttokg/Drivers!AZ4</f>
        <v>3.4418248895697188</v>
      </c>
      <c r="AZ26" s="45">
        <f>(AZ19+AZ22)*ttokg/Drivers!BA4</f>
        <v>3.4435874504761563</v>
      </c>
      <c r="BA26" s="45">
        <f>(BA19+BA22)*ttokg/Drivers!BB4</f>
        <v>3.4454175506873082</v>
      </c>
      <c r="BB26" s="45">
        <f>(BB19+BB22)*ttokg/Drivers!BC4</f>
        <v>3.4472381512571442</v>
      </c>
      <c r="BC26" s="45">
        <f>(BC19+BC22)*ttokg/Drivers!BD4</f>
        <v>3.4491578289188563</v>
      </c>
      <c r="BD26" s="45">
        <f>(BD19+BD22)*ttokg/Drivers!BE4</f>
        <v>3.4512174702546314</v>
      </c>
      <c r="BE26" s="45">
        <f>(BE19+BE22)*ttokg/Drivers!BF4</f>
        <v>3.4533534246589745</v>
      </c>
      <c r="BF26" s="45">
        <f>(BF19+BF22)*ttokg/Drivers!BG4</f>
        <v>3.4555725033181295</v>
      </c>
      <c r="BG26" s="45">
        <f>(BG19+BG22)*ttokg/Drivers!BH4</f>
        <v>3.4579511598376933</v>
      </c>
      <c r="BH26" s="45">
        <f>(BH19+BH22)*ttokg/Drivers!BI4</f>
        <v>3.4604687565624901</v>
      </c>
      <c r="BI26" s="45">
        <f>(BI19+BI22)*ttokg/Drivers!BJ4</f>
        <v>3.4631118498577687</v>
      </c>
      <c r="BJ26" s="45">
        <f>(BJ19+BJ22)*ttokg/Drivers!BK4</f>
        <v>3.4659307828129529</v>
      </c>
      <c r="BK26" s="45">
        <f>(BK19+BK22)*ttokg/Drivers!BL4</f>
        <v>3.4686550271466872</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164543.25277273025</v>
      </c>
      <c r="AH27" s="94">
        <f>IF('Net zero activities &amp; levers'!$C$14="Off",((Data!$AJ$23*'Net zero Intermediate calcs'!AH19)+Data!$AK$23),IF('Net zero activities &amp; levers'!$C$14="On",((Data!$AJ$23*'Net zero Intermediate calcs'!AH19)+Data!$AK$23)*(1-'Net zero supporting data'!K214),"ERROR"))</f>
        <v>165683.50681876432</v>
      </c>
      <c r="AI27" s="94">
        <f>IF('Net zero activities &amp; levers'!$C$14="Off",((Data!$AJ$23*'Net zero Intermediate calcs'!AI19)+Data!$AK$23),IF('Net zero activities &amp; levers'!$C$14="On",((Data!$AJ$23*'Net zero Intermediate calcs'!AI19)+Data!$AK$23)*(1-'Net zero supporting data'!L214),"ERROR"))</f>
        <v>166633.4460525896</v>
      </c>
      <c r="AJ27" s="94">
        <f>IF('Net zero activities &amp; levers'!$C$14="Off",((Data!$AJ$23*'Net zero Intermediate calcs'!AJ19)+Data!$AK$23),IF('Net zero activities &amp; levers'!$C$14="On",((Data!$AJ$23*'Net zero Intermediate calcs'!AJ19)+Data!$AK$23)*(1-'Net zero supporting data'!M214),"ERROR"))</f>
        <v>167594.57812653328</v>
      </c>
      <c r="AK27" s="94">
        <f>IF('Net zero activities &amp; levers'!$C$14="Off",((Data!$AJ$23*'Net zero Intermediate calcs'!AK19)+Data!$AK$23),IF('Net zero activities &amp; levers'!$C$14="On",((Data!$AJ$23*'Net zero Intermediate calcs'!AK19)+Data!$AK$23)*(1-'Net zero supporting data'!N214),"ERROR"))</f>
        <v>168711.7096264404</v>
      </c>
      <c r="AL27" s="94">
        <f>IF('Net zero activities &amp; levers'!$C$14="Off",((Data!$AJ$23*'Net zero Intermediate calcs'!AL19)+Data!$AK$23),IF('Net zero activities &amp; levers'!$C$14="On",((Data!$AJ$23*'Net zero Intermediate calcs'!AL19)+Data!$AK$23)*(1-'Net zero supporting data'!O214),"ERROR"))</f>
        <v>169921.0633734467</v>
      </c>
      <c r="AM27" s="94">
        <f>IF('Net zero activities &amp; levers'!$C$14="Off",((Data!$AJ$23*'Net zero Intermediate calcs'!AM19)+Data!$AK$23),IF('Net zero activities &amp; levers'!$C$14="On",((Data!$AJ$23*'Net zero Intermediate calcs'!AM19)+Data!$AK$23)*(1-'Net zero supporting data'!P214),"ERROR"))</f>
        <v>171098.88329462041</v>
      </c>
      <c r="AN27" s="94">
        <f>IF('Net zero activities &amp; levers'!$C$14="Off",((Data!$AJ$23*'Net zero Intermediate calcs'!AN19)+Data!$AK$23),IF('Net zero activities &amp; levers'!$C$14="On",((Data!$AJ$23*'Net zero Intermediate calcs'!AN19)+Data!$AK$23)*(1-'Net zero supporting data'!Q214),"ERROR"))</f>
        <v>172247.1563762998</v>
      </c>
      <c r="AO27" s="94">
        <f>IF('Net zero activities &amp; levers'!$C$14="Off",((Data!$AJ$23*'Net zero Intermediate calcs'!AO19)+Data!$AK$23),IF('Net zero activities &amp; levers'!$C$14="On",((Data!$AJ$23*'Net zero Intermediate calcs'!AO19)+Data!$AK$23)*(1-'Net zero supporting data'!R214),"ERROR"))</f>
        <v>173366.47998775408</v>
      </c>
      <c r="AP27" s="94">
        <f>IF('Net zero activities &amp; levers'!$C$14="Off",((Data!$AJ$23*'Net zero Intermediate calcs'!AP19)+Data!$AK$23),IF('Net zero activities &amp; levers'!$C$14="On",((Data!$AJ$23*'Net zero Intermediate calcs'!AP19)+Data!$AK$23)*(1-'Net zero supporting data'!S214),"ERROR"))</f>
        <v>174463.25293849502</v>
      </c>
      <c r="AQ27" s="94">
        <f>IF('Net zero activities &amp; levers'!$C$14="Off",((Data!$AJ$23*'Net zero Intermediate calcs'!AQ19)+Data!$AK$23),IF('Net zero activities &amp; levers'!$C$14="On",((Data!$AJ$23*'Net zero Intermediate calcs'!AQ19)+Data!$AK$23)*(1-'Net zero supporting data'!T214),"ERROR"))</f>
        <v>175542.14538688303</v>
      </c>
      <c r="AR27" s="94">
        <f>IF('Net zero activities &amp; levers'!$C$14="Off",((Data!$AJ$23*'Net zero Intermediate calcs'!AR19)+Data!$AK$23),IF('Net zero activities &amp; levers'!$C$14="On",((Data!$AJ$23*'Net zero Intermediate calcs'!AR19)+Data!$AK$23)*(1-'Net zero supporting data'!U214),"ERROR"))</f>
        <v>176601.40022609249</v>
      </c>
      <c r="AS27" s="94">
        <f>IF('Net zero activities &amp; levers'!$C$14="Off",((Data!$AJ$23*'Net zero Intermediate calcs'!AS19)+Data!$AK$23),IF('Net zero activities &amp; levers'!$C$14="On",((Data!$AJ$23*'Net zero Intermediate calcs'!AS19)+Data!$AK$23)*(1-'Net zero supporting data'!V214),"ERROR"))</f>
        <v>177645.42803425243</v>
      </c>
      <c r="AT27" s="94">
        <f>IF('Net zero activities &amp; levers'!$C$14="Off",((Data!$AJ$23*'Net zero Intermediate calcs'!AT19)+Data!$AK$23),IF('Net zero activities &amp; levers'!$C$14="On",((Data!$AJ$23*'Net zero Intermediate calcs'!AT19)+Data!$AK$23)*(1-'Net zero supporting data'!W214),"ERROR"))</f>
        <v>178674.14974875216</v>
      </c>
      <c r="AU27" s="94">
        <f>IF('Net zero activities &amp; levers'!$C$14="Off",((Data!$AJ$23*'Net zero Intermediate calcs'!AU19)+Data!$AK$23),IF('Net zero activities &amp; levers'!$C$14="On",((Data!$AJ$23*'Net zero Intermediate calcs'!AU19)+Data!$AK$23)*(1-'Net zero supporting data'!X214),"ERROR"))</f>
        <v>179686.18613915026</v>
      </c>
      <c r="AV27" s="94">
        <f>IF('Net zero activities &amp; levers'!$C$14="Off",((Data!$AJ$23*'Net zero Intermediate calcs'!AV19)+Data!$AK$23),IF('Net zero activities &amp; levers'!$C$14="On",((Data!$AJ$23*'Net zero Intermediate calcs'!AV19)+Data!$AK$23)*(1-'Net zero supporting data'!Y214),"ERROR"))</f>
        <v>180683.22519395081</v>
      </c>
      <c r="AW27" s="94">
        <f>IF('Net zero activities &amp; levers'!$C$14="Off",((Data!$AJ$23*'Net zero Intermediate calcs'!AW19)+Data!$AK$23),IF('Net zero activities &amp; levers'!$C$14="On",((Data!$AJ$23*'Net zero Intermediate calcs'!AW19)+Data!$AK$23)*(1-'Net zero supporting data'!Z214),"ERROR"))</f>
        <v>181666.08384763403</v>
      </c>
      <c r="AX27" s="94">
        <f>IF('Net zero activities &amp; levers'!$C$14="Off",((Data!$AJ$23*'Net zero Intermediate calcs'!AX19)+Data!$AK$23),IF('Net zero activities &amp; levers'!$C$14="On",((Data!$AJ$23*'Net zero Intermediate calcs'!AX19)+Data!$AK$23)*(1-'Net zero supporting data'!AA214),"ERROR"))</f>
        <v>182636.1154493308</v>
      </c>
      <c r="AY27" s="94">
        <f>IF('Net zero activities &amp; levers'!$C$14="Off",((Data!$AJ$23*'Net zero Intermediate calcs'!AY19)+Data!$AK$23),IF('Net zero activities &amp; levers'!$C$14="On",((Data!$AJ$23*'Net zero Intermediate calcs'!AY19)+Data!$AK$23)*(1-'Net zero supporting data'!AB214),"ERROR"))</f>
        <v>183586.26741943171</v>
      </c>
      <c r="AZ27" s="94">
        <f>IF('Net zero activities &amp; levers'!$C$14="Off",((Data!$AJ$23*'Net zero Intermediate calcs'!AZ19)+Data!$AK$23),IF('Net zero activities &amp; levers'!$C$14="On",((Data!$AJ$23*'Net zero Intermediate calcs'!AZ19)+Data!$AK$23)*(1-'Net zero supporting data'!AC214),"ERROR"))</f>
        <v>184516.62757341765</v>
      </c>
      <c r="BA27" s="94">
        <f>IF('Net zero activities &amp; levers'!$C$14="Off",((Data!$AJ$23*'Net zero Intermediate calcs'!BA19)+Data!$AK$23),IF('Net zero activities &amp; levers'!$C$14="On",((Data!$AJ$23*'Net zero Intermediate calcs'!BA19)+Data!$AK$23)*(1-'Net zero supporting data'!AD214),"ERROR"))</f>
        <v>185429.66965479963</v>
      </c>
      <c r="BB27" s="94">
        <f>IF('Net zero activities &amp; levers'!$C$14="Off",((Data!$AJ$23*'Net zero Intermediate calcs'!BB19)+Data!$AK$23),IF('Net zero activities &amp; levers'!$C$14="On",((Data!$AJ$23*'Net zero Intermediate calcs'!BB19)+Data!$AK$23)*(1-'Net zero supporting data'!AE214),"ERROR"))</f>
        <v>186324.01769070726</v>
      </c>
      <c r="BC27" s="94">
        <f>IF('Net zero activities &amp; levers'!$C$14="Off",((Data!$AJ$23*'Net zero Intermediate calcs'!BC19)+Data!$AK$23),IF('Net zero activities &amp; levers'!$C$14="On",((Data!$AJ$23*'Net zero Intermediate calcs'!BC19)+Data!$AK$23)*(1-'Net zero supporting data'!AF214),"ERROR"))</f>
        <v>187200.34934515506</v>
      </c>
      <c r="BD27" s="94">
        <f>IF('Net zero activities &amp; levers'!$C$14="Off",((Data!$AJ$23*'Net zero Intermediate calcs'!BD19)+Data!$AK$23),IF('Net zero activities &amp; levers'!$C$14="On",((Data!$AJ$23*'Net zero Intermediate calcs'!BD19)+Data!$AK$23)*(1-'Net zero supporting data'!AG214),"ERROR"))</f>
        <v>188058.01529536198</v>
      </c>
      <c r="BE27" s="94">
        <f>IF('Net zero activities &amp; levers'!$C$14="Off",((Data!$AJ$23*'Net zero Intermediate calcs'!BE19)+Data!$AK$23),IF('Net zero activities &amp; levers'!$C$14="On",((Data!$AJ$23*'Net zero Intermediate calcs'!BE19)+Data!$AK$23)*(1-'Net zero supporting data'!AH214),"ERROR"))</f>
        <v>188894.46168114556</v>
      </c>
      <c r="BF27" s="94">
        <f>IF('Net zero activities &amp; levers'!$C$14="Off",((Data!$AJ$23*'Net zero Intermediate calcs'!BF19)+Data!$AK$23),IF('Net zero activities &amp; levers'!$C$14="On",((Data!$AJ$23*'Net zero Intermediate calcs'!BF19)+Data!$AK$23)*(1-'Net zero supporting data'!AI214),"ERROR"))</f>
        <v>189707.28461242424</v>
      </c>
      <c r="BG27" s="94">
        <f>IF('Net zero activities &amp; levers'!$C$14="Off",((Data!$AJ$23*'Net zero Intermediate calcs'!BG19)+Data!$AK$23),IF('Net zero activities &amp; levers'!$C$14="On",((Data!$AJ$23*'Net zero Intermediate calcs'!BG19)+Data!$AK$23)*(1-'Net zero supporting data'!AJ214),"ERROR"))</f>
        <v>190496.47045275947</v>
      </c>
      <c r="BH27" s="94">
        <f>IF('Net zero activities &amp; levers'!$C$14="Off",((Data!$AJ$23*'Net zero Intermediate calcs'!BH19)+Data!$AK$23),IF('Net zero activities &amp; levers'!$C$14="On",((Data!$AJ$23*'Net zero Intermediate calcs'!BH19)+Data!$AK$23)*(1-'Net zero supporting data'!AK214),"ERROR"))</f>
        <v>191260.98899524854</v>
      </c>
      <c r="BI27" s="94">
        <f>IF('Net zero activities &amp; levers'!$C$14="Off",((Data!$AJ$23*'Net zero Intermediate calcs'!BI19)+Data!$AK$23),IF('Net zero activities &amp; levers'!$C$14="On",((Data!$AJ$23*'Net zero Intermediate calcs'!BI19)+Data!$AK$23)*(1-'Net zero supporting data'!AL214),"ERROR"))</f>
        <v>192000.89191605072</v>
      </c>
      <c r="BJ27" s="94">
        <f>IF('Net zero activities &amp; levers'!$C$14="Off",((Data!$AJ$23*'Net zero Intermediate calcs'!BJ19)+Data!$AK$23),IF('Net zero activities &amp; levers'!$C$14="On",((Data!$AJ$23*'Net zero Intermediate calcs'!BJ19)+Data!$AK$23)*(1-'Net zero supporting data'!AM214),"ERROR"))</f>
        <v>192718.57858161139</v>
      </c>
      <c r="BK27" s="94">
        <f>IF('Net zero activities &amp; levers'!$C$14="Off",((Data!$AJ$23*'Net zero Intermediate calcs'!BK19)+Data!$AK$23),IF('Net zero activities &amp; levers'!$C$14="On",((Data!$AJ$23*'Net zero Intermediate calcs'!BK19)+Data!$AK$23)*(1-'Net zero supporting data'!AN214),"ERROR"))</f>
        <v>193400.48592066637</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238588.45125065104</v>
      </c>
      <c r="AA29" s="22">
        <f>((Data!$AJ$9*'Net zero Intermediate calcs'!AA4)+Data!$AK$9)*Drivers!AB4</f>
        <v>245792.32692559357</v>
      </c>
      <c r="AB29" s="22">
        <f>((Data!$AJ$9*'Net zero Intermediate calcs'!AB4)+Data!$AK$9)*Drivers!AC4</f>
        <v>250389.30527292372</v>
      </c>
      <c r="AC29" s="22">
        <f>((Data!$AJ$9*'Net zero Intermediate calcs'!AC4)+Data!$AK$9)*Drivers!AD4</f>
        <v>253237.16816783993</v>
      </c>
      <c r="AD29" s="22">
        <f>((Data!$AJ$9*'Net zero Intermediate calcs'!AD4)+Data!$AK$9)*Drivers!AE4</f>
        <v>254291.65168168265</v>
      </c>
      <c r="AE29" s="22">
        <f>((Data!$AJ$9*'Net zero Intermediate calcs'!AE4)+Data!$AK$9)*Drivers!AF4</f>
        <v>256684.1988097</v>
      </c>
      <c r="AF29" s="22">
        <f>((Data!$AJ$9*'Net zero Intermediate calcs'!AF4)+Data!$AK$9)*Drivers!AG4</f>
        <v>259264.6459319139</v>
      </c>
      <c r="AG29" s="22">
        <f>((Data!$AJ$9*'Net zero Intermediate calcs'!AG4)+Data!$AK$9)*Drivers!AH4</f>
        <v>237229.13034537897</v>
      </c>
      <c r="AH29" s="22">
        <f>((Data!$AJ$9*'Net zero Intermediate calcs'!AH4)+Data!$AK$9)*Drivers!AI4</f>
        <v>254782.07290900993</v>
      </c>
      <c r="AI29" s="22">
        <f>((Data!$AJ$9*'Net zero Intermediate calcs'!AI4)+Data!$AK$9)*Drivers!AJ4</f>
        <v>264564.41944280121</v>
      </c>
      <c r="AJ29" s="22">
        <f>((Data!$AJ$9*'Net zero Intermediate calcs'!AJ4)+Data!$AK$9)*Drivers!AK4</f>
        <v>268026.50420141057</v>
      </c>
      <c r="AK29" s="22">
        <f>((Data!$AJ$9*'Net zero Intermediate calcs'!AK4)+Data!$AK$9)*Drivers!AL4</f>
        <v>271746.77921243547</v>
      </c>
      <c r="AL29" s="22">
        <f>((Data!$AJ$9*'Net zero Intermediate calcs'!AL4)+Data!$AK$9)*Drivers!AM4</f>
        <v>277187.55184569338</v>
      </c>
      <c r="AM29" s="22">
        <f>((Data!$AJ$9*'Net zero Intermediate calcs'!AM4)+Data!$AK$9)*Drivers!AN4</f>
        <v>284396.37375430966</v>
      </c>
      <c r="AN29" s="22">
        <f>((Data!$AJ$9*'Net zero Intermediate calcs'!AN4)+Data!$AK$9)*Drivers!AO4</f>
        <v>292521.2839304494</v>
      </c>
      <c r="AO29" s="22">
        <f>((Data!$AJ$9*'Net zero Intermediate calcs'!AO4)+Data!$AK$9)*Drivers!AP4</f>
        <v>301827.17071659549</v>
      </c>
      <c r="AP29" s="22">
        <f>((Data!$AJ$9*'Net zero Intermediate calcs'!AP4)+Data!$AK$9)*Drivers!AQ4</f>
        <v>313090.96277145197</v>
      </c>
      <c r="AQ29" s="22">
        <f>((Data!$AJ$9*'Net zero Intermediate calcs'!AQ4)+Data!$AK$9)*Drivers!AR4</f>
        <v>326259.3896379802</v>
      </c>
      <c r="AR29" s="22">
        <f>((Data!$AJ$9*'Net zero Intermediate calcs'!AR4)+Data!$AK$9)*Drivers!AS4</f>
        <v>340667.39581854997</v>
      </c>
      <c r="AS29" s="22">
        <f>((Data!$AJ$9*'Net zero Intermediate calcs'!AS4)+Data!$AK$9)*Drivers!AT4</f>
        <v>356301.84029059968</v>
      </c>
      <c r="AT29" s="22">
        <f>((Data!$AJ$9*'Net zero Intermediate calcs'!AT4)+Data!$AK$9)*Drivers!AU4</f>
        <v>372788.29286468209</v>
      </c>
      <c r="AU29" s="22">
        <f>((Data!$AJ$9*'Net zero Intermediate calcs'!AU4)+Data!$AK$9)*Drivers!AV4</f>
        <v>390322.15751763969</v>
      </c>
      <c r="AV29" s="22">
        <f>((Data!$AJ$9*'Net zero Intermediate calcs'!AV4)+Data!$AK$9)*Drivers!AW4</f>
        <v>408731.91291229194</v>
      </c>
      <c r="AW29" s="22">
        <f>((Data!$AJ$9*'Net zero Intermediate calcs'!AW4)+Data!$AK$9)*Drivers!AX4</f>
        <v>427329.40632779052</v>
      </c>
      <c r="AX29" s="22">
        <f>((Data!$AJ$9*'Net zero Intermediate calcs'!AX4)+Data!$AK$9)*Drivers!AY4</f>
        <v>447130.95163485134</v>
      </c>
      <c r="AY29" s="22">
        <f>((Data!$AJ$9*'Net zero Intermediate calcs'!AY4)+Data!$AK$9)*Drivers!AZ4</f>
        <v>467499.01853694796</v>
      </c>
      <c r="AZ29" s="22">
        <f>((Data!$AJ$9*'Net zero Intermediate calcs'!AZ4)+Data!$AK$9)*Drivers!BA4</f>
        <v>488386.93093045685</v>
      </c>
      <c r="BA29" s="22">
        <f>((Data!$AJ$9*'Net zero Intermediate calcs'!BA4)+Data!$AK$9)*Drivers!BB4</f>
        <v>510115.26339774142</v>
      </c>
      <c r="BB29" s="22">
        <f>((Data!$AJ$9*'Net zero Intermediate calcs'!BB4)+Data!$AK$9)*Drivers!BC4</f>
        <v>531910.74570097507</v>
      </c>
      <c r="BC29" s="22">
        <f>((Data!$AJ$9*'Net zero Intermediate calcs'!BC4)+Data!$AK$9)*Drivers!BD4</f>
        <v>554860.62991366349</v>
      </c>
      <c r="BD29" s="22">
        <f>((Data!$AJ$9*'Net zero Intermediate calcs'!BD4)+Data!$AK$9)*Drivers!BE4</f>
        <v>579384.71293879999</v>
      </c>
      <c r="BE29" s="22">
        <f>((Data!$AJ$9*'Net zero Intermediate calcs'!BE4)+Data!$AK$9)*Drivers!BF4</f>
        <v>604836.45363416418</v>
      </c>
      <c r="BF29" s="22">
        <f>((Data!$AJ$9*'Net zero Intermediate calcs'!BF4)+Data!$AK$9)*Drivers!BG4</f>
        <v>631275.09671496914</v>
      </c>
      <c r="BG29" s="22">
        <f>((Data!$AJ$9*'Net zero Intermediate calcs'!BG4)+Data!$AK$9)*Drivers!BH4</f>
        <v>659486.28878492385</v>
      </c>
      <c r="BH29" s="22">
        <f>((Data!$AJ$9*'Net zero Intermediate calcs'!BH4)+Data!$AK$9)*Drivers!BI4</f>
        <v>689260.47920872376</v>
      </c>
      <c r="BI29" s="22">
        <f>((Data!$AJ$9*'Net zero Intermediate calcs'!BI4)+Data!$AK$9)*Drivers!BJ4</f>
        <v>720461.94464395905</v>
      </c>
      <c r="BJ29" s="22">
        <f>((Data!$AJ$9*'Net zero Intermediate calcs'!BJ4)+Data!$AK$9)*Drivers!BK4</f>
        <v>753627.51056895894</v>
      </c>
      <c r="BK29" s="22">
        <f>((Data!$AJ$9*'Net zero Intermediate calcs'!BK4)+Data!$AK$9)*Drivers!BL4</f>
        <v>785860.41147395526</v>
      </c>
      <c r="BL29">
        <v>633508.56940588297</v>
      </c>
    </row>
    <row r="30" spans="1:64"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4.5591085416729999</v>
      </c>
      <c r="AB30" s="45">
        <f>AB29*ttokg/Drivers!AC4</f>
        <v>4.5732795927157337</v>
      </c>
      <c r="AC30" s="45">
        <f>AC29*ttokg/Drivers!AD4</f>
        <v>4.5529924345249393</v>
      </c>
      <c r="AD30" s="45">
        <f>AD29*ttokg/Drivers!AE4</f>
        <v>4.4989895163257341</v>
      </c>
      <c r="AE30" s="45">
        <f>AE29*ttokg/Drivers!AF4</f>
        <v>4.4690472186600516</v>
      </c>
      <c r="AF30" s="45">
        <f>AF29*ttokg/Drivers!AG4</f>
        <v>4.4421379119670723</v>
      </c>
      <c r="AG30" s="45">
        <f>AG29*ttokg/Drivers!AH4</f>
        <v>4.0343768044434833</v>
      </c>
      <c r="AH30" s="45">
        <f>AH29*ttokg/Drivers!AI4</f>
        <v>4.2898198243021746</v>
      </c>
      <c r="AI30" s="45">
        <f>AI29*ttokg/Drivers!AJ4</f>
        <v>4.4172192109895896</v>
      </c>
      <c r="AJ30" s="45">
        <f>AJ29*ttokg/Drivers!AK4</f>
        <v>4.436460226993713</v>
      </c>
      <c r="AK30" s="45">
        <f>AK29*ttokg/Drivers!AL4</f>
        <v>4.453388971050031</v>
      </c>
      <c r="AL30" s="45">
        <f>AL29*ttokg/Drivers!AM4</f>
        <v>4.4944657758494886</v>
      </c>
      <c r="AM30" s="45">
        <f>AM29*ttokg/Drivers!AN4</f>
        <v>4.5645806233153898</v>
      </c>
      <c r="AN30" s="45">
        <f>AN29*ttokg/Drivers!AO4</f>
        <v>4.6491786973960174</v>
      </c>
      <c r="AO30" s="45">
        <f>AO29*ttokg/Drivers!AP4</f>
        <v>4.7520985162820839</v>
      </c>
      <c r="AP30" s="45">
        <f>AP29*ttokg/Drivers!AQ4</f>
        <v>4.8848920635710833</v>
      </c>
      <c r="AQ30" s="45">
        <f>AQ29*ttokg/Drivers!AR4</f>
        <v>5.0458248178703791</v>
      </c>
      <c r="AR30" s="45">
        <f>AR29*ttokg/Drivers!AS4</f>
        <v>5.22403655787092</v>
      </c>
      <c r="AS30" s="45">
        <f>AS29*ttokg/Drivers!AT4</f>
        <v>5.4187984140537946</v>
      </c>
      <c r="AT30" s="45">
        <f>AT29*ttokg/Drivers!AU4</f>
        <v>5.6240907294601143</v>
      </c>
      <c r="AU30" s="45">
        <f>AU29*ttokg/Drivers!AV4</f>
        <v>5.8427815965078898</v>
      </c>
      <c r="AV30" s="45">
        <f>AV29*ttokg/Drivers!AW4</f>
        <v>6.0720073882893502</v>
      </c>
      <c r="AW30" s="45">
        <f>AW29*ttokg/Drivers!AX4</f>
        <v>6.3013127951478678</v>
      </c>
      <c r="AX30" s="45">
        <f>AX29*ttokg/Drivers!AY4</f>
        <v>6.5457829444903526</v>
      </c>
      <c r="AY30" s="45">
        <f>AY29*ttokg/Drivers!AZ4</f>
        <v>6.7961803574412842</v>
      </c>
      <c r="AZ30" s="45">
        <f>AZ29*ttokg/Drivers!BA4</f>
        <v>7.0518240625975119</v>
      </c>
      <c r="BA30" s="45">
        <f>BA29*ttokg/Drivers!BB4</f>
        <v>7.3172637402151226</v>
      </c>
      <c r="BB30" s="45">
        <f>BB29*ttokg/Drivers!BC4</f>
        <v>7.5813255797704828</v>
      </c>
      <c r="BC30" s="45">
        <f>BC29*ttokg/Drivers!BD4</f>
        <v>7.859757665920414</v>
      </c>
      <c r="BD30" s="45">
        <f>BD29*ttokg/Drivers!BE4</f>
        <v>8.158490231953941</v>
      </c>
      <c r="BE30" s="45">
        <f>BE29*ttokg/Drivers!BF4</f>
        <v>8.4682913264730431</v>
      </c>
      <c r="BF30" s="45">
        <f>BF29*ttokg/Drivers!BG4</f>
        <v>8.7901488511619981</v>
      </c>
      <c r="BG30" s="45">
        <f>BG29*ttokg/Drivers!BH4</f>
        <v>9.1351517181461581</v>
      </c>
      <c r="BH30" s="45">
        <f>BH29*ttokg/Drivers!BI4</f>
        <v>9.5003066200082991</v>
      </c>
      <c r="BI30" s="45">
        <f>BI29*ttokg/Drivers!BJ4</f>
        <v>9.8836636776910805</v>
      </c>
      <c r="BJ30" s="45">
        <f>BJ29*ttokg/Drivers!BK4</f>
        <v>10.292524706333127</v>
      </c>
      <c r="BK30" s="45">
        <f>BK29*ttokg/Drivers!BL4</f>
        <v>10.687651996790406</v>
      </c>
      <c r="BL30">
        <v>8.3888419900670428</v>
      </c>
    </row>
    <row r="31" spans="1:64"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0.1764340573864332</v>
      </c>
      <c r="AP31" s="45"/>
      <c r="AQ31" s="45">
        <f>(AQ32-AE32)/AE32</f>
        <v>0.25596404907405873</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215157.29984140495</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225164.53122577877</v>
      </c>
      <c r="AC32" s="94">
        <f>IF('Net zero activities &amp; levers'!$C$14="Off",((Data!$AJ$26*'Net zero Intermediate calcs'!AC29)+Data!$AK$26),IF('Net zero activities &amp; levers'!$C$14="On",((Data!$AJ$26*'Net zero Intermediate calcs'!AC29)+Data!$AK$26)*(1-'Net zero supporting data'!F215),"ERROR"))</f>
        <v>227579.54482450732</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230502.65811419082</v>
      </c>
      <c r="AF32" s="94">
        <f>IF('Net zero activities &amp; levers'!$C$14="Off",((Data!$AJ$26*'Net zero Intermediate calcs'!AF29)+Data!$AK$26),IF('Net zero activities &amp; levers'!$C$14="On",((Data!$AJ$26*'Net zero Intermediate calcs'!AF29)+Data!$AK$26)*(1-'Net zero supporting data'!I215),"ERROR"))</f>
        <v>232690.90070904014</v>
      </c>
      <c r="AG32" s="94">
        <f>IF('Net zero activities &amp; levers'!$C$14="Off",((Data!$AJ$26*'Net zero Intermediate calcs'!AG29)+Data!$AK$26),IF('Net zero activities &amp; levers'!$C$14="On",((Data!$AJ$26*'Net zero Intermediate calcs'!AG29)+Data!$AK$26)*(1-'Net zero supporting data'!J215),"ERROR"))</f>
        <v>214004.58336859714</v>
      </c>
      <c r="AH32" s="94">
        <f>IF('Net zero activities &amp; levers'!$C$14="Off",((Data!$AJ$26*'Net zero Intermediate calcs'!AH29)+Data!$AK$26),IF('Net zero activities &amp; levers'!$C$14="On",((Data!$AJ$26*'Net zero Intermediate calcs'!AH29)+Data!$AK$26)*(1-'Net zero supporting data'!K215),"ERROR"))</f>
        <v>228889.63807559959</v>
      </c>
      <c r="AI32" s="94">
        <f>IF('Net zero activities &amp; levers'!$C$14="Off",((Data!$AJ$26*'Net zero Intermediate calcs'!AI29)+Data!$AK$26),IF('Net zero activities &amp; levers'!$C$14="On",((Data!$AJ$26*'Net zero Intermediate calcs'!AI29)+Data!$AK$26)*(1-'Net zero supporting data'!L215),"ERROR"))</f>
        <v>237185.15677797596</v>
      </c>
      <c r="AJ32" s="94">
        <f>IF('Net zero activities &amp; levers'!$C$14="Off",((Data!$AJ$26*'Net zero Intermediate calcs'!AJ29)+Data!$AK$26),IF('Net zero activities &amp; levers'!$C$14="On",((Data!$AJ$26*'Net zero Intermediate calcs'!AJ29)+Data!$AK$26)*(1-'Net zero supporting data'!M215),"ERROR"))</f>
        <v>240121.03609538198</v>
      </c>
      <c r="AK32" s="94">
        <f>IF('Net zero activities &amp; levers'!$C$14="Off",((Data!$AJ$26*'Net zero Intermediate calcs'!AK29)+Data!$AK$26),IF('Net zero activities &amp; levers'!$C$14="On",((Data!$AJ$26*'Net zero Intermediate calcs'!AK29)+Data!$AK$26)*(1-'Net zero supporting data'!N215),"ERROR"))</f>
        <v>243275.86309167932</v>
      </c>
      <c r="AL32" s="94">
        <f>IF('Net zero activities &amp; levers'!$C$14="Off",((Data!$AJ$26*'Net zero Intermediate calcs'!AL29)+Data!$AK$26),IF('Net zero activities &amp; levers'!$C$14="On",((Data!$AJ$26*'Net zero Intermediate calcs'!AL29)+Data!$AK$26)*(1-'Net zero supporting data'!O215),"ERROR"))</f>
        <v>247889.68769691707</v>
      </c>
      <c r="AM32" s="94">
        <f>IF('Net zero activities &amp; levers'!$C$14="Off",((Data!$AJ$26*'Net zero Intermediate calcs'!AM29)+Data!$AK$26),IF('Net zero activities &amp; levers'!$C$14="On",((Data!$AJ$26*'Net zero Intermediate calcs'!AM29)+Data!$AK$26)*(1-'Net zero supporting data'!P215),"ERROR"))</f>
        <v>254002.83414480215</v>
      </c>
      <c r="AN32" s="94">
        <f>IF('Net zero activities &amp; levers'!$C$14="Off",((Data!$AJ$26*'Net zero Intermediate calcs'!AN29)+Data!$AK$26),IF('Net zero activities &amp; levers'!$C$14="On",((Data!$AJ$26*'Net zero Intermediate calcs'!AN29)+Data!$AK$26)*(1-'Net zero supporting data'!Q215),"ERROR"))</f>
        <v>260892.8317633156</v>
      </c>
      <c r="AO32" s="94">
        <f>IF('Net zero activities &amp; levers'!$C$14="Off",((Data!$AJ$26*'Net zero Intermediate calcs'!AO29)+Data!$AK$26),IF('Net zero activities &amp; levers'!$C$14="On",((Data!$AJ$26*'Net zero Intermediate calcs'!AO29)+Data!$AK$26)*(1-'Net zero supporting data'!R215),"ERROR"))</f>
        <v>268784.30827255687</v>
      </c>
      <c r="AP32" s="94">
        <f>IF('Net zero activities &amp; levers'!$C$14="Off",((Data!$AJ$26*'Net zero Intermediate calcs'!AP29)+Data!$AK$26),IF('Net zero activities &amp; levers'!$C$14="On",((Data!$AJ$26*'Net zero Intermediate calcs'!AP29)+Data!$AK$26)*(1-'Net zero supporting data'!S215),"ERROR"))</f>
        <v>278336.1062310501</v>
      </c>
      <c r="AQ32" s="94">
        <f>IF('Net zero activities &amp; levers'!$C$14="Off",((Data!$AJ$26*'Net zero Intermediate calcs'!AQ29)+Data!$AK$26),IF('Net zero activities &amp; levers'!$C$14="On",((Data!$AJ$26*'Net zero Intermediate calcs'!AQ29)+Data!$AK$26)*(1-'Net zero supporting data'!T215),"ERROR"))</f>
        <v>289503.05180743255</v>
      </c>
      <c r="AR32" s="94">
        <f>IF('Net zero activities &amp; levers'!$C$14="Off",((Data!$AJ$26*'Net zero Intermediate calcs'!AR29)+Data!$AK$26),IF('Net zero activities &amp; levers'!$C$14="On",((Data!$AJ$26*'Net zero Intermediate calcs'!AR29)+Data!$AK$26)*(1-'Net zero supporting data'!U215),"ERROR"))</f>
        <v>301721.17189978505</v>
      </c>
      <c r="AS32" s="94">
        <f>IF('Net zero activities &amp; levers'!$C$14="Off",((Data!$AJ$26*'Net zero Intermediate calcs'!AS29)+Data!$AK$26),IF('Net zero activities &amp; levers'!$C$14="On",((Data!$AJ$26*'Net zero Intermediate calcs'!AS29)+Data!$AK$26)*(1-'Net zero supporting data'!V215),"ERROR"))</f>
        <v>314979.32280163094</v>
      </c>
      <c r="AT32" s="94">
        <f>IF('Net zero activities &amp; levers'!$C$14="Off",((Data!$AJ$26*'Net zero Intermediate calcs'!AT29)+Data!$AK$26),IF('Net zero activities &amp; levers'!$C$14="On",((Data!$AJ$26*'Net zero Intermediate calcs'!AT29)+Data!$AK$26)*(1-'Net zero supporting data'!W215),"ERROR"))</f>
        <v>328959.98431180313</v>
      </c>
      <c r="AU32" s="94">
        <f>IF('Net zero activities &amp; levers'!$C$14="Off",((Data!$AJ$26*'Net zero Intermediate calcs'!AU29)+Data!$AK$26),IF('Net zero activities &amp; levers'!$C$14="On",((Data!$AJ$26*'Net zero Intermediate calcs'!AU29)+Data!$AK$26)*(1-'Net zero supporting data'!X215),"ERROR"))</f>
        <v>343828.86077729193</v>
      </c>
      <c r="AV32" s="94">
        <f>IF('Net zero activities &amp; levers'!$C$14="Off",((Data!$AJ$26*'Net zero Intermediate calcs'!AV29)+Data!$AK$26),IF('Net zero activities &amp; levers'!$C$14="On",((Data!$AJ$26*'Net zero Intermediate calcs'!AV29)+Data!$AK$26)*(1-'Net zero supporting data'!Y215),"ERROR"))</f>
        <v>359440.50054643885</v>
      </c>
      <c r="AW32" s="94">
        <f>IF('Net zero activities &amp; levers'!$C$14="Off",((Data!$AJ$26*'Net zero Intermediate calcs'!AW29)+Data!$AK$26),IF('Net zero activities &amp; levers'!$C$14="On",((Data!$AJ$26*'Net zero Intermediate calcs'!AW29)+Data!$AK$26)*(1-'Net zero supporting data'!Z215),"ERROR"))</f>
        <v>375211.34386227035</v>
      </c>
      <c r="AX32" s="94">
        <f>IF('Net zero activities &amp; levers'!$C$14="Off",((Data!$AJ$26*'Net zero Intermediate calcs'!AX29)+Data!$AK$26),IF('Net zero activities &amp; levers'!$C$14="On",((Data!$AJ$26*'Net zero Intermediate calcs'!AX29)+Data!$AK$26)*(1-'Net zero supporting data'!AA215),"ERROR"))</f>
        <v>392003.2341171552</v>
      </c>
      <c r="AY32" s="94">
        <f>IF('Net zero activities &amp; levers'!$C$14="Off",((Data!$AJ$26*'Net zero Intermediate calcs'!AY29)+Data!$AK$26),IF('Net zero activities &amp; levers'!$C$14="On",((Data!$AJ$26*'Net zero Intermediate calcs'!AY29)+Data!$AK$26)*(1-'Net zero supporting data'!AB215),"ERROR"))</f>
        <v>409275.53982968978</v>
      </c>
      <c r="AZ32" s="94">
        <f>IF('Net zero activities &amp; levers'!$C$14="Off",((Data!$AJ$26*'Net zero Intermediate calcs'!AZ29)+Data!$AK$26),IF('Net zero activities &amp; levers'!$C$14="On",((Data!$AJ$26*'Net zero Intermediate calcs'!AZ29)+Data!$AK$26)*(1-'Net zero supporting data'!AC215),"ERROR"))</f>
        <v>426988.67924009624</v>
      </c>
      <c r="BA32" s="94">
        <f>IF('Net zero activities &amp; levers'!$C$14="Off",((Data!$AJ$26*'Net zero Intermediate calcs'!BA29)+Data!$AK$26),IF('Net zero activities &amp; levers'!$C$14="On",((Data!$AJ$26*'Net zero Intermediate calcs'!BA29)+Data!$AK$26)*(1-'Net zero supporting data'!AD215),"ERROR"))</f>
        <v>445414.50250562653</v>
      </c>
      <c r="BB32" s="94">
        <f>IF('Net zero activities &amp; levers'!$C$14="Off",((Data!$AJ$26*'Net zero Intermediate calcs'!BB29)+Data!$AK$26),IF('Net zero activities &amp; levers'!$C$14="On",((Data!$AJ$26*'Net zero Intermediate calcs'!BB29)+Data!$AK$26)*(1-'Net zero supporting data'!AE215),"ERROR"))</f>
        <v>463897.26944188587</v>
      </c>
      <c r="BC32" s="94">
        <f>IF('Net zero activities &amp; levers'!$C$14="Off",((Data!$AJ$26*'Net zero Intermediate calcs'!BC29)+Data!$AK$26),IF('Net zero activities &amp; levers'!$C$14="On",((Data!$AJ$26*'Net zero Intermediate calcs'!BC29)+Data!$AK$26)*(1-'Net zero supporting data'!AF215),"ERROR"))</f>
        <v>483358.97968145809</v>
      </c>
      <c r="BD32" s="94">
        <f>IF('Net zero activities &amp; levers'!$C$14="Off",((Data!$AJ$26*'Net zero Intermediate calcs'!BD29)+Data!$AK$26),IF('Net zero activities &amp; levers'!$C$14="On",((Data!$AJ$26*'Net zero Intermediate calcs'!BD29)+Data!$AK$26)*(1-'Net zero supporting data'!AG215),"ERROR"))</f>
        <v>504155.62481061043</v>
      </c>
      <c r="BE32" s="94">
        <f>IF('Net zero activities &amp; levers'!$C$14="Off",((Data!$AJ$26*'Net zero Intermediate calcs'!BE29)+Data!$AK$26),IF('Net zero activities &amp; levers'!$C$14="On",((Data!$AJ$26*'Net zero Intermediate calcs'!BE29)+Data!$AK$26)*(1-'Net zero supporting data'!AH215),"ERROR"))</f>
        <v>525738.93206895585</v>
      </c>
      <c r="BF32" s="94">
        <f>IF('Net zero activities &amp; levers'!$C$14="Off",((Data!$AJ$26*'Net zero Intermediate calcs'!BF29)+Data!$AK$26),IF('Net zero activities &amp; levers'!$C$14="On",((Data!$AJ$26*'Net zero Intermediate calcs'!BF29)+Data!$AK$26)*(1-'Net zero supporting data'!AI215),"ERROR"))</f>
        <v>548159.14151304611</v>
      </c>
      <c r="BG32" s="94">
        <f>IF('Net zero activities &amp; levers'!$C$14="Off",((Data!$AJ$26*'Net zero Intermediate calcs'!BG29)+Data!$AK$26),IF('Net zero activities &amp; levers'!$C$14="On",((Data!$AJ$26*'Net zero Intermediate calcs'!BG29)+Data!$AK$26)*(1-'Net zero supporting data'!AJ215),"ERROR"))</f>
        <v>572082.4885979445</v>
      </c>
      <c r="BH32" s="94">
        <f>IF('Net zero activities &amp; levers'!$C$14="Off",((Data!$AJ$26*'Net zero Intermediate calcs'!BH29)+Data!$AK$26),IF('Net zero activities &amp; levers'!$C$14="On",((Data!$AJ$26*'Net zero Intermediate calcs'!BH29)+Data!$AK$26)*(1-'Net zero supporting data'!AK215),"ERROR"))</f>
        <v>597331.27248180693</v>
      </c>
      <c r="BI32" s="94">
        <f>IF('Net zero activities &amp; levers'!$C$14="Off",((Data!$AJ$26*'Net zero Intermediate calcs'!BI29)+Data!$AK$26),IF('Net zero activities &amp; levers'!$C$14="On",((Data!$AJ$26*'Net zero Intermediate calcs'!BI29)+Data!$AK$26)*(1-'Net zero supporting data'!AL215),"ERROR"))</f>
        <v>623790.39853765222</v>
      </c>
      <c r="BJ32" s="94">
        <f>IF('Net zero activities &amp; levers'!$C$14="Off",((Data!$AJ$26*'Net zero Intermediate calcs'!BJ29)+Data!$AK$26),IF('Net zero activities &amp; levers'!$C$14="On",((Data!$AJ$26*'Net zero Intermediate calcs'!BJ29)+Data!$AK$26)*(1-'Net zero supporting data'!AM215),"ERROR"))</f>
        <v>651915.09964646737</v>
      </c>
      <c r="BK32" s="94">
        <f>IF('Net zero activities &amp; levers'!$C$14="Off",((Data!$AJ$26*'Net zero Intermediate calcs'!BK29)+Data!$AK$26),IF('Net zero activities &amp; levers'!$C$14="On",((Data!$AJ$26*'Net zero Intermediate calcs'!BK29)+Data!$AK$26)*(1-'Net zero supporting data'!AN215),"ERROR"))</f>
        <v>679248.89234800346</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450995.02687358484</v>
      </c>
      <c r="AD34" s="22">
        <f>((Data!$AJ$10*'Net zero Intermediate calcs'!AD4)+Data!$AK$10)*Drivers!AE4</f>
        <v>455503.05642644467</v>
      </c>
      <c r="AE34" s="22">
        <f>((Data!$AJ$10*'Net zero Intermediate calcs'!AE4)+Data!$AK$10)*Drivers!AF4</f>
        <v>461288.37157907069</v>
      </c>
      <c r="AF34" s="22">
        <f>((Data!$AJ$10*'Net zero Intermediate calcs'!AF4)+Data!$AK$10)*Drivers!AG4</f>
        <v>467304.40661090257</v>
      </c>
      <c r="AG34" s="22">
        <f>((Data!$AJ$10*'Net zero Intermediate calcs'!AG4)+Data!$AK$10)*Drivers!AH4</f>
        <v>448762.74872100045</v>
      </c>
      <c r="AH34" s="22">
        <f>((Data!$AJ$10*'Net zero Intermediate calcs'!AH4)+Data!$AK$10)*Drivers!AI4</f>
        <v>467214.43616205576</v>
      </c>
      <c r="AI34" s="22">
        <f>((Data!$AJ$10*'Net zero Intermediate calcs'!AI4)+Data!$AK$10)*Drivers!AJ4</f>
        <v>478174.93377689586</v>
      </c>
      <c r="AJ34" s="22">
        <f>((Data!$AJ$10*'Net zero Intermediate calcs'!AJ4)+Data!$AK$10)*Drivers!AK4</f>
        <v>483399.91291120608</v>
      </c>
      <c r="AK34" s="22">
        <f>((Data!$AJ$10*'Net zero Intermediate calcs'!AK4)+Data!$AK$10)*Drivers!AL4</f>
        <v>489196.15678933391</v>
      </c>
      <c r="AL34" s="22">
        <f>((Data!$AJ$10*'Net zero Intermediate calcs'!AL4)+Data!$AK$10)*Drivers!AM4</f>
        <v>496758.90177202277</v>
      </c>
      <c r="AM34" s="22">
        <f>((Data!$AJ$10*'Net zero Intermediate calcs'!AM4)+Data!$AK$10)*Drivers!AN4</f>
        <v>505864.94702739932</v>
      </c>
      <c r="AN34" s="22">
        <f>((Data!$AJ$10*'Net zero Intermediate calcs'!AN4)+Data!$AK$10)*Drivers!AO4</f>
        <v>515742.18391668564</v>
      </c>
      <c r="AO34" s="22">
        <f>((Data!$AJ$10*'Net zero Intermediate calcs'!AO4)+Data!$AK$10)*Drivers!AP4</f>
        <v>526633.2904893196</v>
      </c>
      <c r="AP34" s="22">
        <f>((Data!$AJ$10*'Net zero Intermediate calcs'!AP4)+Data!$AK$10)*Drivers!AQ4</f>
        <v>539260.05931457574</v>
      </c>
      <c r="AQ34" s="22">
        <f>((Data!$AJ$10*'Net zero Intermediate calcs'!AQ4)+Data!$AK$10)*Drivers!AR4</f>
        <v>553584.00343433814</v>
      </c>
      <c r="AR34" s="22">
        <f>((Data!$AJ$10*'Net zero Intermediate calcs'!AR4)+Data!$AK$10)*Drivers!AS4</f>
        <v>568995.27663216717</v>
      </c>
      <c r="AS34" s="22">
        <f>((Data!$AJ$10*'Net zero Intermediate calcs'!AS4)+Data!$AK$10)*Drivers!AT4</f>
        <v>585491.4026533264</v>
      </c>
      <c r="AT34" s="22">
        <f>((Data!$AJ$10*'Net zero Intermediate calcs'!AT4)+Data!$AK$10)*Drivers!AU4</f>
        <v>602730.99476375768</v>
      </c>
      <c r="AU34" s="22">
        <f>((Data!$AJ$10*'Net zero Intermediate calcs'!AU4)+Data!$AK$10)*Drivers!AV4</f>
        <v>620889.15322160162</v>
      </c>
      <c r="AV34" s="22">
        <f>((Data!$AJ$10*'Net zero Intermediate calcs'!AV4)+Data!$AK$10)*Drivers!AW4</f>
        <v>639813.20687967143</v>
      </c>
      <c r="AW34" s="22">
        <f>((Data!$AJ$10*'Net zero Intermediate calcs'!AW4)+Data!$AK$10)*Drivers!AX4</f>
        <v>658877.80486453488</v>
      </c>
      <c r="AX34" s="22">
        <f>((Data!$AJ$10*'Net zero Intermediate calcs'!AX4)+Data!$AK$10)*Drivers!AY4</f>
        <v>679012.02390641766</v>
      </c>
      <c r="AY34" s="22">
        <f>((Data!$AJ$10*'Net zero Intermediate calcs'!AY4)+Data!$AK$10)*Drivers!AZ4</f>
        <v>699619.69647274015</v>
      </c>
      <c r="AZ34" s="22">
        <f>((Data!$AJ$10*'Net zero Intermediate calcs'!AZ4)+Data!$AK$10)*Drivers!BA4</f>
        <v>720658.47598047613</v>
      </c>
      <c r="BA34" s="22">
        <f>((Data!$AJ$10*'Net zero Intermediate calcs'!BA4)+Data!$AK$10)*Drivers!BB4</f>
        <v>742425.82824739814</v>
      </c>
      <c r="BB34" s="22">
        <f>((Data!$AJ$10*'Net zero Intermediate calcs'!BB4)+Data!$AK$10)*Drivers!BC4</f>
        <v>764214.11232862098</v>
      </c>
      <c r="BC34" s="22">
        <f>((Data!$AJ$10*'Net zero Intermediate calcs'!BC4)+Data!$AK$10)*Drivers!BD4</f>
        <v>787015.59537386976</v>
      </c>
      <c r="BD34" s="22">
        <f>((Data!$AJ$10*'Net zero Intermediate calcs'!BD4)+Data!$AK$10)*Drivers!BE4</f>
        <v>811211.4378588032</v>
      </c>
      <c r="BE34" s="22">
        <f>((Data!$AJ$10*'Net zero Intermediate calcs'!BE4)+Data!$AK$10)*Drivers!BF4</f>
        <v>836206.94963730848</v>
      </c>
      <c r="BF34" s="22">
        <f>((Data!$AJ$10*'Net zero Intermediate calcs'!BF4)+Data!$AK$10)*Drivers!BG4</f>
        <v>862050.94286047108</v>
      </c>
      <c r="BG34" s="22">
        <f>((Data!$AJ$10*'Net zero Intermediate calcs'!BG4)+Data!$AK$10)*Drivers!BH4</f>
        <v>889459.344184221</v>
      </c>
      <c r="BH34" s="22">
        <f>((Data!$AJ$10*'Net zero Intermediate calcs'!BH4)+Data!$AK$10)*Drivers!BI4</f>
        <v>918238.97234347323</v>
      </c>
      <c r="BI34" s="22">
        <f>((Data!$AJ$10*'Net zero Intermediate calcs'!BI4)+Data!$AK$10)*Drivers!BJ4</f>
        <v>948266.25459516991</v>
      </c>
      <c r="BJ34" s="22">
        <f>((Data!$AJ$10*'Net zero Intermediate calcs'!BJ4)+Data!$AK$10)*Drivers!BK4</f>
        <v>980035.56498675642</v>
      </c>
      <c r="BK34" s="22">
        <f>((Data!$AJ$10*'Net zero Intermediate calcs'!BK4)+Data!$AK$10)*Drivers!BL4</f>
        <v>1010877.8839508404</v>
      </c>
      <c r="BL34">
        <v>879387.44308735442</v>
      </c>
    </row>
    <row r="35" spans="1:64"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8.0066088979239591</v>
      </c>
      <c r="AG35" s="45">
        <f>AG34*ttokg/Drivers!AH4</f>
        <v>7.6317694268931087</v>
      </c>
      <c r="AH35" s="45">
        <f>AH34*ttokg/Drivers!AI4</f>
        <v>7.8665886008547039</v>
      </c>
      <c r="AI35" s="45">
        <f>AI34*ttokg/Drivers!AJ4</f>
        <v>7.9837020720378362</v>
      </c>
      <c r="AJ35" s="45">
        <f>AJ34*ttokg/Drivers!AK4</f>
        <v>8.0013896153763433</v>
      </c>
      <c r="AK35" s="45">
        <f>AK34*ttokg/Drivers!AL4</f>
        <v>8.0169515739599486</v>
      </c>
      <c r="AL35" s="45">
        <f>AL34*ttokg/Drivers!AM4</f>
        <v>8.0547119378067524</v>
      </c>
      <c r="AM35" s="45">
        <f>AM34*ttokg/Drivers!AN4</f>
        <v>8.1191658836358211</v>
      </c>
      <c r="AN35" s="45">
        <f>AN34*ttokg/Drivers!AO4</f>
        <v>8.1969337157157263</v>
      </c>
      <c r="AO35" s="45">
        <f>AO34*ttokg/Drivers!AP4</f>
        <v>8.2915440396481355</v>
      </c>
      <c r="AP35" s="45">
        <f>AP34*ttokg/Drivers!AQ4</f>
        <v>8.4136161600728094</v>
      </c>
      <c r="AQ35" s="45">
        <f>AQ34*ttokg/Drivers!AR4</f>
        <v>8.5615555966204582</v>
      </c>
      <c r="AR35" s="45">
        <f>AR34*ttokg/Drivers!AS4</f>
        <v>8.7253789557411565</v>
      </c>
      <c r="AS35" s="45">
        <f>AS34*ttokg/Drivers!AT4</f>
        <v>8.9044162150618025</v>
      </c>
      <c r="AT35" s="45">
        <f>AT34*ttokg/Drivers!AU4</f>
        <v>9.093133730032628</v>
      </c>
      <c r="AU35" s="45">
        <f>AU34*ttokg/Drivers!AV4</f>
        <v>9.2941680302907095</v>
      </c>
      <c r="AV35" s="45">
        <f>AV34*ttokg/Drivers!AW4</f>
        <v>9.504886691174816</v>
      </c>
      <c r="AW35" s="45">
        <f>AW34*ttokg/Drivers!AX4</f>
        <v>9.7156785392089908</v>
      </c>
      <c r="AX35" s="45">
        <f>AX34*ttokg/Drivers!AY4</f>
        <v>9.9404107654355176</v>
      </c>
      <c r="AY35" s="45">
        <f>AY34*ttokg/Drivers!AZ4</f>
        <v>10.170591702474958</v>
      </c>
      <c r="AZ35" s="45">
        <f>AZ34*ttokg/Drivers!BA4</f>
        <v>10.405595358893031</v>
      </c>
      <c r="BA35" s="45">
        <f>BA34*ttokg/Drivers!BB4</f>
        <v>10.649604084867537</v>
      </c>
      <c r="BB35" s="45">
        <f>BB34*ttokg/Drivers!BC4</f>
        <v>10.892346216061689</v>
      </c>
      <c r="BC35" s="45">
        <f>BC34*ttokg/Drivers!BD4</f>
        <v>11.148298375217568</v>
      </c>
      <c r="BD35" s="45">
        <f>BD34*ttokg/Drivers!BE4</f>
        <v>11.42291200306391</v>
      </c>
      <c r="BE35" s="45">
        <f>BE34*ttokg/Drivers!BF4</f>
        <v>11.707700513423744</v>
      </c>
      <c r="BF35" s="45">
        <f>BF34*ttokg/Drivers!BG4</f>
        <v>12.003572047210783</v>
      </c>
      <c r="BG35" s="45">
        <f>BG34*ttokg/Drivers!BH4</f>
        <v>12.320720224852979</v>
      </c>
      <c r="BH35" s="45">
        <f>BH34*ttokg/Drivers!BI4</f>
        <v>12.65639341126742</v>
      </c>
      <c r="BI35" s="45">
        <f>BI34*ttokg/Drivers!BJ4</f>
        <v>13.008799155872291</v>
      </c>
      <c r="BJ35" s="45">
        <f>BJ34*ttokg/Drivers!BK4</f>
        <v>13.384649743075354</v>
      </c>
      <c r="BK35" s="45">
        <f>BK34*ttokg/Drivers!BL4</f>
        <v>13.747875420591178</v>
      </c>
      <c r="BL35">
        <v>11.644739573179301</v>
      </c>
    </row>
    <row r="36" spans="1:64"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0.15842028247558293</v>
      </c>
      <c r="AP36" s="45"/>
      <c r="AQ36" s="45">
        <f>(AQ37-AE37)/AE37</f>
        <v>0.20294462996361959</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483472.06766951055</v>
      </c>
      <c r="AD37" s="22">
        <f>((Data!$AJ$29*'Net zero Intermediate calcs'!AD34)+Data!$AK$29)</f>
        <v>488375.46558668761</v>
      </c>
      <c r="AE37" s="22">
        <f>((Data!$AJ$29*'Net zero Intermediate calcs'!AE34)+Data!$AK$29)</f>
        <v>494668.17106631416</v>
      </c>
      <c r="AF37" s="22">
        <f>((Data!$AJ$29*'Net zero Intermediate calcs'!AF34)+Data!$AK$29)</f>
        <v>501211.83128389966</v>
      </c>
      <c r="AG37" s="22">
        <f>((Data!$AJ$29*'Net zero Intermediate calcs'!AG34)+Data!$AK$29)</f>
        <v>481044.01170501526</v>
      </c>
      <c r="AH37" s="22">
        <f>((Data!$AJ$29*'Net zero Intermediate calcs'!AH34)+Data!$AK$29)</f>
        <v>501113.97014383617</v>
      </c>
      <c r="AI37" s="22">
        <f>((Data!$AJ$29*'Net zero Intermediate calcs'!AI34)+Data!$AK$29)</f>
        <v>513035.73785756755</v>
      </c>
      <c r="AJ37" s="22">
        <f>((Data!$AJ$29*'Net zero Intermediate calcs'!AJ34)+Data!$AK$29)</f>
        <v>518718.96408846421</v>
      </c>
      <c r="AK37" s="22">
        <f>((Data!$AJ$29*'Net zero Intermediate calcs'!AK34)+Data!$AK$29)</f>
        <v>525023.55677717738</v>
      </c>
      <c r="AL37" s="22">
        <f>((Data!$AJ$29*'Net zero Intermediate calcs'!AL34)+Data!$AK$29)</f>
        <v>533249.57827092125</v>
      </c>
      <c r="AM37" s="22">
        <f>((Data!$AJ$29*'Net zero Intermediate calcs'!AM34)+Data!$AK$29)</f>
        <v>543154.25232315948</v>
      </c>
      <c r="AN37" s="22">
        <f>((Data!$AJ$29*'Net zero Intermediate calcs'!AN34)+Data!$AK$29)</f>
        <v>553897.75394010567</v>
      </c>
      <c r="AO37" s="22">
        <f>((Data!$AJ$29*'Net zero Intermediate calcs'!AO34)+Data!$AK$29)</f>
        <v>565744.044799075</v>
      </c>
      <c r="AP37" s="22">
        <f>((Data!$AJ$29*'Net zero Intermediate calcs'!AP34)+Data!$AK$29)</f>
        <v>579478.22094686888</v>
      </c>
      <c r="AQ37" s="22">
        <f>((Data!$AJ$29*'Net zero Intermediate calcs'!AQ34)+Data!$AK$29)</f>
        <v>595058.41999814776</v>
      </c>
      <c r="AR37" s="22">
        <f>((Data!$AJ$29*'Net zero Intermediate calcs'!AR34)+Data!$AK$29)</f>
        <v>611821.31030603033</v>
      </c>
      <c r="AS37" s="22">
        <f>((Data!$AJ$29*'Net zero Intermediate calcs'!AS34)+Data!$AK$29)</f>
        <v>629764.19844045443</v>
      </c>
      <c r="AT37" s="22">
        <f>((Data!$AJ$29*'Net zero Intermediate calcs'!AT34)+Data!$AK$29)</f>
        <v>648515.75697751972</v>
      </c>
      <c r="AU37" s="22">
        <f>((Data!$AJ$29*'Net zero Intermediate calcs'!AU34)+Data!$AK$29)</f>
        <v>668266.44301849301</v>
      </c>
      <c r="AV37" s="22">
        <f>((Data!$AJ$29*'Net zero Intermediate calcs'!AV34)+Data!$AK$29)</f>
        <v>688850.19567660522</v>
      </c>
      <c r="AW37" s="22">
        <f>((Data!$AJ$29*'Net zero Intermediate calcs'!AW34)+Data!$AK$29)</f>
        <v>709586.81884081988</v>
      </c>
      <c r="AX37" s="22">
        <f>((Data!$AJ$29*'Net zero Intermediate calcs'!AX34)+Data!$AK$29)</f>
        <v>731486.87219147384</v>
      </c>
      <c r="AY37" s="22">
        <f>((Data!$AJ$29*'Net zero Intermediate calcs'!AY34)+Data!$AK$29)</f>
        <v>753901.90242912387</v>
      </c>
      <c r="AZ37" s="22">
        <f>((Data!$AJ$29*'Net zero Intermediate calcs'!AZ34)+Data!$AK$29)</f>
        <v>776785.84904228128</v>
      </c>
      <c r="BA37" s="22">
        <f>((Data!$AJ$29*'Net zero Intermediate calcs'!BA34)+Data!$AK$29)</f>
        <v>800462.26653612289</v>
      </c>
      <c r="BB37" s="22">
        <f>((Data!$AJ$29*'Net zero Intermediate calcs'!BB34)+Data!$AK$29)</f>
        <v>824161.45163018582</v>
      </c>
      <c r="BC37" s="22">
        <f>((Data!$AJ$29*'Net zero Intermediate calcs'!BC34)+Data!$AK$29)</f>
        <v>848962.69642275688</v>
      </c>
      <c r="BD37" s="22">
        <f>((Data!$AJ$29*'Net zero Intermediate calcs'!BD34)+Data!$AK$29)</f>
        <v>875280.59036151832</v>
      </c>
      <c r="BE37" s="22">
        <f>((Data!$AJ$29*'Net zero Intermediate calcs'!BE34)+Data!$AK$29)</f>
        <v>902468.28710493166</v>
      </c>
      <c r="BF37" s="22">
        <f>((Data!$AJ$29*'Net zero Intermediate calcs'!BF34)+Data!$AK$29)</f>
        <v>930578.87978319009</v>
      </c>
      <c r="BG37" s="22">
        <f>((Data!$AJ$29*'Net zero Intermediate calcs'!BG34)+Data!$AK$29)</f>
        <v>960391.0840707086</v>
      </c>
      <c r="BH37" s="22">
        <f>((Data!$AJ$29*'Net zero Intermediate calcs'!BH34)+Data!$AK$29)</f>
        <v>991694.77609812352</v>
      </c>
      <c r="BI37" s="22">
        <f>((Data!$AJ$29*'Net zero Intermediate calcs'!BI34)+Data!$AK$29)</f>
        <v>1024355.5454043171</v>
      </c>
      <c r="BJ37" s="22">
        <f>((Data!$AJ$29*'Net zero Intermediate calcs'!BJ34)+Data!$AK$29)</f>
        <v>1058911.1241949294</v>
      </c>
      <c r="BK37" s="22">
        <f>((Data!$AJ$29*'Net zero Intermediate calcs'!BK34)+Data!$AK$29)</f>
        <v>1092458.4114955331</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1943924.6182197316</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1961369.2810630368</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1968044.8895064972</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1710744.0753111076</v>
      </c>
      <c r="AH39" s="94">
        <f>IF('Net zero activities &amp; levers'!$C$12="Off",((Data!$AJ$11*'Intermediate calculations'!AH4)+Data!$AK$11)*Drivers!AI4,IF('Net zero activities &amp; levers'!$C$12="PB",((Data!$AJ$11*'Intermediate calculations'!AH4)+Data!$AK$11)*Drivers!AI4,IF('Net zero activities &amp; levers'!$C$12="MS",'Net zero supporting data'!K207,"ERROR")))</f>
        <v>1908425.9809721664</v>
      </c>
      <c r="AI39" s="94">
        <f>IF('Net zero activities &amp; levers'!$C$12="Off",((Data!$AJ$11*'Intermediate calculations'!AI4)+Data!$AK$11)*Drivers!AJ4,IF('Net zero activities &amp; levers'!$C$12="PB",((Data!$AJ$11*'Intermediate calculations'!AI4)+Data!$AK$11)*Drivers!AJ4,IF('Net zero activities &amp; levers'!$C$12="MS",'Net zero supporting data'!L207,"ERROR")))</f>
        <v>2015331.0296594924</v>
      </c>
      <c r="AJ39" s="94">
        <f>IF('Net zero activities &amp; levers'!$C$12="Off",((Data!$AJ$11*'Intermediate calculations'!AJ4)+Data!$AK$11)*Drivers!AK4,IF('Net zero activities &amp; levers'!$C$12="PB",((Data!$AJ$11*'Intermediate calculations'!AJ4)+Data!$AK$11)*Drivers!AK4,IF('Net zero activities &amp; levers'!$C$12="MS",'Net zero supporting data'!M207,"ERROR")))</f>
        <v>2046679.2718739307</v>
      </c>
      <c r="AK39" s="94">
        <f>IF('Net zero activities &amp; levers'!$C$12="Off",((Data!$AJ$11*'Intermediate calculations'!AK4)+Data!$AK$11)*Drivers!AL4,IF('Net zero activities &amp; levers'!$C$12="PB",((Data!$AJ$11*'Intermediate calculations'!AK4)+Data!$AK$11)*Drivers!AL4,IF('Net zero activities &amp; levers'!$C$12="MS",'Net zero supporting data'!N207,"ERROR")))</f>
        <v>2079490.1226162701</v>
      </c>
      <c r="AL39" s="94">
        <f>IF('Net zero activities &amp; levers'!$C$12="Off",((Data!$AJ$11*'Intermediate calculations'!AL4)+Data!$AK$11)*Drivers!AM4,IF('Net zero activities &amp; levers'!$C$12="PB",((Data!$AJ$11*'Intermediate calculations'!AL4)+Data!$AK$11)*Drivers!AM4,IF('Net zero activities &amp; levers'!$C$12="MS",'Net zero supporting data'!O207,"ERROR")))</f>
        <v>2131880.1311880052</v>
      </c>
      <c r="AM39" s="94">
        <f>IF('Net zero activities &amp; levers'!$C$12="Off",((Data!$AJ$11*'Intermediate calculations'!AM4)+Data!$AK$11)*Drivers!AN4,IF('Net zero activities &amp; levers'!$C$12="PB",((Data!$AJ$11*'Intermediate calculations'!AM4)+Data!$AK$11)*Drivers!AN4,IF('Net zero activities &amp; levers'!$C$12="MS",'Net zero supporting data'!P207,"ERROR")))</f>
        <v>2205701.4432083676</v>
      </c>
      <c r="AN39" s="94">
        <f>IF('Net zero activities &amp; levers'!$C$12="Off",((Data!$AJ$11*'Intermediate calculations'!AN4)+Data!$AK$11)*Drivers!AO4,IF('Net zero activities &amp; levers'!$C$12="PB",((Data!$AJ$11*'Intermediate calculations'!AN4)+Data!$AK$11)*Drivers!AO4,IF('Net zero activities &amp; levers'!$C$12="MS",'Net zero supporting data'!Q207,"ERROR")))</f>
        <v>2290764.1603668779</v>
      </c>
      <c r="AO39" s="94">
        <f>IF('Net zero activities &amp; levers'!$C$12="Off",((Data!$AJ$11*'Intermediate calculations'!AO4)+Data!$AK$11)*Drivers!AP4,IF('Net zero activities &amp; levers'!$C$12="PB",((Data!$AJ$11*'Intermediate calculations'!AO4)+Data!$AK$11)*Drivers!AP4,IF('Net zero activities &amp; levers'!$C$12="MS",'Net zero supporting data'!R207,"ERROR")))</f>
        <v>2390223.8725122362</v>
      </c>
      <c r="AP39" s="94">
        <f>IF('Net zero activities &amp; levers'!$C$12="Off",((Data!$AJ$11*'Intermediate calculations'!AP4)+Data!$AK$11)*Drivers!AQ4,IF('Net zero activities &amp; levers'!$C$12="PB",((Data!$AJ$11*'Intermediate calculations'!AP4)+Data!$AK$11)*Drivers!AQ4,IF('Net zero activities &amp; levers'!$C$12="MS",'Net zero supporting data'!S207,"ERROR")))</f>
        <v>2513287.8260246566</v>
      </c>
      <c r="AQ39" s="94">
        <f>IF('Net zero activities &amp; levers'!$C$12="Off",((Data!$AJ$11*'Intermediate calculations'!AQ4)+Data!$AK$11)*Drivers!AR4,IF('Net zero activities &amp; levers'!$C$12="PB",((Data!$AJ$11*'Intermediate calculations'!AQ4)+Data!$AK$11)*Drivers!AR4,IF('Net zero activities &amp; levers'!$C$12="MS",'Net zero supporting data'!T207,"ERROR")))</f>
        <v>2659271.6930469922</v>
      </c>
      <c r="AR39" s="94">
        <f>IF('Net zero activities &amp; levers'!$C$12="Off",((Data!$AJ$11*'Intermediate calculations'!AR4)+Data!$AK$11)*Drivers!AS4,IF('Net zero activities &amp; levers'!$C$12="PB",((Data!$AJ$11*'Intermediate calculations'!AR4)+Data!$AK$11)*Drivers!AS4,IF('Net zero activities &amp; levers'!$C$12="MS",'Net zero supporting data'!U207,"ERROR")))</f>
        <v>2820255.4007520904</v>
      </c>
      <c r="AS39" s="94">
        <f>IF('Net zero activities &amp; levers'!$C$12="Off",((Data!$AJ$11*'Intermediate calculations'!AS4)+Data!$AK$11)*Drivers!AT4,IF('Net zero activities &amp; levers'!$C$12="PB",((Data!$AJ$11*'Intermediate calculations'!AS4)+Data!$AK$11)*Drivers!AT4,IF('Net zero activities &amp; levers'!$C$12="MS",'Net zero supporting data'!V207,"ERROR")))</f>
        <v>2996036.3131771544</v>
      </c>
      <c r="AT39" s="94">
        <f>IF('Net zero activities &amp; levers'!$C$12="Off",((Data!$AJ$11*'Intermediate calculations'!AT4)+Data!$AK$11)*Drivers!AU4,IF('Net zero activities &amp; levers'!$C$12="PB",((Data!$AJ$11*'Intermediate calculations'!AT4)+Data!$AK$11)*Drivers!AU4,IF('Net zero activities &amp; levers'!$C$12="MS",'Net zero supporting data'!W207,"ERROR")))</f>
        <v>3182145.9347324651</v>
      </c>
      <c r="AU39" s="94">
        <f>IF('Net zero activities &amp; levers'!$C$12="Off",((Data!$AJ$11*'Intermediate calculations'!AU4)+Data!$AK$11)*Drivers!AV4,IF('Net zero activities &amp; levers'!$C$12="PB",((Data!$AJ$11*'Intermediate calculations'!AU4)+Data!$AK$11)*Drivers!AV4,IF('Net zero activities &amp; levers'!$C$12="MS",'Net zero supporting data'!X207,"ERROR")))</f>
        <v>3380930.9846381601</v>
      </c>
      <c r="AV39" s="94">
        <f>IF('Net zero activities &amp; levers'!$C$12="Off",((Data!$AJ$11*'Intermediate calculations'!AV4)+Data!$AK$11)*Drivers!AW4,IF('Net zero activities &amp; levers'!$C$12="PB",((Data!$AJ$11*'Intermediate calculations'!AV4)+Data!$AK$11)*Drivers!AW4,IF('Net zero activities &amp; levers'!$C$12="MS",'Net zero supporting data'!Y207,"ERROR")))</f>
        <v>3590326.6095313295</v>
      </c>
      <c r="AW39" s="94">
        <f>IF('Net zero activities &amp; levers'!$C$12="Off",((Data!$AJ$11*'Intermediate calculations'!AW4)+Data!$AK$11)*Drivers!AX4,IF('Net zero activities &amp; levers'!$C$12="PB",((Data!$AJ$11*'Intermediate calculations'!AW4)+Data!$AK$11)*Drivers!AX4,IF('Net zero activities &amp; levers'!$C$12="MS",'Net zero supporting data'!Z207,"ERROR")))</f>
        <v>3802110.3230362916</v>
      </c>
      <c r="AX39" s="94">
        <f>IF('Net zero activities &amp; levers'!$C$12="Off",((Data!$AJ$11*'Intermediate calculations'!AX4)+Data!$AK$11)*Drivers!AY4,IF('Net zero activities &amp; levers'!$C$12="PB",((Data!$AJ$11*'Intermediate calculations'!AX4)+Data!$AK$11)*Drivers!AY4,IF('Net zero activities &amp; levers'!$C$12="MS",'Net zero supporting data'!AA207,"ERROR")))</f>
        <v>4028399.1190411011</v>
      </c>
      <c r="AY39" s="94">
        <f>IF('Net zero activities &amp; levers'!$C$12="Off",((Data!$AJ$11*'Intermediate calculations'!AY4)+Data!$AK$11)*Drivers!AZ4,IF('Net zero activities &amp; levers'!$C$12="PB",((Data!$AJ$11*'Intermediate calculations'!AY4)+Data!$AK$11)*Drivers!AZ4,IF('Net zero activities &amp; levers'!$C$12="MS",'Net zero supporting data'!AB207,"ERROR")))</f>
        <v>4261656.4397145864</v>
      </c>
      <c r="AZ39" s="94">
        <f>IF('Net zero activities &amp; levers'!$C$12="Off",((Data!$AJ$11*'Intermediate calculations'!AZ4)+Data!$AK$11)*Drivers!BA4,IF('Net zero activities &amp; levers'!$C$12="PB",((Data!$AJ$11*'Intermediate calculations'!AZ4)+Data!$AK$11)*Drivers!BA4,IF('Net zero activities &amp; levers'!$C$12="MS",'Net zero supporting data'!AC207,"ERROR")))</f>
        <v>4501324.23293621</v>
      </c>
      <c r="BA39" s="94">
        <f>IF('Net zero activities &amp; levers'!$C$12="Off",((Data!$AJ$11*'Intermediate calculations'!BA4)+Data!$AK$11)*Drivers!BB4,IF('Net zero activities &amp; levers'!$C$12="PB",((Data!$AJ$11*'Intermediate calculations'!BA4)+Data!$AK$11)*Drivers!BB4,IF('Net zero activities &amp; levers'!$C$12="MS",'Net zero supporting data'!AD207,"ERROR")))</f>
        <v>4751203.3007372348</v>
      </c>
      <c r="BB39" s="94">
        <f>IF('Net zero activities &amp; levers'!$C$12="Off",((Data!$AJ$11*'Intermediate calculations'!BB4)+Data!$AK$11)*Drivers!BC4,IF('Net zero activities &amp; levers'!$C$12="PB",((Data!$AJ$11*'Intermediate calculations'!BB4)+Data!$AK$11)*Drivers!BC4,IF('Net zero activities &amp; levers'!$C$12="MS",'Net zero supporting data'!AE207,"ERROR")))</f>
        <v>5002077.9291274399</v>
      </c>
      <c r="BC39" s="94">
        <f>IF('Net zero activities &amp; levers'!$C$12="Off",((Data!$AJ$11*'Intermediate calculations'!BC4)+Data!$AK$11)*Drivers!BD4,IF('Net zero activities &amp; levers'!$C$12="PB",((Data!$AJ$11*'Intermediate calculations'!BC4)+Data!$AK$11)*Drivers!BD4,IF('Net zero activities &amp; levers'!$C$12="MS",'Net zero supporting data'!AF207,"ERROR")))</f>
        <v>5266918.8660704661</v>
      </c>
      <c r="BD39" s="94">
        <f>IF('Net zero activities &amp; levers'!$C$12="Off",((Data!$AJ$11*'Intermediate calculations'!BD4)+Data!$AK$11)*Drivers!BE4,IF('Net zero activities &amp; levers'!$C$12="PB",((Data!$AJ$11*'Intermediate calculations'!BD4)+Data!$AK$11)*Drivers!BE4,IF('Net zero activities &amp; levers'!$C$12="MS",'Net zero supporting data'!AG207,"ERROR")))</f>
        <v>5550743.6789260749</v>
      </c>
      <c r="BE39" s="94">
        <f>IF('Net zero activities &amp; levers'!$C$12="Off",((Data!$AJ$11*'Intermediate calculations'!BE4)+Data!$AK$11)*Drivers!BF4,IF('Net zero activities &amp; levers'!$C$12="PB",((Data!$AJ$11*'Intermediate calculations'!BE4)+Data!$AK$11)*Drivers!BF4,IF('Net zero activities &amp; levers'!$C$12="MS",'Net zero supporting data'!AH207,"ERROR")))</f>
        <v>5845861.5581048885</v>
      </c>
      <c r="BF39" s="94">
        <f>IF('Net zero activities &amp; levers'!$C$12="Off",((Data!$AJ$11*'Intermediate calculations'!BF4)+Data!$AK$11)*Drivers!BG4,IF('Net zero activities &amp; levers'!$C$12="PB",((Data!$AJ$11*'Intermediate calculations'!BF4)+Data!$AK$11)*Drivers!BG4,IF('Net zero activities &amp; levers'!$C$12="MS",'Net zero supporting data'!AI207,"ERROR")))</f>
        <v>6153004.6188398851</v>
      </c>
      <c r="BG39" s="94">
        <f>IF('Net zero activities &amp; levers'!$C$12="Off",((Data!$AJ$11*'Intermediate calculations'!BG4)+Data!$AK$11)*Drivers!BH4,IF('Net zero activities &amp; levers'!$C$12="PB",((Data!$AJ$11*'Intermediate calculations'!BG4)+Data!$AK$11)*Drivers!BH4,IF('Net zero activities &amp; levers'!$C$12="MS",'Net zero supporting data'!AJ207,"ERROR")))</f>
        <v>6481550.7270724792</v>
      </c>
      <c r="BH39" s="94">
        <f>IF('Net zero activities &amp; levers'!$C$12="Off",((Data!$AJ$11*'Intermediate calculations'!BH4)+Data!$AK$11)*Drivers!BI4,IF('Net zero activities &amp; levers'!$C$12="PB",((Data!$AJ$11*'Intermediate calculations'!BH4)+Data!$AK$11)*Drivers!BI4,IF('Net zero activities &amp; levers'!$C$12="MS",'Net zero supporting data'!AK207,"ERROR")))</f>
        <v>6829009.3139280705</v>
      </c>
      <c r="BI39" s="94">
        <f>IF('Net zero activities &amp; levers'!$C$12="Off",((Data!$AJ$11*'Intermediate calculations'!BI4)+Data!$AK$11)*Drivers!BJ4,IF('Net zero activities &amp; levers'!$C$12="PB",((Data!$AJ$11*'Intermediate calculations'!BI4)+Data!$AK$11)*Drivers!BJ4,IF('Net zero activities &amp; levers'!$C$12="MS",'Net zero supporting data'!AL207,"ERROR")))</f>
        <v>7193759.8066170849</v>
      </c>
      <c r="BJ39" s="94">
        <f>IF('Net zero activities &amp; levers'!$C$12="Off",((Data!$AJ$11*'Intermediate calculations'!BJ4)+Data!$AK$11)*Drivers!BK4,IF('Net zero activities &amp; levers'!$C$12="PB",((Data!$AJ$11*'Intermediate calculations'!BJ4)+Data!$AK$11)*Drivers!BK4,IF('Net zero activities &amp; levers'!$C$12="MS",'Net zero supporting data'!AM207,"ERROR")))</f>
        <v>7582185.0177384587</v>
      </c>
      <c r="BK39" s="94">
        <f>IF('Net zero activities &amp; levers'!$C$12="Off",((Data!$AJ$11*'Intermediate calculations'!BK4)+Data!$AK$11)*Drivers!BL4,IF('Net zero activities &amp; levers'!$C$12="PB",((Data!$AJ$11*'Intermediate calculations'!BK4)+Data!$AK$11)*Drivers!BL4,IF('Net zero activities &amp; levers'!$C$12="MS",'Net zero supporting data'!AN207,"ERROR")))</f>
        <v>7959849.0261259824</v>
      </c>
      <c r="BL39">
        <v>6068389.0812562732</v>
      </c>
    </row>
    <row r="40" spans="1:64"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35.336547792755695</v>
      </c>
      <c r="AB40" s="45">
        <f>AB39*ttokg/Drivers!AC4</f>
        <v>35.505153770812306</v>
      </c>
      <c r="AC40" s="45">
        <f>AC39*ttokg/Drivers!AD4</f>
        <v>35.263778862315164</v>
      </c>
      <c r="AD40" s="45">
        <f>AD39*ttokg/Drivers!AE4</f>
        <v>34.621256665942369</v>
      </c>
      <c r="AE40" s="45">
        <f>AE39*ttokg/Drivers!AF4</f>
        <v>34.265005716880026</v>
      </c>
      <c r="AF40" s="45">
        <f>AF39*ttokg/Drivers!AG4</f>
        <v>33.944841040307118</v>
      </c>
      <c r="AG40" s="45">
        <f>AG39*ttokg/Drivers!AH4</f>
        <v>29.0933335451933</v>
      </c>
      <c r="AH40" s="45">
        <f>AH39*ttokg/Drivers!AI4</f>
        <v>32.132573194470666</v>
      </c>
      <c r="AI40" s="45">
        <f>AI39*ttokg/Drivers!AJ4</f>
        <v>33.648360423764338</v>
      </c>
      <c r="AJ40" s="45">
        <f>AJ39*ttokg/Drivers!AK4</f>
        <v>33.877288420170203</v>
      </c>
      <c r="AK40" s="45">
        <f>AK39*ttokg/Drivers!AL4</f>
        <v>34.07870519866308</v>
      </c>
      <c r="AL40" s="45">
        <f>AL39*ttokg/Drivers!AM4</f>
        <v>34.56743358075471</v>
      </c>
      <c r="AM40" s="45">
        <f>AM39*ttokg/Drivers!AN4</f>
        <v>35.401654161686139</v>
      </c>
      <c r="AN40" s="45">
        <f>AN39*ttokg/Drivers!AO4</f>
        <v>36.40819495947575</v>
      </c>
      <c r="AO40" s="45">
        <f>AO39*ttokg/Drivers!AP4</f>
        <v>37.63272634196575</v>
      </c>
      <c r="AP40" s="45">
        <f>AP39*ttokg/Drivers!AQ4</f>
        <v>39.212692842174597</v>
      </c>
      <c r="AQ40" s="45">
        <f>AQ39*ttokg/Drivers!AR4</f>
        <v>41.127457269890833</v>
      </c>
      <c r="AR40" s="45">
        <f>AR39*ttokg/Drivers!AS4</f>
        <v>43.247805621848052</v>
      </c>
      <c r="AS40" s="45">
        <f>AS39*ttokg/Drivers!AT4</f>
        <v>45.565065869574937</v>
      </c>
      <c r="AT40" s="45">
        <f>AT39*ttokg/Drivers!AU4</f>
        <v>48.007616638901098</v>
      </c>
      <c r="AU40" s="45">
        <f>AU39*ttokg/Drivers!AV4</f>
        <v>50.609582253127414</v>
      </c>
      <c r="AV40" s="45">
        <f>AV39*ttokg/Drivers!AW4</f>
        <v>53.336891519219741</v>
      </c>
      <c r="AW40" s="45">
        <f>AW39*ttokg/Drivers!AX4</f>
        <v>56.065148038828745</v>
      </c>
      <c r="AX40" s="45">
        <f>AX39*ttokg/Drivers!AY4</f>
        <v>58.973833394010747</v>
      </c>
      <c r="AY40" s="45">
        <f>AY39*ttokg/Drivers!AZ4</f>
        <v>61.953040835020246</v>
      </c>
      <c r="AZ40" s="45">
        <f>AZ39*ttokg/Drivers!BA4</f>
        <v>64.994668221154328</v>
      </c>
      <c r="BA40" s="45">
        <f>BA39*ttokg/Drivers!BB4</f>
        <v>68.152847266927921</v>
      </c>
      <c r="BB40" s="45">
        <f>BB39*ttokg/Drivers!BC4</f>
        <v>71.294632910872025</v>
      </c>
      <c r="BC40" s="45">
        <f>BC39*ttokg/Drivers!BD4</f>
        <v>74.607394544859915</v>
      </c>
      <c r="BD40" s="45">
        <f>BD39*ttokg/Drivers!BE4</f>
        <v>78.161689587729867</v>
      </c>
      <c r="BE40" s="45">
        <f>BE39*ttokg/Drivers!BF4</f>
        <v>81.847677055200492</v>
      </c>
      <c r="BF40" s="45">
        <f>BF39*ttokg/Drivers!BG4</f>
        <v>85.677110918744987</v>
      </c>
      <c r="BG40" s="45">
        <f>BG39*ttokg/Drivers!BH4</f>
        <v>89.781926125802443</v>
      </c>
      <c r="BH40" s="45">
        <f>BH39*ttokg/Drivers!BI4</f>
        <v>94.126508555501758</v>
      </c>
      <c r="BI40" s="45">
        <f>BI39*ttokg/Drivers!BJ4</f>
        <v>98.687658710179534</v>
      </c>
      <c r="BJ40" s="45">
        <f>BJ39*ttokg/Drivers!BK4</f>
        <v>103.5522529746094</v>
      </c>
      <c r="BK40" s="45">
        <f>BK39*ttokg/Drivers!BL4</f>
        <v>108.25344437272871</v>
      </c>
      <c r="BL40">
        <v>80.356856395247135</v>
      </c>
    </row>
    <row r="41" spans="1:64"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0.19657765583518833</v>
      </c>
      <c r="AP41" s="45"/>
      <c r="AQ41" s="45">
        <f>(AQ42-AE42)/AE42</f>
        <v>0.31196452216072262</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1551697.8906253506</v>
      </c>
      <c r="AB42" s="94">
        <f>IF('Net zero activities &amp; levers'!$C$14="Off",((Data!$AJ$33*'Net zero Intermediate calcs'!AB39)+Data!$AK$33),IF('Net zero activities &amp; levers'!$C$14="On",((Data!$AJ$33*'Net zero Intermediate calcs'!AB39)+Data!$AK$33)*(1-'Net zero supporting data'!E216),"ERROR"))</f>
        <v>1579699.1994235043</v>
      </c>
      <c r="AC42" s="94">
        <f>IF('Net zero activities &amp; levers'!$C$14="Off",((Data!$AJ$33*'Net zero Intermediate calcs'!AC39)+Data!$AK$33),IF('Net zero activities &amp; levers'!$C$14="On",((Data!$AJ$33*'Net zero Intermediate calcs'!AC39)+Data!$AK$33)*(1-'Net zero supporting data'!F216),"ERROR"))</f>
        <v>1592273.2513502268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1597085.0065537822</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1411623.4801521706</v>
      </c>
      <c r="AH42" s="94">
        <f>IF('Net zero activities &amp; levers'!$C$14="Off",((Data!$AJ$33*'Net zero Intermediate calcs'!AH39)+Data!$AK$33),IF('Net zero activities &amp; levers'!$C$14="On",((Data!$AJ$33*'Net zero Intermediate calcs'!AH39)+Data!$AK$33)*(1-'Net zero supporting data'!K216),"ERROR"))</f>
        <v>1554111.9059293179</v>
      </c>
      <c r="AI42" s="94">
        <f>IF('Net zero activities &amp; levers'!$C$14="Off",((Data!$AJ$33*'Net zero Intermediate calcs'!AI39)+Data!$AK$33),IF('Net zero activities &amp; levers'!$C$14="On",((Data!$AJ$33*'Net zero Intermediate calcs'!AI39)+Data!$AK$33)*(1-'Net zero supporting data'!L216),"ERROR"))</f>
        <v>1631168.6908897182</v>
      </c>
      <c r="AJ42" s="94">
        <f>IF('Net zero activities &amp; levers'!$C$14="Off",((Data!$AJ$33*'Net zero Intermediate calcs'!AJ39)+Data!$AK$33),IF('Net zero activities &amp; levers'!$C$14="On",((Data!$AJ$33*'Net zero Intermediate calcs'!AJ39)+Data!$AK$33)*(1-'Net zero supporting data'!M216),"ERROR"))</f>
        <v>1653764.3941690798</v>
      </c>
      <c r="AK42" s="94">
        <f>IF('Net zero activities &amp; levers'!$C$14="Off",((Data!$AJ$33*'Net zero Intermediate calcs'!AK39)+Data!$AK$33),IF('Net zero activities &amp; levers'!$C$14="On",((Data!$AJ$33*'Net zero Intermediate calcs'!AK39)+Data!$AK$33)*(1-'Net zero supporting data'!N216),"ERROR"))</f>
        <v>1677414.3405566912</v>
      </c>
      <c r="AL42" s="94">
        <f>IF('Net zero activities &amp; levers'!$C$14="Off",((Data!$AJ$33*'Net zero Intermediate calcs'!AL39)+Data!$AK$33),IF('Net zero activities &amp; levers'!$C$14="On",((Data!$AJ$33*'Net zero Intermediate calcs'!AL39)+Data!$AK$33)*(1-'Net zero supporting data'!O216),"ERROR"))</f>
        <v>1715176.8753869506</v>
      </c>
      <c r="AM42" s="94">
        <f>IF('Net zero activities &amp; levers'!$C$14="Off",((Data!$AJ$33*'Net zero Intermediate calcs'!AM39)+Data!$AK$33),IF('Net zero activities &amp; levers'!$C$14="On",((Data!$AJ$33*'Net zero Intermediate calcs'!AM39)+Data!$AK$33)*(1-'Net zero supporting data'!P216),"ERROR"))</f>
        <v>1768387.0187402836</v>
      </c>
      <c r="AN42" s="94">
        <f>IF('Net zero activities &amp; levers'!$C$14="Off",((Data!$AJ$33*'Net zero Intermediate calcs'!AN39)+Data!$AK$33),IF('Net zero activities &amp; levers'!$C$14="On",((Data!$AJ$33*'Net zero Intermediate calcs'!AN39)+Data!$AK$33)*(1-'Net zero supporting data'!Q216),"ERROR"))</f>
        <v>1829699.9275758769</v>
      </c>
      <c r="AO42" s="94">
        <f>IF('Net zero activities &amp; levers'!$C$14="Off",((Data!$AJ$33*'Net zero Intermediate calcs'!AO39)+Data!$AK$33),IF('Net zero activities &amp; levers'!$C$14="On",((Data!$AJ$33*'Net zero Intermediate calcs'!AO39)+Data!$AK$33)*(1-'Net zero supporting data'!R216),"ERROR"))</f>
        <v>1901390.1400131199</v>
      </c>
      <c r="AP42" s="94">
        <f>IF('Net zero activities &amp; levers'!$C$14="Off",((Data!$AJ$33*'Net zero Intermediate calcs'!AP39)+Data!$AK$33),IF('Net zero activities &amp; levers'!$C$14="On",((Data!$AJ$33*'Net zero Intermediate calcs'!AP39)+Data!$AK$33)*(1-'Net zero supporting data'!S216),"ERROR"))</f>
        <v>1990094.2070204578</v>
      </c>
      <c r="AQ42" s="94">
        <f>IF('Net zero activities &amp; levers'!$C$14="Off",((Data!$AJ$33*'Net zero Intermediate calcs'!AQ39)+Data!$AK$33),IF('Net zero activities &amp; levers'!$C$14="On",((Data!$AJ$33*'Net zero Intermediate calcs'!AQ39)+Data!$AK$33)*(1-'Net zero supporting data'!T216),"ERROR"))</f>
        <v>2095318.8674733874</v>
      </c>
      <c r="AR42" s="94">
        <f>IF('Net zero activities &amp; levers'!$C$14="Off",((Data!$AJ$33*'Net zero Intermediate calcs'!AR39)+Data!$AK$33),IF('Net zero activities &amp; levers'!$C$14="On",((Data!$AJ$33*'Net zero Intermediate calcs'!AR39)+Data!$AK$33)*(1-'Net zero supporting data'!U216),"ERROR"))</f>
        <v>2211355.3605958149</v>
      </c>
      <c r="AS42" s="94">
        <f>IF('Net zero activities &amp; levers'!$C$14="Off",((Data!$AJ$33*'Net zero Intermediate calcs'!AS39)+Data!$AK$33),IF('Net zero activities &amp; levers'!$C$14="On",((Data!$AJ$33*'Net zero Intermediate calcs'!AS39)+Data!$AK$33)*(1-'Net zero supporting data'!V216),"ERROR"))</f>
        <v>2338057.6270949175</v>
      </c>
      <c r="AT42" s="94">
        <f>IF('Net zero activities &amp; levers'!$C$14="Off",((Data!$AJ$33*'Net zero Intermediate calcs'!AT39)+Data!$AK$33),IF('Net zero activities &amp; levers'!$C$14="On",((Data!$AJ$33*'Net zero Intermediate calcs'!AT39)+Data!$AK$33)*(1-'Net zero supporting data'!W216),"ERROR"))</f>
        <v>2472204.7909879289</v>
      </c>
      <c r="AU42" s="94">
        <f>IF('Net zero activities &amp; levers'!$C$14="Off",((Data!$AJ$33*'Net zero Intermediate calcs'!AU39)+Data!$AK$33),IF('Net zero activities &amp; levers'!$C$14="On",((Data!$AJ$33*'Net zero Intermediate calcs'!AU39)+Data!$AK$33)*(1-'Net zero supporting data'!X216),"ERROR"))</f>
        <v>2615488.3592759585</v>
      </c>
      <c r="AV42" s="94">
        <f>IF('Net zero activities &amp; levers'!$C$14="Off",((Data!$AJ$33*'Net zero Intermediate calcs'!AV39)+Data!$AK$33),IF('Net zero activities &amp; levers'!$C$14="On",((Data!$AJ$33*'Net zero Intermediate calcs'!AV39)+Data!$AK$33)*(1-'Net zero supporting data'!Y216),"ERROR"))</f>
        <v>2766419.992881346</v>
      </c>
      <c r="AW42" s="94">
        <f>IF('Net zero activities &amp; levers'!$C$14="Off",((Data!$AJ$33*'Net zero Intermediate calcs'!AW39)+Data!$AK$33),IF('Net zero activities &amp; levers'!$C$14="On",((Data!$AJ$33*'Net zero Intermediate calcs'!AW39)+Data!$AK$33)*(1-'Net zero supporting data'!Z216),"ERROR"))</f>
        <v>2919072.9524005684</v>
      </c>
      <c r="AX42" s="94">
        <f>IF('Net zero activities &amp; levers'!$C$14="Off",((Data!$AJ$33*'Net zero Intermediate calcs'!AX39)+Data!$AK$33),IF('Net zero activities &amp; levers'!$C$14="On",((Data!$AJ$33*'Net zero Intermediate calcs'!AX39)+Data!$AK$33)*(1-'Net zero supporting data'!AA216),"ERROR"))</f>
        <v>3082181.1246225392</v>
      </c>
      <c r="AY42" s="94">
        <f>IF('Net zero activities &amp; levers'!$C$14="Off",((Data!$AJ$33*'Net zero Intermediate calcs'!AY39)+Data!$AK$33),IF('Net zero activities &amp; levers'!$C$14="On",((Data!$AJ$33*'Net zero Intermediate calcs'!AY39)+Data!$AK$33)*(1-'Net zero supporting data'!AB216),"ERROR"))</f>
        <v>3250312.185038087</v>
      </c>
      <c r="AZ42" s="94">
        <f>IF('Net zero activities &amp; levers'!$C$14="Off",((Data!$AJ$33*'Net zero Intermediate calcs'!AZ39)+Data!$AK$33),IF('Net zero activities &amp; levers'!$C$14="On",((Data!$AJ$33*'Net zero Intermediate calcs'!AZ39)+Data!$AK$33)*(1-'Net zero supporting data'!AC216),"ERROR"))</f>
        <v>3423063.8916317327</v>
      </c>
      <c r="BA42" s="94">
        <f>IF('Net zero activities &amp; levers'!$C$14="Off",((Data!$AJ$33*'Net zero Intermediate calcs'!BA39)+Data!$AK$33),IF('Net zero activities &amp; levers'!$C$14="On",((Data!$AJ$33*'Net zero Intermediate calcs'!BA39)+Data!$AK$33)*(1-'Net zero supporting data'!AD216),"ERROR"))</f>
        <v>3603175.8492060206</v>
      </c>
      <c r="BB42" s="94">
        <f>IF('Net zero activities &amp; levers'!$C$14="Off",((Data!$AJ$33*'Net zero Intermediate calcs'!BB39)+Data!$AK$33),IF('Net zero activities &amp; levers'!$C$14="On",((Data!$AJ$33*'Net zero Intermediate calcs'!BB39)+Data!$AK$33)*(1-'Net zero supporting data'!AE216),"ERROR"))</f>
        <v>3784005.403368847</v>
      </c>
      <c r="BC42" s="94">
        <f>IF('Net zero activities &amp; levers'!$C$14="Off",((Data!$AJ$33*'Net zero Intermediate calcs'!BC39)+Data!$AK$33),IF('Net zero activities &amp; levers'!$C$14="On",((Data!$AJ$33*'Net zero Intermediate calcs'!BC39)+Data!$AK$33)*(1-'Net zero supporting data'!AF216),"ERROR"))</f>
        <v>3974901.8238589405</v>
      </c>
      <c r="BD42" s="94">
        <f>IF('Net zero activities &amp; levers'!$C$14="Off",((Data!$AJ$33*'Net zero Intermediate calcs'!BD39)+Data!$AK$33),IF('Net zero activities &amp; levers'!$C$14="On",((Data!$AJ$33*'Net zero Intermediate calcs'!BD39)+Data!$AK$33)*(1-'Net zero supporting data'!AG216),"ERROR"))</f>
        <v>4179481.7556693391</v>
      </c>
      <c r="BE42" s="94">
        <f>IF('Net zero activities &amp; levers'!$C$14="Off",((Data!$AJ$33*'Net zero Intermediate calcs'!BE39)+Data!$AK$33),IF('Net zero activities &amp; levers'!$C$14="On",((Data!$AJ$33*'Net zero Intermediate calcs'!BE39)+Data!$AK$33)*(1-'Net zero supporting data'!AH216),"ERROR"))</f>
        <v>4392201.6901633898</v>
      </c>
      <c r="BF42" s="94">
        <f>IF('Net zero activities &amp; levers'!$C$14="Off",((Data!$AJ$33*'Net zero Intermediate calcs'!BF39)+Data!$AK$33),IF('Net zero activities &amp; levers'!$C$14="On",((Data!$AJ$33*'Net zero Intermediate calcs'!BF39)+Data!$AK$33)*(1-'Net zero supporting data'!AI216),"ERROR"))</f>
        <v>4613589.3334388537</v>
      </c>
      <c r="BG42" s="94">
        <f>IF('Net zero activities &amp; levers'!$C$14="Off",((Data!$AJ$33*'Net zero Intermediate calcs'!BG39)+Data!$AK$33),IF('Net zero activities &amp; levers'!$C$14="On",((Data!$AJ$33*'Net zero Intermediate calcs'!BG39)+Data!$AK$33)*(1-'Net zero supporting data'!AJ216),"ERROR"))</f>
        <v>4850404.2184467753</v>
      </c>
      <c r="BH42" s="94">
        <f>IF('Net zero activities &amp; levers'!$C$14="Off",((Data!$AJ$33*'Net zero Intermediate calcs'!BH39)+Data!$AK$33),IF('Net zero activities &amp; levers'!$C$14="On",((Data!$AJ$33*'Net zero Intermediate calcs'!BH39)+Data!$AK$33)*(1-'Net zero supporting data'!AK216),"ERROR"))</f>
        <v>5100851.1518585375</v>
      </c>
      <c r="BI42" s="94">
        <f>IF('Net zero activities &amp; levers'!$C$14="Off",((Data!$AJ$33*'Net zero Intermediate calcs'!BI39)+Data!$AK$33),IF('Net zero activities &amp; levers'!$C$14="On",((Data!$AJ$33*'Net zero Intermediate calcs'!BI39)+Data!$AK$33)*(1-'Net zero supporting data'!AL216),"ERROR"))</f>
        <v>5363762.0304788994</v>
      </c>
      <c r="BJ42" s="94">
        <f>IF('Net zero activities &amp; levers'!$C$14="Off",((Data!$AJ$33*'Net zero Intermediate calcs'!BJ39)+Data!$AK$33),IF('Net zero activities &amp; levers'!$C$14="On",((Data!$AJ$33*'Net zero Intermediate calcs'!BJ39)+Data!$AK$33)*(1-'Net zero supporting data'!AM216),"ERROR"))</f>
        <v>5643737.5632913755</v>
      </c>
      <c r="BK42" s="94">
        <f>IF('Net zero activities &amp; levers'!$C$14="Off",((Data!$AJ$33*'Net zero Intermediate calcs'!BK39)+Data!$AK$33),IF('Net zero activities &amp; levers'!$C$14="On",((Data!$AJ$33*'Net zero Intermediate calcs'!BK39)+Data!$AK$33)*(1-'Net zero supporting data'!AN216),"ERROR"))</f>
        <v>5915956.4588340549</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10766680.924446385</v>
      </c>
      <c r="AH44" s="22">
        <f>((Data!$AJ$40*'Net zero Intermediate calcs'!AH45)+Data!$AK$40)</f>
        <v>10942516.332853321</v>
      </c>
      <c r="AI44" s="22">
        <f>((Data!$AJ$40*'Net zero Intermediate calcs'!AI45)+Data!$AK$40)</f>
        <v>11091932.108352993</v>
      </c>
      <c r="AJ44" s="22">
        <f>((Data!$AJ$40*'Net zero Intermediate calcs'!AJ45)+Data!$AK$40)</f>
        <v>11247001.276630178</v>
      </c>
      <c r="AK44" s="22">
        <f>((Data!$AJ$40*'Net zero Intermediate calcs'!AK45)+Data!$AK$40)</f>
        <v>11427423.141411617</v>
      </c>
      <c r="AL44" s="22">
        <f>((Data!$AJ$40*'Net zero Intermediate calcs'!AL45)+Data!$AK$40)</f>
        <v>11621884.364210725</v>
      </c>
      <c r="AM44" s="22">
        <f>((Data!$AJ$40*'Net zero Intermediate calcs'!AM45)+Data!$AK$40)</f>
        <v>11810119.706301954</v>
      </c>
      <c r="AN44" s="22">
        <f>((Data!$AJ$40*'Net zero Intermediate calcs'!AN45)+Data!$AK$40)</f>
        <v>11992969.432228256</v>
      </c>
      <c r="AO44" s="22">
        <f>((Data!$AJ$40*'Net zero Intermediate calcs'!AO45)+Data!$AK$40)</f>
        <v>12170370.991279248</v>
      </c>
      <c r="AP44" s="22">
        <f>((Data!$AJ$40*'Net zero Intermediate calcs'!AP45)+Data!$AK$40)</f>
        <v>12342900.74357212</v>
      </c>
      <c r="AQ44" s="22">
        <f>((Data!$AJ$40*'Net zero Intermediate calcs'!AQ45)+Data!$AK$40)</f>
        <v>12511354.572431516</v>
      </c>
      <c r="AR44" s="22">
        <f>((Data!$AJ$40*'Net zero Intermediate calcs'!AR45)+Data!$AK$40)</f>
        <v>12675847.45202034</v>
      </c>
      <c r="AS44" s="22">
        <f>((Data!$AJ$40*'Net zero Intermediate calcs'!AS45)+Data!$AK$40)</f>
        <v>12837108.54490548</v>
      </c>
      <c r="AT44" s="22">
        <f>((Data!$AJ$40*'Net zero Intermediate calcs'!AT45)+Data!$AK$40)</f>
        <v>12995351.417083845</v>
      </c>
      <c r="AU44" s="22">
        <f>((Data!$AJ$40*'Net zero Intermediate calcs'!AU45)+Data!$AK$40)</f>
        <v>13150232.337508798</v>
      </c>
      <c r="AV44" s="22">
        <f>((Data!$AJ$40*'Net zero Intermediate calcs'!AV45)+Data!$AK$40)</f>
        <v>13302131.078350581</v>
      </c>
      <c r="AW44" s="22">
        <f>((Data!$AJ$40*'Net zero Intermediate calcs'!AW45)+Data!$AK$40)</f>
        <v>13451597.490139622</v>
      </c>
      <c r="AX44" s="22">
        <f>((Data!$AJ$40*'Net zero Intermediate calcs'!AX45)+Data!$AK$40)</f>
        <v>13598238.099121481</v>
      </c>
      <c r="AY44" s="22">
        <f>((Data!$AJ$40*'Net zero Intermediate calcs'!AY45)+Data!$AK$40)</f>
        <v>13741285.318721469</v>
      </c>
      <c r="AZ44" s="22">
        <f>((Data!$AJ$40*'Net zero Intermediate calcs'!AZ45)+Data!$AK$40)</f>
        <v>13880781.742994759</v>
      </c>
      <c r="BA44" s="22">
        <f>((Data!$AJ$40*'Net zero Intermediate calcs'!BA45)+Data!$AK$40)</f>
        <v>14016937.95933301</v>
      </c>
      <c r="BB44" s="22">
        <f>((Data!$AJ$40*'Net zero Intermediate calcs'!BB45)+Data!$AK$40)</f>
        <v>14149996.724064659</v>
      </c>
      <c r="BC44" s="22">
        <f>((Data!$AJ$40*'Net zero Intermediate calcs'!BC45)+Data!$AK$40)</f>
        <v>14279411.165264543</v>
      </c>
      <c r="BD44" s="22">
        <f>((Data!$AJ$40*'Net zero Intermediate calcs'!BD45)+Data!$AK$40)</f>
        <v>14404821.169557109</v>
      </c>
      <c r="BE44" s="22">
        <f>((Data!$AJ$40*'Net zero Intermediate calcs'!BE45)+Data!$AK$40)</f>
        <v>14526200.227355573</v>
      </c>
      <c r="BF44" s="22">
        <f>((Data!$AJ$40*'Net zero Intermediate calcs'!BF45)+Data!$AK$40)</f>
        <v>14643119.419502944</v>
      </c>
      <c r="BG44" s="22">
        <f>((Data!$AJ$40*'Net zero Intermediate calcs'!BG45)+Data!$AK$40)</f>
        <v>14755101.275576554</v>
      </c>
      <c r="BH44" s="22">
        <f>((Data!$AJ$40*'Net zero Intermediate calcs'!BH45)+Data!$AK$40)</f>
        <v>14862104.095102798</v>
      </c>
      <c r="BI44" s="22">
        <f>((Data!$AJ$40*'Net zero Intermediate calcs'!BI45)+Data!$AK$40)</f>
        <v>14964218.427681491</v>
      </c>
      <c r="BJ44" s="22">
        <f>((Data!$AJ$40*'Net zero Intermediate calcs'!BJ45)+Data!$AK$40)</f>
        <v>15061511.887651965</v>
      </c>
      <c r="BK44" s="22">
        <f>((Data!$AJ$40*'Net zero Intermediate calcs'!BK45)+Data!$AK$40)</f>
        <v>15153518.919012573</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13493748.723775022</v>
      </c>
      <c r="AH46" s="22">
        <f>((Data!$AJ$41*'Net zero Intermediate calcs'!AH44)+Data!$AK$41)</f>
        <v>13660021.741671048</v>
      </c>
      <c r="AI46" s="22">
        <f>((Data!$AJ$41*'Net zero Intermediate calcs'!AI44)+Data!$AK$41)</f>
        <v>13801311.895563768</v>
      </c>
      <c r="AJ46" s="22">
        <f>((Data!$AJ$41*'Net zero Intermediate calcs'!AJ44)+Data!$AK$41)</f>
        <v>13947947.995912811</v>
      </c>
      <c r="AK46" s="22">
        <f>((Data!$AJ$41*'Net zero Intermediate calcs'!AK44)+Data!$AK$41)</f>
        <v>14118558.046661016</v>
      </c>
      <c r="AL46" s="22">
        <f>((Data!$AJ$41*'Net zero Intermediate calcs'!AL44)+Data!$AK$41)</f>
        <v>14302443.958329782</v>
      </c>
      <c r="AM46" s="22">
        <f>((Data!$AJ$41*'Net zero Intermediate calcs'!AM44)+Data!$AK$41)</f>
        <v>14480442.56900645</v>
      </c>
      <c r="AN46" s="22">
        <f>((Data!$AJ$41*'Net zero Intermediate calcs'!AN44)+Data!$AK$41)</f>
        <v>14653348.447445143</v>
      </c>
      <c r="AO46" s="22">
        <f>((Data!$AJ$41*'Net zero Intermediate calcs'!AO44)+Data!$AK$41)</f>
        <v>14821102.4446071</v>
      </c>
      <c r="AP46" s="22">
        <f>((Data!$AJ$41*'Net zero Intermediate calcs'!AP44)+Data!$AK$41)</f>
        <v>14984249.576635247</v>
      </c>
      <c r="AQ46" s="22">
        <f>((Data!$AJ$41*'Net zero Intermediate calcs'!AQ44)+Data!$AK$41)</f>
        <v>15143542.444632405</v>
      </c>
      <c r="AR46" s="22">
        <f>((Data!$AJ$41*'Net zero Intermediate calcs'!AR44)+Data!$AK$41)</f>
        <v>15299089.770165062</v>
      </c>
      <c r="AS46" s="22">
        <f>((Data!$AJ$41*'Net zero Intermediate calcs'!AS44)+Data!$AK$41)</f>
        <v>15451581.062028015</v>
      </c>
      <c r="AT46" s="22">
        <f>((Data!$AJ$41*'Net zero Intermediate calcs'!AT44)+Data!$AK$41)</f>
        <v>15601218.271939337</v>
      </c>
      <c r="AU46" s="22">
        <f>((Data!$AJ$41*'Net zero Intermediate calcs'!AU44)+Data!$AK$41)</f>
        <v>15747676.361847896</v>
      </c>
      <c r="AV46" s="22">
        <f>((Data!$AJ$41*'Net zero Intermediate calcs'!AV44)+Data!$AK$41)</f>
        <v>15891314.450917635</v>
      </c>
      <c r="AW46" s="22">
        <f>((Data!$AJ$41*'Net zero Intermediate calcs'!AW44)+Data!$AK$41)</f>
        <v>16032652.487365553</v>
      </c>
      <c r="AX46" s="22">
        <f>((Data!$AJ$41*'Net zero Intermediate calcs'!AX44)+Data!$AK$41)</f>
        <v>16171318.395571576</v>
      </c>
      <c r="AY46" s="22">
        <f>((Data!$AJ$41*'Net zero Intermediate calcs'!AY44)+Data!$AK$41)</f>
        <v>16306586.332331391</v>
      </c>
      <c r="AZ46" s="22">
        <f>((Data!$AJ$41*'Net zero Intermediate calcs'!AZ44)+Data!$AK$41)</f>
        <v>16438496.575323777</v>
      </c>
      <c r="BA46" s="22">
        <f>((Data!$AJ$41*'Net zero Intermediate calcs'!BA44)+Data!$AK$41)</f>
        <v>16567248.259645922</v>
      </c>
      <c r="BB46" s="22">
        <f>((Data!$AJ$41*'Net zero Intermediate calcs'!BB44)+Data!$AK$41)</f>
        <v>16693070.939900668</v>
      </c>
      <c r="BC46" s="22">
        <f>((Data!$AJ$41*'Net zero Intermediate calcs'!BC44)+Data!$AK$41)</f>
        <v>16815447.484491922</v>
      </c>
      <c r="BD46" s="22">
        <f>((Data!$AJ$41*'Net zero Intermediate calcs'!BD44)+Data!$AK$41)</f>
        <v>16934037.363953628</v>
      </c>
      <c r="BE46" s="22">
        <f>((Data!$AJ$41*'Net zero Intermediate calcs'!BE44)+Data!$AK$41)</f>
        <v>17048815.510359835</v>
      </c>
      <c r="BF46" s="22">
        <f>((Data!$AJ$41*'Net zero Intermediate calcs'!BF44)+Data!$AK$41)</f>
        <v>17159376.330301844</v>
      </c>
      <c r="BG46" s="22">
        <f>((Data!$AJ$41*'Net zero Intermediate calcs'!BG44)+Data!$AK$41)</f>
        <v>17265268.31945039</v>
      </c>
      <c r="BH46" s="22">
        <f>((Data!$AJ$41*'Net zero Intermediate calcs'!BH44)+Data!$AK$41)</f>
        <v>17366452.045112953</v>
      </c>
      <c r="BI46" s="22">
        <f>((Data!$AJ$41*'Net zero Intermediate calcs'!BI44)+Data!$AK$41)</f>
        <v>17463013.132564712</v>
      </c>
      <c r="BJ46" s="22">
        <f>((Data!$AJ$41*'Net zero Intermediate calcs'!BJ44)+Data!$AK$41)</f>
        <v>17555015.519099955</v>
      </c>
      <c r="BK46" s="22">
        <f>((Data!$AJ$41*'Net zero Intermediate calcs'!BK44)+Data!$AK$41)</f>
        <v>17642018.966872983</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170863.40739787841</v>
      </c>
      <c r="AA47" s="22">
        <f>((Data!$AJ$12*((Drivers!AB5*1000000)/Drivers!AB4))+Data!$AK$12)*Drivers!AB4</f>
        <v>169755.46939787219</v>
      </c>
      <c r="AB47" s="22">
        <f>((Data!$AJ$12*((Drivers!AC5*1000000)/Drivers!AC4))+Data!$AK$12)*Drivers!AC4</f>
        <v>171589.57169404576</v>
      </c>
      <c r="AC47" s="22">
        <f>((Data!$AJ$12*((Drivers!AD5*1000000)/Drivers!AD4))+Data!$AK$12)*Drivers!AD4</f>
        <v>175485.07841312472</v>
      </c>
      <c r="AD47" s="22">
        <f>((Data!$AJ$12*((Drivers!AE5*1000000)/Drivers!AE4))+Data!$AK$12)*Drivers!AE4</f>
        <v>181497.64372653194</v>
      </c>
      <c r="AE47" s="22">
        <f>((Data!$AJ$12*((Drivers!AF5*1000000)/Drivers!AF4))+Data!$AK$12)*Drivers!AF4</f>
        <v>186216.931082936</v>
      </c>
      <c r="AF47" s="22">
        <f>((Data!$AJ$12*((Drivers!AG5*1000000)/Drivers!AG4))+Data!$AK$12)*Drivers!AG4</f>
        <v>190857.74045123524</v>
      </c>
      <c r="AG47" s="22">
        <f>((Data!$AJ$12*((Drivers!AH5*1000000)/Drivers!AH4))+Data!$AK$12)*Drivers!AH4</f>
        <v>217162.17491575936</v>
      </c>
      <c r="AH47" s="22">
        <f>((Data!$AJ$12*((Drivers!AI5*1000000)/Drivers!AI4))+Data!$AK$12)*Drivers!AI4</f>
        <v>203602.80356849992</v>
      </c>
      <c r="AI47" s="22">
        <f>((Data!$AJ$12*((Drivers!AJ5*1000000)/Drivers!AJ4))+Data!$AK$12)*Drivers!AJ4</f>
        <v>197406.23080505771</v>
      </c>
      <c r="AJ47" s="22">
        <f>((Data!$AJ$12*((Drivers!AK5*1000000)/Drivers!AK4))+Data!$AK$12)*Drivers!AK4</f>
        <v>197916.15574743281</v>
      </c>
      <c r="AK47" s="22">
        <f>((Data!$AJ$12*((Drivers!AL5*1000000)/Drivers!AL4))+Data!$AK$12)*Drivers!AL4</f>
        <v>198828.81430043711</v>
      </c>
      <c r="AL47" s="22">
        <f>((Data!$AJ$12*((Drivers!AM5*1000000)/Drivers!AM4))+Data!$AK$12)*Drivers!AM4</f>
        <v>198327.8898555192</v>
      </c>
      <c r="AM47" s="22">
        <f>((Data!$AJ$12*((Drivers!AN5*1000000)/Drivers!AN4))+Data!$AK$12)*Drivers!AN4</f>
        <v>195828.02271596226</v>
      </c>
      <c r="AN47" s="22">
        <f>((Data!$AJ$12*((Drivers!AO5*1000000)/Drivers!AO4))+Data!$AK$12)*Drivers!AO4</f>
        <v>192235.30620425468</v>
      </c>
      <c r="AO47" s="22">
        <f>((Data!$AJ$12*((Drivers!AP5*1000000)/Drivers!AP4))+Data!$AK$12)*Drivers!AP4</f>
        <v>187273.27712876687</v>
      </c>
      <c r="AP47" s="22">
        <f>((Data!$AJ$12*((Drivers!AQ5*1000000)/Drivers!AQ4))+Data!$AK$12)*Drivers!AQ4</f>
        <v>180151.1550910619</v>
      </c>
      <c r="AQ47" s="22">
        <f>((Data!$AJ$12*((Drivers!AR5*1000000)/Drivers!AR4))+Data!$AK$12)*Drivers!AR4</f>
        <v>170945.25715310374</v>
      </c>
      <c r="AR47" s="22">
        <f>((Data!$AJ$12*((Drivers!AS5*1000000)/Drivers!AS4))+Data!$AK$12)*Drivers!AS4</f>
        <v>160348.58697283655</v>
      </c>
      <c r="AS47" s="22">
        <f>((Data!$AJ$12*((Drivers!AT5*1000000)/Drivers!AT4))+Data!$AK$12)*Drivers!AT4</f>
        <v>148394.06448592493</v>
      </c>
      <c r="AT47" s="22">
        <f>((Data!$AJ$12*((Drivers!AU5*1000000)/Drivers!AU4))+Data!$AK$12)*Drivers!AU4</f>
        <v>135475.79162924865</v>
      </c>
      <c r="AU47" s="22">
        <f>((Data!$AJ$12*((Drivers!AV5*1000000)/Drivers!AV4))+Data!$AK$12)*Drivers!AV4</f>
        <v>121381.95445826398</v>
      </c>
      <c r="AV47" s="22">
        <f>((Data!$AJ$12*((Drivers!AW5*1000000)/Drivers!AW4))+Data!$AK$12)*Drivers!AW4</f>
        <v>106300.54315626674</v>
      </c>
      <c r="AW47" s="22">
        <f>((Data!$AJ$12*((Drivers!AX5*1000000)/Drivers!AX4))+Data!$AK$12)*Drivers!AX4</f>
        <v>90960.026348992833</v>
      </c>
      <c r="AX47" s="22">
        <f>((Data!$AJ$12*((Drivers!AY5*1000000)/Drivers!AY4))+Data!$AK$12)*Drivers!AY4</f>
        <v>74295.620536061164</v>
      </c>
      <c r="AY47" s="22">
        <f>((Data!$AJ$12*((Drivers!AZ5*1000000)/Drivers!AZ4))+Data!$AK$12)*Drivers!AZ4</f>
        <v>56948.429089023324</v>
      </c>
      <c r="AZ47" s="22">
        <f>((Data!$AJ$12*((Drivers!BA5*1000000)/Drivers!BA4))+Data!$AK$12)*Drivers!BA4</f>
        <v>38968.002817852139</v>
      </c>
      <c r="BA47" s="22">
        <f>((Data!$AJ$12*((Drivers!BB5*1000000)/Drivers!BB4))+Data!$AK$12)*Drivers!BB4</f>
        <v>20027.331442205963</v>
      </c>
      <c r="BB47" s="22">
        <f>((Data!$AJ$12*((Drivers!BC5*1000000)/Drivers!BC4))+Data!$AK$12)*Drivers!BC4</f>
        <v>935.06602759530142</v>
      </c>
      <c r="BC47" s="22">
        <f>((Data!$AJ$12*((Drivers!BD5*1000000)/Drivers!BD4))+Data!$AK$12)*Drivers!BD4</f>
        <v>-19451.229309019178</v>
      </c>
      <c r="BD47" s="22">
        <f>((Data!$AJ$12*((Drivers!BE5*1000000)/Drivers!BE4))+Data!$AK$12)*Drivers!BE4</f>
        <v>-41576.598511388482</v>
      </c>
      <c r="BE47" s="22">
        <f>((Data!$AJ$12*((Drivers!BF5*1000000)/Drivers!BF4))+Data!$AK$12)*Drivers!BF4</f>
        <v>-64770.987985363507</v>
      </c>
      <c r="BF47" s="22">
        <f>((Data!$AJ$12*((Drivers!BG5*1000000)/Drivers!BG4))+Data!$AK$12)*Drivers!BG4</f>
        <v>-89107.206380685951</v>
      </c>
      <c r="BG47" s="22">
        <f>((Data!$AJ$12*((Drivers!BH5*1000000)/Drivers!BH4))+Data!$AK$12)*Drivers!BH4</f>
        <v>-115412.95295904137</v>
      </c>
      <c r="BH47" s="22">
        <f>((Data!$AJ$12*((Drivers!BI5*1000000)/Drivers!BI4))+Data!$AK$12)*Drivers!BI4</f>
        <v>-143471.93219490003</v>
      </c>
      <c r="BI47" s="22">
        <f>((Data!$AJ$12*((Drivers!BJ5*1000000)/Drivers!BJ4))+Data!$AK$12)*Drivers!BJ4</f>
        <v>-173140.94267511289</v>
      </c>
      <c r="BJ47" s="22">
        <f>((Data!$AJ$12*((Drivers!BK5*1000000)/Drivers!BK4))+Data!$AK$12)*Drivers!BK4</f>
        <v>-204975.12611867065</v>
      </c>
      <c r="BK47" s="22">
        <f>((Data!$AJ$12*((Drivers!BL5*1000000)/Drivers!BL4))+Data!$AK$12)*Drivers!BL4</f>
        <v>-235981.54432432121</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178577.37849101156</v>
      </c>
      <c r="AA49" s="22">
        <f>((Data!$AJ$44*'Net zero Intermediate calcs'!AA47)+Data!$AK$44)</f>
        <v>177479.7727679064</v>
      </c>
      <c r="AB49" s="22">
        <f>((Data!$AJ$44*'Net zero Intermediate calcs'!AB47)+Data!$AK$44)</f>
        <v>179296.7708102419</v>
      </c>
      <c r="AC49" s="22">
        <f>((Data!$AJ$44*'Net zero Intermediate calcs'!AC47)+Data!$AK$44)</f>
        <v>183155.94927440837</v>
      </c>
      <c r="AD49" s="22">
        <f>((Data!$AJ$44*'Net zero Intermediate calcs'!AD47)+Data!$AK$44)</f>
        <v>189112.44331875225</v>
      </c>
      <c r="AE49" s="22">
        <f>((Data!$AJ$44*'Net zero Intermediate calcs'!AE47)+Data!$AK$44)</f>
        <v>193787.72010440074</v>
      </c>
      <c r="AF49" s="22">
        <f>((Data!$AJ$44*'Net zero Intermediate calcs'!AF47)+Data!$AK$44)</f>
        <v>198385.25076266562</v>
      </c>
      <c r="AG49" s="22">
        <f>((Data!$AJ$44*'Net zero Intermediate calcs'!AG47)+Data!$AK$44)</f>
        <v>224444.37844954355</v>
      </c>
      <c r="AH49" s="22">
        <f>((Data!$AJ$44*'Net zero Intermediate calcs'!AH47)+Data!$AK$44)</f>
        <v>211011.45748070188</v>
      </c>
      <c r="AI49" s="22">
        <f>((Data!$AJ$44*'Net zero Intermediate calcs'!AI47)+Data!$AK$44)</f>
        <v>204872.6719811942</v>
      </c>
      <c r="AJ49" s="22">
        <f>((Data!$AJ$44*'Net zero Intermediate calcs'!AJ47)+Data!$AK$44)</f>
        <v>205377.84152597183</v>
      </c>
      <c r="AK49" s="22">
        <f>((Data!$AJ$44*'Net zero Intermediate calcs'!AK47)+Data!$AK$44)</f>
        <v>206281.98891599977</v>
      </c>
      <c r="AL49" s="22">
        <f>((Data!$AJ$44*'Net zero Intermediate calcs'!AL47)+Data!$AK$44)</f>
        <v>205785.73593290677</v>
      </c>
      <c r="AM49" s="22">
        <f>((Data!$AJ$44*'Net zero Intermediate calcs'!AM47)+Data!$AK$44)</f>
        <v>203309.18175806591</v>
      </c>
      <c r="AN49" s="22">
        <f>((Data!$AJ$44*'Net zero Intermediate calcs'!AN47)+Data!$AK$44)</f>
        <v>199749.96977623797</v>
      </c>
      <c r="AO49" s="22">
        <f>((Data!$AJ$44*'Net zero Intermediate calcs'!AO47)+Data!$AK$44)</f>
        <v>194834.21500346274</v>
      </c>
      <c r="AP49" s="22">
        <f>((Data!$AJ$44*'Net zero Intermediate calcs'!AP47)+Data!$AK$44)</f>
        <v>187778.51160742933</v>
      </c>
      <c r="AQ49" s="22">
        <f>((Data!$AJ$44*'Net zero Intermediate calcs'!AQ47)+Data!$AK$44)</f>
        <v>178658.46494148945</v>
      </c>
      <c r="AR49" s="22">
        <f>((Data!$AJ$44*'Net zero Intermediate calcs'!AR47)+Data!$AK$44)</f>
        <v>168160.61593220037</v>
      </c>
      <c r="AS49" s="22">
        <f>((Data!$AJ$44*'Net zero Intermediate calcs'!AS47)+Data!$AK$44)</f>
        <v>156317.57751439192</v>
      </c>
      <c r="AT49" s="22">
        <f>((Data!$AJ$44*'Net zero Intermediate calcs'!AT47)+Data!$AK$44)</f>
        <v>143519.77635580517</v>
      </c>
      <c r="AU49" s="22">
        <f>((Data!$AJ$44*'Net zero Intermediate calcs'!AU47)+Data!$AK$44)</f>
        <v>129557.37382127874</v>
      </c>
      <c r="AV49" s="22">
        <f>((Data!$AJ$44*'Net zero Intermediate calcs'!AV47)+Data!$AK$44)</f>
        <v>114616.60695753542</v>
      </c>
      <c r="AW49" s="22">
        <f>((Data!$AJ$44*'Net zero Intermediate calcs'!AW47)+Data!$AK$44)</f>
        <v>99419.150923930501</v>
      </c>
      <c r="AX49" s="22">
        <f>((Data!$AJ$44*'Net zero Intermediate calcs'!AX47)+Data!$AK$44)</f>
        <v>82910.152051865487</v>
      </c>
      <c r="AY49" s="22">
        <f>((Data!$AJ$44*'Net zero Intermediate calcs'!AY47)+Data!$AK$44)</f>
        <v>65724.734987045347</v>
      </c>
      <c r="AZ49" s="22">
        <f>((Data!$AJ$44*'Net zero Intermediate calcs'!AZ47)+Data!$AK$44)</f>
        <v>47911.988444371462</v>
      </c>
      <c r="BA49" s="22">
        <f>((Data!$AJ$44*'Net zero Intermediate calcs'!BA47)+Data!$AK$44)</f>
        <v>29147.951737221265</v>
      </c>
      <c r="BB49" s="22">
        <f>((Data!$AJ$44*'Net zero Intermediate calcs'!BB47)+Data!$AK$44)</f>
        <v>10233.734708830072</v>
      </c>
      <c r="BC49" s="22">
        <f>((Data!$AJ$44*'Net zero Intermediate calcs'!BC47)+Data!$AK$44)</f>
        <v>-9962.4445306710732</v>
      </c>
      <c r="BD49" s="22">
        <f>((Data!$AJ$44*'Net zero Intermediate calcs'!BD47)+Data!$AK$44)</f>
        <v>-31881.479586963767</v>
      </c>
      <c r="BE49" s="22">
        <f>((Data!$AJ$44*'Net zero Intermediate calcs'!BE47)+Data!$AK$44)</f>
        <v>-54859.565572300569</v>
      </c>
      <c r="BF49" s="22">
        <f>((Data!$AJ$44*'Net zero Intermediate calcs'!BF47)+Data!$AK$44)</f>
        <v>-78968.83214614584</v>
      </c>
      <c r="BG49" s="22">
        <f>((Data!$AJ$44*'Net zero Intermediate calcs'!BG47)+Data!$AK$44)</f>
        <v>-105029.25971049938</v>
      </c>
      <c r="BH49" s="22">
        <f>((Data!$AJ$44*'Net zero Intermediate calcs'!BH47)+Data!$AK$44)</f>
        <v>-132826.56984301071</v>
      </c>
      <c r="BI49" s="22">
        <f>((Data!$AJ$44*'Net zero Intermediate calcs'!BI47)+Data!$AK$44)</f>
        <v>-162218.89658129908</v>
      </c>
      <c r="BJ49" s="22">
        <f>((Data!$AJ$44*'Net zero Intermediate calcs'!BJ47)+Data!$AK$44)</f>
        <v>-193756.20456950084</v>
      </c>
      <c r="BK49" s="22">
        <f>((Data!$AJ$44*'Net zero Intermediate calcs'!BK47)+Data!$AK$44)</f>
        <v>-224473.46679475438</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2790651.9542421014</v>
      </c>
      <c r="AG50" s="22">
        <f>AG15*Constants!$H$29*Constants!$H$35</f>
        <v>2726727.2625781368</v>
      </c>
      <c r="AH50" s="22">
        <f>AH15*Constants!$H$29*Constants!$H$35</f>
        <v>2798202.6589577035</v>
      </c>
      <c r="AI50" s="22">
        <f>AI15*Constants!$H$29*Constants!$H$35</f>
        <v>2841817.2678384497</v>
      </c>
      <c r="AJ50" s="22">
        <f>AJ15*Constants!$H$29*Constants!$H$35</f>
        <v>2864766.8588944697</v>
      </c>
      <c r="AK50" s="22">
        <f>AK15*Constants!$H$29*Constants!$H$35</f>
        <v>2890441.7828806019</v>
      </c>
      <c r="AL50" s="22">
        <f>AL15*Constants!$H$29*Constants!$H$35</f>
        <v>2922887.5846717311</v>
      </c>
      <c r="AM50" s="22">
        <f>AM15*Constants!$H$29*Constants!$H$35</f>
        <v>2960772.7841662648</v>
      </c>
      <c r="AN50" s="22">
        <f>AN15*Constants!$H$29*Constants!$H$35</f>
        <v>3001317.5202815761</v>
      </c>
      <c r="AO50" s="22">
        <f>AO15*Constants!$H$29*Constants!$H$35</f>
        <v>3045400.7067220812</v>
      </c>
      <c r="AP50" s="22">
        <f>AP15*Constants!$H$29*Constants!$H$35</f>
        <v>3095656.1035502995</v>
      </c>
      <c r="AQ50" s="22">
        <f>AQ15*Constants!$H$29*Constants!$H$35</f>
        <v>3151964.5521753374</v>
      </c>
      <c r="AR50" s="22">
        <f>AR15*Constants!$H$29*Constants!$H$35</f>
        <v>3212116.2693291032</v>
      </c>
      <c r="AS50" s="22">
        <f>AS15*Constants!$H$29*Constants!$H$35</f>
        <v>3276121.0388897019</v>
      </c>
      <c r="AT50" s="22">
        <f>AT15*Constants!$H$29*Constants!$H$35</f>
        <v>3342745.6834642892</v>
      </c>
      <c r="AU50" s="22">
        <f>AU15*Constants!$H$29*Constants!$H$35</f>
        <v>3412616.6825077371</v>
      </c>
      <c r="AV50" s="22">
        <f>AV15*Constants!$H$29*Constants!$H$35</f>
        <v>3485189.8651916138</v>
      </c>
      <c r="AW50" s="22">
        <f>AW15*Constants!$H$29*Constants!$H$35</f>
        <v>3558210.3854498258</v>
      </c>
      <c r="AX50" s="22">
        <f>AX15*Constants!$H$29*Constants!$H$35</f>
        <v>3635039.141771514</v>
      </c>
      <c r="AY50" s="22">
        <f>AY15*Constants!$H$29*Constants!$H$35</f>
        <v>3713493.2650110391</v>
      </c>
      <c r="AZ50" s="22">
        <f>AZ15*Constants!$H$29*Constants!$H$35</f>
        <v>3793420.2028151732</v>
      </c>
      <c r="BA50" s="22">
        <f>BA15*Constants!$H$29*Constants!$H$35</f>
        <v>3875904.6893005539</v>
      </c>
      <c r="BB50" s="22">
        <f>BB15*Constants!$H$29*Constants!$H$35</f>
        <v>3958385.3956543603</v>
      </c>
      <c r="BC50" s="22">
        <f>BC15*Constants!$H$29*Constants!$H$35</f>
        <v>4044448.5496033137</v>
      </c>
      <c r="BD50" s="22">
        <f>BD15*Constants!$H$29*Constants!$H$35</f>
        <v>4135467.8699380737</v>
      </c>
      <c r="BE50" s="22">
        <f>BE15*Constants!$H$29*Constants!$H$35</f>
        <v>4229284.9233086221</v>
      </c>
      <c r="BF50" s="22">
        <f>BF15*Constants!$H$29*Constants!$H$35</f>
        <v>4326065.7774897786</v>
      </c>
      <c r="BG50" s="22">
        <f>BG15*Constants!$H$29*Constants!$H$35</f>
        <v>4428395.7833167119</v>
      </c>
      <c r="BH50" s="22">
        <f>BH15*Constants!$H$29*Constants!$H$35</f>
        <v>4535572.935902467</v>
      </c>
      <c r="BI50" s="22">
        <f>BI15*Constants!$H$29*Constants!$H$35</f>
        <v>4647151.1993741607</v>
      </c>
      <c r="BJ50" s="22">
        <f>BJ15*Constants!$H$29*Constants!$H$35</f>
        <v>4764926.0820193291</v>
      </c>
      <c r="BK50" s="22">
        <f>BK15*Constants!$H$29*Constants!$H$35</f>
        <v>4879201.4318640335</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3541746.4829646782</v>
      </c>
      <c r="Z51" s="22">
        <f>Z8*Constants!$H$30*Constants!$H$36</f>
        <v>3635202.1454829928</v>
      </c>
      <c r="AA51" s="22">
        <f>AA8*Constants!$H$30*Constants!$H$36</f>
        <v>3749346.4798490396</v>
      </c>
      <c r="AB51" s="22">
        <f>AB8*Constants!$H$30*Constants!$H$36</f>
        <v>3826616.7417984661</v>
      </c>
      <c r="AC51" s="22">
        <f>AC8*Constants!$H$30*Constants!$H$36</f>
        <v>3879298.5642415779</v>
      </c>
      <c r="AD51" s="22">
        <f>AD8*Constants!$H$30*Constants!$H$36</f>
        <v>3906775.7827615775</v>
      </c>
      <c r="AE51" s="22">
        <f>AE8*Constants!$H$30*Constants!$H$36</f>
        <v>3953557.7830203278</v>
      </c>
      <c r="AF51" s="22">
        <f>AF8*Constants!$H$30*Constants!$H$36</f>
        <v>4003230.5614012098</v>
      </c>
      <c r="AG51" s="22">
        <f>AG8*Constants!$H$30*Constants!$H$36</f>
        <v>3694046.8532957532</v>
      </c>
      <c r="AH51" s="22">
        <f>AH8*Constants!$H$30*Constants!$H$36</f>
        <v>3953230.5754830735</v>
      </c>
      <c r="AI51" s="22">
        <f>AI8*Constants!$H$30*Constants!$H$36</f>
        <v>4100047.167298615</v>
      </c>
      <c r="AJ51" s="22">
        <f>AJ8*Constants!$H$30*Constants!$H$36</f>
        <v>4156721.3590043574</v>
      </c>
      <c r="AK51" s="22">
        <f>AK8*Constants!$H$30*Constants!$H$36</f>
        <v>4218258.1805915125</v>
      </c>
      <c r="AL51" s="22">
        <f>AL8*Constants!$H$30*Constants!$H$36</f>
        <v>4305052.1558785103</v>
      </c>
      <c r="AM51" s="22">
        <f>AM8*Constants!$H$30*Constants!$H$36</f>
        <v>4416848.5895454623</v>
      </c>
      <c r="AN51" s="22">
        <f>AN8*Constants!$H$30*Constants!$H$36</f>
        <v>4541500.0399636794</v>
      </c>
      <c r="AO51" s="22">
        <f>AO8*Constants!$H$30*Constants!$H$36</f>
        <v>4682792.507898611</v>
      </c>
      <c r="AP51" s="22">
        <f>AP8*Constants!$H$30*Constants!$H$36</f>
        <v>4851865.5445794752</v>
      </c>
      <c r="AQ51" s="22">
        <f>AQ8*Constants!$H$30*Constants!$H$36</f>
        <v>5047993.899860356</v>
      </c>
      <c r="AR51" s="22">
        <f>AR8*Constants!$H$30*Constants!$H$36</f>
        <v>5261670.1159822801</v>
      </c>
      <c r="AS51" s="22">
        <f>AS8*Constants!$H$30*Constants!$H$36</f>
        <v>5492739.8647232484</v>
      </c>
      <c r="AT51" s="22">
        <f>AT8*Constants!$H$30*Constants!$H$36</f>
        <v>5735857.2569140438</v>
      </c>
      <c r="AU51" s="22">
        <f>AU8*Constants!$H$30*Constants!$H$36</f>
        <v>5993801.4378374461</v>
      </c>
      <c r="AV51" s="22">
        <f>AV8*Constants!$H$30*Constants!$H$36</f>
        <v>6264136.5352085205</v>
      </c>
      <c r="AW51" s="22">
        <f>AW8*Constants!$H$30*Constants!$H$36</f>
        <v>6537044.7766442429</v>
      </c>
      <c r="AX51" s="22">
        <f>AX8*Constants!$H$30*Constants!$H$36</f>
        <v>6827045.0706407707</v>
      </c>
      <c r="AY51" s="22">
        <f>AY8*Constants!$H$30*Constants!$H$36</f>
        <v>7124982.958347857</v>
      </c>
      <c r="AZ51" s="22">
        <f>AZ8*Constants!$H$30*Constants!$H$36</f>
        <v>7430192.763183373</v>
      </c>
      <c r="BA51" s="22">
        <f>BA8*Constants!$H$30*Constants!$H$36</f>
        <v>7747269.6059936266</v>
      </c>
      <c r="BB51" s="22">
        <f>BB8*Constants!$H$30*Constants!$H$36</f>
        <v>8065164.0513950987</v>
      </c>
      <c r="BC51" s="22">
        <f>BC8*Constants!$H$30*Constants!$H$36</f>
        <v>8399402.610991247</v>
      </c>
      <c r="BD51" s="22">
        <f>BD8*Constants!$H$30*Constants!$H$36</f>
        <v>8755973.3259012643</v>
      </c>
      <c r="BE51" s="22">
        <f>BE8*Constants!$H$30*Constants!$H$36</f>
        <v>9125627.0355362538</v>
      </c>
      <c r="BF51" s="22">
        <f>BF8*Constants!$H$30*Constants!$H$36</f>
        <v>9509191.3726137765</v>
      </c>
      <c r="BG51" s="22">
        <f>BG8*Constants!$H$30*Constants!$H$36</f>
        <v>9917881.9728282634</v>
      </c>
      <c r="BH51" s="22">
        <f>BH8*Constants!$H$30*Constants!$H$36</f>
        <v>10348699.560751414</v>
      </c>
      <c r="BI51" s="22">
        <f>BI8*Constants!$H$30*Constants!$H$36</f>
        <v>10799706.966077602</v>
      </c>
      <c r="BJ51" s="22">
        <f>BJ8*Constants!$H$30*Constants!$H$36</f>
        <v>11278585.904456533</v>
      </c>
      <c r="BK51" s="22">
        <f>BK8*Constants!$H$30*Constants!$H$36</f>
        <v>11743880.402435489</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679984.02861521754</v>
      </c>
      <c r="AH52" s="22">
        <f>AH18*Constants!$H$31*Constants!$H$37</f>
        <v>684864.9198409036</v>
      </c>
      <c r="AI52" s="22">
        <f>AI18*Constants!$H$31*Constants!$H$37</f>
        <v>688931.16287458478</v>
      </c>
      <c r="AJ52" s="22">
        <f>AJ18*Constants!$H$31*Constants!$H$37</f>
        <v>693045.31719199638</v>
      </c>
      <c r="AK52" s="22">
        <f>AK18*Constants!$H$31*Constants!$H$37</f>
        <v>697827.231673948</v>
      </c>
      <c r="AL52" s="22">
        <f>AL18*Constants!$H$31*Constants!$H$37</f>
        <v>703003.90621682198</v>
      </c>
      <c r="AM52" s="22">
        <f>AM18*Constants!$H$31*Constants!$H$37</f>
        <v>708045.59928398533</v>
      </c>
      <c r="AN52" s="22">
        <f>AN18*Constants!$H$31*Constants!$H$37</f>
        <v>712960.81622932642</v>
      </c>
      <c r="AO52" s="22">
        <f>AO18*Constants!$H$31*Constants!$H$37</f>
        <v>717752.11410969996</v>
      </c>
      <c r="AP52" s="22">
        <f>AP18*Constants!$H$31*Constants!$H$37</f>
        <v>722446.88321879494</v>
      </c>
      <c r="AQ52" s="22">
        <f>AQ18*Constants!$H$31*Constants!$H$37</f>
        <v>727065.11430783302</v>
      </c>
      <c r="AR52" s="22">
        <f>AR18*Constants!$H$31*Constants!$H$37</f>
        <v>731599.28602899041</v>
      </c>
      <c r="AS52" s="22">
        <f>AS18*Constants!$H$31*Constants!$H$37</f>
        <v>736068.27799261804</v>
      </c>
      <c r="AT52" s="22">
        <f>AT18*Constants!$H$31*Constants!$H$37</f>
        <v>740471.75176886842</v>
      </c>
      <c r="AU52" s="22">
        <f>AU18*Constants!$H$31*Constants!$H$37</f>
        <v>744803.80352097563</v>
      </c>
      <c r="AV52" s="22">
        <f>AV18*Constants!$H$31*Constants!$H$37</f>
        <v>749071.65873373998</v>
      </c>
      <c r="AW52" s="22">
        <f>AW18*Constants!$H$31*Constants!$H$37</f>
        <v>753278.81431940733</v>
      </c>
      <c r="AX52" s="22">
        <f>AX18*Constants!$H$31*Constants!$H$37</f>
        <v>757431.06332902727</v>
      </c>
      <c r="AY52" s="22">
        <f>AY18*Constants!$H$31*Constants!$H$37</f>
        <v>761498.21698663873</v>
      </c>
      <c r="AZ52" s="22">
        <f>AZ18*Constants!$H$31*Constants!$H$37</f>
        <v>765480.65118900978</v>
      </c>
      <c r="BA52" s="22">
        <f>BA18*Constants!$H$31*Constants!$H$37</f>
        <v>769388.9548685269</v>
      </c>
      <c r="BB52" s="22">
        <f>BB18*Constants!$H$31*Constants!$H$37</f>
        <v>773217.23813255387</v>
      </c>
      <c r="BC52" s="22">
        <f>BC18*Constants!$H$31*Constants!$H$37</f>
        <v>776968.40174198116</v>
      </c>
      <c r="BD52" s="22">
        <f>BD18*Constants!$H$31*Constants!$H$37</f>
        <v>780639.66625140747</v>
      </c>
      <c r="BE52" s="22">
        <f>BE18*Constants!$H$31*Constants!$H$37</f>
        <v>784220.09978666017</v>
      </c>
      <c r="BF52" s="22">
        <f>BF18*Constants!$H$31*Constants!$H$37</f>
        <v>787699.41242502618</v>
      </c>
      <c r="BG52" s="22">
        <f>BG18*Constants!$H$31*Constants!$H$37</f>
        <v>791077.54579532694</v>
      </c>
      <c r="BH52" s="22">
        <f>BH18*Constants!$H$31*Constants!$H$37</f>
        <v>794350.09006639337</v>
      </c>
      <c r="BI52" s="22">
        <f>BI18*Constants!$H$31*Constants!$H$37</f>
        <v>797517.26643955661</v>
      </c>
      <c r="BJ52" s="22">
        <f>BJ18*Constants!$H$31*Constants!$H$37</f>
        <v>800589.34547397064</v>
      </c>
      <c r="BK52" s="22">
        <f>BK18*Constants!$H$31*Constants!$H$37</f>
        <v>803508.27004126378</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107578.64992070248</v>
      </c>
      <c r="AA53" s="22">
        <f>AA32*Constants!$H$32*Constants!$H$38</f>
        <v>110633.12591910688</v>
      </c>
      <c r="AB53" s="22">
        <f>AB32*Constants!$H$32*Constants!$H$38</f>
        <v>112582.26561288939</v>
      </c>
      <c r="AC53" s="22">
        <f>AC32*Constants!$H$32*Constants!$H$38</f>
        <v>113789.77241225366</v>
      </c>
      <c r="AD53" s="22">
        <f>AD32*Constants!$H$32*Constants!$H$38</f>
        <v>114236.87821044908</v>
      </c>
      <c r="AE53" s="22">
        <f>AE32*Constants!$H$32*Constants!$H$38</f>
        <v>115251.32905709541</v>
      </c>
      <c r="AF53" s="22">
        <f>AF32*Constants!$H$32*Constants!$H$38</f>
        <v>116345.45035452007</v>
      </c>
      <c r="AG53" s="22">
        <f>AG32*Constants!$H$32*Constants!$H$38</f>
        <v>107002.29168429857</v>
      </c>
      <c r="AH53" s="22">
        <f>AH32*Constants!$H$32*Constants!$H$38</f>
        <v>114444.8190377998</v>
      </c>
      <c r="AI53" s="22">
        <f>AI32*Constants!$H$32*Constants!$H$38</f>
        <v>118592.57838898798</v>
      </c>
      <c r="AJ53" s="22">
        <f>AJ32*Constants!$H$32*Constants!$H$38</f>
        <v>120060.51804769099</v>
      </c>
      <c r="AK53" s="22">
        <f>AK32*Constants!$H$32*Constants!$H$38</f>
        <v>121637.93154583966</v>
      </c>
      <c r="AL53" s="22">
        <f>AL32*Constants!$H$32*Constants!$H$38</f>
        <v>123944.84384845853</v>
      </c>
      <c r="AM53" s="22">
        <f>AM32*Constants!$H$32*Constants!$H$38</f>
        <v>127001.41707240108</v>
      </c>
      <c r="AN53" s="22">
        <f>AN32*Constants!$H$32*Constants!$H$38</f>
        <v>130446.4158816578</v>
      </c>
      <c r="AO53" s="22">
        <f>AO32*Constants!$H$32*Constants!$H$38</f>
        <v>134392.15413627843</v>
      </c>
      <c r="AP53" s="22">
        <f>AP32*Constants!$H$32*Constants!$H$38</f>
        <v>139168.05311552505</v>
      </c>
      <c r="AQ53" s="22">
        <f>AQ32*Constants!$H$32*Constants!$H$38</f>
        <v>144751.52590371628</v>
      </c>
      <c r="AR53" s="22">
        <f>AR32*Constants!$H$32*Constants!$H$38</f>
        <v>150860.58594989253</v>
      </c>
      <c r="AS53" s="22">
        <f>AS32*Constants!$H$32*Constants!$H$38</f>
        <v>157489.66140081547</v>
      </c>
      <c r="AT53" s="22">
        <f>AT32*Constants!$H$32*Constants!$H$38</f>
        <v>164479.99215590156</v>
      </c>
      <c r="AU53" s="22">
        <f>AU32*Constants!$H$32*Constants!$H$38</f>
        <v>171914.43038864597</v>
      </c>
      <c r="AV53" s="22">
        <f>AV32*Constants!$H$32*Constants!$H$38</f>
        <v>179720.25027321943</v>
      </c>
      <c r="AW53" s="22">
        <f>AW32*Constants!$H$32*Constants!$H$38</f>
        <v>187605.67193113518</v>
      </c>
      <c r="AX53" s="22">
        <f>AX32*Constants!$H$32*Constants!$H$38</f>
        <v>196001.6170585776</v>
      </c>
      <c r="AY53" s="22">
        <f>AY32*Constants!$H$32*Constants!$H$38</f>
        <v>204637.76991484489</v>
      </c>
      <c r="AZ53" s="22">
        <f>AZ32*Constants!$H$32*Constants!$H$38</f>
        <v>213494.33962004812</v>
      </c>
      <c r="BA53" s="22">
        <f>BA32*Constants!$H$32*Constants!$H$38</f>
        <v>222707.25125281326</v>
      </c>
      <c r="BB53" s="22">
        <f>BB32*Constants!$H$32*Constants!$H$38</f>
        <v>231948.63472094294</v>
      </c>
      <c r="BC53" s="22">
        <f>BC32*Constants!$H$32*Constants!$H$38</f>
        <v>241679.48984072905</v>
      </c>
      <c r="BD53" s="22">
        <f>BD32*Constants!$H$32*Constants!$H$38</f>
        <v>252077.81240530522</v>
      </c>
      <c r="BE53" s="22">
        <f>BE32*Constants!$H$32*Constants!$H$38</f>
        <v>262869.46603447793</v>
      </c>
      <c r="BF53" s="22">
        <f>BF32*Constants!$H$32*Constants!$H$38</f>
        <v>274079.57075652306</v>
      </c>
      <c r="BG53" s="22">
        <f>BG32*Constants!$H$32*Constants!$H$38</f>
        <v>286041.24429897225</v>
      </c>
      <c r="BH53" s="22">
        <f>BH32*Constants!$H$32*Constants!$H$38</f>
        <v>298665.63624090346</v>
      </c>
      <c r="BI53" s="22">
        <f>BI32*Constants!$H$32*Constants!$H$38</f>
        <v>311895.19926882611</v>
      </c>
      <c r="BJ53" s="22">
        <f>BJ32*Constants!$H$32*Constants!$H$38</f>
        <v>325957.54982323368</v>
      </c>
      <c r="BK53" s="22">
        <f>BK32*Constants!$H$32*Constants!$H$38</f>
        <v>339624.44617400173</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580166.48120341264</v>
      </c>
      <c r="AD54" s="22">
        <f>AD37*Constants!$H$33*Constants!$H$39</f>
        <v>586050.55870402511</v>
      </c>
      <c r="AE54" s="22">
        <f>AE37*Constants!$H$33*Constants!$H$39</f>
        <v>593601.80527957692</v>
      </c>
      <c r="AF54" s="22">
        <f>AF37*Constants!$H$33*Constants!$H$39</f>
        <v>601454.1975406796</v>
      </c>
      <c r="AG54" s="22">
        <f>AG37*Constants!$H$33*Constants!$H$39</f>
        <v>577252.81404601829</v>
      </c>
      <c r="AH54" s="22">
        <f>AH37*Constants!$H$33*Constants!$H$39</f>
        <v>601336.76417260338</v>
      </c>
      <c r="AI54" s="22">
        <f>AI37*Constants!$H$33*Constants!$H$39</f>
        <v>615642.88542908104</v>
      </c>
      <c r="AJ54" s="22">
        <f>AJ37*Constants!$H$33*Constants!$H$39</f>
        <v>622462.75690615701</v>
      </c>
      <c r="AK54" s="22">
        <f>AK37*Constants!$H$33*Constants!$H$39</f>
        <v>630028.26813261281</v>
      </c>
      <c r="AL54" s="22">
        <f>AL37*Constants!$H$33*Constants!$H$39</f>
        <v>639899.49392510543</v>
      </c>
      <c r="AM54" s="22">
        <f>AM37*Constants!$H$33*Constants!$H$39</f>
        <v>651785.1027877914</v>
      </c>
      <c r="AN54" s="22">
        <f>AN37*Constants!$H$33*Constants!$H$39</f>
        <v>664677.30472812674</v>
      </c>
      <c r="AO54" s="22">
        <f>AO37*Constants!$H$33*Constants!$H$39</f>
        <v>678892.85375888995</v>
      </c>
      <c r="AP54" s="22">
        <f>AP37*Constants!$H$33*Constants!$H$39</f>
        <v>695373.86513624259</v>
      </c>
      <c r="AQ54" s="22">
        <f>AQ37*Constants!$H$33*Constants!$H$39</f>
        <v>714070.10399777733</v>
      </c>
      <c r="AR54" s="22">
        <f>AR37*Constants!$H$33*Constants!$H$39</f>
        <v>734185.57236723637</v>
      </c>
      <c r="AS54" s="22">
        <f>AS37*Constants!$H$33*Constants!$H$39</f>
        <v>755717.03812854527</v>
      </c>
      <c r="AT54" s="22">
        <f>AT37*Constants!$H$33*Constants!$H$39</f>
        <v>778218.90837302362</v>
      </c>
      <c r="AU54" s="22">
        <f>AU37*Constants!$H$33*Constants!$H$39</f>
        <v>801919.73162219161</v>
      </c>
      <c r="AV54" s="22">
        <f>AV37*Constants!$H$33*Constants!$H$39</f>
        <v>826620.23481192626</v>
      </c>
      <c r="AW54" s="22">
        <f>AW37*Constants!$H$33*Constants!$H$39</f>
        <v>851504.18260898383</v>
      </c>
      <c r="AX54" s="22">
        <f>AX37*Constants!$H$33*Constants!$H$39</f>
        <v>877784.24662976863</v>
      </c>
      <c r="AY54" s="22">
        <f>AY37*Constants!$H$33*Constants!$H$39</f>
        <v>904682.28291494865</v>
      </c>
      <c r="AZ54" s="22">
        <f>AZ37*Constants!$H$33*Constants!$H$39</f>
        <v>932143.01885073748</v>
      </c>
      <c r="BA54" s="22">
        <f>BA37*Constants!$H$33*Constants!$H$39</f>
        <v>960554.71984334744</v>
      </c>
      <c r="BB54" s="22">
        <f>BB37*Constants!$H$33*Constants!$H$39</f>
        <v>988993.74195622292</v>
      </c>
      <c r="BC54" s="22">
        <f>BC37*Constants!$H$33*Constants!$H$39</f>
        <v>1018755.2357073082</v>
      </c>
      <c r="BD54" s="22">
        <f>BD37*Constants!$H$33*Constants!$H$39</f>
        <v>1050336.708433822</v>
      </c>
      <c r="BE54" s="22">
        <f>BE37*Constants!$H$33*Constants!$H$39</f>
        <v>1082961.944525918</v>
      </c>
      <c r="BF54" s="22">
        <f>BF37*Constants!$H$33*Constants!$H$39</f>
        <v>1116694.655739828</v>
      </c>
      <c r="BG54" s="22">
        <f>BG37*Constants!$H$33*Constants!$H$39</f>
        <v>1152469.3008848503</v>
      </c>
      <c r="BH54" s="22">
        <f>BH37*Constants!$H$33*Constants!$H$39</f>
        <v>1190033.7313177481</v>
      </c>
      <c r="BI54" s="22">
        <f>BI37*Constants!$H$33*Constants!$H$39</f>
        <v>1229226.6544851805</v>
      </c>
      <c r="BJ54" s="22">
        <f>BJ37*Constants!$H$33*Constants!$H$39</f>
        <v>1270693.3490339152</v>
      </c>
      <c r="BK54" s="22">
        <f>BK37*Constants!$H$33*Constants!$H$39</f>
        <v>1310950.0937946397</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1613765.8062503648</v>
      </c>
      <c r="AB55" s="22">
        <f>AB42*Constants!$H$34*Constants!$H$40</f>
        <v>1642887.1674004446</v>
      </c>
      <c r="AC55" s="22">
        <f>AC42*Constants!$H$34*Constants!$H$40</f>
        <v>1655964.181404236</v>
      </c>
      <c r="AD55" s="22">
        <f>AD42*Constants!$H$34*Constants!$H$40</f>
        <v>1652584.5489179101</v>
      </c>
      <c r="AE55" s="22">
        <f>AE42*Constants!$H$34*Constants!$H$40</f>
        <v>1660968.4068159335</v>
      </c>
      <c r="AF55" s="22">
        <f>AF42*Constants!$H$34*Constants!$H$40</f>
        <v>1670818.6391072047</v>
      </c>
      <c r="AG55" s="22">
        <f>AG42*Constants!$H$34*Constants!$H$40</f>
        <v>1468088.4193582577</v>
      </c>
      <c r="AH55" s="22">
        <f>AH42*Constants!$H$34*Constants!$H$40</f>
        <v>1616276.3821664907</v>
      </c>
      <c r="AI55" s="22">
        <f>AI42*Constants!$H$34*Constants!$H$40</f>
        <v>1696415.4385253072</v>
      </c>
      <c r="AJ55" s="22">
        <f>AJ42*Constants!$H$34*Constants!$H$40</f>
        <v>1719914.9699358433</v>
      </c>
      <c r="AK55" s="22">
        <f>AK42*Constants!$H$34*Constants!$H$40</f>
        <v>1744510.9141789589</v>
      </c>
      <c r="AL55" s="22">
        <f>AL42*Constants!$H$34*Constants!$H$40</f>
        <v>1783783.9504024286</v>
      </c>
      <c r="AM55" s="22">
        <f>AM42*Constants!$H$34*Constants!$H$40</f>
        <v>1839122.4994898951</v>
      </c>
      <c r="AN55" s="22">
        <f>AN42*Constants!$H$34*Constants!$H$40</f>
        <v>1902887.9246789122</v>
      </c>
      <c r="AO55" s="22">
        <f>AO42*Constants!$H$34*Constants!$H$40</f>
        <v>1977445.7456136448</v>
      </c>
      <c r="AP55" s="22">
        <f>AP42*Constants!$H$34*Constants!$H$40</f>
        <v>2069697.9753012762</v>
      </c>
      <c r="AQ55" s="22">
        <f>AQ42*Constants!$H$34*Constants!$H$40</f>
        <v>2179131.6221723231</v>
      </c>
      <c r="AR55" s="22">
        <f>AR42*Constants!$H$34*Constants!$H$40</f>
        <v>2299809.5750196478</v>
      </c>
      <c r="AS55" s="22">
        <f>AS42*Constants!$H$34*Constants!$H$40</f>
        <v>2431579.9321787143</v>
      </c>
      <c r="AT55" s="22">
        <f>AT42*Constants!$H$34*Constants!$H$40</f>
        <v>2571092.9826274463</v>
      </c>
      <c r="AU55" s="22">
        <f>AU42*Constants!$H$34*Constants!$H$40</f>
        <v>2720107.8936469969</v>
      </c>
      <c r="AV55" s="22">
        <f>AV42*Constants!$H$34*Constants!$H$40</f>
        <v>2877076.7925966</v>
      </c>
      <c r="AW55" s="22">
        <f>AW42*Constants!$H$34*Constants!$H$40</f>
        <v>3035835.8704965916</v>
      </c>
      <c r="AX55" s="22">
        <f>AX42*Constants!$H$34*Constants!$H$40</f>
        <v>3205468.3696074411</v>
      </c>
      <c r="AY55" s="22">
        <f>AY42*Constants!$H$34*Constants!$H$40</f>
        <v>3380324.6724396106</v>
      </c>
      <c r="AZ55" s="22">
        <f>AZ42*Constants!$H$34*Constants!$H$40</f>
        <v>3559986.4472970022</v>
      </c>
      <c r="BA55" s="22">
        <f>BA42*Constants!$H$34*Constants!$H$40</f>
        <v>3747302.883174262</v>
      </c>
      <c r="BB55" s="22">
        <f>BB42*Constants!$H$34*Constants!$H$40</f>
        <v>3935365.6195036015</v>
      </c>
      <c r="BC55" s="22">
        <f>BC42*Constants!$H$34*Constants!$H$40</f>
        <v>4133897.8968132986</v>
      </c>
      <c r="BD55" s="22">
        <f>BD42*Constants!$H$34*Constants!$H$40</f>
        <v>4346661.0258961134</v>
      </c>
      <c r="BE55" s="22">
        <f>BE42*Constants!$H$34*Constants!$H$40</f>
        <v>4567889.7577699255</v>
      </c>
      <c r="BF55" s="22">
        <f>BF42*Constants!$H$34*Constants!$H$40</f>
        <v>4798132.9067764087</v>
      </c>
      <c r="BG55" s="22">
        <f>BG42*Constants!$H$34*Constants!$H$40</f>
        <v>5044420.3871846469</v>
      </c>
      <c r="BH55" s="22">
        <f>BH42*Constants!$H$34*Constants!$H$40</f>
        <v>5304885.1979328794</v>
      </c>
      <c r="BI55" s="22">
        <f>BI42*Constants!$H$34*Constants!$H$40</f>
        <v>5578312.511698056</v>
      </c>
      <c r="BJ55" s="22">
        <f>BJ42*Constants!$H$34*Constants!$H$40</f>
        <v>5869487.0658230316</v>
      </c>
      <c r="BK55" s="22">
        <f>BK42*Constants!$H$34*Constants!$H$40</f>
        <v>6152594.7171874167</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8905592.5862857644</v>
      </c>
      <c r="Z56" s="22">
        <f t="shared" si="8"/>
        <v>9095513.140556192</v>
      </c>
      <c r="AA56" s="22">
        <f t="shared" si="8"/>
        <v>9326430.4780428447</v>
      </c>
      <c r="AB56" s="22">
        <f t="shared" si="8"/>
        <v>9484875.5644762404</v>
      </c>
      <c r="AC56" s="22">
        <f t="shared" si="8"/>
        <v>9595076.4625779223</v>
      </c>
      <c r="AD56" s="22">
        <f t="shared" si="8"/>
        <v>9655827.5030585341</v>
      </c>
      <c r="AE56" s="22">
        <f t="shared" si="8"/>
        <v>9754723.2383019067</v>
      </c>
      <c r="AF56" s="22">
        <f t="shared" si="8"/>
        <v>9859425.640146507</v>
      </c>
      <c r="AG56" s="22">
        <f t="shared" si="8"/>
        <v>9253101.6695776824</v>
      </c>
      <c r="AH56" s="22">
        <f t="shared" si="8"/>
        <v>9768356.1196585745</v>
      </c>
      <c r="AI56" s="22">
        <f t="shared" si="8"/>
        <v>10061446.500355028</v>
      </c>
      <c r="AJ56" s="22">
        <f t="shared" si="8"/>
        <v>10176971.779980516</v>
      </c>
      <c r="AK56" s="22">
        <f t="shared" si="8"/>
        <v>10302704.309003474</v>
      </c>
      <c r="AL56" s="22">
        <f t="shared" si="8"/>
        <v>10478571.934943056</v>
      </c>
      <c r="AM56" s="22">
        <f t="shared" si="8"/>
        <v>10703575.992345802</v>
      </c>
      <c r="AN56" s="22">
        <f t="shared" si="8"/>
        <v>10953790.021763278</v>
      </c>
      <c r="AO56" s="22">
        <f t="shared" si="8"/>
        <v>11236676.082239207</v>
      </c>
      <c r="AP56" s="22">
        <f t="shared" si="8"/>
        <v>11574208.424901614</v>
      </c>
      <c r="AQ56" s="22">
        <f t="shared" si="8"/>
        <v>11964976.818417344</v>
      </c>
      <c r="AR56" s="22">
        <f t="shared" si="8"/>
        <v>12390241.404677151</v>
      </c>
      <c r="AS56" s="22">
        <f t="shared" si="8"/>
        <v>12849715.813313644</v>
      </c>
      <c r="AT56" s="22">
        <f t="shared" si="8"/>
        <v>13332866.575303573</v>
      </c>
      <c r="AU56" s="22">
        <f t="shared" si="8"/>
        <v>13845163.979523992</v>
      </c>
      <c r="AV56" s="22">
        <f t="shared" si="8"/>
        <v>14381815.336815622</v>
      </c>
      <c r="AW56" s="22">
        <f t="shared" si="8"/>
        <v>14923479.701450186</v>
      </c>
      <c r="AX56" s="22">
        <f t="shared" si="8"/>
        <v>15498769.5090371</v>
      </c>
      <c r="AY56" s="22">
        <f t="shared" si="8"/>
        <v>16089619.165614938</v>
      </c>
      <c r="AZ56" s="22">
        <f t="shared" si="8"/>
        <v>16694717.422955345</v>
      </c>
      <c r="BA56" s="22">
        <f t="shared" si="8"/>
        <v>17323128.10443313</v>
      </c>
      <c r="BB56" s="22">
        <f t="shared" si="8"/>
        <v>17953074.681362782</v>
      </c>
      <c r="BC56" s="22">
        <f t="shared" si="8"/>
        <v>18615152.184697878</v>
      </c>
      <c r="BD56" s="22">
        <f t="shared" si="8"/>
        <v>19321156.408825986</v>
      </c>
      <c r="BE56" s="22">
        <f t="shared" si="8"/>
        <v>20052853.226961859</v>
      </c>
      <c r="BF56" s="22">
        <f t="shared" si="8"/>
        <v>20811863.69580134</v>
      </c>
      <c r="BG56" s="22">
        <f t="shared" si="8"/>
        <v>21620286.234308772</v>
      </c>
      <c r="BH56" s="22">
        <f t="shared" si="8"/>
        <v>22472207.152211808</v>
      </c>
      <c r="BI56" s="22">
        <f t="shared" si="8"/>
        <v>23363809.797343381</v>
      </c>
      <c r="BJ56" s="22">
        <f t="shared" si="8"/>
        <v>24310239.29663001</v>
      </c>
      <c r="BK56" s="22">
        <f t="shared" si="8"/>
        <v>25229759.361496847</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7114861.6064857468</v>
      </c>
      <c r="Z58" s="22">
        <f>((Data!$AJ$37*'Net zero Intermediate calcs'!Z56)+Data!$AK$37)</f>
        <v>7231399.0528125465</v>
      </c>
      <c r="AA58" s="22">
        <f>((Data!$AJ$37*'Net zero Intermediate calcs'!AA56)+Data!$AK$37)</f>
        <v>7373092.5989726968</v>
      </c>
      <c r="AB58" s="22">
        <f>((Data!$AJ$37*'Net zero Intermediate calcs'!AB56)+Data!$AK$37)</f>
        <v>7470316.3345863</v>
      </c>
      <c r="AC58" s="22">
        <f>((Data!$AJ$37*'Net zero Intermediate calcs'!AC56)+Data!$AK$37)</f>
        <v>7537936.8788555805</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7328097.1949020606</v>
      </c>
      <c r="AH58" s="22">
        <f>((Data!$AJ$37*'Net zero Intermediate calcs'!AH56)+Data!$AK$37)</f>
        <v>7644263.2784079388</v>
      </c>
      <c r="AI58" s="22">
        <f>((Data!$AJ$37*'Net zero Intermediate calcs'!AI56)+Data!$AK$37)</f>
        <v>7824106.9221911132</v>
      </c>
      <c r="AJ58" s="22">
        <f>((Data!$AJ$37*'Net zero Intermediate calcs'!AJ56)+Data!$AK$37)</f>
        <v>7894994.5684780646</v>
      </c>
      <c r="AK58" s="22">
        <f>((Data!$AJ$37*'Net zero Intermediate calcs'!AK56)+Data!$AK$37)</f>
        <v>7972145.5009236503</v>
      </c>
      <c r="AL58" s="22">
        <f>((Data!$AJ$37*'Net zero Intermediate calcs'!AL56)+Data!$AK$37)</f>
        <v>8080059.9080676623</v>
      </c>
      <c r="AM58" s="22">
        <f>((Data!$AJ$37*'Net zero Intermediate calcs'!AM56)+Data!$AK$37)</f>
        <v>8218124.9972498901</v>
      </c>
      <c r="AN58" s="22">
        <f>((Data!$AJ$37*'Net zero Intermediate calcs'!AN56)+Data!$AK$37)</f>
        <v>8371659.2165210247</v>
      </c>
      <c r="AO58" s="22">
        <f>((Data!$AJ$37*'Net zero Intermediate calcs'!AO56)+Data!$AK$37)</f>
        <v>8545241.3715223838</v>
      </c>
      <c r="AP58" s="22">
        <f>((Data!$AJ$37*'Net zero Intermediate calcs'!AP56)+Data!$AK$37)</f>
        <v>8752355.1166232415</v>
      </c>
      <c r="AQ58" s="22">
        <f>((Data!$AJ$37*'Net zero Intermediate calcs'!AQ56)+Data!$AK$37)</f>
        <v>8992135.1175846234</v>
      </c>
      <c r="AR58" s="22">
        <f>((Data!$AJ$37*'Net zero Intermediate calcs'!AR56)+Data!$AK$37)</f>
        <v>9253082.3809617795</v>
      </c>
      <c r="AS58" s="22">
        <f>((Data!$AJ$37*'Net zero Intermediate calcs'!AS56)+Data!$AK$37)</f>
        <v>9535021.1865887307</v>
      </c>
      <c r="AT58" s="22">
        <f>((Data!$AJ$37*'Net zero Intermediate calcs'!AT56)+Data!$AK$37)</f>
        <v>9831488.0761755258</v>
      </c>
      <c r="AU58" s="22">
        <f>((Data!$AJ$37*'Net zero Intermediate calcs'!AU56)+Data!$AK$37)</f>
        <v>10145839.682177508</v>
      </c>
      <c r="AV58" s="22">
        <f>((Data!$AJ$37*'Net zero Intermediate calcs'!AV56)+Data!$AK$37)</f>
        <v>10475135.155154733</v>
      </c>
      <c r="AW58" s="22">
        <f>((Data!$AJ$37*'Net zero Intermediate calcs'!AW56)+Data!$AK$37)</f>
        <v>10807506.667354818</v>
      </c>
      <c r="AX58" s="22">
        <f>((Data!$AJ$37*'Net zero Intermediate calcs'!AX56)+Data!$AK$37)</f>
        <v>11160511.139838364</v>
      </c>
      <c r="AY58" s="22">
        <f>((Data!$AJ$37*'Net zero Intermediate calcs'!AY56)+Data!$AK$37)</f>
        <v>11523063.315431762</v>
      </c>
      <c r="AZ58" s="22">
        <f>((Data!$AJ$37*'Net zero Intermediate calcs'!AZ56)+Data!$AK$37)</f>
        <v>11894358.597072732</v>
      </c>
      <c r="BA58" s="22">
        <f>((Data!$AJ$37*'Net zero Intermediate calcs'!BA56)+Data!$AK$37)</f>
        <v>12279958.651501954</v>
      </c>
      <c r="BB58" s="22">
        <f>((Data!$AJ$37*'Net zero Intermediate calcs'!BB56)+Data!$AK$37)</f>
        <v>12666501.149125241</v>
      </c>
      <c r="BC58" s="22">
        <f>((Data!$AJ$37*'Net zero Intermediate calcs'!BC56)+Data!$AK$37)</f>
        <v>13072759.554412073</v>
      </c>
      <c r="BD58" s="22">
        <f>((Data!$AJ$37*'Net zero Intermediate calcs'!BD56)+Data!$AK$37)</f>
        <v>13505971.903080087</v>
      </c>
      <c r="BE58" s="22">
        <f>((Data!$AJ$37*'Net zero Intermediate calcs'!BE56)+Data!$AK$37)</f>
        <v>13954949.524267856</v>
      </c>
      <c r="BF58" s="22">
        <f>((Data!$AJ$37*'Net zero Intermediate calcs'!BF56)+Data!$AK$37)</f>
        <v>14420687.11709265</v>
      </c>
      <c r="BG58" s="22">
        <f>((Data!$AJ$37*'Net zero Intermediate calcs'!BG56)+Data!$AK$37)</f>
        <v>14916744.526742673</v>
      </c>
      <c r="BH58" s="22">
        <f>((Data!$AJ$37*'Net zero Intermediate calcs'!BH56)+Data!$AK$37)</f>
        <v>15439493.044543631</v>
      </c>
      <c r="BI58" s="22">
        <f>((Data!$AJ$37*'Net zero Intermediate calcs'!BI56)+Data!$AK$37)</f>
        <v>15986590.728630541</v>
      </c>
      <c r="BJ58" s="22">
        <f>((Data!$AJ$37*'Net zero Intermediate calcs'!BJ56)+Data!$AK$37)</f>
        <v>16567330.803863088</v>
      </c>
      <c r="BK58" s="22">
        <f>((Data!$AJ$37*'Net zero Intermediate calcs'!BK56)+Data!$AK$37)</f>
        <v>17131558.939240426</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16020454.192771511</v>
      </c>
      <c r="Z59" s="22">
        <f t="shared" si="9"/>
        <v>16326912.193368739</v>
      </c>
      <c r="AA59" s="22">
        <f t="shared" si="9"/>
        <v>16699523.077015541</v>
      </c>
      <c r="AB59" s="22">
        <f t="shared" si="9"/>
        <v>16955191.89906254</v>
      </c>
      <c r="AC59" s="22">
        <f t="shared" si="9"/>
        <v>17133013.341433503</v>
      </c>
      <c r="AD59" s="22">
        <f t="shared" si="9"/>
        <v>17231041.922233555</v>
      </c>
      <c r="AE59" s="22">
        <f t="shared" si="9"/>
        <v>17390621.223203383</v>
      </c>
      <c r="AF59" s="22">
        <f t="shared" si="9"/>
        <v>17559570.228487641</v>
      </c>
      <c r="AG59" s="22">
        <f t="shared" si="9"/>
        <v>16581198.864479743</v>
      </c>
      <c r="AH59" s="22">
        <f t="shared" si="9"/>
        <v>17412619.398066513</v>
      </c>
      <c r="AI59" s="22">
        <f t="shared" si="9"/>
        <v>17885553.422546141</v>
      </c>
      <c r="AJ59" s="22">
        <f t="shared" si="9"/>
        <v>18071966.348458581</v>
      </c>
      <c r="AK59" s="22">
        <f t="shared" si="9"/>
        <v>18274849.809927125</v>
      </c>
      <c r="AL59" s="22">
        <f t="shared" si="9"/>
        <v>18558631.843010716</v>
      </c>
      <c r="AM59" s="22">
        <f t="shared" si="9"/>
        <v>18921700.989595693</v>
      </c>
      <c r="AN59" s="22">
        <f t="shared" si="9"/>
        <v>19325449.238284305</v>
      </c>
      <c r="AO59" s="22">
        <f t="shared" si="9"/>
        <v>19781917.453761593</v>
      </c>
      <c r="AP59" s="22">
        <f t="shared" si="9"/>
        <v>20326563.541524857</v>
      </c>
      <c r="AQ59" s="22">
        <f t="shared" si="9"/>
        <v>20957111.936001968</v>
      </c>
      <c r="AR59" s="22">
        <f t="shared" si="9"/>
        <v>21643323.785638928</v>
      </c>
      <c r="AS59" s="22">
        <f t="shared" si="9"/>
        <v>22384736.999902375</v>
      </c>
      <c r="AT59" s="22">
        <f t="shared" si="9"/>
        <v>23164354.651479099</v>
      </c>
      <c r="AU59" s="22">
        <f t="shared" si="9"/>
        <v>23991003.6617015</v>
      </c>
      <c r="AV59" s="22">
        <f t="shared" si="9"/>
        <v>24856950.491970353</v>
      </c>
      <c r="AW59" s="22">
        <f t="shared" si="9"/>
        <v>25730986.368805006</v>
      </c>
      <c r="AX59" s="22">
        <f t="shared" si="9"/>
        <v>26659280.648875464</v>
      </c>
      <c r="AY59" s="22">
        <f t="shared" si="9"/>
        <v>27612682.481046699</v>
      </c>
      <c r="AZ59" s="22">
        <f t="shared" si="9"/>
        <v>28589076.020028077</v>
      </c>
      <c r="BA59" s="22">
        <f t="shared" si="9"/>
        <v>29603086.755935084</v>
      </c>
      <c r="BB59" s="22">
        <f t="shared" si="9"/>
        <v>30619575.830488022</v>
      </c>
      <c r="BC59" s="22">
        <f t="shared" si="9"/>
        <v>31687911.739109948</v>
      </c>
      <c r="BD59" s="22">
        <f t="shared" si="9"/>
        <v>32827128.311906073</v>
      </c>
      <c r="BE59" s="22">
        <f t="shared" si="9"/>
        <v>34007802.751229718</v>
      </c>
      <c r="BF59" s="22">
        <f t="shared" si="9"/>
        <v>35232550.812893987</v>
      </c>
      <c r="BG59" s="22">
        <f t="shared" si="9"/>
        <v>36537030.761051446</v>
      </c>
      <c r="BH59" s="22">
        <f t="shared" si="9"/>
        <v>37911700.196755439</v>
      </c>
      <c r="BI59" s="22">
        <f t="shared" si="9"/>
        <v>39350400.525973924</v>
      </c>
      <c r="BJ59" s="22">
        <f t="shared" si="9"/>
        <v>40877570.100493096</v>
      </c>
      <c r="BK59" s="22">
        <f t="shared" si="9"/>
        <v>42361318.300737277</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v>
      </c>
      <c r="Z60" s="22">
        <f>((Data!$AJ$41*'Net zero Intermediate calcs'!Z59)+Data!$AK$41)</f>
        <v>18751600.038590752</v>
      </c>
      <c r="AA60" s="22">
        <f>((Data!$AJ$41*'Net zero Intermediate calcs'!AA59)+Data!$AK$41)</f>
        <v>19103947.365481112</v>
      </c>
      <c r="AB60" s="22">
        <f>((Data!$AJ$41*'Net zero Intermediate calcs'!AB59)+Data!$AK$41)</f>
        <v>19345712.246677816</v>
      </c>
      <c r="AC60" s="22">
        <f>((Data!$AJ$41*'Net zero Intermediate calcs'!AC59)+Data!$AK$41)</f>
        <v>19513863.292803958</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18992057.933843054</v>
      </c>
      <c r="AH60" s="22">
        <f>((Data!$AJ$41*'Net zero Intermediate calcs'!AH59)+Data!$AK$41)</f>
        <v>19778263.639011726</v>
      </c>
      <c r="AI60" s="22">
        <f>((Data!$AJ$41*'Net zero Intermediate calcs'!AI59)+Data!$AK$41)</f>
        <v>20225478.271311231</v>
      </c>
      <c r="AJ60" s="22">
        <f>((Data!$AJ$41*'Net zero Intermediate calcs'!AJ59)+Data!$AK$41)</f>
        <v>20401753.573578887</v>
      </c>
      <c r="AK60" s="22">
        <f>((Data!$AJ$41*'Net zero Intermediate calcs'!AK59)+Data!$AK$41)</f>
        <v>20593603.700496987</v>
      </c>
      <c r="AL60" s="22">
        <f>((Data!$AJ$41*'Net zero Intermediate calcs'!AL59)+Data!$AK$41)</f>
        <v>20861952.922607459</v>
      </c>
      <c r="AM60" s="22">
        <f>((Data!$AJ$41*'Net zero Intermediate calcs'!AM59)+Data!$AK$41)</f>
        <v>21205277.417113751</v>
      </c>
      <c r="AN60" s="22">
        <f>((Data!$AJ$41*'Net zero Intermediate calcs'!AN59)+Data!$AK$41)</f>
        <v>21587068.777499631</v>
      </c>
      <c r="AO60" s="22">
        <f>((Data!$AJ$41*'Net zero Intermediate calcs'!AO59)+Data!$AK$41)</f>
        <v>22018713.054660067</v>
      </c>
      <c r="AP60" s="22">
        <f>((Data!$AJ$41*'Net zero Intermediate calcs'!AP59)+Data!$AK$41)</f>
        <v>22533739.860228598</v>
      </c>
      <c r="AQ60" s="22">
        <f>((Data!$AJ$41*'Net zero Intermediate calcs'!AQ59)+Data!$AK$41)</f>
        <v>23129997.379854932</v>
      </c>
      <c r="AR60" s="22">
        <f>((Data!$AJ$41*'Net zero Intermediate calcs'!AR59)+Data!$AK$41)</f>
        <v>23778891.230012193</v>
      </c>
      <c r="AS60" s="22">
        <f>((Data!$AJ$41*'Net zero Intermediate calcs'!AS59)+Data!$AK$41)</f>
        <v>24479984.44986172</v>
      </c>
      <c r="AT60" s="22">
        <f>((Data!$AJ$41*'Net zero Intermediate calcs'!AT59)+Data!$AK$41)</f>
        <v>25217204.449559808</v>
      </c>
      <c r="AU60" s="22">
        <f>((Data!$AJ$41*'Net zero Intermediate calcs'!AU59)+Data!$AK$41)</f>
        <v>25998898.119314551</v>
      </c>
      <c r="AV60" s="22">
        <f>((Data!$AJ$41*'Net zero Intermediate calcs'!AV59)+Data!$AK$41)</f>
        <v>26817752.490631379</v>
      </c>
      <c r="AW60" s="22">
        <f>((Data!$AJ$41*'Net zero Intermediate calcs'!AW59)+Data!$AK$41)</f>
        <v>27644256.004954062</v>
      </c>
      <c r="AX60" s="22">
        <f>((Data!$AJ$41*'Net zero Intermediate calcs'!AX59)+Data!$AK$41)</f>
        <v>28522067.208291002</v>
      </c>
      <c r="AY60" s="22">
        <f>((Data!$AJ$41*'Net zero Intermediate calcs'!AY59)+Data!$AK$41)</f>
        <v>29423620.549218997</v>
      </c>
      <c r="AZ60" s="22">
        <f>((Data!$AJ$41*'Net zero Intermediate calcs'!AZ59)+Data!$AK$41)</f>
        <v>30346915.247661605</v>
      </c>
      <c r="BA60" s="22">
        <f>((Data!$AJ$41*'Net zero Intermediate calcs'!BA59)+Data!$AK$41)</f>
        <v>31305781.421237014</v>
      </c>
      <c r="BB60" s="22">
        <f>((Data!$AJ$41*'Net zero Intermediate calcs'!BB59)+Data!$AK$41)</f>
        <v>32266991.154905133</v>
      </c>
      <c r="BC60" s="22">
        <f>((Data!$AJ$41*'Net zero Intermediate calcs'!BC59)+Data!$AK$41)</f>
        <v>33277228.155874573</v>
      </c>
      <c r="BD60" s="22">
        <f>((Data!$AJ$41*'Net zero Intermediate calcs'!BD59)+Data!$AK$41)</f>
        <v>34354491.144666925</v>
      </c>
      <c r="BE60" s="22">
        <f>((Data!$AJ$41*'Net zero Intermediate calcs'!BE59)+Data!$AK$41)</f>
        <v>35470957.412511624</v>
      </c>
      <c r="BF60" s="22">
        <f>((Data!$AJ$41*'Net zero Intermediate calcs'!BF59)+Data!$AK$41)</f>
        <v>36629100.463562734</v>
      </c>
      <c r="BG60" s="22">
        <f>((Data!$AJ$41*'Net zero Intermediate calcs'!BG59)+Data!$AK$41)</f>
        <v>37862639.372080073</v>
      </c>
      <c r="BH60" s="22">
        <f>((Data!$AJ$41*'Net zero Intermediate calcs'!BH59)+Data!$AK$41)</f>
        <v>39162550.679789774</v>
      </c>
      <c r="BI60" s="22">
        <f>((Data!$AJ$41*'Net zero Intermediate calcs'!BI59)+Data!$AK$41)</f>
        <v>40523010.713149741</v>
      </c>
      <c r="BJ60" s="22">
        <f>((Data!$AJ$41*'Net zero Intermediate calcs'!BJ59)+Data!$AK$41)</f>
        <v>41967128.802304052</v>
      </c>
      <c r="BK60" s="22">
        <f>((Data!$AJ$41*'Net zero Intermediate calcs'!BK59)+Data!$AK$41)</f>
        <v>43370186.885357738</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3535652.0338740144</v>
      </c>
      <c r="AH61" s="22">
        <f>((Data!$AJ$42*LN('Net zero Intermediate calcs'!AH60))+Data!$AK$42)</f>
        <v>3566906.5495402925</v>
      </c>
      <c r="AI61" s="22">
        <f>((Data!$AJ$42*LN('Net zero Intermediate calcs'!AI60))+Data!$AK$42)</f>
        <v>3584135.1470810454</v>
      </c>
      <c r="AJ61" s="22">
        <f>((Data!$AJ$42*LN('Net zero Intermediate calcs'!AJ60))+Data!$AK$42)</f>
        <v>3590821.5632752273</v>
      </c>
      <c r="AK61" s="22">
        <f>((Data!$AJ$42*LN('Net zero Intermediate calcs'!AK60))+Data!$AK$42)</f>
        <v>3598033.4190078359</v>
      </c>
      <c r="AL61" s="22">
        <f>((Data!$AJ$42*LN('Net zero Intermediate calcs'!AL60))+Data!$AK$42)</f>
        <v>3608009.0436812602</v>
      </c>
      <c r="AM61" s="22">
        <f>((Data!$AJ$42*LN('Net zero Intermediate calcs'!AM60))+Data!$AK$42)</f>
        <v>3620586.3302782923</v>
      </c>
      <c r="AN61" s="22">
        <f>((Data!$AJ$42*LN('Net zero Intermediate calcs'!AN60))+Data!$AK$42)</f>
        <v>3634335.8638795521</v>
      </c>
      <c r="AO61" s="22">
        <f>((Data!$AJ$42*LN('Net zero Intermediate calcs'!AO60))+Data!$AK$42)</f>
        <v>3649590.8754012957</v>
      </c>
      <c r="AP61" s="22">
        <f>((Data!$AJ$42*LN('Net zero Intermediate calcs'!AP60))+Data!$AK$42)</f>
        <v>3667406.2108751237</v>
      </c>
      <c r="AQ61" s="22">
        <f>((Data!$AJ$42*LN('Net zero Intermediate calcs'!AQ60))+Data!$AK$42)</f>
        <v>3687529.7121576853</v>
      </c>
      <c r="AR61" s="22">
        <f>((Data!$AJ$42*LN('Net zero Intermediate calcs'!AR60))+Data!$AK$42)</f>
        <v>3708848.5076258685</v>
      </c>
      <c r="AS61" s="22">
        <f>((Data!$AJ$42*LN('Net zero Intermediate calcs'!AS60))+Data!$AK$42)</f>
        <v>3731238.0681214519</v>
      </c>
      <c r="AT61" s="22">
        <f>((Data!$AJ$42*LN('Net zero Intermediate calcs'!AT60))+Data!$AK$42)</f>
        <v>3754100.0348674972</v>
      </c>
      <c r="AU61" s="22">
        <f>((Data!$AJ$42*LN('Net zero Intermediate calcs'!AU60))+Data!$AK$42)</f>
        <v>3777622.3594997562</v>
      </c>
      <c r="AV61" s="22">
        <f>((Data!$AJ$42*LN('Net zero Intermediate calcs'!AV60))+Data!$AK$42)</f>
        <v>3801516.2604928315</v>
      </c>
      <c r="AW61" s="22">
        <f>((Data!$AJ$42*LN('Net zero Intermediate calcs'!AW60))+Data!$AK$42)</f>
        <v>3824904.678064242</v>
      </c>
      <c r="AX61" s="22">
        <f>((Data!$AJ$42*LN('Net zero Intermediate calcs'!AX60))+Data!$AK$42)</f>
        <v>3848991.3575218432</v>
      </c>
      <c r="AY61" s="22">
        <f>((Data!$AJ$42*LN('Net zero Intermediate calcs'!AY60))+Data!$AK$42)</f>
        <v>3872969.8456507195</v>
      </c>
      <c r="AZ61" s="22">
        <f>((Data!$AJ$42*LN('Net zero Intermediate calcs'!AZ60))+Data!$AK$42)</f>
        <v>3896776.8189554252</v>
      </c>
      <c r="BA61" s="22">
        <f>((Data!$AJ$42*LN('Net zero Intermediate calcs'!BA60))+Data!$AK$42)</f>
        <v>3920746.231261909</v>
      </c>
      <c r="BB61" s="22">
        <f>((Data!$AJ$42*LN('Net zero Intermediate calcs'!BB60))+Data!$AK$42)</f>
        <v>3944048.4111227449</v>
      </c>
      <c r="BC61" s="22">
        <f>((Data!$AJ$42*LN('Net zero Intermediate calcs'!BC60))+Data!$AK$42)</f>
        <v>3967802.573175339</v>
      </c>
      <c r="BD61" s="22">
        <f>((Data!$AJ$42*LN('Net zero Intermediate calcs'!BD60))+Data!$AK$42)</f>
        <v>3992351.0465155113</v>
      </c>
      <c r="BE61" s="22">
        <f>((Data!$AJ$42*LN('Net zero Intermediate calcs'!BE60))+Data!$AK$42)</f>
        <v>4016993.5786391217</v>
      </c>
      <c r="BF61" s="22">
        <f>((Data!$AJ$42*LN('Net zero Intermediate calcs'!BF60))+Data!$AK$42)</f>
        <v>4041749.5740506127</v>
      </c>
      <c r="BG61" s="22">
        <f>((Data!$AJ$42*LN('Net zero Intermediate calcs'!BG60))+Data!$AK$42)</f>
        <v>4067270.761703888</v>
      </c>
      <c r="BH61" s="22">
        <f>((Data!$AJ$42*LN('Net zero Intermediate calcs'!BH60))+Data!$AK$42)</f>
        <v>4093280.6582026538</v>
      </c>
      <c r="BI61" s="22">
        <f>((Data!$AJ$42*LN('Net zero Intermediate calcs'!BI60))+Data!$AK$42)</f>
        <v>4119593.3208530731</v>
      </c>
      <c r="BJ61" s="22">
        <f>((Data!$AJ$42*LN('Net zero Intermediate calcs'!BJ60))+Data!$AK$42)</f>
        <v>4146574.5349442121</v>
      </c>
      <c r="BK61" s="22">
        <f>((Data!$AJ$42*LN('Net zero Intermediate calcs'!BK60))+Data!$AK$42)</f>
        <v>4171913.6972872373</v>
      </c>
    </row>
    <row r="62" spans="1:63" s="44" customFormat="1" x14ac:dyDescent="0.25">
      <c r="A62" s="36"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5546875"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940</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75" x14ac:dyDescent="0.3">
      <c r="A4" s="88" t="s">
        <v>941</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75" x14ac:dyDescent="0.25">
      <c r="A5" s="107" t="s">
        <v>1002</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5">
      <c r="A6" t="s">
        <v>947</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949</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948</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954</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952</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953</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1009</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1008</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1010</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1004</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48236.482894250927</v>
      </c>
      <c r="L15">
        <f>'Net zero Activity data'!AN5*'Net zero supporting data'!L12</f>
        <v>97419.629073379823</v>
      </c>
      <c r="M15">
        <f>'Net zero Activity data'!AO5*'Net zero supporting data'!M12</f>
        <v>146500.28864637407</v>
      </c>
      <c r="N15">
        <f>'Net zero Activity data'!AP5*'Net zero supporting data'!N12</f>
        <v>196036.78230994553</v>
      </c>
      <c r="O15">
        <f>'Net zero Activity data'!AQ5*'Net zero supporting data'!O12</f>
        <v>246520.66149369633</v>
      </c>
      <c r="P15">
        <f>'Net zero Activity data'!AR5*'Net zero supporting data'!P12</f>
        <v>298162.52452281752</v>
      </c>
      <c r="Q15">
        <f>'Net zero Activity data'!AS5*'Net zero supporting data'!Q12</f>
        <v>350909.85377809528</v>
      </c>
      <c r="R15">
        <f>'Net zero Activity data'!AT5*'Net zero supporting data'!R12</f>
        <v>405012.36811005889</v>
      </c>
      <c r="S15">
        <f>'Net zero Activity data'!AU5*'Net zero supporting data'!S12</f>
        <v>461034.27479608147</v>
      </c>
      <c r="T15">
        <f>'Net zero Activity data'!AV5*'Net zero supporting data'!T12</f>
        <v>519249.50170720584</v>
      </c>
      <c r="U15">
        <f>'Net zero Activity data'!AW5*'Net zero supporting data'!U12</f>
        <v>540028.05767924991</v>
      </c>
      <c r="V15">
        <f>'Net zero Activity data'!AX5*'Net zero supporting data'!V12</f>
        <v>561828.59239645314</v>
      </c>
      <c r="W15">
        <f>'Net zero Activity data'!AY5*'Net zero supporting data'!W12</f>
        <v>584472.74954592693</v>
      </c>
      <c r="X15">
        <f>'Net zero Activity data'!AZ5*'Net zero supporting data'!X12</f>
        <v>608096.78172426496</v>
      </c>
      <c r="Y15">
        <f>'Net zero Activity data'!BA5*'Net zero supporting data'!Y12</f>
        <v>632632.618153858</v>
      </c>
      <c r="Z15">
        <f>'Net zero Activity data'!BB5*'Net zero supporting data'!Z12</f>
        <v>657688.55964334274</v>
      </c>
      <c r="AA15">
        <f>'Net zero Activity data'!BC5*'Net zero supporting data'!AA12</f>
        <v>683899.49275313993</v>
      </c>
      <c r="AB15">
        <f>'Net zero Activity data'!BD5*'Net zero supporting data'!AB12</f>
        <v>710883.30484610377</v>
      </c>
      <c r="AC15">
        <f>'Net zero Activity data'!BE5*'Net zero supporting data'!AC12</f>
        <v>738624.33712239692</v>
      </c>
      <c r="AD15">
        <f>'Net zero Activity data'!BF5*'Net zero supporting data'!AD12</f>
        <v>767349.81888702617</v>
      </c>
      <c r="AE15">
        <f>'Net zero Activity data'!BG5*'Net zero supporting data'!AE12</f>
        <v>780948.35952281742</v>
      </c>
      <c r="AF15">
        <f>'Net zero Activity data'!BH5*'Net zero supporting data'!AF12</f>
        <v>795200.10820186988</v>
      </c>
      <c r="AG15">
        <f>'Net zero Activity data'!BI5*'Net zero supporting data'!AG12</f>
        <v>810368.19006591034</v>
      </c>
      <c r="AH15">
        <f>'Net zero Activity data'!BJ5*'Net zero supporting data'!AH12</f>
        <v>826022.58345255663</v>
      </c>
      <c r="AI15">
        <f>'Net zero Activity data'!BK5*'Net zero supporting data'!AI12</f>
        <v>842191.6096591925</v>
      </c>
      <c r="AJ15">
        <f>'Net zero Activity data'!BL5*'Net zero supporting data'!AJ12</f>
        <v>859372.82823453296</v>
      </c>
      <c r="AK15">
        <f>'Net zero Activity data'!BM5*'Net zero supporting data'!AK12</f>
        <v>877421.74418922595</v>
      </c>
      <c r="AL15">
        <f>'Net zero Activity data'!BN5*'Net zero supporting data'!AL12</f>
        <v>896245.23756638065</v>
      </c>
      <c r="AM15">
        <f>'Net zero Activity data'!BO5*'Net zero supporting data'!AM12</f>
        <v>916182.49352342752</v>
      </c>
      <c r="AN15">
        <f>'Net zero Activity data'!BP5*'Net zero supporting data'!AN12</f>
        <v>935365.80916547542</v>
      </c>
    </row>
    <row r="16" spans="1:48" x14ac:dyDescent="0.25">
      <c r="A16" t="s">
        <v>1005</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39967.371540950771</v>
      </c>
      <c r="L16">
        <f>'Net zero Activity data'!AN6*'Net zero supporting data'!L12</f>
        <v>80719.121232229008</v>
      </c>
      <c r="M16">
        <f>'Net zero Activity data'!AO6*'Net zero supporting data'!M12</f>
        <v>121385.95344985279</v>
      </c>
      <c r="N16">
        <f>'Net zero Activity data'!AP6*'Net zero supporting data'!N12</f>
        <v>162430.47677109772</v>
      </c>
      <c r="O16">
        <f>'Net zero Activity data'!AQ6*'Net zero supporting data'!O12</f>
        <v>204259.97666620553</v>
      </c>
      <c r="P16">
        <f>'Net zero Activity data'!AR6*'Net zero supporting data'!P12</f>
        <v>247048.94889033449</v>
      </c>
      <c r="Q16">
        <f>'Net zero Activity data'!AS6*'Net zero supporting data'!Q12</f>
        <v>290753.87884470751</v>
      </c>
      <c r="R16">
        <f>'Net zero Activity data'!AT6*'Net zero supporting data'!R12</f>
        <v>335581.67643404886</v>
      </c>
      <c r="S16">
        <f>'Net zero Activity data'!AU6*'Net zero supporting data'!S12</f>
        <v>381999.82768818177</v>
      </c>
      <c r="T16">
        <f>'Net zero Activity data'!AV6*'Net zero supporting data'!T12</f>
        <v>430235.30141454202</v>
      </c>
      <c r="U16">
        <f>'Net zero Activity data'!AW6*'Net zero supporting data'!U12</f>
        <v>447451.81921994995</v>
      </c>
      <c r="V16">
        <f>'Net zero Activity data'!AX6*'Net zero supporting data'!V12</f>
        <v>465515.11941420397</v>
      </c>
      <c r="W16">
        <f>'Net zero Activity data'!AY6*'Net zero supporting data'!W12</f>
        <v>484277.42105233943</v>
      </c>
      <c r="X16">
        <f>'Net zero Activity data'!AZ6*'Net zero supporting data'!X12</f>
        <v>503851.61914296245</v>
      </c>
      <c r="Y16">
        <f>'Net zero Activity data'!BA6*'Net zero supporting data'!Y12</f>
        <v>524181.31218462519</v>
      </c>
      <c r="Z16">
        <f>'Net zero Activity data'!BB6*'Net zero supporting data'!Z12</f>
        <v>544941.9494187698</v>
      </c>
      <c r="AA16">
        <f>'Net zero Activity data'!BC6*'Net zero supporting data'!AA12</f>
        <v>566659.57970974455</v>
      </c>
      <c r="AB16">
        <f>'Net zero Activity data'!BD6*'Net zero supporting data'!AB12</f>
        <v>589017.59544391464</v>
      </c>
      <c r="AC16">
        <f>'Net zero Activity data'!BE6*'Net zero supporting data'!AC12</f>
        <v>612003.0221871289</v>
      </c>
      <c r="AD16">
        <f>'Net zero Activity data'!BF6*'Net zero supporting data'!AD12</f>
        <v>635804.13564925024</v>
      </c>
      <c r="AE16">
        <f>'Net zero Activity data'!BG6*'Net zero supporting data'!AE12</f>
        <v>647071.49789033434</v>
      </c>
      <c r="AF16">
        <f>'Net zero Activity data'!BH6*'Net zero supporting data'!AF12</f>
        <v>658880.08965297788</v>
      </c>
      <c r="AG16">
        <f>'Net zero Activity data'!BI6*'Net zero supporting data'!AG12</f>
        <v>671447.92891175428</v>
      </c>
      <c r="AH16">
        <f>'Net zero Activity data'!BJ6*'Net zero supporting data'!AH12</f>
        <v>684418.71200354688</v>
      </c>
      <c r="AI16">
        <f>'Net zero Activity data'!BK6*'Net zero supporting data'!AI12</f>
        <v>697815.9051461881</v>
      </c>
      <c r="AJ16">
        <f>'Net zero Activity data'!BL6*'Net zero supporting data'!AJ12</f>
        <v>712051.77196575585</v>
      </c>
      <c r="AK16">
        <f>'Net zero Activity data'!BM6*'Net zero supporting data'!AK12</f>
        <v>727006.58804250148</v>
      </c>
      <c r="AL16">
        <f>'Net zero Activity data'!BN6*'Net zero supporting data'!AL12</f>
        <v>742603.19684071536</v>
      </c>
      <c r="AM16">
        <f>'Net zero Activity data'!BO6*'Net zero supporting data'!AM12</f>
        <v>759122.63749083993</v>
      </c>
      <c r="AN16">
        <f>'Net zero Activity data'!BP6*'Net zero supporting data'!AN12</f>
        <v>775017.38473710825</v>
      </c>
    </row>
    <row r="17" spans="1:48" x14ac:dyDescent="0.25">
      <c r="A17" t="s">
        <v>1006</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49614.668119800968</v>
      </c>
      <c r="L17">
        <f>'Net zero Activity data'!AN7*'Net zero supporting data'!L12</f>
        <v>100203.04704690499</v>
      </c>
      <c r="M17">
        <f>'Net zero Activity data'!AO7*'Net zero supporting data'!M12</f>
        <v>150686.01117912764</v>
      </c>
      <c r="N17">
        <f>'Net zero Activity data'!AP7*'Net zero supporting data'!N12</f>
        <v>201637.83323308686</v>
      </c>
      <c r="O17">
        <f>'Net zero Activity data'!AQ7*'Net zero supporting data'!O12</f>
        <v>253564.10896494484</v>
      </c>
      <c r="P17">
        <f>'Net zero Activity data'!AR7*'Net zero supporting data'!P12</f>
        <v>306681.453794898</v>
      </c>
      <c r="Q17">
        <f>'Net zero Activity data'!AS7*'Net zero supporting data'!Q12</f>
        <v>360935.84960032668</v>
      </c>
      <c r="R17">
        <f>'Net zero Activity data'!AT7*'Net zero supporting data'!R12</f>
        <v>416584.15005606069</v>
      </c>
      <c r="S17">
        <f>'Net zero Activity data'!AU7*'Net zero supporting data'!S12</f>
        <v>474206.68264739809</v>
      </c>
      <c r="T17">
        <f>'Net zero Activity data'!AV7*'Net zero supporting data'!T12</f>
        <v>534085.20175598317</v>
      </c>
      <c r="U17">
        <f>'Net zero Activity data'!AW7*'Net zero supporting data'!U12</f>
        <v>555457.43075579999</v>
      </c>
      <c r="V17">
        <f>'Net zero Activity data'!AX7*'Net zero supporting data'!V12</f>
        <v>577880.83789349475</v>
      </c>
      <c r="W17">
        <f>'Net zero Activity data'!AY7*'Net zero supporting data'!W12</f>
        <v>601171.97096152487</v>
      </c>
      <c r="X17">
        <f>'Net zero Activity data'!AZ7*'Net zero supporting data'!X12</f>
        <v>625470.97548781557</v>
      </c>
      <c r="Y17">
        <f>'Net zero Activity data'!BA7*'Net zero supporting data'!Y12</f>
        <v>650707.83581539686</v>
      </c>
      <c r="Z17">
        <f>'Net zero Activity data'!BB7*'Net zero supporting data'!Z12</f>
        <v>676479.66134743835</v>
      </c>
      <c r="AA17">
        <f>'Net zero Activity data'!BC7*'Net zero supporting data'!AA12</f>
        <v>703439.47826037265</v>
      </c>
      <c r="AB17">
        <f>'Net zero Activity data'!BD7*'Net zero supporting data'!AB12</f>
        <v>731194.25641313544</v>
      </c>
      <c r="AC17">
        <f>'Net zero Activity data'!BE7*'Net zero supporting data'!AC12</f>
        <v>759727.88961160847</v>
      </c>
      <c r="AD17">
        <f>'Net zero Activity data'!BF7*'Net zero supporting data'!AD12</f>
        <v>789274.09942665556</v>
      </c>
      <c r="AE17">
        <f>'Net zero Activity data'!BG7*'Net zero supporting data'!AE12</f>
        <v>803261.16979489801</v>
      </c>
      <c r="AF17">
        <f>'Net zero Activity data'!BH7*'Net zero supporting data'!AF12</f>
        <v>817920.11129335209</v>
      </c>
      <c r="AG17">
        <f>'Net zero Activity data'!BI7*'Net zero supporting data'!AG12</f>
        <v>833521.56692493649</v>
      </c>
      <c r="AH17">
        <f>'Net zero Activity data'!BJ7*'Net zero supporting data'!AH12</f>
        <v>849623.22869405837</v>
      </c>
      <c r="AI17">
        <f>'Net zero Activity data'!BK7*'Net zero supporting data'!AI12</f>
        <v>866254.22707802674</v>
      </c>
      <c r="AJ17">
        <f>'Net zero Activity data'!BL7*'Net zero supporting data'!AJ12</f>
        <v>883926.33761266258</v>
      </c>
      <c r="AK17">
        <f>'Net zero Activity data'!BM7*'Net zero supporting data'!AK12</f>
        <v>902490.93688034685</v>
      </c>
      <c r="AL17">
        <f>'Net zero Activity data'!BN7*'Net zero supporting data'!AL12</f>
        <v>921852.2443539917</v>
      </c>
      <c r="AM17">
        <f>'Net zero Activity data'!BO7*'Net zero supporting data'!AM12</f>
        <v>942359.13619552553</v>
      </c>
      <c r="AN17">
        <f>'Net zero Activity data'!BP7*'Net zero supporting data'!AN12</f>
        <v>962090.5465702035</v>
      </c>
    </row>
    <row r="18" spans="1:48" x14ac:dyDescent="0.25">
      <c r="A18" t="s">
        <v>1011</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248784.90602316917</v>
      </c>
      <c r="L18">
        <f>'Net zero Activity data'!AN8*'Net zero supporting data'!L13</f>
        <v>505429.76867420919</v>
      </c>
      <c r="M18">
        <f>'Net zero Activity data'!AO8*'Net zero supporting data'!M13</f>
        <v>753024.69491033547</v>
      </c>
      <c r="N18">
        <f>'Net zero Activity data'!AP8*'Net zero supporting data'!N13</f>
        <v>998479.95934248297</v>
      </c>
      <c r="O18">
        <f>'Net zero Activity data'!AQ8*'Net zero supporting data'!O13</f>
        <v>1248555.9100289408</v>
      </c>
      <c r="P18">
        <f>'Net zero Activity data'!AR8*'Net zero supporting data'!P13</f>
        <v>1507065.0309923864</v>
      </c>
      <c r="Q18">
        <f>'Net zero Activity data'!AS8*'Net zero supporting data'!Q13</f>
        <v>1772806.8196470428</v>
      </c>
      <c r="R18">
        <f>'Net zero Activity data'!AT8*'Net zero supporting data'!R13</f>
        <v>2048964.8689337096</v>
      </c>
      <c r="S18">
        <f>'Net zero Activity data'!AU8*'Net zero supporting data'!S13</f>
        <v>2342822.3728117729</v>
      </c>
      <c r="T18">
        <f>'Net zero Activity data'!AV8*'Net zero supporting data'!T13</f>
        <v>2657186.6248415783</v>
      </c>
      <c r="U18">
        <f>'Net zero Activity data'!AW8*'Net zero supporting data'!U13</f>
        <v>2856562.7037567394</v>
      </c>
      <c r="V18">
        <f>'Net zero Activity data'!AX8*'Net zero supporting data'!V13</f>
        <v>3065446.5642923145</v>
      </c>
      <c r="W18">
        <f>'Net zero Activity data'!AY8*'Net zero supporting data'!W13</f>
        <v>3280892.537445188</v>
      </c>
      <c r="X18">
        <f>'Net zero Activity data'!AZ8*'Net zero supporting data'!X13</f>
        <v>3504326.1098825531</v>
      </c>
      <c r="Y18">
        <f>'Net zero Activity data'!BA8*'Net zero supporting data'!Y13</f>
        <v>3734126.8321590247</v>
      </c>
      <c r="Z18">
        <f>'Net zero Activity data'!BB8*'Net zero supporting data'!Z13</f>
        <v>3964016.5964437933</v>
      </c>
      <c r="AA18">
        <f>'Net zero Activity data'!BC8*'Net zero supporting data'!AA13</f>
        <v>4202277.5050601913</v>
      </c>
      <c r="AB18">
        <f>'Net zero Activity data'!BD8*'Net zero supporting data'!AB13</f>
        <v>4442903.2893473078</v>
      </c>
      <c r="AC18">
        <f>'Net zero Activity data'!BE8*'Net zero supporting data'!AC13</f>
        <v>4684897.9893048527</v>
      </c>
      <c r="AD18">
        <f>'Net zero Activity data'!BF8*'Net zero supporting data'!AD13</f>
        <v>4930572.010104374</v>
      </c>
      <c r="AE18">
        <f>'Net zero Activity data'!BG8*'Net zero supporting data'!AE13</f>
        <v>5136026.2058620024</v>
      </c>
      <c r="AF18">
        <f>'Net zero Activity data'!BH8*'Net zero supporting data'!AF13</f>
        <v>5348378.373096454</v>
      </c>
      <c r="AG18">
        <f>'Net zero Activity data'!BI8*'Net zero supporting data'!AG13</f>
        <v>5571074.9003757415</v>
      </c>
      <c r="AH18">
        <f>'Net zero Activity data'!BJ8*'Net zero supporting data'!AH13</f>
        <v>5797826.8865685342</v>
      </c>
      <c r="AI18">
        <f>'Net zero Activity data'!BK8*'Net zero supporting data'!AI13</f>
        <v>6028737.4651136193</v>
      </c>
      <c r="AJ18">
        <f>'Net zero Activity data'!BL8*'Net zero supporting data'!AJ13</f>
        <v>6270449.7515256125</v>
      </c>
      <c r="AK18">
        <f>'Net zero Activity data'!BM8*'Net zero supporting data'!AK13</f>
        <v>6520530.5232744729</v>
      </c>
      <c r="AL18">
        <f>'Net zero Activity data'!BN8*'Net zero supporting data'!AL13</f>
        <v>6777194.9111339673</v>
      </c>
      <c r="AM18">
        <f>'Net zero Activity data'!BO8*'Net zero supporting data'!AM13</f>
        <v>7044648.6503123771</v>
      </c>
      <c r="AN18">
        <f>'Net zero Activity data'!BP8*'Net zero supporting data'!AN13</f>
        <v>7296432.4292359715</v>
      </c>
    </row>
    <row r="19" spans="1:48" x14ac:dyDescent="0.25">
      <c r="A19" t="s">
        <v>1007</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51250.361446513889</v>
      </c>
      <c r="L19">
        <f>'Net zero Activity data'!AN10*'Net zero supporting data'!L14</f>
        <v>106593.9769623999</v>
      </c>
      <c r="M19">
        <f>'Net zero Activity data'!AO10*'Net zero supporting data'!M14</f>
        <v>162536.86427802357</v>
      </c>
      <c r="N19">
        <f>'Net zero Activity data'!AP10*'Net zero supporting data'!N14</f>
        <v>220513.7263809602</v>
      </c>
      <c r="O19">
        <f>'Net zero Activity data'!AQ10*'Net zero supporting data'!O14</f>
        <v>282065.8875792803</v>
      </c>
      <c r="P19">
        <f>'Net zero Activity data'!AR10*'Net zero supporting data'!P14</f>
        <v>348194.96312627359</v>
      </c>
      <c r="Q19">
        <f>'Net zero Activity data'!AS10*'Net zero supporting data'!Q14</f>
        <v>418802.81284407387</v>
      </c>
      <c r="R19">
        <f>'Net zero Activity data'!AT10*'Net zero supporting data'!R14</f>
        <v>494831.77442027512</v>
      </c>
      <c r="S19">
        <f>'Net zero Activity data'!AU10*'Net zero supporting data'!S14</f>
        <v>578310.86795573134</v>
      </c>
      <c r="T19">
        <f>'Net zero Activity data'!AV10*'Net zero supporting data'!T14</f>
        <v>670306.29100284167</v>
      </c>
      <c r="U19">
        <f>'Net zero Activity data'!AW10*'Net zero supporting data'!U14</f>
        <v>719915.82772362046</v>
      </c>
      <c r="V19">
        <f>'Net zero Activity data'!AX10*'Net zero supporting data'!V14</f>
        <v>773892.1335522146</v>
      </c>
      <c r="W19">
        <f>'Net zero Activity data'!AY10*'Net zero supporting data'!W14</f>
        <v>831696.70549696009</v>
      </c>
      <c r="X19">
        <f>'Net zero Activity data'!AZ10*'Net zero supporting data'!X14</f>
        <v>893917.91214886529</v>
      </c>
      <c r="Y19">
        <f>'Net zero Activity data'!BA10*'Net zero supporting data'!Y14</f>
        <v>960393.52196520241</v>
      </c>
      <c r="Z19">
        <f>'Net zero Activity data'!BB10*'Net zero supporting data'!Z14</f>
        <v>1029760.5367882049</v>
      </c>
      <c r="AA19">
        <f>'Net zero Activity data'!BC10*'Net zero supporting data'!AA14</f>
        <v>1104428.8320824751</v>
      </c>
      <c r="AB19">
        <f>'Net zero Activity data'!BD10*'Net zero supporting data'!AB14</f>
        <v>1183126.383746237</v>
      </c>
      <c r="AC19">
        <f>'Net zero Activity data'!BE10*'Net zero supporting data'!AC14</f>
        <v>1265872.9481006158</v>
      </c>
      <c r="AD19">
        <f>'Net zero Activity data'!BF10*'Net zero supporting data'!AD14</f>
        <v>1353597.5244011215</v>
      </c>
      <c r="AE19">
        <f>'Net zero Activity data'!BG10*'Net zero supporting data'!AE14</f>
        <v>1414424.0937777301</v>
      </c>
      <c r="AF19">
        <f>'Net zero Activity data'!BH10*'Net zero supporting data'!AF14</f>
        <v>1478544.2798039929</v>
      </c>
      <c r="AG19">
        <f>'Net zero Activity data'!BI10*'Net zero supporting data'!AG14</f>
        <v>1547048.2047428007</v>
      </c>
      <c r="AH19">
        <f>'Net zero Activity data'!BJ10*'Net zero supporting data'!AH14</f>
        <v>1618339.5175338604</v>
      </c>
      <c r="AI19">
        <f>'Net zero Activity data'!BK10*'Net zero supporting data'!AI14</f>
        <v>1692591.2487318111</v>
      </c>
      <c r="AJ19">
        <f>'Net zero Activity data'!BL10*'Net zero supporting data'!AJ14</f>
        <v>1771834.4197072859</v>
      </c>
      <c r="AK19">
        <f>'Net zero Activity data'!BM10*'Net zero supporting data'!AK14</f>
        <v>1855580.6313194891</v>
      </c>
      <c r="AL19">
        <f>'Net zero Activity data'!BN10*'Net zero supporting data'!AL14</f>
        <v>1943524.761329802</v>
      </c>
      <c r="AM19">
        <f>'Net zero Activity data'!BO10*'Net zero supporting data'!AM14</f>
        <v>2037093.9360268321</v>
      </c>
      <c r="AN19">
        <f>'Net zero Activity data'!BP10*'Net zero supporting data'!AN14</f>
        <v>2128828.1623534956</v>
      </c>
    </row>
    <row r="20" spans="1:48" x14ac:dyDescent="0.25">
      <c r="A20" t="s">
        <v>1029</v>
      </c>
      <c r="B20" s="11">
        <f>'Net zero Activity data'!AD5-'Net zero supporting data'!B15</f>
        <v>590059.9281599375</v>
      </c>
      <c r="C20" s="11">
        <f>'Net zero Activity data'!AE5-'Net zero supporting data'!C15</f>
        <v>593358.66490468499</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608615.99513645715</v>
      </c>
      <c r="J20" s="11">
        <f>'Net zero Activity data'!AL5-'Net zero supporting data'!J15</f>
        <v>591037.14961379278</v>
      </c>
      <c r="K20" s="11">
        <f>'Net zero Activity data'!AM5-'Net zero supporting data'!K15</f>
        <v>554719.5532838857</v>
      </c>
      <c r="L20" s="11">
        <f>'Net zero Activity data'!AN5-'Net zero supporting data'!L15</f>
        <v>511453.05263524409</v>
      </c>
      <c r="M20" s="11">
        <f>'Net zero Activity data'!AO5-'Net zero supporting data'!M15</f>
        <v>463917.58071351791</v>
      </c>
      <c r="N20" s="11">
        <f>'Net zero Activity data'!AP5-'Net zero supporting data'!N15</f>
        <v>416578.16240863421</v>
      </c>
      <c r="O20" s="11">
        <f>'Net zero Activity data'!AQ5-'Net zero supporting data'!O15</f>
        <v>369780.99224054447</v>
      </c>
      <c r="P20" s="11">
        <f>'Net zero Activity data'!AR5-'Net zero supporting data'!P15</f>
        <v>323009.40156638558</v>
      </c>
      <c r="Q20" s="11">
        <f>'Net zero Activity data'!AS5-'Net zero supporting data'!Q15</f>
        <v>275714.88511136052</v>
      </c>
      <c r="R20" s="11">
        <f>'Net zero Activity data'!AT5-'Net zero supporting data'!R15</f>
        <v>227819.45706190815</v>
      </c>
      <c r="S20" s="11">
        <f>'Net zero Activity data'!AU5-'Net zero supporting data'!S15</f>
        <v>179291.10686514282</v>
      </c>
      <c r="T20" s="11">
        <f>'Net zero Activity data'!AV5-'Net zero supporting data'!T15</f>
        <v>129812.37542680145</v>
      </c>
      <c r="U20" s="11">
        <f>'Net zero Activity data'!AW5-'Net zero supporting data'!U15</f>
        <v>118542.74436861579</v>
      </c>
      <c r="V20" s="11">
        <f>'Net zero Activity data'!AX5-'Net zero supporting data'!V15</f>
        <v>107014.96998027677</v>
      </c>
      <c r="W20" s="11">
        <f>'Net zero Activity data'!AY5-'Net zero supporting data'!W15</f>
        <v>95146.72667026706</v>
      </c>
      <c r="X20" s="11">
        <f>'Net zero Activity data'!AZ5-'Net zero supporting data'!X15</f>
        <v>82922.288416945143</v>
      </c>
      <c r="Y20" s="11">
        <f>'Net zero Activity data'!BA5-'Net zero supporting data'!Y15</f>
        <v>70292.513128206367</v>
      </c>
      <c r="Z20" s="11">
        <f>'Net zero Activity data'!BB5-'Net zero supporting data'!Z15</f>
        <v>57190.30953420361</v>
      </c>
      <c r="AA20" s="11">
        <f>'Net zero Activity data'!BC5-'Net zero supporting data'!AA15</f>
        <v>43653.159111902467</v>
      </c>
      <c r="AB20" s="11">
        <f>'Net zero Activity data'!BD5-'Net zero supporting data'!AB15</f>
        <v>29620.137701920816</v>
      </c>
      <c r="AC20" s="11">
        <f>'Net zero Activity data'!BE5-'Net zero supporting data'!AC15</f>
        <v>15073.96606372227</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1110</v>
      </c>
      <c r="B21" s="11">
        <f>'Net zero Activity data'!AD6-'Net zero supporting data'!B16</f>
        <v>488906.79761823389</v>
      </c>
      <c r="C21" s="11">
        <f>'Net zero Activity data'!AE6-'Net zero supporting data'!C16</f>
        <v>491640.03663531045</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504281.82454163593</v>
      </c>
      <c r="J21" s="11">
        <f>'Net zero Activity data'!AL6-'Net zero supporting data'!J16</f>
        <v>489716.49539428548</v>
      </c>
      <c r="K21" s="11">
        <f>'Net zero Activity data'!AM6-'Net zero supporting data'!K16</f>
        <v>459624.77272093383</v>
      </c>
      <c r="L21" s="11">
        <f>'Net zero Activity data'!AN6-'Net zero supporting data'!L16</f>
        <v>423775.38646920229</v>
      </c>
      <c r="M21" s="11">
        <f>'Net zero Activity data'!AO6-'Net zero supporting data'!M16</f>
        <v>384388.8525912005</v>
      </c>
      <c r="N21" s="11">
        <f>'Net zero Activity data'!AP6-'Net zero supporting data'!N16</f>
        <v>345164.76313858258</v>
      </c>
      <c r="O21" s="11">
        <f>'Net zero Activity data'!AQ6-'Net zero supporting data'!O16</f>
        <v>306389.96499930823</v>
      </c>
      <c r="P21" s="11">
        <f>'Net zero Activity data'!AR6-'Net zero supporting data'!P16</f>
        <v>267636.36129786237</v>
      </c>
      <c r="Q21" s="11">
        <f>'Net zero Activity data'!AS6-'Net zero supporting data'!Q16</f>
        <v>228449.47623512731</v>
      </c>
      <c r="R21" s="11">
        <f>'Net zero Activity data'!AT6-'Net zero supporting data'!R16</f>
        <v>188764.69299415249</v>
      </c>
      <c r="S21" s="11">
        <f>'Net zero Activity data'!AU6-'Net zero supporting data'!S16</f>
        <v>148555.48854540405</v>
      </c>
      <c r="T21" s="11">
        <f>'Net zero Activity data'!AV6-'Net zero supporting data'!T16</f>
        <v>107558.82535363548</v>
      </c>
      <c r="U21" s="11">
        <f>'Net zero Activity data'!AW6-'Net zero supporting data'!U16</f>
        <v>98221.131048281619</v>
      </c>
      <c r="V21" s="11">
        <f>'Net zero Activity data'!AX6-'Net zero supporting data'!V16</f>
        <v>88669.546555086446</v>
      </c>
      <c r="W21" s="11">
        <f>'Net zero Activity data'!AY6-'Net zero supporting data'!W16</f>
        <v>78835.859241078433</v>
      </c>
      <c r="X21" s="11">
        <f>'Net zero Activity data'!AZ6-'Net zero supporting data'!X16</f>
        <v>68707.038974040246</v>
      </c>
      <c r="Y21" s="11">
        <f>'Net zero Activity data'!BA6-'Net zero supporting data'!Y16</f>
        <v>58242.368020513793</v>
      </c>
      <c r="Z21" s="11">
        <f>'Net zero Activity data'!BB6-'Net zero supporting data'!Z16</f>
        <v>47386.256471197237</v>
      </c>
      <c r="AA21" s="11">
        <f>'Net zero Activity data'!BC6-'Net zero supporting data'!AA16</f>
        <v>36169.760407004855</v>
      </c>
      <c r="AB21" s="11">
        <f>'Net zero Activity data'!BD6-'Net zero supporting data'!AB16</f>
        <v>24542.399810162955</v>
      </c>
      <c r="AC21" s="11">
        <f>'Net zero Activity data'!BE6-'Net zero supporting data'!AC16</f>
        <v>12489.857595655601</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1111</v>
      </c>
      <c r="B22" s="11">
        <f>'Net zero Activity data'!AD7-'Net zero supporting data'!B17</f>
        <v>606918.78325022152</v>
      </c>
      <c r="C22" s="11">
        <f>'Net zero Activity data'!AE7-'Net zero supporting data'!C17</f>
        <v>610311.7696162475</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626005.02356892754</v>
      </c>
      <c r="J22" s="11">
        <f>'Net zero Activity data'!AL7-'Net zero supporting data'!J17</f>
        <v>607923.92531704414</v>
      </c>
      <c r="K22" s="11">
        <f>'Net zero Activity data'!AM7-'Net zero supporting data'!K17</f>
        <v>570568.6833777111</v>
      </c>
      <c r="L22" s="11">
        <f>'Net zero Activity data'!AN7-'Net zero supporting data'!L17</f>
        <v>526065.99699625117</v>
      </c>
      <c r="M22" s="11">
        <f>'Net zero Activity data'!AO7-'Net zero supporting data'!M17</f>
        <v>477172.36873390421</v>
      </c>
      <c r="N22" s="11">
        <f>'Net zero Activity data'!AP7-'Net zero supporting data'!N17</f>
        <v>428480.39562030951</v>
      </c>
      <c r="O22" s="11">
        <f>'Net zero Activity data'!AQ7-'Net zero supporting data'!O17</f>
        <v>380346.1634474172</v>
      </c>
      <c r="P22" s="11">
        <f>'Net zero Activity data'!AR7-'Net zero supporting data'!P17</f>
        <v>332238.2416111395</v>
      </c>
      <c r="Q22" s="11">
        <f>'Net zero Activity data'!AS7-'Net zero supporting data'!Q17</f>
        <v>283592.45325739944</v>
      </c>
      <c r="R22" s="11">
        <f>'Net zero Activity data'!AT7-'Net zero supporting data'!R17</f>
        <v>234328.58440653415</v>
      </c>
      <c r="S22" s="11">
        <f>'Net zero Activity data'!AU7-'Net zero supporting data'!S17</f>
        <v>184413.70991843264</v>
      </c>
      <c r="T22" s="11">
        <f>'Net zero Activity data'!AV7-'Net zero supporting data'!T17</f>
        <v>133521.30043899582</v>
      </c>
      <c r="U22" s="11">
        <f>'Net zero Activity data'!AW7-'Net zero supporting data'!U17</f>
        <v>121929.67992200481</v>
      </c>
      <c r="V22" s="11">
        <f>'Net zero Activity data'!AX7-'Net zero supporting data'!V17</f>
        <v>110072.54055114184</v>
      </c>
      <c r="W22" s="11">
        <f>'Net zero Activity data'!AY7-'Net zero supporting data'!W17</f>
        <v>97865.20457513188</v>
      </c>
      <c r="X22" s="11">
        <f>'Net zero Activity data'!AZ7-'Net zero supporting data'!X17</f>
        <v>85291.496657429263</v>
      </c>
      <c r="Y22" s="11">
        <f>'Net zero Activity data'!BA7-'Net zero supporting data'!Y17</f>
        <v>72300.87064615509</v>
      </c>
      <c r="Z22" s="11">
        <f>'Net zero Activity data'!BB7-'Net zero supporting data'!Z17</f>
        <v>58824.318378038006</v>
      </c>
      <c r="AA22" s="11">
        <f>'Net zero Activity data'!BC7-'Net zero supporting data'!AA17</f>
        <v>44900.392229385325</v>
      </c>
      <c r="AB22" s="11">
        <f>'Net zero Activity data'!BD7-'Net zero supporting data'!AB17</f>
        <v>30466.427350547165</v>
      </c>
      <c r="AC22" s="11">
        <f>'Net zero Activity data'!BE7-'Net zero supporting data'!AC17</f>
        <v>15504.650808400009</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1112</v>
      </c>
      <c r="B23" s="11">
        <f>'Net zero Activity data'!AD8-'Net zero supporting data'!B18</f>
        <v>5954880.1627134709</v>
      </c>
      <c r="C23" s="11">
        <f>'Net zero Activity data'!AE8-'Net zero supporting data'!C18</f>
        <v>5903235.3888004757</v>
      </c>
      <c r="D23" s="11">
        <f>'Net zero Activity data'!AF8-'Net zero supporting data'!D18</f>
        <v>5883575.7867908701</v>
      </c>
      <c r="E23" s="11">
        <f>'Net zero Activity data'!AG8-'Net zero supporting data'!E18</f>
        <v>5805008.3335930631</v>
      </c>
      <c r="F23" s="11">
        <f>'Net zero Activity data'!AH8-'Net zero supporting data'!F18</f>
        <v>5690965.7565264758</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4748663.1043264745</v>
      </c>
      <c r="K23" s="11">
        <f>'Net zero Activity data'!AM8-'Net zero supporting data'!K18</f>
        <v>4726913.2144402144</v>
      </c>
      <c r="L23" s="11">
        <f>'Net zero Activity data'!AN8-'Net zero supporting data'!L18</f>
        <v>4548867.9180678828</v>
      </c>
      <c r="M23" s="11">
        <f>'Net zero Activity data'!AO8-'Net zero supporting data'!M18</f>
        <v>4267139.9378252337</v>
      </c>
      <c r="N23" s="11">
        <f>'Net zero Activity data'!AP8-'Net zero supporting data'!N18</f>
        <v>3993919.8373699314</v>
      </c>
      <c r="O23" s="11">
        <f>'Net zero Activity data'!AQ8-'Net zero supporting data'!O18</f>
        <v>3745667.7300868221</v>
      </c>
      <c r="P23" s="11">
        <f>'Net zero Activity data'!AR8-'Net zero supporting data'!P18</f>
        <v>3516485.0723155686</v>
      </c>
      <c r="Q23" s="11">
        <f>'Net zero Activity data'!AS8-'Net zero supporting data'!Q18</f>
        <v>3292355.5222016508</v>
      </c>
      <c r="R23" s="11">
        <f>'Net zero Activity data'!AT8-'Net zero supporting data'!R18</f>
        <v>3073447.3034005649</v>
      </c>
      <c r="S23" s="11">
        <f>'Net zero Activity data'!AU8-'Net zero supporting data'!S18</f>
        <v>2863449.5667699454</v>
      </c>
      <c r="T23" s="11">
        <f>'Net zero Activity data'!AV8-'Net zero supporting data'!T18</f>
        <v>2657186.6248415783</v>
      </c>
      <c r="U23" s="11">
        <f>'Net zero Activity data'!AW8-'Net zero supporting data'!U18</f>
        <v>2533178.2467276743</v>
      </c>
      <c r="V23" s="11">
        <f>'Net zero Activity data'!AX8-'Net zero supporting data'!V18</f>
        <v>2408565.1576582463</v>
      </c>
      <c r="W23" s="11">
        <f>'Net zero Activity data'!AY8-'Net zero supporting data'!W18</f>
        <v>2279942.2717839438</v>
      </c>
      <c r="X23" s="11">
        <f>'Net zero Activity data'!AZ8-'Net zero supporting data'!X18</f>
        <v>2147812.7770247897</v>
      </c>
      <c r="Y23" s="11">
        <f>'Net zero Activity data'!BA8-'Net zero supporting data'!Y18</f>
        <v>2010683.6788548585</v>
      </c>
      <c r="Z23" s="11">
        <f>'Net zero Activity data'!BB8-'Net zero supporting data'!Z18</f>
        <v>1865419.5747970776</v>
      </c>
      <c r="AA23" s="11">
        <f>'Net zero Activity data'!BC8-'Net zero supporting data'!AA18</f>
        <v>1716423.2062921887</v>
      </c>
      <c r="AB23" s="11">
        <f>'Net zero Activity data'!BD8-'Net zero supporting data'!AB18</f>
        <v>1561020.0746355392</v>
      </c>
      <c r="AC23" s="11">
        <f>'Net zero Activity data'!BE8-'Net zero supporting data'!AC18</f>
        <v>1399385.1136884606</v>
      </c>
      <c r="AD23" s="11">
        <f>'Net zero Activity data'!BF8-'Net zero supporting data'!AD18</f>
        <v>1232643.0025260933</v>
      </c>
      <c r="AE23" s="11">
        <f>'Net zero Activity data'!BG8-'Net zero supporting data'!AE18</f>
        <v>1127420.3866526345</v>
      </c>
      <c r="AF23" s="11">
        <f>'Net zero Activity data'!BH8-'Net zero supporting data'!AF18</f>
        <v>1018738.7377326572</v>
      </c>
      <c r="AG23" s="11">
        <f>'Net zero Activity data'!BI8-'Net zero supporting data'!AG18</f>
        <v>906919.16982860863</v>
      </c>
      <c r="AH23" s="11">
        <f>'Net zero Activity data'!BJ8-'Net zero supporting data'!AH18</f>
        <v>790612.75725934468</v>
      </c>
      <c r="AI23" s="11">
        <f>'Net zero Activity data'!BK8-'Net zero supporting data'!AI18</f>
        <v>669859.71834595688</v>
      </c>
      <c r="AJ23" s="11">
        <f>'Net zero Activity data'!BL8-'Net zero supporting data'!AJ18</f>
        <v>545256.50013266131</v>
      </c>
      <c r="AK23" s="11">
        <f>'Net zero Activity data'!BM8-'Net zero supporting data'!AK18</f>
        <v>416204.07595368847</v>
      </c>
      <c r="AL23" s="11">
        <f>'Net zero Activity data'!BN8-'Net zero supporting data'!AL18</f>
        <v>282383.12129724771</v>
      </c>
      <c r="AM23" s="11">
        <f>'Net zero Activity data'!BO8-'Net zero supporting data'!AM18</f>
        <v>143768.33980229218</v>
      </c>
      <c r="AN23" s="11">
        <f>'Net zero Activity data'!BP8-'Net zero supporting data'!AN18</f>
        <v>0</v>
      </c>
    </row>
    <row r="24" spans="1:48" x14ac:dyDescent="0.25">
      <c r="A24" t="s">
        <v>1030</v>
      </c>
      <c r="B24" s="11">
        <f>'Net zero Activity data'!AD10-'Net zero supporting data'!B19</f>
        <v>541460.03376820474</v>
      </c>
      <c r="C24" s="11">
        <f>'Net zero Activity data'!AE10-'Net zero supporting data'!C19</f>
        <v>559717.10307730944</v>
      </c>
      <c r="D24" s="11">
        <f>'Net zero Activity data'!AF10-'Net zero supporting data'!D19</f>
        <v>581386.33409904351</v>
      </c>
      <c r="E24" s="11">
        <f>'Net zero Activity data'!AG10-'Net zero supporting data'!E19</f>
        <v>597546.77075746434</v>
      </c>
      <c r="F24" s="11">
        <f>'Net zero Activity data'!AH10-'Net zero supporting data'!F19</f>
        <v>610009.49754182214</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597014.6851984323</v>
      </c>
      <c r="K24" s="11">
        <f>'Net zero Activity data'!AM10-'Net zero supporting data'!K19</f>
        <v>589379.15663490968</v>
      </c>
      <c r="L24" s="11">
        <f>'Net zero Activity data'!AN10-'Net zero supporting data'!L19</f>
        <v>559618.37905259943</v>
      </c>
      <c r="M24" s="11">
        <f>'Net zero Activity data'!AO10-'Net zero supporting data'!M19</f>
        <v>514700.07021374127</v>
      </c>
      <c r="N24" s="11">
        <f>'Net zero Activity data'!AP10-'Net zero supporting data'!N19</f>
        <v>468591.66855954041</v>
      </c>
      <c r="O24" s="11">
        <f>'Net zero Activity data'!AQ10-'Net zero supporting data'!O19</f>
        <v>423098.83136892039</v>
      </c>
      <c r="P24" s="11">
        <f>'Net zero Activity data'!AR10-'Net zero supporting data'!P19</f>
        <v>377211.210053463</v>
      </c>
      <c r="Q24" s="11">
        <f>'Net zero Activity data'!AS10-'Net zero supporting data'!Q19</f>
        <v>329059.3529489151</v>
      </c>
      <c r="R24" s="11">
        <f>'Net zero Activity data'!AT10-'Net zero supporting data'!R19</f>
        <v>278342.87311140471</v>
      </c>
      <c r="S24" s="11">
        <f>'Net zero Activity data'!AU10-'Net zero supporting data'!S19</f>
        <v>224898.67087167338</v>
      </c>
      <c r="T24" s="11">
        <f>'Net zero Activity data'!AV10-'Net zero supporting data'!T19</f>
        <v>167576.57275071042</v>
      </c>
      <c r="U24" s="11">
        <f>'Net zero Activity data'!AW10-'Net zero supporting data'!U19</f>
        <v>158030.3036466483</v>
      </c>
      <c r="V24" s="11">
        <f>'Net zero Activity data'!AX10-'Net zero supporting data'!V19</f>
        <v>147408.02543851698</v>
      </c>
      <c r="W24" s="11">
        <f>'Net zero Activity data'!AY10-'Net zero supporting data'!W19</f>
        <v>135392.48694136553</v>
      </c>
      <c r="X24" s="11">
        <f>'Net zero Activity data'!AZ10-'Net zero supporting data'!X19</f>
        <v>121897.89711120876</v>
      </c>
      <c r="Y24" s="11">
        <f>'Net zero Activity data'!BA10-'Net zero supporting data'!Y19</f>
        <v>106710.39132946683</v>
      </c>
      <c r="Z24" s="11">
        <f>'Net zero Activity data'!BB10-'Net zero supporting data'!Z19</f>
        <v>89544.394503321964</v>
      </c>
      <c r="AA24" s="11">
        <f>'Net zero Activity data'!BC10-'Net zero supporting data'!AA19</f>
        <v>70495.457366966177</v>
      </c>
      <c r="AB24" s="11">
        <f>'Net zero Activity data'!BD10-'Net zero supporting data'!AB19</f>
        <v>49296.932656093035</v>
      </c>
      <c r="AC24" s="11">
        <f>'Net zero Activity data'!BE10-'Net zero supporting data'!AC19</f>
        <v>25834.141797971446</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955</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956</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957</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951</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950</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75" x14ac:dyDescent="0.25">
      <c r="A31" s="107" t="s">
        <v>944</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5">
      <c r="A32" t="s">
        <v>1343</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1347</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1026</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1025</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1027</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1028</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1004</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42206.922532469558</v>
      </c>
      <c r="L38">
        <f>'Net zero Activity data'!AN5*'Net zero supporting data'!L36</f>
        <v>85242.175439207334</v>
      </c>
      <c r="M38">
        <f>'Net zero Activity data'!AO5*'Net zero supporting data'!M36</f>
        <v>128187.75256557729</v>
      </c>
      <c r="N38">
        <f>'Net zero Activity data'!AP5*'Net zero supporting data'!N36</f>
        <v>171532.18452120232</v>
      </c>
      <c r="O38">
        <f>'Net zero Activity data'!AQ5*'Net zero supporting data'!O36</f>
        <v>215705.57880698427</v>
      </c>
      <c r="P38">
        <f>'Net zero Activity data'!AR5*'Net zero supporting data'!P36</f>
        <v>260892.20895746531</v>
      </c>
      <c r="Q38">
        <f>'Net zero Activity data'!AS5*'Net zero supporting data'!Q36</f>
        <v>307046.12205583334</v>
      </c>
      <c r="R38">
        <f>'Net zero Activity data'!AT5*'Net zero supporting data'!R36</f>
        <v>354385.82209630148</v>
      </c>
      <c r="S38">
        <f>'Net zero Activity data'!AU5*'Net zero supporting data'!S36</f>
        <v>403404.99044657126</v>
      </c>
      <c r="T38">
        <f>'Net zero Activity data'!AV5*'Net zero supporting data'!T36</f>
        <v>454343.31399380509</v>
      </c>
      <c r="U38">
        <f>'Net zero Activity data'!AW5*'Net zero supporting data'!U36</f>
        <v>480756.68549494195</v>
      </c>
      <c r="V38">
        <f>'Net zero Activity data'!AX5*'Net zero supporting data'!V36</f>
        <v>508321.10740631475</v>
      </c>
      <c r="W38">
        <f>'Net zero Activity data'!AY5*'Net zero supporting data'!W36</f>
        <v>536899.38621079328</v>
      </c>
      <c r="X38">
        <f>'Net zero Activity data'!AZ5*'Net zero supporting data'!X36</f>
        <v>566635.63751579227</v>
      </c>
      <c r="Y38">
        <f>'Net zero Activity data'!BA5*'Net zero supporting data'!Y36</f>
        <v>597486.36158975482</v>
      </c>
      <c r="Z38">
        <f>'Net zero Activity data'!BB5*'Net zero supporting data'!Z36</f>
        <v>629093.40487624088</v>
      </c>
      <c r="AA38">
        <f>'Net zero Activity data'!BC5*'Net zero supporting data'!AA36</f>
        <v>662072.91319718864</v>
      </c>
      <c r="AB38">
        <f>'Net zero Activity data'!BD5*'Net zero supporting data'!AB36</f>
        <v>696073.23599514319</v>
      </c>
      <c r="AC38">
        <f>'Net zero Activity data'!BE5*'Net zero supporting data'!AC36</f>
        <v>731087.35409053578</v>
      </c>
      <c r="AD38">
        <f>'Net zero Activity data'!BF5*'Net zero supporting data'!AD36</f>
        <v>767349.81888702617</v>
      </c>
      <c r="AE38">
        <f>'Net zero Activity data'!BG5*'Net zero supporting data'!AE36</f>
        <v>780948.35952281742</v>
      </c>
      <c r="AF38">
        <f>'Net zero Activity data'!BH5*'Net zero supporting data'!AF36</f>
        <v>795200.10820186988</v>
      </c>
      <c r="AG38">
        <f>'Net zero Activity data'!BI5*'Net zero supporting data'!AG36</f>
        <v>810368.19006591034</v>
      </c>
      <c r="AH38">
        <f>'Net zero Activity data'!BJ5*'Net zero supporting data'!AH36</f>
        <v>826022.58345255663</v>
      </c>
      <c r="AI38">
        <f>'Net zero Activity data'!BK5*'Net zero supporting data'!AI36</f>
        <v>842191.6096591925</v>
      </c>
      <c r="AJ38">
        <f>'Net zero Activity data'!BL5*'Net zero supporting data'!AJ36</f>
        <v>859372.82823453296</v>
      </c>
      <c r="AK38">
        <f>'Net zero Activity data'!BM5*'Net zero supporting data'!AK36</f>
        <v>877421.74418922595</v>
      </c>
      <c r="AL38">
        <f>'Net zero Activity data'!BN5*'Net zero supporting data'!AL36</f>
        <v>896245.23756638065</v>
      </c>
      <c r="AM38">
        <f>'Net zero Activity data'!BO5*'Net zero supporting data'!AM36</f>
        <v>916182.49352342752</v>
      </c>
      <c r="AN38">
        <f>'Net zero Activity data'!BP5*'Net zero supporting data'!AN36</f>
        <v>935365.80916547542</v>
      </c>
    </row>
    <row r="39" spans="1:48" x14ac:dyDescent="0.25">
      <c r="A39" t="s">
        <v>1007</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44844.06626569965</v>
      </c>
      <c r="L39">
        <f>'Net zero Activity data'!AN10*'Net zero supporting data'!L37</f>
        <v>93269.7298420999</v>
      </c>
      <c r="M39">
        <f>'Net zero Activity data'!AO10*'Net zero supporting data'!M37</f>
        <v>142219.75624327059</v>
      </c>
      <c r="N39">
        <f>'Net zero Activity data'!AP10*'Net zero supporting data'!N37</f>
        <v>192949.51058334016</v>
      </c>
      <c r="O39">
        <f>'Net zero Activity data'!AQ10*'Net zero supporting data'!O37</f>
        <v>246807.65163187022</v>
      </c>
      <c r="P39">
        <f>'Net zero Activity data'!AR10*'Net zero supporting data'!P37</f>
        <v>304670.59273548936</v>
      </c>
      <c r="Q39">
        <f>'Net zero Activity data'!AS10*'Net zero supporting data'!Q37</f>
        <v>366452.46123856457</v>
      </c>
      <c r="R39">
        <f>'Net zero Activity data'!AT10*'Net zero supporting data'!R37</f>
        <v>432977.80261774064</v>
      </c>
      <c r="S39">
        <f>'Net zero Activity data'!AU10*'Net zero supporting data'!S37</f>
        <v>506022.00946126488</v>
      </c>
      <c r="T39">
        <f>'Net zero Activity data'!AV10*'Net zero supporting data'!T37</f>
        <v>586518.00462748646</v>
      </c>
      <c r="U39">
        <f>'Net zero Activity data'!AW10*'Net zero supporting data'!U37</f>
        <v>640900.67590029619</v>
      </c>
      <c r="V39">
        <f>'Net zero Activity data'!AX10*'Net zero supporting data'!V37</f>
        <v>700188.12083295605</v>
      </c>
      <c r="W39">
        <f>'Net zero Activity data'!AY10*'Net zero supporting data'!W37</f>
        <v>764000.46202627732</v>
      </c>
      <c r="X39">
        <f>'Net zero Activity data'!AZ10*'Net zero supporting data'!X37</f>
        <v>832968.96359326073</v>
      </c>
      <c r="Y39">
        <f>'Net zero Activity data'!BA10*'Net zero supporting data'!Y37</f>
        <v>907038.32630046899</v>
      </c>
      <c r="Z39">
        <f>'Net zero Activity data'!BB10*'Net zero supporting data'!Z37</f>
        <v>984988.33953654382</v>
      </c>
      <c r="AA39">
        <f>'Net zero Activity data'!BC10*'Net zero supporting data'!AA37</f>
        <v>1069181.1033989917</v>
      </c>
      <c r="AB39">
        <f>'Net zero Activity data'!BD10*'Net zero supporting data'!AB37</f>
        <v>1158477.9174181905</v>
      </c>
      <c r="AC39">
        <f>'Net zero Activity data'!BE10*'Net zero supporting data'!AC37</f>
        <v>1252955.8772016298</v>
      </c>
      <c r="AD39">
        <f>'Net zero Activity data'!BF10*'Net zero supporting data'!AD37</f>
        <v>1353597.5244011215</v>
      </c>
      <c r="AE39">
        <f>'Net zero Activity data'!BG10*'Net zero supporting data'!AE37</f>
        <v>1414424.0937777301</v>
      </c>
      <c r="AF39">
        <f>'Net zero Activity data'!BH10*'Net zero supporting data'!AF37</f>
        <v>1478544.2798039929</v>
      </c>
      <c r="AG39">
        <f>'Net zero Activity data'!BI10*'Net zero supporting data'!AG37</f>
        <v>1547048.2047428007</v>
      </c>
      <c r="AH39">
        <f>'Net zero Activity data'!BJ10*'Net zero supporting data'!AH37</f>
        <v>1618339.5175338604</v>
      </c>
      <c r="AI39">
        <f>'Net zero Activity data'!BK10*'Net zero supporting data'!AI37</f>
        <v>1692591.2487318111</v>
      </c>
      <c r="AJ39">
        <f>'Net zero Activity data'!BL10*'Net zero supporting data'!AJ37</f>
        <v>1771834.4197072859</v>
      </c>
      <c r="AK39">
        <f>'Net zero Activity data'!BM10*'Net zero supporting data'!AK37</f>
        <v>1855580.6313194891</v>
      </c>
      <c r="AL39">
        <f>'Net zero Activity data'!BN10*'Net zero supporting data'!AL37</f>
        <v>1943524.761329802</v>
      </c>
      <c r="AM39">
        <f>'Net zero Activity data'!BO10*'Net zero supporting data'!AM37</f>
        <v>2037093.9360268321</v>
      </c>
      <c r="AN39">
        <f>'Net zero Activity data'!BP10*'Net zero supporting data'!AN37</f>
        <v>2128828.1623534956</v>
      </c>
    </row>
    <row r="40" spans="1:48" x14ac:dyDescent="0.25">
      <c r="A40" t="s">
        <v>1029</v>
      </c>
      <c r="B40" s="11">
        <f>'Net zero Activity data'!AD5-'Net zero supporting data'!B38</f>
        <v>590059.9281599375</v>
      </c>
      <c r="C40" s="11">
        <f>'Net zero Activity data'!AE5-'Net zero supporting data'!C38</f>
        <v>593358.66490468499</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608615.99513645715</v>
      </c>
      <c r="J40" s="11">
        <f>'Net zero Activity data'!AL5-'Net zero supporting data'!J38</f>
        <v>591037.14961379278</v>
      </c>
      <c r="K40" s="11">
        <f>'Net zero Activity data'!AM5-'Net zero supporting data'!K38</f>
        <v>560749.11364566698</v>
      </c>
      <c r="L40" s="11">
        <f>'Net zero Activity data'!AN5-'Net zero supporting data'!L38</f>
        <v>523630.50626941654</v>
      </c>
      <c r="M40" s="11">
        <f>'Net zero Activity data'!AO5-'Net zero supporting data'!M38</f>
        <v>482230.1167943147</v>
      </c>
      <c r="N40" s="11">
        <f>'Net zero Activity data'!AP5-'Net zero supporting data'!N38</f>
        <v>441082.76019737741</v>
      </c>
      <c r="O40" s="11">
        <f>'Net zero Activity data'!AQ5-'Net zero supporting data'!O38</f>
        <v>400596.07492725656</v>
      </c>
      <c r="P40" s="11">
        <f>'Net zero Activity data'!AR5-'Net zero supporting data'!P38</f>
        <v>360279.71713173779</v>
      </c>
      <c r="Q40" s="11">
        <f>'Net zero Activity data'!AS5-'Net zero supporting data'!Q38</f>
        <v>319578.61683362245</v>
      </c>
      <c r="R40" s="11">
        <f>'Net zero Activity data'!AT5-'Net zero supporting data'!R38</f>
        <v>278446.00307566556</v>
      </c>
      <c r="S40" s="11">
        <f>'Net zero Activity data'!AU5-'Net zero supporting data'!S38</f>
        <v>236920.39121465303</v>
      </c>
      <c r="T40" s="11">
        <f>'Net zero Activity data'!AV5-'Net zero supporting data'!T38</f>
        <v>194718.5631402022</v>
      </c>
      <c r="U40" s="11">
        <f>'Net zero Activity data'!AW5-'Net zero supporting data'!U38</f>
        <v>177814.11655292375</v>
      </c>
      <c r="V40" s="11">
        <f>'Net zero Activity data'!AX5-'Net zero supporting data'!V38</f>
        <v>160522.45497041516</v>
      </c>
      <c r="W40" s="11">
        <f>'Net zero Activity data'!AY5-'Net zero supporting data'!W38</f>
        <v>142720.09000540071</v>
      </c>
      <c r="X40" s="11">
        <f>'Net zero Activity data'!AZ5-'Net zero supporting data'!X38</f>
        <v>124383.43262541783</v>
      </c>
      <c r="Y40" s="11">
        <f>'Net zero Activity data'!BA5-'Net zero supporting data'!Y38</f>
        <v>105438.76969230955</v>
      </c>
      <c r="Z40" s="11">
        <f>'Net zero Activity data'!BB5-'Net zero supporting data'!Z38</f>
        <v>85785.464301305474</v>
      </c>
      <c r="AA40" s="11">
        <f>'Net zero Activity data'!BC5-'Net zero supporting data'!AA38</f>
        <v>65479.738667853759</v>
      </c>
      <c r="AB40" s="11">
        <f>'Net zero Activity data'!BD5-'Net zero supporting data'!AB38</f>
        <v>44430.206552881398</v>
      </c>
      <c r="AC40" s="11">
        <f>'Net zero Activity data'!BE5-'Net zero supporting data'!AC38</f>
        <v>22610.949095583404</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1030</v>
      </c>
      <c r="B41" s="11">
        <f>'Net zero Activity data'!AD10-'Net zero supporting data'!B39</f>
        <v>541460.03376820474</v>
      </c>
      <c r="C41" s="11">
        <f>'Net zero Activity data'!AE10-'Net zero supporting data'!C39</f>
        <v>559717.10307730944</v>
      </c>
      <c r="D41" s="11">
        <f>'Net zero Activity data'!AF10-'Net zero supporting data'!D39</f>
        <v>581386.33409904351</v>
      </c>
      <c r="E41" s="11">
        <f>'Net zero Activity data'!AG10-'Net zero supporting data'!E39</f>
        <v>597546.77075746434</v>
      </c>
      <c r="F41" s="11">
        <f>'Net zero Activity data'!AH10-'Net zero supporting data'!F39</f>
        <v>610009.49754182214</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597014.6851984323</v>
      </c>
      <c r="K41" s="11">
        <f>'Net zero Activity data'!AM10-'Net zero supporting data'!K39</f>
        <v>595785.45181572391</v>
      </c>
      <c r="L41" s="11">
        <f>'Net zero Activity data'!AN10-'Net zero supporting data'!L39</f>
        <v>572942.62617289938</v>
      </c>
      <c r="M41" s="11">
        <f>'Net zero Activity data'!AO10-'Net zero supporting data'!M39</f>
        <v>535017.17824849428</v>
      </c>
      <c r="N41" s="11">
        <f>'Net zero Activity data'!AP10-'Net zero supporting data'!N39</f>
        <v>496155.88435716042</v>
      </c>
      <c r="O41" s="11">
        <f>'Net zero Activity data'!AQ10-'Net zero supporting data'!O39</f>
        <v>458357.0673163305</v>
      </c>
      <c r="P41" s="11">
        <f>'Net zero Activity data'!AR10-'Net zero supporting data'!P39</f>
        <v>420735.58044424723</v>
      </c>
      <c r="Q41" s="11">
        <f>'Net zero Activity data'!AS10-'Net zero supporting data'!Q39</f>
        <v>381409.70455442439</v>
      </c>
      <c r="R41" s="11">
        <f>'Net zero Activity data'!AT10-'Net zero supporting data'!R39</f>
        <v>340196.84491393919</v>
      </c>
      <c r="S41" s="11">
        <f>'Net zero Activity data'!AU10-'Net zero supporting data'!S39</f>
        <v>297187.52936613985</v>
      </c>
      <c r="T41" s="11">
        <f>'Net zero Activity data'!AV10-'Net zero supporting data'!T39</f>
        <v>251364.85912606562</v>
      </c>
      <c r="U41" s="11">
        <f>'Net zero Activity data'!AW10-'Net zero supporting data'!U39</f>
        <v>237045.45546997257</v>
      </c>
      <c r="V41" s="11">
        <f>'Net zero Activity data'!AX10-'Net zero supporting data'!V39</f>
        <v>221112.03815777553</v>
      </c>
      <c r="W41" s="11">
        <f>'Net zero Activity data'!AY10-'Net zero supporting data'!W39</f>
        <v>203088.73041204829</v>
      </c>
      <c r="X41" s="11">
        <f>'Net zero Activity data'!AZ10-'Net zero supporting data'!X39</f>
        <v>182846.84566681331</v>
      </c>
      <c r="Y41" s="11">
        <f>'Net zero Activity data'!BA10-'Net zero supporting data'!Y39</f>
        <v>160065.58699420025</v>
      </c>
      <c r="Z41" s="11">
        <f>'Net zero Activity data'!BB10-'Net zero supporting data'!Z39</f>
        <v>134316.59175498306</v>
      </c>
      <c r="AA41" s="11">
        <f>'Net zero Activity data'!BC10-'Net zero supporting data'!AA39</f>
        <v>105743.1860504495</v>
      </c>
      <c r="AB41" s="11">
        <f>'Net zero Activity data'!BD10-'Net zero supporting data'!AB39</f>
        <v>73945.398984139552</v>
      </c>
      <c r="AC41" s="11">
        <f>'Net zero Activity data'!BE10-'Net zero supporting data'!AC39</f>
        <v>38751.212696957402</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1031</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1032</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75" x14ac:dyDescent="0.25">
      <c r="A45" s="107" t="s">
        <v>1337</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5">
      <c r="A46" t="s">
        <v>1343</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1344</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1345</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1346</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1347</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1026</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1348</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1349</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1350</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1025</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1354</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1355</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1356</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1357</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1358</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1109</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1360</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1362</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1027</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1071</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1072</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1073</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1028</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1004</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24118.241447125463</v>
      </c>
      <c r="L71">
        <f>'Net zero Activity data'!AN5*'Net zero supporting data'!L66</f>
        <v>48709.814536689912</v>
      </c>
      <c r="M71">
        <f>'Net zero Activity data'!AO5*'Net zero supporting data'!M66</f>
        <v>73250.144323187036</v>
      </c>
      <c r="N71">
        <f>'Net zero Activity data'!AP5*'Net zero supporting data'!N66</f>
        <v>98018.391154972764</v>
      </c>
      <c r="O71">
        <f>'Net zero Activity data'!AQ5*'Net zero supporting data'!O66</f>
        <v>123260.33074684817</v>
      </c>
      <c r="P71">
        <f>'Net zero Activity data'!AR5*'Net zero supporting data'!P66</f>
        <v>149081.26226140876</v>
      </c>
      <c r="Q71">
        <f>'Net zero Activity data'!AS5*'Net zero supporting data'!Q66</f>
        <v>175454.92688904764</v>
      </c>
      <c r="R71">
        <f>'Net zero Activity data'!AT5*'Net zero supporting data'!R66</f>
        <v>202506.18405502944</v>
      </c>
      <c r="S71">
        <f>'Net zero Activity data'!AU5*'Net zero supporting data'!S66</f>
        <v>230517.13739804074</v>
      </c>
      <c r="T71">
        <f>'Net zero Activity data'!AV5*'Net zero supporting data'!T66</f>
        <v>259624.75085360292</v>
      </c>
      <c r="U71">
        <f>'Net zero Activity data'!AW5*'Net zero supporting data'!U66</f>
        <v>276599.73686010361</v>
      </c>
      <c r="V71">
        <f>'Net zero Activity data'!AX5*'Net zero supporting data'!V66</f>
        <v>294291.16744576121</v>
      </c>
      <c r="W71">
        <f>'Net zero Activity data'!AY5*'Net zero supporting data'!W66</f>
        <v>312624.95905944926</v>
      </c>
      <c r="X71">
        <f>'Net zero Activity data'!AZ5*'Net zero supporting data'!X66</f>
        <v>331689.15366778092</v>
      </c>
      <c r="Y71">
        <f>'Net zero Activity data'!BA5*'Net zero supporting data'!Y66</f>
        <v>351462.56564103224</v>
      </c>
      <c r="Z71">
        <f>'Net zero Activity data'!BB5*'Net zero supporting data'!Z66</f>
        <v>371737.01197232422</v>
      </c>
      <c r="AA71">
        <f>'Net zero Activity data'!BC5*'Net zero supporting data'!AA66</f>
        <v>392878.43200712302</v>
      </c>
      <c r="AB71">
        <f>'Net zero Activity data'!BD5*'Net zero supporting data'!AB66</f>
        <v>414681.92782689387</v>
      </c>
      <c r="AC71">
        <f>'Net zero Activity data'!BE5*'Net zero supporting data'!AC66</f>
        <v>437145.01584794925</v>
      </c>
      <c r="AD71">
        <f>'Net zero Activity data'!BF5*'Net zero supporting data'!AD66</f>
        <v>460409.89133221569</v>
      </c>
      <c r="AE71">
        <f>'Net zero Activity data'!BG5*'Net zero supporting data'!AE66</f>
        <v>484187.98290414677</v>
      </c>
      <c r="AF71">
        <f>'Net zero Activity data'!BH5*'Net zero supporting data'!AF66</f>
        <v>508928.06924919673</v>
      </c>
      <c r="AG71">
        <f>'Net zero Activity data'!BI5*'Net zero supporting data'!AG66</f>
        <v>534843.00544350082</v>
      </c>
      <c r="AH71">
        <f>'Net zero Activity data'!BJ5*'Net zero supporting data'!AH66</f>
        <v>561695.35674773855</v>
      </c>
      <c r="AI71">
        <f>'Net zero Activity data'!BK5*'Net zero supporting data'!AI66</f>
        <v>589534.12676143483</v>
      </c>
      <c r="AJ71">
        <f>'Net zero Activity data'!BL5*'Net zero supporting data'!AJ66</f>
        <v>618748.43632886384</v>
      </c>
      <c r="AK71">
        <f>'Net zero Activity data'!BM5*'Net zero supporting data'!AK66</f>
        <v>649292.0907000273</v>
      </c>
      <c r="AL71">
        <f>'Net zero Activity data'!BN5*'Net zero supporting data'!AL66</f>
        <v>681146.38055044936</v>
      </c>
      <c r="AM71">
        <f>'Net zero Activity data'!BO5*'Net zero supporting data'!AM66</f>
        <v>714622.34494827362</v>
      </c>
      <c r="AN71">
        <f>'Net zero Activity data'!BP5*'Net zero supporting data'!AN66</f>
        <v>748292.64733238041</v>
      </c>
    </row>
    <row r="72" spans="1:40" x14ac:dyDescent="0.25">
      <c r="A72" t="s">
        <v>1005</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19983.685770475386</v>
      </c>
      <c r="L72">
        <f>'Net zero Activity data'!AN6*'Net zero supporting data'!L67</f>
        <v>40359.560616114504</v>
      </c>
      <c r="M72">
        <f>'Net zero Activity data'!AO6*'Net zero supporting data'!M67</f>
        <v>60692.976724926397</v>
      </c>
      <c r="N72">
        <f>'Net zero Activity data'!AP6*'Net zero supporting data'!N67</f>
        <v>81215.238385548859</v>
      </c>
      <c r="O72">
        <f>'Net zero Activity data'!AQ6*'Net zero supporting data'!O67</f>
        <v>102129.98833310277</v>
      </c>
      <c r="P72">
        <f>'Net zero Activity data'!AR6*'Net zero supporting data'!P67</f>
        <v>123524.47444516724</v>
      </c>
      <c r="Q72">
        <f>'Net zero Activity data'!AS6*'Net zero supporting data'!Q67</f>
        <v>145376.93942235375</v>
      </c>
      <c r="R72">
        <f>'Net zero Activity data'!AT6*'Net zero supporting data'!R67</f>
        <v>167790.83821702443</v>
      </c>
      <c r="S72">
        <f>'Net zero Activity data'!AU6*'Net zero supporting data'!S67</f>
        <v>190999.91384409089</v>
      </c>
      <c r="T72">
        <f>'Net zero Activity data'!AV6*'Net zero supporting data'!T67</f>
        <v>215117.65070727101</v>
      </c>
      <c r="U72">
        <f>'Net zero Activity data'!AW6*'Net zero supporting data'!U67</f>
        <v>229182.63911265729</v>
      </c>
      <c r="V72">
        <f>'Net zero Activity data'!AX6*'Net zero supporting data'!V67</f>
        <v>243841.25302648783</v>
      </c>
      <c r="W72">
        <f>'Net zero Activity data'!AY6*'Net zero supporting data'!W67</f>
        <v>259032.10893497226</v>
      </c>
      <c r="X72">
        <f>'Net zero Activity data'!AZ6*'Net zero supporting data'!X67</f>
        <v>274828.15589616133</v>
      </c>
      <c r="Y72">
        <f>'Net zero Activity data'!BA6*'Net zero supporting data'!Y67</f>
        <v>291211.84010256955</v>
      </c>
      <c r="Z72">
        <f>'Net zero Activity data'!BB6*'Net zero supporting data'!Z67</f>
        <v>308010.66706278292</v>
      </c>
      <c r="AA72">
        <f>'Net zero Activity data'!BC6*'Net zero supporting data'!AA67</f>
        <v>325527.84366304474</v>
      </c>
      <c r="AB72">
        <f>'Net zero Activity data'!BD6*'Net zero supporting data'!AB67</f>
        <v>343593.59734228358</v>
      </c>
      <c r="AC72">
        <f>'Net zero Activity data'!BE6*'Net zero supporting data'!AC67</f>
        <v>362205.87027401512</v>
      </c>
      <c r="AD72">
        <f>'Net zero Activity data'!BF6*'Net zero supporting data'!AD67</f>
        <v>381482.48138955014</v>
      </c>
      <c r="AE72">
        <f>'Net zero Activity data'!BG6*'Net zero supporting data'!AE67</f>
        <v>401184.32869200729</v>
      </c>
      <c r="AF72">
        <f>'Net zero Activity data'!BH6*'Net zero supporting data'!AF67</f>
        <v>421683.25737790583</v>
      </c>
      <c r="AG72">
        <f>'Net zero Activity data'!BI6*'Net zero supporting data'!AG67</f>
        <v>443155.63308175787</v>
      </c>
      <c r="AH72">
        <f>'Net zero Activity data'!BJ6*'Net zero supporting data'!AH67</f>
        <v>465404.72416241193</v>
      </c>
      <c r="AI72">
        <f>'Net zero Activity data'!BK6*'Net zero supporting data'!AI67</f>
        <v>488471.13360233174</v>
      </c>
      <c r="AJ72">
        <f>'Net zero Activity data'!BL6*'Net zero supporting data'!AJ67</f>
        <v>512677.2758153443</v>
      </c>
      <c r="AK72">
        <f>'Net zero Activity data'!BM6*'Net zero supporting data'!AK67</f>
        <v>537984.87515145121</v>
      </c>
      <c r="AL72">
        <f>'Net zero Activity data'!BN6*'Net zero supporting data'!AL67</f>
        <v>564378.4295989438</v>
      </c>
      <c r="AM72">
        <f>'Net zero Activity data'!BO6*'Net zero supporting data'!AM67</f>
        <v>592115.65724285529</v>
      </c>
      <c r="AN72">
        <f>'Net zero Activity data'!BP6*'Net zero supporting data'!AN67</f>
        <v>620013.90778968658</v>
      </c>
    </row>
    <row r="73" spans="1:40" x14ac:dyDescent="0.25">
      <c r="A73" t="s">
        <v>1006</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24807.334059900484</v>
      </c>
      <c r="L73">
        <f>'Net zero Activity data'!AN7*'Net zero supporting data'!L68</f>
        <v>50101.523523452495</v>
      </c>
      <c r="M73">
        <f>'Net zero Activity data'!AO7*'Net zero supporting data'!M68</f>
        <v>75343.005589563822</v>
      </c>
      <c r="N73">
        <f>'Net zero Activity data'!AP7*'Net zero supporting data'!N68</f>
        <v>100818.91661654343</v>
      </c>
      <c r="O73">
        <f>'Net zero Activity data'!AQ7*'Net zero supporting data'!O68</f>
        <v>126782.05448247242</v>
      </c>
      <c r="P73">
        <f>'Net zero Activity data'!AR7*'Net zero supporting data'!P68</f>
        <v>153340.726897449</v>
      </c>
      <c r="Q73">
        <f>'Net zero Activity data'!AS7*'Net zero supporting data'!Q68</f>
        <v>180467.92480016334</v>
      </c>
      <c r="R73">
        <f>'Net zero Activity data'!AT7*'Net zero supporting data'!R68</f>
        <v>208292.07502803035</v>
      </c>
      <c r="S73">
        <f>'Net zero Activity data'!AU7*'Net zero supporting data'!S68</f>
        <v>237103.34132369905</v>
      </c>
      <c r="T73">
        <f>'Net zero Activity data'!AV7*'Net zero supporting data'!T68</f>
        <v>267042.60087799159</v>
      </c>
      <c r="U73">
        <f>'Net zero Activity data'!AW7*'Net zero supporting data'!U68</f>
        <v>284502.58648467803</v>
      </c>
      <c r="V73">
        <f>'Net zero Activity data'!AX7*'Net zero supporting data'!V68</f>
        <v>302699.48651564016</v>
      </c>
      <c r="W73">
        <f>'Net zero Activity data'!AY7*'Net zero supporting data'!W68</f>
        <v>321557.10074686218</v>
      </c>
      <c r="X73">
        <f>'Net zero Activity data'!AZ7*'Net zero supporting data'!X68</f>
        <v>341165.98662971758</v>
      </c>
      <c r="Y73">
        <f>'Net zero Activity data'!BA7*'Net zero supporting data'!Y68</f>
        <v>361504.35323077603</v>
      </c>
      <c r="Z73">
        <f>'Net zero Activity data'!BB7*'Net zero supporting data'!Z68</f>
        <v>382358.0694572478</v>
      </c>
      <c r="AA73">
        <f>'Net zero Activity data'!BC7*'Net zero supporting data'!AA68</f>
        <v>404103.53006446944</v>
      </c>
      <c r="AB73">
        <f>'Net zero Activity data'!BD7*'Net zero supporting data'!AB68</f>
        <v>426529.9829076624</v>
      </c>
      <c r="AC73">
        <f>'Net zero Activity data'!BE7*'Net zero supporting data'!AC68</f>
        <v>449634.87344360503</v>
      </c>
      <c r="AD73">
        <f>'Net zero Activity data'!BF7*'Net zero supporting data'!AD68</f>
        <v>473564.45965599333</v>
      </c>
      <c r="AE73">
        <f>'Net zero Activity data'!BG7*'Net zero supporting data'!AE68</f>
        <v>498021.92527283676</v>
      </c>
      <c r="AF73">
        <f>'Net zero Activity data'!BH7*'Net zero supporting data'!AF68</f>
        <v>523468.87122774537</v>
      </c>
      <c r="AG73">
        <f>'Net zero Activity data'!BI7*'Net zero supporting data'!AG68</f>
        <v>550124.23417045816</v>
      </c>
      <c r="AH73">
        <f>'Net zero Activity data'!BJ7*'Net zero supporting data'!AH68</f>
        <v>577743.7955119597</v>
      </c>
      <c r="AI73">
        <f>'Net zero Activity data'!BK7*'Net zero supporting data'!AI68</f>
        <v>606377.95895461878</v>
      </c>
      <c r="AJ73">
        <f>'Net zero Activity data'!BL7*'Net zero supporting data'!AJ68</f>
        <v>636426.96308111714</v>
      </c>
      <c r="AK73">
        <f>'Net zero Activity data'!BM7*'Net zero supporting data'!AK68</f>
        <v>667843.29329145676</v>
      </c>
      <c r="AL73">
        <f>'Net zero Activity data'!BN7*'Net zero supporting data'!AL68</f>
        <v>700607.70570903376</v>
      </c>
      <c r="AM73">
        <f>'Net zero Activity data'!BO7*'Net zero supporting data'!AM68</f>
        <v>735040.12623251008</v>
      </c>
      <c r="AN73">
        <f>'Net zero Activity data'!BP7*'Net zero supporting data'!AN68</f>
        <v>769672.43725616287</v>
      </c>
    </row>
    <row r="74" spans="1:40" x14ac:dyDescent="0.25">
      <c r="A74" t="s">
        <v>1352</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199027.92481853534</v>
      </c>
      <c r="L74">
        <f>'Net zero Activity data'!AN8*'Net zero supporting data'!L69</f>
        <v>404343.81493936735</v>
      </c>
      <c r="M74">
        <f>'Net zero Activity data'!AO8*'Net zero supporting data'!M69</f>
        <v>602419.75592826831</v>
      </c>
      <c r="N74">
        <f>'Net zero Activity data'!AP8*'Net zero supporting data'!N69</f>
        <v>798783.96747398633</v>
      </c>
      <c r="O74">
        <f>'Net zero Activity data'!AQ8*'Net zero supporting data'!O69</f>
        <v>998844.72802315268</v>
      </c>
      <c r="P74">
        <f>'Net zero Activity data'!AR8*'Net zero supporting data'!P69</f>
        <v>1205652.0247939094</v>
      </c>
      <c r="Q74">
        <f>'Net zero Activity data'!AS8*'Net zero supporting data'!Q69</f>
        <v>1418245.4557176344</v>
      </c>
      <c r="R74">
        <f>'Net zero Activity data'!AT8*'Net zero supporting data'!R69</f>
        <v>1639171.8951469678</v>
      </c>
      <c r="S74">
        <f>'Net zero Activity data'!AU8*'Net zero supporting data'!S69</f>
        <v>1874257.8982494185</v>
      </c>
      <c r="T74">
        <f>'Net zero Activity data'!AV8*'Net zero supporting data'!T69</f>
        <v>2125749.2998732626</v>
      </c>
      <c r="U74">
        <f>'Net zero Activity data'!AW8*'Net zero supporting data'!U69</f>
        <v>2263691.199203454</v>
      </c>
      <c r="V74">
        <f>'Net zero Activity data'!AX8*'Net zero supporting data'!V69</f>
        <v>2408565.1576582473</v>
      </c>
      <c r="W74">
        <f>'Net zero Activity data'!AY8*'Net zero supporting data'!W69</f>
        <v>2557984.0122454013</v>
      </c>
      <c r="X74">
        <f>'Net zero Activity data'!AZ8*'Net zero supporting data'!X69</f>
        <v>2713026.6657155249</v>
      </c>
      <c r="Y74">
        <f>'Net zero Activity data'!BA8*'Net zero supporting data'!Y69</f>
        <v>2872405.255506942</v>
      </c>
      <c r="Z74">
        <f>'Net zero Activity data'!BB8*'Net zero supporting data'!Z69</f>
        <v>3031306.8090452538</v>
      </c>
      <c r="AA74">
        <f>'Net zero Activity data'!BC8*'Net zero supporting data'!AA69</f>
        <v>3196098.3841302861</v>
      </c>
      <c r="AB74">
        <f>'Net zero Activity data'!BD8*'Net zero supporting data'!AB69</f>
        <v>3362197.0838303952</v>
      </c>
      <c r="AC74">
        <f>'Net zero Activity data'!BE8*'Net zero supporting data'!AC69</f>
        <v>3528884.199736123</v>
      </c>
      <c r="AD74">
        <f>'Net zero Activity data'!BF8*'Net zero supporting data'!AD69</f>
        <v>3697929.0075782803</v>
      </c>
      <c r="AE74">
        <f>'Net zero Activity data'!BG8*'Net zero supporting data'!AE69</f>
        <v>3883336.8873590748</v>
      </c>
      <c r="AF74">
        <f>'Net zero Activity data'!BH8*'Net zero supporting data'!AF69</f>
        <v>4074954.9509306313</v>
      </c>
      <c r="AG74">
        <f>'Net zero Activity data'!BI8*'Net zero supporting data'!AG69</f>
        <v>4275476.0863348711</v>
      </c>
      <c r="AH74">
        <f>'Net zero Activity data'!BJ8*'Net zero supporting data'!AH69</f>
        <v>4480138.9578029579</v>
      </c>
      <c r="AI74">
        <f>'Net zero Activity data'!BK8*'Net zero supporting data'!AI69</f>
        <v>4689018.0284217037</v>
      </c>
      <c r="AJ74">
        <f>'Net zero Activity data'!BL8*'Net zero supporting data'!AJ69</f>
        <v>4907308.5011939574</v>
      </c>
      <c r="AK74">
        <f>'Net zero Activity data'!BM8*'Net zero supporting data'!AK69</f>
        <v>5133183.6034288397</v>
      </c>
      <c r="AL74">
        <f>'Net zero Activity data'!BN8*'Net zero supporting data'!AL69</f>
        <v>5365279.3046477241</v>
      </c>
      <c r="AM74">
        <f>'Net zero Activity data'!BO8*'Net zero supporting data'!AM69</f>
        <v>5606965.2522894433</v>
      </c>
      <c r="AN74">
        <f>'Net zero Activity data'!BP8*'Net zero supporting data'!AN69</f>
        <v>5837145.9433887778</v>
      </c>
    </row>
    <row r="75" spans="1:40" x14ac:dyDescent="0.25">
      <c r="A75" t="s">
        <v>1007</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25625.180723256944</v>
      </c>
      <c r="L75">
        <f>'Net zero Activity data'!AN10*'Net zero supporting data'!L70</f>
        <v>53296.988481199951</v>
      </c>
      <c r="M75">
        <f>'Net zero Activity data'!AO10*'Net zero supporting data'!M70</f>
        <v>81268.432139011784</v>
      </c>
      <c r="N75">
        <f>'Net zero Activity data'!AP10*'Net zero supporting data'!N70</f>
        <v>110256.8631904801</v>
      </c>
      <c r="O75">
        <f>'Net zero Activity data'!AQ10*'Net zero supporting data'!O70</f>
        <v>141032.94378964015</v>
      </c>
      <c r="P75">
        <f>'Net zero Activity data'!AR10*'Net zero supporting data'!P70</f>
        <v>174097.4815631368</v>
      </c>
      <c r="Q75">
        <f>'Net zero Activity data'!AS10*'Net zero supporting data'!Q70</f>
        <v>209401.40642203693</v>
      </c>
      <c r="R75">
        <f>'Net zero Activity data'!AT10*'Net zero supporting data'!R70</f>
        <v>247415.88721013756</v>
      </c>
      <c r="S75">
        <f>'Net zero Activity data'!AU10*'Net zero supporting data'!S70</f>
        <v>289155.43397786567</v>
      </c>
      <c r="T75">
        <f>'Net zero Activity data'!AV10*'Net zero supporting data'!T70</f>
        <v>335153.14550142083</v>
      </c>
      <c r="U75">
        <f>'Net zero Activity data'!AW10*'Net zero supporting data'!U70</f>
        <v>368737.37517551292</v>
      </c>
      <c r="V75">
        <f>'Net zero Activity data'!AX10*'Net zero supporting data'!V70</f>
        <v>405372.06995592196</v>
      </c>
      <c r="W75">
        <f>'Net zero Activity data'!AY10*'Net zero supporting data'!W70</f>
        <v>444861.02852162987</v>
      </c>
      <c r="X75">
        <f>'Net zero Activity data'!AZ10*'Net zero supporting data'!X70</f>
        <v>487591.58844483562</v>
      </c>
      <c r="Y75">
        <f>'Net zero Activity data'!BA10*'Net zero supporting data'!Y70</f>
        <v>533551.95664733474</v>
      </c>
      <c r="Z75">
        <f>'Net zero Activity data'!BB10*'Net zero supporting data'!Z70</f>
        <v>582038.56427159416</v>
      </c>
      <c r="AA75">
        <f>'Net zero Activity data'!BC10*'Net zero supporting data'!AA70</f>
        <v>634459.1163026985</v>
      </c>
      <c r="AB75">
        <f>'Net zero Activity data'!BD10*'Net zero supporting data'!AB70</f>
        <v>690157.05718530505</v>
      </c>
      <c r="AC75">
        <f>'Net zero Activity data'!BE10*'Net zero supporting data'!AC70</f>
        <v>749190.11214118078</v>
      </c>
      <c r="AD75">
        <f>'Net zero Activity data'!BF10*'Net zero supporting data'!AD70</f>
        <v>812158.51464067295</v>
      </c>
      <c r="AE75">
        <f>'Net zero Activity data'!BG10*'Net zero supporting data'!AE70</f>
        <v>876942.93814219267</v>
      </c>
      <c r="AF75">
        <f>'Net zero Activity data'!BH10*'Net zero supporting data'!AF70</f>
        <v>946268.33907455555</v>
      </c>
      <c r="AG75">
        <f>'Net zero Activity data'!BI10*'Net zero supporting data'!AG70</f>
        <v>1021051.8151302485</v>
      </c>
      <c r="AH75">
        <f>'Net zero Activity data'!BJ10*'Net zero supporting data'!AH70</f>
        <v>1100470.8719230252</v>
      </c>
      <c r="AI75">
        <f>'Net zero Activity data'!BK10*'Net zero supporting data'!AI70</f>
        <v>1184813.8741122677</v>
      </c>
      <c r="AJ75">
        <f>'Net zero Activity data'!BL10*'Net zero supporting data'!AJ70</f>
        <v>1275720.782189246</v>
      </c>
      <c r="AK75">
        <f>'Net zero Activity data'!BM10*'Net zero supporting data'!AK70</f>
        <v>1373129.6671764222</v>
      </c>
      <c r="AL75">
        <f>'Net zero Activity data'!BN10*'Net zero supporting data'!AL70</f>
        <v>1477078.8186106498</v>
      </c>
      <c r="AM75">
        <f>'Net zero Activity data'!BO10*'Net zero supporting data'!AM70</f>
        <v>1588933.2701009293</v>
      </c>
      <c r="AN75">
        <f>'Net zero Activity data'!BP10*'Net zero supporting data'!AN70</f>
        <v>1703062.5298827966</v>
      </c>
    </row>
    <row r="76" spans="1:40" x14ac:dyDescent="0.25">
      <c r="A76" t="s">
        <v>1029</v>
      </c>
      <c r="B76" s="11">
        <f>'Net zero Activity data'!AD5-'Net zero supporting data'!B71</f>
        <v>590059.9281599375</v>
      </c>
      <c r="C76" s="11">
        <f>'Net zero Activity data'!AE5-'Net zero supporting data'!C71</f>
        <v>593358.66490468499</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608615.99513645715</v>
      </c>
      <c r="J76" s="11">
        <f>'Net zero Activity data'!AL5-'Net zero supporting data'!J71</f>
        <v>591037.14961379278</v>
      </c>
      <c r="K76" s="11">
        <f>'Net zero Activity data'!AM5-'Net zero supporting data'!K71</f>
        <v>578837.79473101115</v>
      </c>
      <c r="L76" s="11">
        <f>'Net zero Activity data'!AN5-'Net zero supporting data'!L71</f>
        <v>560162.86717193399</v>
      </c>
      <c r="M76" s="11">
        <f>'Net zero Activity data'!AO5-'Net zero supporting data'!M71</f>
        <v>537167.72503670491</v>
      </c>
      <c r="N76" s="11">
        <f>'Net zero Activity data'!AP5-'Net zero supporting data'!N71</f>
        <v>514596.55356360698</v>
      </c>
      <c r="O76" s="11">
        <f>'Net zero Activity data'!AQ5-'Net zero supporting data'!O71</f>
        <v>493041.32298739266</v>
      </c>
      <c r="P76" s="11">
        <f>'Net zero Activity data'!AR5-'Net zero supporting data'!P71</f>
        <v>472090.66382779437</v>
      </c>
      <c r="Q76" s="11">
        <f>'Net zero Activity data'!AS5-'Net zero supporting data'!Q71</f>
        <v>451169.81200040819</v>
      </c>
      <c r="R76" s="11">
        <f>'Net zero Activity data'!AT5-'Net zero supporting data'!R71</f>
        <v>430325.64111693762</v>
      </c>
      <c r="S76" s="11">
        <f>'Net zero Activity data'!AU5-'Net zero supporting data'!S71</f>
        <v>409808.24426318356</v>
      </c>
      <c r="T76" s="11">
        <f>'Net zero Activity data'!AV5-'Net zero supporting data'!T71</f>
        <v>389437.12628040439</v>
      </c>
      <c r="U76" s="11">
        <f>'Net zero Activity data'!AW5-'Net zero supporting data'!U71</f>
        <v>381971.06518776208</v>
      </c>
      <c r="V76" s="11">
        <f>'Net zero Activity data'!AX5-'Net zero supporting data'!V71</f>
        <v>374552.3949309687</v>
      </c>
      <c r="W76" s="11">
        <f>'Net zero Activity data'!AY5-'Net zero supporting data'!W71</f>
        <v>366994.51715674473</v>
      </c>
      <c r="X76" s="11">
        <f>'Net zero Activity data'!AZ5-'Net zero supporting data'!X71</f>
        <v>359329.91647342918</v>
      </c>
      <c r="Y76" s="11">
        <f>'Net zero Activity data'!BA5-'Net zero supporting data'!Y71</f>
        <v>351462.56564103212</v>
      </c>
      <c r="Z76" s="11">
        <f>'Net zero Activity data'!BB5-'Net zero supporting data'!Z71</f>
        <v>343141.85720522213</v>
      </c>
      <c r="AA76" s="11">
        <f>'Net zero Activity data'!BC5-'Net zero supporting data'!AA71</f>
        <v>334674.21985791938</v>
      </c>
      <c r="AB76" s="11">
        <f>'Net zero Activity data'!BD5-'Net zero supporting data'!AB71</f>
        <v>325821.51472113072</v>
      </c>
      <c r="AC76" s="11">
        <f>'Net zero Activity data'!BE5-'Net zero supporting data'!AC71</f>
        <v>316553.28733816993</v>
      </c>
      <c r="AD76" s="11">
        <f>'Net zero Activity data'!BF5-'Net zero supporting data'!AD71</f>
        <v>306939.92755481048</v>
      </c>
      <c r="AE76" s="11">
        <f>'Net zero Activity data'!BG5-'Net zero supporting data'!AE71</f>
        <v>296760.37661867065</v>
      </c>
      <c r="AF76" s="11">
        <f>'Net zero Activity data'!BH5-'Net zero supporting data'!AF71</f>
        <v>286272.03895267315</v>
      </c>
      <c r="AG76" s="11">
        <f>'Net zero Activity data'!BI5-'Net zero supporting data'!AG71</f>
        <v>275525.18462240952</v>
      </c>
      <c r="AH76" s="11">
        <f>'Net zero Activity data'!BJ5-'Net zero supporting data'!AH71</f>
        <v>264327.22670481808</v>
      </c>
      <c r="AI76" s="11">
        <f>'Net zero Activity data'!BK5-'Net zero supporting data'!AI71</f>
        <v>252657.48289775767</v>
      </c>
      <c r="AJ76" s="11">
        <f>'Net zero Activity data'!BL5-'Net zero supporting data'!AJ71</f>
        <v>240624.39190566912</v>
      </c>
      <c r="AK76" s="11">
        <f>'Net zero Activity data'!BM5-'Net zero supporting data'!AK71</f>
        <v>228129.65348919865</v>
      </c>
      <c r="AL76" s="11">
        <f>'Net zero Activity data'!BN5-'Net zero supporting data'!AL71</f>
        <v>215098.85701593128</v>
      </c>
      <c r="AM76" s="11">
        <f>'Net zero Activity data'!BO5-'Net zero supporting data'!AM71</f>
        <v>201560.1485751539</v>
      </c>
      <c r="AN76" s="11">
        <f>'Net zero Activity data'!BP5-'Net zero supporting data'!AN71</f>
        <v>187073.16183309502</v>
      </c>
    </row>
    <row r="77" spans="1:40" x14ac:dyDescent="0.25">
      <c r="A77" t="s">
        <v>1110</v>
      </c>
      <c r="B77" s="11">
        <f>'Net zero Activity data'!AD6-'Net zero supporting data'!B72</f>
        <v>488906.79761823389</v>
      </c>
      <c r="C77" s="11">
        <f>'Net zero Activity data'!AE6-'Net zero supporting data'!C72</f>
        <v>491640.03663531045</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504281.82454163593</v>
      </c>
      <c r="J77" s="11">
        <f>'Net zero Activity data'!AL6-'Net zero supporting data'!J72</f>
        <v>489716.49539428548</v>
      </c>
      <c r="K77" s="11">
        <f>'Net zero Activity data'!AM6-'Net zero supporting data'!K72</f>
        <v>479608.45849140926</v>
      </c>
      <c r="L77" s="11">
        <f>'Net zero Activity data'!AN6-'Net zero supporting data'!L72</f>
        <v>464134.94708531676</v>
      </c>
      <c r="M77" s="11">
        <f>'Net zero Activity data'!AO6-'Net zero supporting data'!M72</f>
        <v>445081.82931612694</v>
      </c>
      <c r="N77" s="11">
        <f>'Net zero Activity data'!AP6-'Net zero supporting data'!N72</f>
        <v>426380.00152413145</v>
      </c>
      <c r="O77" s="11">
        <f>'Net zero Activity data'!AQ6-'Net zero supporting data'!O72</f>
        <v>408519.95333241101</v>
      </c>
      <c r="P77" s="11">
        <f>'Net zero Activity data'!AR6-'Net zero supporting data'!P72</f>
        <v>391160.8357430296</v>
      </c>
      <c r="Q77" s="11">
        <f>'Net zero Activity data'!AS6-'Net zero supporting data'!Q72</f>
        <v>373826.41565748106</v>
      </c>
      <c r="R77" s="11">
        <f>'Net zero Activity data'!AT6-'Net zero supporting data'!R72</f>
        <v>356555.53121117689</v>
      </c>
      <c r="S77" s="11">
        <f>'Net zero Activity data'!AU6-'Net zero supporting data'!S72</f>
        <v>339555.40238949494</v>
      </c>
      <c r="T77" s="11">
        <f>'Net zero Activity data'!AV6-'Net zero supporting data'!T72</f>
        <v>322676.47606090648</v>
      </c>
      <c r="U77" s="11">
        <f>'Net zero Activity data'!AW6-'Net zero supporting data'!U72</f>
        <v>316490.31115557428</v>
      </c>
      <c r="V77" s="11">
        <f>'Net zero Activity data'!AX6-'Net zero supporting data'!V72</f>
        <v>310343.41294280259</v>
      </c>
      <c r="W77" s="11">
        <f>'Net zero Activity data'!AY6-'Net zero supporting data'!W72</f>
        <v>304081.1713584456</v>
      </c>
      <c r="X77" s="11">
        <f>'Net zero Activity data'!AZ6-'Net zero supporting data'!X72</f>
        <v>297730.50222084136</v>
      </c>
      <c r="Y77" s="11">
        <f>'Net zero Activity data'!BA6-'Net zero supporting data'!Y72</f>
        <v>291211.84010256943</v>
      </c>
      <c r="Z77" s="11">
        <f>'Net zero Activity data'!BB6-'Net zero supporting data'!Z72</f>
        <v>284317.53882718412</v>
      </c>
      <c r="AA77" s="11">
        <f>'Net zero Activity data'!BC6-'Net zero supporting data'!AA72</f>
        <v>277301.49645370466</v>
      </c>
      <c r="AB77" s="11">
        <f>'Net zero Activity data'!BD6-'Net zero supporting data'!AB72</f>
        <v>269966.39791179402</v>
      </c>
      <c r="AC77" s="11">
        <f>'Net zero Activity data'!BE6-'Net zero supporting data'!AC72</f>
        <v>262287.00950876938</v>
      </c>
      <c r="AD77" s="11">
        <f>'Net zero Activity data'!BF6-'Net zero supporting data'!AD72</f>
        <v>254321.6542597001</v>
      </c>
      <c r="AE77" s="11">
        <f>'Net zero Activity data'!BG6-'Net zero supporting data'!AE72</f>
        <v>245887.16919832706</v>
      </c>
      <c r="AF77" s="11">
        <f>'Net zero Activity data'!BH6-'Net zero supporting data'!AF72</f>
        <v>237196.83227507205</v>
      </c>
      <c r="AG77" s="11">
        <f>'Net zero Activity data'!BI6-'Net zero supporting data'!AG72</f>
        <v>228292.29582999641</v>
      </c>
      <c r="AH77" s="11">
        <f>'Net zero Activity data'!BJ6-'Net zero supporting data'!AH72</f>
        <v>219013.98784113495</v>
      </c>
      <c r="AI77" s="11">
        <f>'Net zero Activity data'!BK6-'Net zero supporting data'!AI72</f>
        <v>209344.77154385636</v>
      </c>
      <c r="AJ77" s="11">
        <f>'Net zero Activity data'!BL6-'Net zero supporting data'!AJ72</f>
        <v>199374.49615041155</v>
      </c>
      <c r="AK77" s="11">
        <f>'Net zero Activity data'!BM6-'Net zero supporting data'!AK72</f>
        <v>189021.71289105027</v>
      </c>
      <c r="AL77" s="11">
        <f>'Net zero Activity data'!BN6-'Net zero supporting data'!AL72</f>
        <v>178224.76724177157</v>
      </c>
      <c r="AM77" s="11">
        <f>'Net zero Activity data'!BO6-'Net zero supporting data'!AM72</f>
        <v>167006.98024798464</v>
      </c>
      <c r="AN77" s="11">
        <f>'Net zero Activity data'!BP6-'Net zero supporting data'!AN72</f>
        <v>155003.47694742167</v>
      </c>
    </row>
    <row r="78" spans="1:40" x14ac:dyDescent="0.25">
      <c r="A78" t="s">
        <v>1111</v>
      </c>
      <c r="B78" s="11">
        <f>'Net zero Activity data'!AD7-'Net zero supporting data'!B73</f>
        <v>606918.78325022152</v>
      </c>
      <c r="C78" s="11">
        <f>'Net zero Activity data'!AE7-'Net zero supporting data'!C73</f>
        <v>610311.7696162475</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626005.02356892754</v>
      </c>
      <c r="J78" s="11">
        <f>'Net zero Activity data'!AL7-'Net zero supporting data'!J73</f>
        <v>607923.92531704414</v>
      </c>
      <c r="K78" s="11">
        <f>'Net zero Activity data'!AM7-'Net zero supporting data'!K73</f>
        <v>595376.01743761159</v>
      </c>
      <c r="L78" s="11">
        <f>'Net zero Activity data'!AN7-'Net zero supporting data'!L73</f>
        <v>576167.52051970374</v>
      </c>
      <c r="M78" s="11">
        <f>'Net zero Activity data'!AO7-'Net zero supporting data'!M73</f>
        <v>552515.37432346796</v>
      </c>
      <c r="N78" s="11">
        <f>'Net zero Activity data'!AP7-'Net zero supporting data'!N73</f>
        <v>529299.31223685294</v>
      </c>
      <c r="O78" s="11">
        <f>'Net zero Activity data'!AQ7-'Net zero supporting data'!O73</f>
        <v>507128.21792988962</v>
      </c>
      <c r="P78" s="11">
        <f>'Net zero Activity data'!AR7-'Net zero supporting data'!P73</f>
        <v>485578.9685085885</v>
      </c>
      <c r="Q78" s="11">
        <f>'Net zero Activity data'!AS7-'Net zero supporting data'!Q73</f>
        <v>464060.37805756275</v>
      </c>
      <c r="R78" s="11">
        <f>'Net zero Activity data'!AT7-'Net zero supporting data'!R73</f>
        <v>442620.65943456453</v>
      </c>
      <c r="S78" s="11">
        <f>'Net zero Activity data'!AU7-'Net zero supporting data'!S73</f>
        <v>421517.05124213168</v>
      </c>
      <c r="T78" s="11">
        <f>'Net zero Activity data'!AV7-'Net zero supporting data'!T73</f>
        <v>400563.90131698741</v>
      </c>
      <c r="U78" s="11">
        <f>'Net zero Activity data'!AW7-'Net zero supporting data'!U73</f>
        <v>392884.52419312677</v>
      </c>
      <c r="V78" s="11">
        <f>'Net zero Activity data'!AX7-'Net zero supporting data'!V73</f>
        <v>385253.89192899643</v>
      </c>
      <c r="W78" s="11">
        <f>'Net zero Activity data'!AY7-'Net zero supporting data'!W73</f>
        <v>377480.07478979457</v>
      </c>
      <c r="X78" s="11">
        <f>'Net zero Activity data'!AZ7-'Net zero supporting data'!X73</f>
        <v>369596.48551552725</v>
      </c>
      <c r="Y78" s="11">
        <f>'Net zero Activity data'!BA7-'Net zero supporting data'!Y73</f>
        <v>361504.35323077592</v>
      </c>
      <c r="Z78" s="11">
        <f>'Net zero Activity data'!BB7-'Net zero supporting data'!Z73</f>
        <v>352945.91026822856</v>
      </c>
      <c r="AA78" s="11">
        <f>'Net zero Activity data'!BC7-'Net zero supporting data'!AA73</f>
        <v>344236.34042528854</v>
      </c>
      <c r="AB78" s="11">
        <f>'Net zero Activity data'!BD7-'Net zero supporting data'!AB73</f>
        <v>335130.70085602021</v>
      </c>
      <c r="AC78" s="11">
        <f>'Net zero Activity data'!BE7-'Net zero supporting data'!AC73</f>
        <v>325597.66697640345</v>
      </c>
      <c r="AD78" s="11">
        <f>'Net zero Activity data'!BF7-'Net zero supporting data'!AD73</f>
        <v>315709.63977066224</v>
      </c>
      <c r="AE78" s="11">
        <f>'Net zero Activity data'!BG7-'Net zero supporting data'!AE73</f>
        <v>305239.24452206126</v>
      </c>
      <c r="AF78" s="11">
        <f>'Net zero Activity data'!BH7-'Net zero supporting data'!AF73</f>
        <v>294451.24006560672</v>
      </c>
      <c r="AG78" s="11">
        <f>'Net zero Activity data'!BI7-'Net zero supporting data'!AG73</f>
        <v>283397.33275447832</v>
      </c>
      <c r="AH78" s="11">
        <f>'Net zero Activity data'!BJ7-'Net zero supporting data'!AH73</f>
        <v>271879.43318209867</v>
      </c>
      <c r="AI78" s="11">
        <f>'Net zero Activity data'!BK7-'Net zero supporting data'!AI73</f>
        <v>259876.26812340796</v>
      </c>
      <c r="AJ78" s="11">
        <f>'Net zero Activity data'!BL7-'Net zero supporting data'!AJ73</f>
        <v>247499.37453154544</v>
      </c>
      <c r="AK78" s="11">
        <f>'Net zero Activity data'!BM7-'Net zero supporting data'!AK73</f>
        <v>234647.64358889009</v>
      </c>
      <c r="AL78" s="11">
        <f>'Net zero Activity data'!BN7-'Net zero supporting data'!AL73</f>
        <v>221244.53864495794</v>
      </c>
      <c r="AM78" s="11">
        <f>'Net zero Activity data'!BO7-'Net zero supporting data'!AM73</f>
        <v>207319.00996301544</v>
      </c>
      <c r="AN78" s="11">
        <f>'Net zero Activity data'!BP7-'Net zero supporting data'!AN73</f>
        <v>192418.10931404063</v>
      </c>
    </row>
    <row r="79" spans="1:40" x14ac:dyDescent="0.25">
      <c r="A79" t="s">
        <v>1353</v>
      </c>
      <c r="B79" s="11">
        <f>'Net zero Activity data'!AD8-'Net zero supporting data'!B74</f>
        <v>5954880.1627134709</v>
      </c>
      <c r="C79" s="11">
        <f>'Net zero Activity data'!AE8-'Net zero supporting data'!C74</f>
        <v>5903235.3888004757</v>
      </c>
      <c r="D79" s="11">
        <f>'Net zero Activity data'!AF8-'Net zero supporting data'!D74</f>
        <v>5883575.7867908701</v>
      </c>
      <c r="E79" s="11">
        <f>'Net zero Activity data'!AG8-'Net zero supporting data'!E74</f>
        <v>5805008.3335930631</v>
      </c>
      <c r="F79" s="11">
        <f>'Net zero Activity data'!AH8-'Net zero supporting data'!F74</f>
        <v>5690965.7565264758</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4748663.1043264745</v>
      </c>
      <c r="K79" s="11">
        <f>'Net zero Activity data'!AM8-'Net zero supporting data'!K74</f>
        <v>4776670.195644848</v>
      </c>
      <c r="L79" s="11">
        <f>'Net zero Activity data'!AN8-'Net zero supporting data'!L74</f>
        <v>4649953.871802724</v>
      </c>
      <c r="M79" s="11">
        <f>'Net zero Activity data'!AO8-'Net zero supporting data'!M74</f>
        <v>4417744.8768073004</v>
      </c>
      <c r="N79" s="11">
        <f>'Net zero Activity data'!AP8-'Net zero supporting data'!N74</f>
        <v>4193615.8292384278</v>
      </c>
      <c r="O79" s="11">
        <f>'Net zero Activity data'!AQ8-'Net zero supporting data'!O74</f>
        <v>3995378.9120926103</v>
      </c>
      <c r="P79" s="11">
        <f>'Net zero Activity data'!AR8-'Net zero supporting data'!P74</f>
        <v>3817898.0785140456</v>
      </c>
      <c r="Q79" s="11">
        <f>'Net zero Activity data'!AS8-'Net zero supporting data'!Q74</f>
        <v>3646916.8861310594</v>
      </c>
      <c r="R79" s="11">
        <f>'Net zero Activity data'!AT8-'Net zero supporting data'!R74</f>
        <v>3483240.2771873064</v>
      </c>
      <c r="S79" s="11">
        <f>'Net zero Activity data'!AU8-'Net zero supporting data'!S74</f>
        <v>3332014.0413322998</v>
      </c>
      <c r="T79" s="11">
        <f>'Net zero Activity data'!AV8-'Net zero supporting data'!T74</f>
        <v>3188623.949809894</v>
      </c>
      <c r="U79" s="11">
        <f>'Net zero Activity data'!AW8-'Net zero supporting data'!U74</f>
        <v>3126049.7512809597</v>
      </c>
      <c r="V79" s="11">
        <f>'Net zero Activity data'!AX8-'Net zero supporting data'!V74</f>
        <v>3065446.5642923135</v>
      </c>
      <c r="W79" s="11">
        <f>'Net zero Activity data'!AY8-'Net zero supporting data'!W74</f>
        <v>3002850.7969837305</v>
      </c>
      <c r="X79" s="11">
        <f>'Net zero Activity data'!AZ8-'Net zero supporting data'!X74</f>
        <v>2939112.2211918179</v>
      </c>
      <c r="Y79" s="11">
        <f>'Net zero Activity data'!BA8-'Net zero supporting data'!Y74</f>
        <v>2872405.2555069411</v>
      </c>
      <c r="Z79" s="11">
        <f>'Net zero Activity data'!BB8-'Net zero supporting data'!Z74</f>
        <v>2798129.3621956171</v>
      </c>
      <c r="AA79" s="11">
        <f>'Net zero Activity data'!BC8-'Net zero supporting data'!AA74</f>
        <v>2722602.3272220939</v>
      </c>
      <c r="AB79" s="11">
        <f>'Net zero Activity data'!BD8-'Net zero supporting data'!AB74</f>
        <v>2641726.2801524517</v>
      </c>
      <c r="AC79" s="11">
        <f>'Net zero Activity data'!BE8-'Net zero supporting data'!AC74</f>
        <v>2555398.9032571902</v>
      </c>
      <c r="AD79" s="11">
        <f>'Net zero Activity data'!BF8-'Net zero supporting data'!AD74</f>
        <v>2465286.005052187</v>
      </c>
      <c r="AE79" s="11">
        <f>'Net zero Activity data'!BG8-'Net zero supporting data'!AE74</f>
        <v>2380109.7051555621</v>
      </c>
      <c r="AF79" s="11">
        <f>'Net zero Activity data'!BH8-'Net zero supporting data'!AF74</f>
        <v>2292162.1598984799</v>
      </c>
      <c r="AG79" s="11">
        <f>'Net zero Activity data'!BI8-'Net zero supporting data'!AG74</f>
        <v>2202517.983869479</v>
      </c>
      <c r="AH79" s="11">
        <f>'Net zero Activity data'!BJ8-'Net zero supporting data'!AH74</f>
        <v>2108300.686024921</v>
      </c>
      <c r="AI79" s="11">
        <f>'Net zero Activity data'!BK8-'Net zero supporting data'!AI74</f>
        <v>2009579.1550378725</v>
      </c>
      <c r="AJ79" s="11">
        <f>'Net zero Activity data'!BL8-'Net zero supporting data'!AJ74</f>
        <v>1908397.7504643165</v>
      </c>
      <c r="AK79" s="11">
        <f>'Net zero Activity data'!BM8-'Net zero supporting data'!AK74</f>
        <v>1803550.9957993217</v>
      </c>
      <c r="AL79" s="11">
        <f>'Net zero Activity data'!BN8-'Net zero supporting data'!AL74</f>
        <v>1694298.7277834909</v>
      </c>
      <c r="AM79" s="11">
        <f>'Net zero Activity data'!BO8-'Net zero supporting data'!AM74</f>
        <v>1581451.737825226</v>
      </c>
      <c r="AN79" s="11">
        <f>'Net zero Activity data'!BP8-'Net zero supporting data'!AN74</f>
        <v>1459286.4858471937</v>
      </c>
    </row>
    <row r="80" spans="1:40" x14ac:dyDescent="0.25">
      <c r="A80" t="s">
        <v>1030</v>
      </c>
      <c r="B80" s="11">
        <f>'Net zero Activity data'!AD10-'Net zero supporting data'!B75</f>
        <v>541460.03376820474</v>
      </c>
      <c r="C80" s="11">
        <f>'Net zero Activity data'!AE10-'Net zero supporting data'!C75</f>
        <v>559717.10307730944</v>
      </c>
      <c r="D80" s="11">
        <f>'Net zero Activity data'!AF10-'Net zero supporting data'!D75</f>
        <v>581386.33409904351</v>
      </c>
      <c r="E80" s="11">
        <f>'Net zero Activity data'!AG10-'Net zero supporting data'!E75</f>
        <v>597546.77075746434</v>
      </c>
      <c r="F80" s="11">
        <f>'Net zero Activity data'!AH10-'Net zero supporting data'!F75</f>
        <v>610009.49754182214</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597014.6851984323</v>
      </c>
      <c r="K80" s="11">
        <f>'Net zero Activity data'!AM10-'Net zero supporting data'!K75</f>
        <v>615004.3373581667</v>
      </c>
      <c r="L80" s="11">
        <f>'Net zero Activity data'!AN10-'Net zero supporting data'!L75</f>
        <v>612915.36753379938</v>
      </c>
      <c r="M80" s="11">
        <f>'Net zero Activity data'!AO10-'Net zero supporting data'!M75</f>
        <v>595968.50235275307</v>
      </c>
      <c r="N80" s="11">
        <f>'Net zero Activity data'!AP10-'Net zero supporting data'!N75</f>
        <v>578848.53175002057</v>
      </c>
      <c r="O80" s="11">
        <f>'Net zero Activity data'!AQ10-'Net zero supporting data'!O75</f>
        <v>564131.7751585606</v>
      </c>
      <c r="P80" s="11">
        <f>'Net zero Activity data'!AR10-'Net zero supporting data'!P75</f>
        <v>551308.6916165998</v>
      </c>
      <c r="Q80" s="11">
        <f>'Net zero Activity data'!AS10-'Net zero supporting data'!Q75</f>
        <v>538460.75937095203</v>
      </c>
      <c r="R80" s="11">
        <f>'Net zero Activity data'!AT10-'Net zero supporting data'!R75</f>
        <v>525758.76032154227</v>
      </c>
      <c r="S80" s="11">
        <f>'Net zero Activity data'!AU10-'Net zero supporting data'!S75</f>
        <v>514054.10484953906</v>
      </c>
      <c r="T80" s="11">
        <f>'Net zero Activity data'!AV10-'Net zero supporting data'!T75</f>
        <v>502729.71825213125</v>
      </c>
      <c r="U80" s="11">
        <f>'Net zero Activity data'!AW10-'Net zero supporting data'!U75</f>
        <v>509208.75619475584</v>
      </c>
      <c r="V80" s="11">
        <f>'Net zero Activity data'!AX10-'Net zero supporting data'!V75</f>
        <v>515928.08903480961</v>
      </c>
      <c r="W80" s="11">
        <f>'Net zero Activity data'!AY10-'Net zero supporting data'!W75</f>
        <v>522228.16391669575</v>
      </c>
      <c r="X80" s="11">
        <f>'Net zero Activity data'!AZ10-'Net zero supporting data'!X75</f>
        <v>528224.22081523843</v>
      </c>
      <c r="Y80" s="11">
        <f>'Net zero Activity data'!BA10-'Net zero supporting data'!Y75</f>
        <v>533551.9566473345</v>
      </c>
      <c r="Z80" s="11">
        <f>'Net zero Activity data'!BB10-'Net zero supporting data'!Z75</f>
        <v>537266.36701993272</v>
      </c>
      <c r="AA80" s="11">
        <f>'Net zero Activity data'!BC10-'Net zero supporting data'!AA75</f>
        <v>540465.17314674275</v>
      </c>
      <c r="AB80" s="11">
        <f>'Net zero Activity data'!BD10-'Net zero supporting data'!AB75</f>
        <v>542266.25921702501</v>
      </c>
      <c r="AC80" s="11">
        <f>'Net zero Activity data'!BE10-'Net zero supporting data'!AC75</f>
        <v>542516.97775740642</v>
      </c>
      <c r="AD80" s="11">
        <f>'Net zero Activity data'!BF10-'Net zero supporting data'!AD75</f>
        <v>541439.00976044859</v>
      </c>
      <c r="AE80" s="11">
        <f>'Net zero Activity data'!BG10-'Net zero supporting data'!AE75</f>
        <v>537481.15563553746</v>
      </c>
      <c r="AF80" s="11">
        <f>'Net zero Activity data'!BH10-'Net zero supporting data'!AF75</f>
        <v>532275.9407294374</v>
      </c>
      <c r="AG80" s="11">
        <f>'Net zero Activity data'!BI10-'Net zero supporting data'!AG75</f>
        <v>525996.38961255213</v>
      </c>
      <c r="AH80" s="11">
        <f>'Net zero Activity data'!BJ10-'Net zero supporting data'!AH75</f>
        <v>517868.64561083517</v>
      </c>
      <c r="AI80" s="11">
        <f>'Net zero Activity data'!BK10-'Net zero supporting data'!AI75</f>
        <v>507777.37461954332</v>
      </c>
      <c r="AJ80" s="11">
        <f>'Net zero Activity data'!BL10-'Net zero supporting data'!AJ75</f>
        <v>496113.6375180399</v>
      </c>
      <c r="AK80" s="11">
        <f>'Net zero Activity data'!BM10-'Net zero supporting data'!AK75</f>
        <v>482450.9641430669</v>
      </c>
      <c r="AL80" s="11">
        <f>'Net zero Activity data'!BN10-'Net zero supporting data'!AL75</f>
        <v>466445.9427191522</v>
      </c>
      <c r="AM80" s="11">
        <f>'Net zero Activity data'!BO10-'Net zero supporting data'!AM75</f>
        <v>448160.66592590278</v>
      </c>
      <c r="AN80" s="11">
        <f>'Net zero Activity data'!BP10-'Net zero supporting data'!AN75</f>
        <v>425765.63247069903</v>
      </c>
    </row>
    <row r="82" spans="1:48" x14ac:dyDescent="0.25">
      <c r="A82" t="s">
        <v>1364</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1365</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25">
      <c r="A84" t="s">
        <v>1372</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75" x14ac:dyDescent="0.25">
      <c r="A86" s="107" t="s">
        <v>986</v>
      </c>
      <c r="B86" s="107" t="s">
        <v>1043</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5">
      <c r="A87" t="s">
        <v>1061</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1062</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1063</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1064</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1065</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1066</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1067</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1068</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1069</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1070</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1109</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1359</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1108</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1051</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1052</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1053</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1054</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1056</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1055</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1057</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1058</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1059</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1060</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1027</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1071</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1072</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1073</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1074</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1028</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1075</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1076</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1077</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1078</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1079</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51251.263075141607</v>
      </c>
      <c r="L122">
        <f>'Net zero Activity data'!AN5*'Net zero supporting data'!L112</f>
        <v>103508.35589046605</v>
      </c>
      <c r="M122">
        <f>'Net zero Activity data'!AO5*'Net zero supporting data'!M112</f>
        <v>155656.55668677247</v>
      </c>
      <c r="N122">
        <f>'Net zero Activity data'!AP5*'Net zero supporting data'!N112</f>
        <v>208289.0812043171</v>
      </c>
      <c r="O122">
        <f>'Net zero Activity data'!AQ5*'Net zero supporting data'!O112</f>
        <v>261928.20283705229</v>
      </c>
      <c r="P122">
        <f>'Net zero Activity data'!AR5*'Net zero supporting data'!P112</f>
        <v>316797.68230549351</v>
      </c>
      <c r="Q122">
        <f>'Net zero Activity data'!AS5*'Net zero supporting data'!Q112</f>
        <v>372841.7196392261</v>
      </c>
      <c r="R122">
        <f>'Net zero Activity data'!AT5*'Net zero supporting data'!R112</f>
        <v>430325.64111693745</v>
      </c>
      <c r="S122">
        <f>'Net zero Activity data'!AU5*'Net zero supporting data'!S112</f>
        <v>489848.91697083646</v>
      </c>
      <c r="T122">
        <f>'Net zero Activity data'!AV5*'Net zero supporting data'!T112</f>
        <v>551702.59556390613</v>
      </c>
      <c r="U122">
        <f>'Net zero Activity data'!AW5*'Net zero supporting data'!U112</f>
        <v>559785.18174068583</v>
      </c>
      <c r="V122">
        <f>'Net zero Activity data'!AX5*'Net zero supporting data'!V112</f>
        <v>568517.02802022046</v>
      </c>
      <c r="W122">
        <f>'Net zero Activity data'!AY5*'Net zero supporting data'!W112</f>
        <v>577676.55478376488</v>
      </c>
      <c r="X122">
        <f>'Net zero Activity data'!AZ5*'Net zero supporting data'!X112</f>
        <v>587366.20962002862</v>
      </c>
      <c r="Y122">
        <f>'Net zero Activity data'!BA5*'Net zero supporting data'!Y112</f>
        <v>597486.3615897547</v>
      </c>
      <c r="Z122">
        <f>'Net zero Activity data'!BB5*'Net zero supporting data'!Z112</f>
        <v>607647.03880091442</v>
      </c>
      <c r="AA122">
        <f>'Net zero Activity data'!BC5*'Net zero supporting data'!AA112</f>
        <v>618419.75408528605</v>
      </c>
      <c r="AB122">
        <f>'Net zero Activity data'!BD5*'Net zero supporting data'!AB112</f>
        <v>629427.92616582091</v>
      </c>
      <c r="AC122">
        <f>'Net zero Activity data'!BE5*'Net zero supporting data'!AC112</f>
        <v>640643.55770820135</v>
      </c>
      <c r="AD122">
        <f>'Net zero Activity data'!BF5*'Net zero supporting data'!AD112</f>
        <v>652247.34605397226</v>
      </c>
      <c r="AE122">
        <f>'Net zero Activity data'!BG5*'Net zero supporting data'!AE112</f>
        <v>663806.10559439484</v>
      </c>
      <c r="AF122">
        <f>'Net zero Activity data'!BH5*'Net zero supporting data'!AF112</f>
        <v>675920.09197158937</v>
      </c>
      <c r="AG122">
        <f>'Net zero Activity data'!BI5*'Net zero supporting data'!AG112</f>
        <v>688812.9615560238</v>
      </c>
      <c r="AH122">
        <f>'Net zero Activity data'!BJ5*'Net zero supporting data'!AH112</f>
        <v>702119.19593467307</v>
      </c>
      <c r="AI122">
        <f>'Net zero Activity data'!BK5*'Net zero supporting data'!AI112</f>
        <v>715862.86821031361</v>
      </c>
      <c r="AJ122">
        <f>'Net zero Activity data'!BL5*'Net zero supporting data'!AJ112</f>
        <v>730466.90399935294</v>
      </c>
      <c r="AK122">
        <f>'Net zero Activity data'!BM5*'Net zero supporting data'!AK112</f>
        <v>745808.48256084207</v>
      </c>
      <c r="AL122">
        <f>'Net zero Activity data'!BN5*'Net zero supporting data'!AL112</f>
        <v>761808.45193142351</v>
      </c>
      <c r="AM122">
        <f>'Net zero Activity data'!BO5*'Net zero supporting data'!AM112</f>
        <v>778755.11949491338</v>
      </c>
      <c r="AN122">
        <f>'Net zero Activity data'!BP5*'Net zero supporting data'!AN112</f>
        <v>795060.93779065413</v>
      </c>
    </row>
    <row r="123" spans="1:40" x14ac:dyDescent="0.25">
      <c r="A123" t="s">
        <v>1081</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42465.332262260192</v>
      </c>
      <c r="L123">
        <f>'Net zero Activity data'!AN6*'Net zero supporting data'!L113</f>
        <v>85764.06630924331</v>
      </c>
      <c r="M123">
        <f>'Net zero Activity data'!AO6*'Net zero supporting data'!M113</f>
        <v>128972.57554046861</v>
      </c>
      <c r="N123">
        <f>'Net zero Activity data'!AP6*'Net zero supporting data'!N113</f>
        <v>172582.38156929129</v>
      </c>
      <c r="O123">
        <f>'Net zero Activity data'!AQ6*'Net zero supporting data'!O113</f>
        <v>217026.22520784332</v>
      </c>
      <c r="P123">
        <f>'Net zero Activity data'!AR6*'Net zero supporting data'!P113</f>
        <v>262489.50819598034</v>
      </c>
      <c r="Q123">
        <f>'Net zero Activity data'!AS6*'Net zero supporting data'!Q113</f>
        <v>308925.99627250165</v>
      </c>
      <c r="R123">
        <f>'Net zero Activity data'!AT6*'Net zero supporting data'!R113</f>
        <v>356555.53121117683</v>
      </c>
      <c r="S123">
        <f>'Net zero Activity data'!AU6*'Net zero supporting data'!S113</f>
        <v>405874.81691869302</v>
      </c>
      <c r="T123">
        <f>'Net zero Activity data'!AV6*'Net zero supporting data'!T113</f>
        <v>457125.00775295083</v>
      </c>
      <c r="U123">
        <f>'Net zero Activity data'!AW6*'Net zero supporting data'!U113</f>
        <v>463822.0077279968</v>
      </c>
      <c r="V123">
        <f>'Net zero Activity data'!AX6*'Net zero supporting data'!V113</f>
        <v>471056.96607389685</v>
      </c>
      <c r="W123">
        <f>'Net zero Activity data'!AY6*'Net zero supporting data'!W113</f>
        <v>478646.28824940516</v>
      </c>
      <c r="X123">
        <f>'Net zero Activity data'!AZ6*'Net zero supporting data'!X113</f>
        <v>486674.85939945228</v>
      </c>
      <c r="Y123">
        <f>'Net zero Activity data'!BA6*'Net zero supporting data'!Y113</f>
        <v>495060.12817436812</v>
      </c>
      <c r="Z123">
        <f>'Net zero Activity data'!BB6*'Net zero supporting data'!Z113</f>
        <v>503478.97500647197</v>
      </c>
      <c r="AA123">
        <f>'Net zero Activity data'!BC6*'Net zero supporting data'!AA113</f>
        <v>512404.93909923697</v>
      </c>
      <c r="AB123">
        <f>'Net zero Activity data'!BD6*'Net zero supporting data'!AB113</f>
        <v>521525.99596596597</v>
      </c>
      <c r="AC123">
        <f>'Net zero Activity data'!BE6*'Net zero supporting data'!AC113</f>
        <v>530818.94781536679</v>
      </c>
      <c r="AD123">
        <f>'Net zero Activity data'!BF6*'Net zero supporting data'!AD113</f>
        <v>540433.51530186273</v>
      </c>
      <c r="AE123">
        <f>'Net zero Activity data'!BG6*'Net zero supporting data'!AE113</f>
        <v>550010.77320678416</v>
      </c>
      <c r="AF123">
        <f>'Net zero Activity data'!BH6*'Net zero supporting data'!AF113</f>
        <v>560048.07620503113</v>
      </c>
      <c r="AG123">
        <f>'Net zero Activity data'!BI6*'Net zero supporting data'!AG113</f>
        <v>570730.73957499117</v>
      </c>
      <c r="AH123">
        <f>'Net zero Activity data'!BJ6*'Net zero supporting data'!AH113</f>
        <v>581755.90520301485</v>
      </c>
      <c r="AI123">
        <f>'Net zero Activity data'!BK6*'Net zero supporting data'!AI113</f>
        <v>593143.51937425986</v>
      </c>
      <c r="AJ123">
        <f>'Net zero Activity data'!BL6*'Net zero supporting data'!AJ113</f>
        <v>605244.00617089251</v>
      </c>
      <c r="AK123">
        <f>'Net zero Activity data'!BM6*'Net zero supporting data'!AK113</f>
        <v>617955.5998361262</v>
      </c>
      <c r="AL123">
        <f>'Net zero Activity data'!BN6*'Net zero supporting data'!AL113</f>
        <v>631212.71731460805</v>
      </c>
      <c r="AM123">
        <f>'Net zero Activity data'!BO6*'Net zero supporting data'!AM113</f>
        <v>645254.24186721398</v>
      </c>
      <c r="AN123">
        <f>'Net zero Activity data'!BP6*'Net zero supporting data'!AN113</f>
        <v>658764.777026542</v>
      </c>
    </row>
    <row r="124" spans="1:40" x14ac:dyDescent="0.25">
      <c r="A124" t="s">
        <v>1080</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37211.001089850724</v>
      </c>
      <c r="L124">
        <f>'Net zero Activity data'!AN7*'Net zero supporting data'!L114</f>
        <v>75152.285285178747</v>
      </c>
      <c r="M124">
        <f>'Net zero Activity data'!AO7*'Net zero supporting data'!M114</f>
        <v>113014.50838434573</v>
      </c>
      <c r="N124">
        <f>'Net zero Activity data'!AP7*'Net zero supporting data'!N114</f>
        <v>151228.37492481511</v>
      </c>
      <c r="O124">
        <f>'Net zero Activity data'!AQ7*'Net zero supporting data'!O114</f>
        <v>190173.0817237086</v>
      </c>
      <c r="P124">
        <f>'Net zero Activity data'!AR7*'Net zero supporting data'!P114</f>
        <v>230011.0903461735</v>
      </c>
      <c r="Q124">
        <f>'Net zero Activity data'!AS7*'Net zero supporting data'!Q114</f>
        <v>270701.88720024494</v>
      </c>
      <c r="R124">
        <f>'Net zero Activity data'!AT7*'Net zero supporting data'!R114</f>
        <v>312438.11254204554</v>
      </c>
      <c r="S124">
        <f>'Net zero Activity data'!AU7*'Net zero supporting data'!S114</f>
        <v>355655.0119855486</v>
      </c>
      <c r="T124">
        <f>'Net zero Activity data'!AV7*'Net zero supporting data'!T114</f>
        <v>400563.90131698741</v>
      </c>
      <c r="U124">
        <f>'Net zero Activity data'!AW7*'Net zero supporting data'!U114</f>
        <v>406432.26640668284</v>
      </c>
      <c r="V124">
        <f>'Net zero Activity data'!AX7*'Net zero supporting data'!V114</f>
        <v>412772.02706678194</v>
      </c>
      <c r="W124">
        <f>'Net zero Activity data'!AY7*'Net zero supporting data'!W114</f>
        <v>419422.30532199406</v>
      </c>
      <c r="X124">
        <f>'Net zero Activity data'!AZ7*'Net zero supporting data'!X114</f>
        <v>426457.4832871469</v>
      </c>
      <c r="Y124">
        <f>'Net zero Activity data'!BA7*'Net zero supporting data'!Y114</f>
        <v>433805.22387693118</v>
      </c>
      <c r="Z124">
        <f>'Net zero Activity data'!BB7*'Net zero supporting data'!Z114</f>
        <v>441182.3878352858</v>
      </c>
      <c r="AA124">
        <f>'Net zero Activity data'!BC7*'Net zero supporting data'!AA114</f>
        <v>449003.92229385476</v>
      </c>
      <c r="AB124">
        <f>'Net zero Activity data'!BD7*'Net zero supporting data'!AB114</f>
        <v>456996.41025820957</v>
      </c>
      <c r="AC124">
        <f>'Net zero Activity data'!BE7*'Net zero supporting data'!AC114</f>
        <v>465139.5242520051</v>
      </c>
      <c r="AD124">
        <f>'Net zero Activity data'!BF7*'Net zero supporting data'!AD114</f>
        <v>473564.45965599333</v>
      </c>
      <c r="AE124">
        <f>'Net zero Activity data'!BG7*'Net zero supporting data'!AE114</f>
        <v>481956.70187693881</v>
      </c>
      <c r="AF124">
        <f>'Net zero Activity data'!BH7*'Net zero supporting data'!AF114</f>
        <v>490752.06677601126</v>
      </c>
      <c r="AG124">
        <f>'Net zero Activity data'!BI7*'Net zero supporting data'!AG114</f>
        <v>500112.94015496189</v>
      </c>
      <c r="AH124">
        <f>'Net zero Activity data'!BJ7*'Net zero supporting data'!AH114</f>
        <v>509773.93721643498</v>
      </c>
      <c r="AI124">
        <f>'Net zero Activity data'!BK7*'Net zero supporting data'!AI114</f>
        <v>519752.53624681605</v>
      </c>
      <c r="AJ124">
        <f>'Net zero Activity data'!BL7*'Net zero supporting data'!AJ114</f>
        <v>530355.80256759748</v>
      </c>
      <c r="AK124">
        <f>'Net zero Activity data'!BM7*'Net zero supporting data'!AK114</f>
        <v>541494.56212820811</v>
      </c>
      <c r="AL124">
        <f>'Net zero Activity data'!BN7*'Net zero supporting data'!AL114</f>
        <v>553111.34661239502</v>
      </c>
      <c r="AM124">
        <f>'Net zero Activity data'!BO7*'Net zero supporting data'!AM114</f>
        <v>565415.48171731527</v>
      </c>
      <c r="AN124">
        <f>'Net zero Activity data'!BP7*'Net zero supporting data'!AN114</f>
        <v>577254.32794212212</v>
      </c>
    </row>
    <row r="125" spans="1:40" x14ac:dyDescent="0.25">
      <c r="A125" t="s">
        <v>1017</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298541.887227803</v>
      </c>
      <c r="L125">
        <f>'Net zero Activity data'!AN8*'Net zero supporting data'!L115</f>
        <v>606515.72240905091</v>
      </c>
      <c r="M125">
        <f>'Net zero Activity data'!AO8*'Net zero supporting data'!M115</f>
        <v>903629.6338924024</v>
      </c>
      <c r="N125">
        <f>'Net zero Activity data'!AP8*'Net zero supporting data'!N115</f>
        <v>1198175.9512109794</v>
      </c>
      <c r="O125">
        <f>'Net zero Activity data'!AQ8*'Net zero supporting data'!O115</f>
        <v>1498267.092034729</v>
      </c>
      <c r="P125">
        <f>'Net zero Activity data'!AR8*'Net zero supporting data'!P115</f>
        <v>1808478.0371908636</v>
      </c>
      <c r="Q125">
        <f>'Net zero Activity data'!AS8*'Net zero supporting data'!Q115</f>
        <v>2127368.1835764511</v>
      </c>
      <c r="R125">
        <f>'Net zero Activity data'!AT8*'Net zero supporting data'!R115</f>
        <v>2458757.8427204518</v>
      </c>
      <c r="S125">
        <f>'Net zero Activity data'!AU8*'Net zero supporting data'!S115</f>
        <v>2811386.8473741282</v>
      </c>
      <c r="T125">
        <f>'Net zero Activity data'!AV8*'Net zero supporting data'!T115</f>
        <v>3188623.949809894</v>
      </c>
      <c r="U125">
        <f>'Net zero Activity data'!AW8*'Net zero supporting data'!U115</f>
        <v>3233844.5702906479</v>
      </c>
      <c r="V125">
        <f>'Net zero Activity data'!AX8*'Net zero supporting data'!V115</f>
        <v>3284407.0331703364</v>
      </c>
      <c r="W125">
        <f>'Net zero Activity data'!AY8*'Net zero supporting data'!W115</f>
        <v>3336500.8855374791</v>
      </c>
      <c r="X125">
        <f>'Net zero Activity data'!AZ8*'Net zero supporting data'!X115</f>
        <v>3391283.3321444057</v>
      </c>
      <c r="Y125">
        <f>'Net zero Activity data'!BA8*'Net zero supporting data'!Y115</f>
        <v>3446886.30660833</v>
      </c>
      <c r="Z125">
        <f>'Net zero Activity data'!BB8*'Net zero supporting data'!Z115</f>
        <v>3497661.7027445226</v>
      </c>
      <c r="AA125">
        <f>'Net zero Activity data'!BC8*'Net zero supporting data'!AA115</f>
        <v>3551220.4268114278</v>
      </c>
      <c r="AB125">
        <f>'Net zero Activity data'!BD8*'Net zero supporting data'!AB115</f>
        <v>3602354.0183897079</v>
      </c>
      <c r="AC125">
        <f>'Net zero Activity data'!BE8*'Net zero supporting data'!AC115</f>
        <v>3650569.8617959879</v>
      </c>
      <c r="AD125">
        <f>'Net zero Activity data'!BF8*'Net zero supporting data'!AD115</f>
        <v>3697929.0075782803</v>
      </c>
      <c r="AE125">
        <f>'Net zero Activity data'!BG8*'Net zero supporting data'!AE115</f>
        <v>3758067.9555087821</v>
      </c>
      <c r="AF125">
        <f>'Net zero Activity data'!BH8*'Net zero supporting data'!AF115</f>
        <v>3820270.2664974667</v>
      </c>
      <c r="AG125">
        <f>'Net zero Activity data'!BI8*'Net zero supporting data'!AG115</f>
        <v>3886796.4421226098</v>
      </c>
      <c r="AH125">
        <f>'Net zero Activity data'!BJ8*'Net zero supporting data'!AH115</f>
        <v>3953063.7862967271</v>
      </c>
      <c r="AI125">
        <f>'Net zero Activity data'!BK8*'Net zero supporting data'!AI115</f>
        <v>4019158.3100757455</v>
      </c>
      <c r="AJ125">
        <f>'Net zero Activity data'!BL8*'Net zero supporting data'!AJ115</f>
        <v>4089423.750994964</v>
      </c>
      <c r="AK125">
        <f>'Net zero Activity data'!BM8*'Net zero supporting data'!AK115</f>
        <v>4162040.7595368968</v>
      </c>
      <c r="AL125">
        <f>'Net zero Activity data'!BN8*'Net zero supporting data'!AL115</f>
        <v>4235746.8194587287</v>
      </c>
      <c r="AM125">
        <f>'Net zero Activity data'!BO8*'Net zero supporting data'!AM115</f>
        <v>4313050.1940688016</v>
      </c>
      <c r="AN125">
        <f>'Net zero Activity data'!BP8*'Net zero supporting data'!AN115</f>
        <v>4377859.4575415831</v>
      </c>
    </row>
    <row r="126" spans="1:40" x14ac:dyDescent="0.25">
      <c r="A126" t="s">
        <v>1082</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264744.69244729693</v>
      </c>
      <c r="L126">
        <f>'Net zero Activity data'!AN9*'Net zero supporting data'!L116</f>
        <v>537853.56515519612</v>
      </c>
      <c r="M126">
        <f>'Net zero Activity data'!AO9*'Net zero supporting data'!M116</f>
        <v>801331.93948948896</v>
      </c>
      <c r="N126">
        <f>'Net zero Activity data'!AP9*'Net zero supporting data'!N116</f>
        <v>1062533.3906965288</v>
      </c>
      <c r="O126">
        <f>'Net zero Activity data'!AQ9*'Net zero supporting data'!O116</f>
        <v>1328651.9495402311</v>
      </c>
      <c r="P126">
        <f>'Net zero Activity data'!AR9*'Net zero supporting data'!P116</f>
        <v>1603744.6744900113</v>
      </c>
      <c r="Q126">
        <f>'Net zero Activity data'!AS9*'Net zero supporting data'!Q116</f>
        <v>1886534.049586664</v>
      </c>
      <c r="R126">
        <f>'Net zero Activity data'!AT9*'Net zero supporting data'!R116</f>
        <v>2180407.8982615327</v>
      </c>
      <c r="S126">
        <f>'Net zero Activity data'!AU9*'Net zero supporting data'!S116</f>
        <v>2493116.6382374344</v>
      </c>
      <c r="T126">
        <f>'Net zero Activity data'!AV9*'Net zero supporting data'!T116</f>
        <v>2827647.6536049997</v>
      </c>
      <c r="U126">
        <f>'Net zero Activity data'!AW9*'Net zero supporting data'!U116</f>
        <v>2867748.9585596309</v>
      </c>
      <c r="V126">
        <f>'Net zero Activity data'!AX9*'Net zero supporting data'!V116</f>
        <v>2912587.3690378456</v>
      </c>
      <c r="W126">
        <f>'Net zero Activity data'!AY9*'Net zero supporting data'!W116</f>
        <v>2958783.8041558773</v>
      </c>
      <c r="X126">
        <f>'Net zero Activity data'!AZ9*'Net zero supporting data'!X116</f>
        <v>3007364.4643544722</v>
      </c>
      <c r="Y126">
        <f>'Net zero Activity data'!BA9*'Net zero supporting data'!Y116</f>
        <v>3056672.7624639901</v>
      </c>
      <c r="Z126">
        <f>'Net zero Activity data'!BB9*'Net zero supporting data'!Z116</f>
        <v>3101700.0005470291</v>
      </c>
      <c r="AA126">
        <f>'Net zero Activity data'!BC9*'Net zero supporting data'!AA116</f>
        <v>3149195.4728327752</v>
      </c>
      <c r="AB126">
        <f>'Net zero Activity data'!BD9*'Net zero supporting data'!AB116</f>
        <v>3194540.3559304955</v>
      </c>
      <c r="AC126">
        <f>'Net zero Activity data'!BE9*'Net zero supporting data'!AC116</f>
        <v>3237297.8019700269</v>
      </c>
      <c r="AD126">
        <f>'Net zero Activity data'!BF9*'Net zero supporting data'!AD116</f>
        <v>3279295.5350222485</v>
      </c>
      <c r="AE126">
        <f>'Net zero Activity data'!BG9*'Net zero supporting data'!AE116</f>
        <v>3332626.3001681645</v>
      </c>
      <c r="AF126">
        <f>'Net zero Activity data'!BH9*'Net zero supporting data'!AF116</f>
        <v>3387786.8401015261</v>
      </c>
      <c r="AG126">
        <f>'Net zero Activity data'!BI9*'Net zero supporting data'!AG116</f>
        <v>3446781.7505615591</v>
      </c>
      <c r="AH126">
        <f>'Net zero Activity data'!BJ9*'Net zero supporting data'!AH116</f>
        <v>3505547.1312442678</v>
      </c>
      <c r="AI126">
        <f>'Net zero Activity data'!BK9*'Net zero supporting data'!AI116</f>
        <v>3564159.2561049061</v>
      </c>
      <c r="AJ126">
        <f>'Net zero Activity data'!BL9*'Net zero supporting data'!AJ116</f>
        <v>3626470.1188068544</v>
      </c>
      <c r="AK126">
        <f>'Net zero Activity data'!BM9*'Net zero supporting data'!AK116</f>
        <v>3690866.3339289459</v>
      </c>
      <c r="AL126">
        <f>'Net zero Activity data'!BN9*'Net zero supporting data'!AL116</f>
        <v>3756228.3115954767</v>
      </c>
      <c r="AM126">
        <f>'Net zero Activity data'!BO9*'Net zero supporting data'!AM116</f>
        <v>3824780.3607779932</v>
      </c>
      <c r="AN126">
        <f>'Net zero Activity data'!BP9*'Net zero supporting data'!AN116</f>
        <v>3882252.7264991389</v>
      </c>
    </row>
    <row r="127" spans="1:40" x14ac:dyDescent="0.25">
      <c r="A127" t="s">
        <v>1083</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54453.509036921001</v>
      </c>
      <c r="L127">
        <f>'Net zero Activity data'!AN10*'Net zero supporting data'!L117</f>
        <v>113256.10052254988</v>
      </c>
      <c r="M127">
        <f>'Net zero Activity data'!AO10*'Net zero supporting data'!M117</f>
        <v>172695.41829540004</v>
      </c>
      <c r="N127">
        <f>'Net zero Activity data'!AP10*'Net zero supporting data'!N117</f>
        <v>234295.83427977018</v>
      </c>
      <c r="O127">
        <f>'Net zero Activity data'!AQ10*'Net zero supporting data'!O117</f>
        <v>299695.00555298524</v>
      </c>
      <c r="P127">
        <f>'Net zero Activity data'!AR10*'Net zero supporting data'!P117</f>
        <v>369957.14832166559</v>
      </c>
      <c r="Q127">
        <f>'Net zero Activity data'!AS10*'Net zero supporting data'!Q117</f>
        <v>444977.98864682834</v>
      </c>
      <c r="R127">
        <f>'Net zero Activity data'!AT10*'Net zero supporting data'!R117</f>
        <v>525758.76032154215</v>
      </c>
      <c r="S127">
        <f>'Net zero Activity data'!AU10*'Net zero supporting data'!S117</f>
        <v>614455.29720296443</v>
      </c>
      <c r="T127">
        <f>'Net zero Activity data'!AV10*'Net zero supporting data'!T117</f>
        <v>712200.43419051927</v>
      </c>
      <c r="U127">
        <f>'Net zero Activity data'!AW10*'Net zero supporting data'!U117</f>
        <v>746254.21166472847</v>
      </c>
      <c r="V127">
        <f>'Net zero Activity data'!AX10*'Net zero supporting data'!V117</f>
        <v>783105.13514212181</v>
      </c>
      <c r="W127">
        <f>'Net zero Activity data'!AY10*'Net zero supporting data'!W117</f>
        <v>822025.81357257674</v>
      </c>
      <c r="X127">
        <f>'Net zero Activity data'!AZ10*'Net zero supporting data'!X117</f>
        <v>863443.4378710629</v>
      </c>
      <c r="Y127">
        <f>'Net zero Activity data'!BA10*'Net zero supporting data'!Y117</f>
        <v>907038.32630046888</v>
      </c>
      <c r="Z127">
        <f>'Net zero Activity data'!BB10*'Net zero supporting data'!Z117</f>
        <v>951409.19159779779</v>
      </c>
      <c r="AA127">
        <f>'Net zero Activity data'!BC10*'Net zero supporting data'!AA117</f>
        <v>998685.64603202499</v>
      </c>
      <c r="AB127">
        <f>'Net zero Activity data'!BD10*'Net zero supporting data'!AB117</f>
        <v>1047559.8189419805</v>
      </c>
      <c r="AC127">
        <f>'Net zero Activity data'!BE10*'Net zero supporting data'!AC117</f>
        <v>1097951.026413799</v>
      </c>
      <c r="AD127">
        <f>'Net zero Activity data'!BF10*'Net zero supporting data'!AD117</f>
        <v>1150557.8957409533</v>
      </c>
      <c r="AE127">
        <f>'Net zero Activity data'!BG10*'Net zero supporting data'!AE117</f>
        <v>1202260.4797110707</v>
      </c>
      <c r="AF127">
        <f>'Net zero Activity data'!BH10*'Net zero supporting data'!AF117</f>
        <v>1256762.6378333939</v>
      </c>
      <c r="AG127">
        <f>'Net zero Activity data'!BI10*'Net zero supporting data'!AG117</f>
        <v>1314990.9740313806</v>
      </c>
      <c r="AH127">
        <f>'Net zero Activity data'!BJ10*'Net zero supporting data'!AH117</f>
        <v>1375588.5899037812</v>
      </c>
      <c r="AI127">
        <f>'Net zero Activity data'!BK10*'Net zero supporting data'!AI117</f>
        <v>1438702.5614220393</v>
      </c>
      <c r="AJ127">
        <f>'Net zero Activity data'!BL10*'Net zero supporting data'!AJ117</f>
        <v>1506059.256751193</v>
      </c>
      <c r="AK127">
        <f>'Net zero Activity data'!BM10*'Net zero supporting data'!AK117</f>
        <v>1577243.5366215657</v>
      </c>
      <c r="AL127">
        <f>'Net zero Activity data'!BN10*'Net zero supporting data'!AL117</f>
        <v>1651996.0471303316</v>
      </c>
      <c r="AM127">
        <f>'Net zero Activity data'!BO10*'Net zero supporting data'!AM117</f>
        <v>1731529.8456228073</v>
      </c>
      <c r="AN127">
        <f>'Net zero Activity data'!BP10*'Net zero supporting data'!AN117</f>
        <v>1809503.9380004711</v>
      </c>
    </row>
    <row r="128" spans="1:40" x14ac:dyDescent="0.25">
      <c r="A128" t="s">
        <v>1018</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1158515.7318515028</v>
      </c>
      <c r="L128">
        <f>'Net zero Activity data'!AN11*'Net zero supporting data'!L118</f>
        <v>2316445.5395920384</v>
      </c>
      <c r="M128">
        <f>'Net zero Activity data'!AO11*'Net zero supporting data'!M118</f>
        <v>3474605.0365940942</v>
      </c>
      <c r="N128">
        <f>'Net zero Activity data'!AP11*'Net zero supporting data'!N118</f>
        <v>4637720.777396068</v>
      </c>
      <c r="O128">
        <f>'Net zero Activity data'!AQ11*'Net zero supporting data'!O118</f>
        <v>5807203.8656760613</v>
      </c>
      <c r="P128">
        <f>'Net zero Activity data'!AR11*'Net zero supporting data'!P118</f>
        <v>6980219.6747214943</v>
      </c>
      <c r="Q128">
        <f>'Net zero Activity data'!AS11*'Net zero supporting data'!Q118</f>
        <v>8156567.5535081998</v>
      </c>
      <c r="R128">
        <f>'Net zero Activity data'!AT11*'Net zero supporting data'!R118</f>
        <v>9336001.7136123907</v>
      </c>
      <c r="S128">
        <f>'Net zero Activity data'!AU11*'Net zero supporting data'!S118</f>
        <v>10518622.172741717</v>
      </c>
      <c r="T128">
        <f>'Net zero Activity data'!AV11*'Net zero supporting data'!T118</f>
        <v>11704560.368361114</v>
      </c>
      <c r="U128">
        <f>'Net zero Activity data'!AW11*'Net zero supporting data'!U118</f>
        <v>11721436.734028921</v>
      </c>
      <c r="V128">
        <f>'Net zero Activity data'!AX11*'Net zero supporting data'!V118</f>
        <v>11738229.721324049</v>
      </c>
      <c r="W128">
        <f>'Net zero Activity data'!AY11*'Net zero supporting data'!W118</f>
        <v>11754886.429090798</v>
      </c>
      <c r="X128">
        <f>'Net zero Activity data'!AZ11*'Net zero supporting data'!X118</f>
        <v>11771273.393317429</v>
      </c>
      <c r="Y128">
        <f>'Net zero Activity data'!BA11*'Net zero supporting data'!Y118</f>
        <v>11787462.761281846</v>
      </c>
      <c r="Z128">
        <f>'Net zero Activity data'!BB11*'Net zero supporting data'!Z118</f>
        <v>11803471.809351247</v>
      </c>
      <c r="AA128">
        <f>'Net zero Activity data'!BC11*'Net zero supporting data'!AA118</f>
        <v>11819354.887321046</v>
      </c>
      <c r="AB128">
        <f>'Net zero Activity data'!BD11*'Net zero supporting data'!AB118</f>
        <v>11834626.004613707</v>
      </c>
      <c r="AC128">
        <f>'Net zero Activity data'!BE11*'Net zero supporting data'!AC118</f>
        <v>11849267.29432793</v>
      </c>
      <c r="AD128">
        <f>'Net zero Activity data'!BF11*'Net zero supporting data'!AD118</f>
        <v>11863415.595179027</v>
      </c>
      <c r="AE128">
        <f>'Net zero Activity data'!BG11*'Net zero supporting data'!AE118</f>
        <v>11876961.963749724</v>
      </c>
      <c r="AF128">
        <f>'Net zero Activity data'!BH11*'Net zero supporting data'!AF118</f>
        <v>11889930.974212905</v>
      </c>
      <c r="AG128">
        <f>'Net zero Activity data'!BI11*'Net zero supporting data'!AG118</f>
        <v>11902264.21390813</v>
      </c>
      <c r="AH128">
        <f>'Net zero Activity data'!BJ11*'Net zero supporting data'!AH118</f>
        <v>11913785.193209382</v>
      </c>
      <c r="AI128">
        <f>'Net zero Activity data'!BK11*'Net zero supporting data'!AI118</f>
        <v>11924330.363055633</v>
      </c>
      <c r="AJ128">
        <f>'Net zero Activity data'!BL11*'Net zero supporting data'!AJ118</f>
        <v>11933889.069868179</v>
      </c>
      <c r="AK128">
        <f>'Net zero Activity data'!BM11*'Net zero supporting data'!AK118</f>
        <v>11942388.166238144</v>
      </c>
      <c r="AL128">
        <f>'Net zero Activity data'!BN11*'Net zero supporting data'!AL118</f>
        <v>11949823.553169141</v>
      </c>
      <c r="AM128">
        <f>'Net zero Activity data'!BO11*'Net zero supporting data'!AM118</f>
        <v>11956337.521288557</v>
      </c>
      <c r="AN128">
        <f>'Net zero Activity data'!BP11*'Net zero supporting data'!AN118</f>
        <v>11961083.992291557</v>
      </c>
    </row>
    <row r="129" spans="1:40" x14ac:dyDescent="0.25">
      <c r="A129" t="s">
        <v>1084</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115407.69742582021</v>
      </c>
      <c r="L129">
        <f>'Net zero Activity data'!AN12*'Net zero supporting data'!L119</f>
        <v>230757.02693254023</v>
      </c>
      <c r="M129">
        <f>'Net zero Activity data'!AO12*'Net zero supporting data'!M119</f>
        <v>346129.23736186384</v>
      </c>
      <c r="N129">
        <f>'Net zero Activity data'!AP12*'Net zero supporting data'!N119</f>
        <v>461995.17322719458</v>
      </c>
      <c r="O129">
        <f>'Net zero Activity data'!AQ12*'Net zero supporting data'!O119</f>
        <v>578495.40424359241</v>
      </c>
      <c r="P129">
        <f>'Net zero Activity data'!AR12*'Net zero supporting data'!P119</f>
        <v>695347.55380367383</v>
      </c>
      <c r="Q129">
        <f>'Net zero Activity data'!AS12*'Net zero supporting data'!Q119</f>
        <v>812531.6336828093</v>
      </c>
      <c r="R129">
        <f>'Net zero Activity data'!AT12*'Net zero supporting data'!R119</f>
        <v>930023.15921042976</v>
      </c>
      <c r="S129">
        <f>'Net zero Activity data'!AU12*'Net zero supporting data'!S119</f>
        <v>1047832.0938363395</v>
      </c>
      <c r="T129">
        <f>'Net zero Activity data'!AV12*'Net zero supporting data'!T119</f>
        <v>1165971.5309478508</v>
      </c>
      <c r="U129">
        <f>'Net zero Activity data'!AW12*'Net zero supporting data'!U119</f>
        <v>1167652.7014741455</v>
      </c>
      <c r="V129">
        <f>'Net zero Activity data'!AX12*'Net zero supporting data'!V119</f>
        <v>1169325.5661089092</v>
      </c>
      <c r="W129">
        <f>'Net zero Activity data'!AY12*'Net zero supporting data'!W119</f>
        <v>1170984.8550052138</v>
      </c>
      <c r="X129">
        <f>'Net zero Activity data'!AZ12*'Net zero supporting data'!X119</f>
        <v>1172617.272897522</v>
      </c>
      <c r="Y129">
        <f>'Net zero Activity data'!BA12*'Net zero supporting data'!Y119</f>
        <v>1174230.0068709885</v>
      </c>
      <c r="Z129">
        <f>'Net zero Activity data'!BB12*'Net zero supporting data'!Z119</f>
        <v>1175824.7779430363</v>
      </c>
      <c r="AA129">
        <f>'Net zero Activity data'!BC12*'Net zero supporting data'!AA119</f>
        <v>1177407.0002695294</v>
      </c>
      <c r="AB129">
        <f>'Net zero Activity data'!BD12*'Net zero supporting data'!AB119</f>
        <v>1178928.2609960015</v>
      </c>
      <c r="AC129">
        <f>'Net zero Activity data'!BE12*'Net zero supporting data'!AC119</f>
        <v>1180386.780277878</v>
      </c>
      <c r="AD129">
        <f>'Net zero Activity data'!BF12*'Net zero supporting data'!AD119</f>
        <v>1181796.1895580641</v>
      </c>
      <c r="AE129">
        <f>'Net zero Activity data'!BG12*'Net zero supporting data'!AE119</f>
        <v>1183145.6362356048</v>
      </c>
      <c r="AF129">
        <f>'Net zero Activity data'!BH12*'Net zero supporting data'!AF119</f>
        <v>1184437.568312397</v>
      </c>
      <c r="AG129">
        <f>'Net zero Activity data'!BI12*'Net zero supporting data'!AG119</f>
        <v>1185666.1669027256</v>
      </c>
      <c r="AH129">
        <f>'Net zero Activity data'!BJ12*'Net zero supporting data'!AH119</f>
        <v>1186813.8506645362</v>
      </c>
      <c r="AI129">
        <f>'Net zero Activity data'!BK12*'Net zero supporting data'!AI119</f>
        <v>1187864.3273542011</v>
      </c>
      <c r="AJ129">
        <f>'Net zero Activity data'!BL12*'Net zero supporting data'!AJ119</f>
        <v>1188816.5356956809</v>
      </c>
      <c r="AK129">
        <f>'Net zero Activity data'!BM12*'Net zero supporting data'!AK119</f>
        <v>1189663.1889739151</v>
      </c>
      <c r="AL129">
        <f>'Net zero Activity data'!BN12*'Net zero supporting data'!AL119</f>
        <v>1190403.8788597612</v>
      </c>
      <c r="AM129">
        <f>'Net zero Activity data'!BO12*'Net zero supporting data'!AM119</f>
        <v>1191052.779898477</v>
      </c>
      <c r="AN129">
        <f>'Net zero Activity data'!BP12*'Net zero supporting data'!AN119</f>
        <v>1191525.6084275113</v>
      </c>
    </row>
    <row r="130" spans="1:40" x14ac:dyDescent="0.25">
      <c r="A130" t="s">
        <v>1085</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87292.018683195376</v>
      </c>
      <c r="V130">
        <f>'Net zero Activity data'!AX13*'Net zero supporting data'!V120</f>
        <v>174961.48180115817</v>
      </c>
      <c r="W130">
        <f>'Net zero Activity data'!AY13*'Net zero supporting data'!W120</f>
        <v>262994.54546787101</v>
      </c>
      <c r="X130">
        <f>'Net zero Activity data'!AZ13*'Net zero supporting data'!X120</f>
        <v>351372.32673759916</v>
      </c>
      <c r="Y130">
        <f>'Net zero Activity data'!BA13*'Net zero supporting data'!Y120</f>
        <v>440082.05264825257</v>
      </c>
      <c r="Z130">
        <f>'Net zero Activity data'!BB13*'Net zero supporting data'!Z120</f>
        <v>529111.13458933157</v>
      </c>
      <c r="AA130">
        <f>'Net zero Activity data'!BC13*'Net zero supporting data'!AA120</f>
        <v>618451.10911683424</v>
      </c>
      <c r="AB130">
        <f>'Net zero Activity data'!BD13*'Net zero supporting data'!AB120</f>
        <v>708049.62890028162</v>
      </c>
      <c r="AC130">
        <f>'Net zero Activity data'!BE13*'Net zero supporting data'!AC120</f>
        <v>797879.58943468204</v>
      </c>
      <c r="AD130">
        <f>'Net zero Activity data'!BF13*'Net zero supporting data'!AD120</f>
        <v>887930.30993517512</v>
      </c>
      <c r="AE130">
        <f>'Net zero Activity data'!BG13*'Net zero supporting data'!AE120</f>
        <v>889243.91753044189</v>
      </c>
      <c r="AF130">
        <f>'Net zero Activity data'!BH13*'Net zero supporting data'!AF120</f>
        <v>890477.61012616649</v>
      </c>
      <c r="AG130">
        <f>'Net zero Activity data'!BI13*'Net zero supporting data'!AG120</f>
        <v>891626.31244318094</v>
      </c>
      <c r="AH130">
        <f>'Net zero Activity data'!BJ13*'Net zero supporting data'!AH120</f>
        <v>892672.29372731585</v>
      </c>
      <c r="AI130">
        <f>'Net zero Activity data'!BK13*'Net zero supporting data'!AI120</f>
        <v>893599.26644458773</v>
      </c>
      <c r="AJ130">
        <f>'Net zero Activity data'!BL13*'Net zero supporting data'!AJ120</f>
        <v>894407.29384040239</v>
      </c>
      <c r="AK130">
        <f>'Net zero Activity data'!BM13*'Net zero supporting data'!AK120</f>
        <v>895089.73668334587</v>
      </c>
      <c r="AL130">
        <f>'Net zero Activity data'!BN13*'Net zero supporting data'!AL120</f>
        <v>895647.28711852175</v>
      </c>
      <c r="AM130">
        <f>'Net zero Activity data'!BO13*'Net zero supporting data'!AM120</f>
        <v>896096.11669017805</v>
      </c>
      <c r="AN130">
        <f>'Net zero Activity data'!BP13*'Net zero supporting data'!AN120</f>
        <v>896347.57710877305</v>
      </c>
    </row>
    <row r="131" spans="1:40" x14ac:dyDescent="0.25">
      <c r="A131" t="s">
        <v>1086</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84724.606368983747</v>
      </c>
      <c r="V131">
        <f>'Net zero Activity data'!AX14*'Net zero supporting data'!V121</f>
        <v>169815.55586582996</v>
      </c>
      <c r="W131">
        <f>'Net zero Activity data'!AY14*'Net zero supporting data'!W121</f>
        <v>255259.41177763944</v>
      </c>
      <c r="X131">
        <f>'Net zero Activity data'!AZ14*'Net zero supporting data'!X121</f>
        <v>341037.84653943434</v>
      </c>
      <c r="Y131">
        <f>'Net zero Activity data'!BA14*'Net zero supporting data'!Y121</f>
        <v>427138.46286448039</v>
      </c>
      <c r="Z131">
        <f>'Net zero Activity data'!BB14*'Net zero supporting data'!Z121</f>
        <v>513549.04239552759</v>
      </c>
      <c r="AA131">
        <f>'Net zero Activity data'!BC14*'Net zero supporting data'!AA121</f>
        <v>600261.37061339791</v>
      </c>
      <c r="AB131">
        <f>'Net zero Activity data'!BD14*'Net zero supporting data'!AB121</f>
        <v>687224.63981497916</v>
      </c>
      <c r="AC131">
        <f>'Net zero Activity data'!BE14*'Net zero supporting data'!AC121</f>
        <v>774412.54268660292</v>
      </c>
      <c r="AD131">
        <f>'Net zero Activity data'!BF14*'Net zero supporting data'!AD121</f>
        <v>861814.71258414036</v>
      </c>
      <c r="AE131">
        <f>'Net zero Activity data'!BG14*'Net zero supporting data'!AE121</f>
        <v>863089.68466189934</v>
      </c>
      <c r="AF131">
        <f>'Net zero Activity data'!BH14*'Net zero supporting data'!AF121</f>
        <v>864287.09218127897</v>
      </c>
      <c r="AG131">
        <f>'Net zero Activity data'!BI14*'Net zero supporting data'!AG121</f>
        <v>865402.00913602847</v>
      </c>
      <c r="AH131">
        <f>'Net zero Activity data'!BJ14*'Net zero supporting data'!AH121</f>
        <v>866417.22626474744</v>
      </c>
      <c r="AI131">
        <f>'Net zero Activity data'!BK14*'Net zero supporting data'!AI121</f>
        <v>867316.93507857027</v>
      </c>
      <c r="AJ131">
        <f>'Net zero Activity data'!BL14*'Net zero supporting data'!AJ121</f>
        <v>868101.1969627433</v>
      </c>
      <c r="AK131">
        <f>'Net zero Activity data'!BM14*'Net zero supporting data'!AK121</f>
        <v>868763.56795736484</v>
      </c>
      <c r="AL131">
        <f>'Net zero Activity data'!BN14*'Net zero supporting data'!AL121</f>
        <v>869304.71985032968</v>
      </c>
      <c r="AM131">
        <f>'Net zero Activity data'!BO14*'Net zero supporting data'!AM121</f>
        <v>869740.34855223133</v>
      </c>
      <c r="AN131">
        <f>'Net zero Activity data'!BP14*'Net zero supporting data'!AN121</f>
        <v>869984.41307616199</v>
      </c>
    </row>
    <row r="132" spans="1:40" x14ac:dyDescent="0.25">
      <c r="A132" t="s">
        <v>1097</v>
      </c>
      <c r="B132" s="11">
        <f>'Activity data'!AD5-'Net zero supporting data'!B122</f>
        <v>590059.9281599375</v>
      </c>
      <c r="C132" s="11">
        <f>'Activity data'!AE5-'Net zero supporting data'!C122</f>
        <v>593358.66490468499</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608615.99513645715</v>
      </c>
      <c r="J132" s="11">
        <f>'Activity data'!AL5-'Net zero supporting data'!J122</f>
        <v>591037.14961379278</v>
      </c>
      <c r="K132" s="11">
        <f>'Activity data'!AM5-'Net zero supporting data'!K122</f>
        <v>551704.77310299501</v>
      </c>
      <c r="L132" s="11">
        <f>'Activity data'!AN5-'Net zero supporting data'!L122</f>
        <v>505364.32581815787</v>
      </c>
      <c r="M132" s="11">
        <f>'Activity data'!AO5-'Net zero supporting data'!M122</f>
        <v>454761.31267311948</v>
      </c>
      <c r="N132" s="11">
        <f>'Activity data'!AP5-'Net zero supporting data'!N122</f>
        <v>404325.86351426266</v>
      </c>
      <c r="O132" s="11">
        <f>'Activity data'!AQ5-'Net zero supporting data'!O122</f>
        <v>354373.45089718851</v>
      </c>
      <c r="P132" s="11">
        <f>'Activity data'!AR5-'Net zero supporting data'!P122</f>
        <v>304374.24378370959</v>
      </c>
      <c r="Q132" s="11">
        <f>'Activity data'!AS5-'Net zero supporting data'!Q122</f>
        <v>253783.0192502297</v>
      </c>
      <c r="R132" s="11">
        <f>'Activity data'!AT5-'Net zero supporting data'!R122</f>
        <v>202506.18405502959</v>
      </c>
      <c r="S132" s="11">
        <f>'Activity data'!AU5-'Net zero supporting data'!S122</f>
        <v>150476.46469038783</v>
      </c>
      <c r="T132" s="11">
        <f>'Activity data'!AV5-'Net zero supporting data'!T122</f>
        <v>97359.281570101157</v>
      </c>
      <c r="U132" s="11">
        <f>'Activity data'!AW5-'Net zero supporting data'!U122</f>
        <v>98785.620307179866</v>
      </c>
      <c r="V132" s="11">
        <f>'Activity data'!AX5-'Net zero supporting data'!V122</f>
        <v>100326.53435650945</v>
      </c>
      <c r="W132" s="11">
        <f>'Activity data'!AY5-'Net zero supporting data'!W122</f>
        <v>101942.92143242911</v>
      </c>
      <c r="X132" s="11">
        <f>'Activity data'!AZ5-'Net zero supporting data'!X122</f>
        <v>103652.86052118149</v>
      </c>
      <c r="Y132" s="11">
        <f>'Activity data'!BA5-'Net zero supporting data'!Y122</f>
        <v>105438.76969230967</v>
      </c>
      <c r="Z132" s="11">
        <f>'Activity data'!BB5-'Net zero supporting data'!Z122</f>
        <v>107231.83037663193</v>
      </c>
      <c r="AA132" s="11">
        <f>'Activity data'!BC5-'Net zero supporting data'!AA122</f>
        <v>109132.89777975634</v>
      </c>
      <c r="AB132" s="11">
        <f>'Activity data'!BD5-'Net zero supporting data'!AB122</f>
        <v>111075.51638220367</v>
      </c>
      <c r="AC132" s="11">
        <f>'Activity data'!BE5-'Net zero supporting data'!AC122</f>
        <v>113054.74547791784</v>
      </c>
      <c r="AD132" s="11">
        <f>'Activity data'!BF5-'Net zero supporting data'!AD122</f>
        <v>115102.47283305391</v>
      </c>
      <c r="AE132" s="11">
        <f>'Activity data'!BG5-'Net zero supporting data'!AE122</f>
        <v>117142.25392842258</v>
      </c>
      <c r="AF132" s="11">
        <f>'Activity data'!BH5-'Net zero supporting data'!AF122</f>
        <v>119280.01623028051</v>
      </c>
      <c r="AG132" s="11">
        <f>'Activity data'!BI5-'Net zero supporting data'!AG122</f>
        <v>121555.22850988654</v>
      </c>
      <c r="AH132" s="11">
        <f>'Activity data'!BJ5-'Net zero supporting data'!AH122</f>
        <v>123903.38751788356</v>
      </c>
      <c r="AI132" s="11">
        <f>'Activity data'!BK5-'Net zero supporting data'!AI122</f>
        <v>126328.74144887889</v>
      </c>
      <c r="AJ132" s="11">
        <f>'Activity data'!BL5-'Net zero supporting data'!AJ122</f>
        <v>128905.92423518002</v>
      </c>
      <c r="AK132" s="11">
        <f>'Activity data'!BM5-'Net zero supporting data'!AK122</f>
        <v>131613.26162838389</v>
      </c>
      <c r="AL132" s="11">
        <f>'Activity data'!BN5-'Net zero supporting data'!AL122</f>
        <v>134436.78563495714</v>
      </c>
      <c r="AM132" s="11">
        <f>'Activity data'!BO5-'Net zero supporting data'!AM122</f>
        <v>137427.37402851414</v>
      </c>
      <c r="AN132" s="11">
        <f>'Activity data'!BP5-'Net zero supporting data'!AN122</f>
        <v>140304.87137482129</v>
      </c>
    </row>
    <row r="133" spans="1:40" x14ac:dyDescent="0.25">
      <c r="A133" t="s">
        <v>1098</v>
      </c>
      <c r="B133" s="11">
        <f>'Activity data'!AD6-'Net zero supporting data'!B123</f>
        <v>488906.79761823389</v>
      </c>
      <c r="C133" s="11">
        <f>'Activity data'!AE6-'Net zero supporting data'!C123</f>
        <v>491640.03663531045</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504281.82454163593</v>
      </c>
      <c r="J133" s="11">
        <f>'Activity data'!AL6-'Net zero supporting data'!J123</f>
        <v>489716.49539428548</v>
      </c>
      <c r="K133" s="11">
        <f>'Activity data'!AM6-'Net zero supporting data'!K123</f>
        <v>457126.81199962442</v>
      </c>
      <c r="L133" s="11">
        <f>'Activity data'!AN6-'Net zero supporting data'!L123</f>
        <v>418730.44139218796</v>
      </c>
      <c r="M133" s="11">
        <f>'Activity data'!AO6-'Net zero supporting data'!M123</f>
        <v>376802.2305005847</v>
      </c>
      <c r="N133" s="11">
        <f>'Activity data'!AP6-'Net zero supporting data'!N123</f>
        <v>335012.85834038904</v>
      </c>
      <c r="O133" s="11">
        <f>'Activity data'!AQ6-'Net zero supporting data'!O123</f>
        <v>293623.71645767044</v>
      </c>
      <c r="P133" s="11">
        <f>'Activity data'!AR6-'Net zero supporting data'!P123</f>
        <v>252195.8019922165</v>
      </c>
      <c r="Q133" s="11">
        <f>'Activity data'!AS6-'Net zero supporting data'!Q123</f>
        <v>210277.35880733316</v>
      </c>
      <c r="R133" s="11">
        <f>'Activity data'!AT6-'Net zero supporting data'!R123</f>
        <v>167790.83821702452</v>
      </c>
      <c r="S133" s="11">
        <f>'Activity data'!AU6-'Net zero supporting data'!S123</f>
        <v>124680.4993148928</v>
      </c>
      <c r="T133" s="11">
        <f>'Activity data'!AV6-'Net zero supporting data'!T123</f>
        <v>80669.119015226664</v>
      </c>
      <c r="U133" s="11">
        <f>'Activity data'!AW6-'Net zero supporting data'!U123</f>
        <v>81850.94254023477</v>
      </c>
      <c r="V133" s="11">
        <f>'Activity data'!AX6-'Net zero supporting data'!V123</f>
        <v>83127.699895393569</v>
      </c>
      <c r="W133" s="11">
        <f>'Activity data'!AY6-'Net zero supporting data'!W123</f>
        <v>84466.992044012703</v>
      </c>
      <c r="X133" s="11">
        <f>'Activity data'!AZ6-'Net zero supporting data'!X123</f>
        <v>85883.798717550409</v>
      </c>
      <c r="Y133" s="11">
        <f>'Activity data'!BA6-'Net zero supporting data'!Y123</f>
        <v>87363.552030770865</v>
      </c>
      <c r="Z133" s="11">
        <f>'Activity data'!BB6-'Net zero supporting data'!Z123</f>
        <v>88849.230883495067</v>
      </c>
      <c r="AA133" s="11">
        <f>'Activity data'!BC6-'Net zero supporting data'!AA123</f>
        <v>90424.401017512428</v>
      </c>
      <c r="AB133" s="11">
        <f>'Activity data'!BD6-'Net zero supporting data'!AB123</f>
        <v>92033.999288111634</v>
      </c>
      <c r="AC133" s="11">
        <f>'Activity data'!BE6-'Net zero supporting data'!AC123</f>
        <v>93673.93196741771</v>
      </c>
      <c r="AD133" s="11">
        <f>'Activity data'!BF6-'Net zero supporting data'!AD123</f>
        <v>95370.620347387507</v>
      </c>
      <c r="AE133" s="11">
        <f>'Activity data'!BG6-'Net zero supporting data'!AE123</f>
        <v>97060.724683550186</v>
      </c>
      <c r="AF133" s="11">
        <f>'Activity data'!BH6-'Net zero supporting data'!AF123</f>
        <v>98832.013447946752</v>
      </c>
      <c r="AG133" s="11">
        <f>'Activity data'!BI6-'Net zero supporting data'!AG123</f>
        <v>100717.18933676311</v>
      </c>
      <c r="AH133" s="11">
        <f>'Activity data'!BJ6-'Net zero supporting data'!AH123</f>
        <v>102662.80680053204</v>
      </c>
      <c r="AI133" s="11">
        <f>'Activity data'!BK6-'Net zero supporting data'!AI123</f>
        <v>104672.38577192824</v>
      </c>
      <c r="AJ133" s="11">
        <f>'Activity data'!BL6-'Net zero supporting data'!AJ123</f>
        <v>106807.76579486334</v>
      </c>
      <c r="AK133" s="11">
        <f>'Activity data'!BM6-'Net zero supporting data'!AK123</f>
        <v>109050.98820637527</v>
      </c>
      <c r="AL133" s="11">
        <f>'Activity data'!BN6-'Net zero supporting data'!AL123</f>
        <v>111390.47952610732</v>
      </c>
      <c r="AM133" s="11">
        <f>'Activity data'!BO6-'Net zero supporting data'!AM123</f>
        <v>113868.39562362595</v>
      </c>
      <c r="AN133" s="11">
        <f>'Activity data'!BP6-'Net zero supporting data'!AN123</f>
        <v>116252.60771056626</v>
      </c>
    </row>
    <row r="134" spans="1:40" x14ac:dyDescent="0.25">
      <c r="A134" t="s">
        <v>1099</v>
      </c>
      <c r="B134" s="11">
        <f>'Activity data'!AD7-'Net zero supporting data'!B124</f>
        <v>606918.78325022152</v>
      </c>
      <c r="C134" s="11">
        <f>'Activity data'!AE7-'Net zero supporting data'!C124</f>
        <v>610311.7696162475</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626005.02356892754</v>
      </c>
      <c r="J134" s="11">
        <f>'Activity data'!AL7-'Net zero supporting data'!J124</f>
        <v>607923.92531704414</v>
      </c>
      <c r="K134" s="11">
        <f>'Activity data'!AM7-'Net zero supporting data'!K124</f>
        <v>582972.3504076614</v>
      </c>
      <c r="L134" s="11">
        <f>'Activity data'!AN7-'Net zero supporting data'!L124</f>
        <v>551116.75875797751</v>
      </c>
      <c r="M134" s="11">
        <f>'Activity data'!AO7-'Net zero supporting data'!M124</f>
        <v>514843.87152868608</v>
      </c>
      <c r="N134" s="11">
        <f>'Activity data'!AP7-'Net zero supporting data'!N124</f>
        <v>478889.85392858123</v>
      </c>
      <c r="O134" s="11">
        <f>'Activity data'!AQ7-'Net zero supporting data'!O124</f>
        <v>443737.19068865344</v>
      </c>
      <c r="P134" s="11">
        <f>'Activity data'!AR7-'Net zero supporting data'!P124</f>
        <v>408908.605059864</v>
      </c>
      <c r="Q134" s="11">
        <f>'Activity data'!AS7-'Net zero supporting data'!Q124</f>
        <v>373826.41565748118</v>
      </c>
      <c r="R134" s="11">
        <f>'Activity data'!AT7-'Net zero supporting data'!R124</f>
        <v>338474.62192054931</v>
      </c>
      <c r="S134" s="11">
        <f>'Activity data'!AU7-'Net zero supporting data'!S124</f>
        <v>302965.38058028213</v>
      </c>
      <c r="T134" s="11">
        <f>'Activity data'!AV7-'Net zero supporting data'!T124</f>
        <v>267042.60087799159</v>
      </c>
      <c r="U134" s="11">
        <f>'Activity data'!AW7-'Net zero supporting data'!U124</f>
        <v>270954.84427112195</v>
      </c>
      <c r="V134" s="11">
        <f>'Activity data'!AX7-'Net zero supporting data'!V124</f>
        <v>275181.35137785465</v>
      </c>
      <c r="W134" s="11">
        <f>'Activity data'!AY7-'Net zero supporting data'!W124</f>
        <v>279614.87021466269</v>
      </c>
      <c r="X134" s="11">
        <f>'Activity data'!AZ7-'Net zero supporting data'!X124</f>
        <v>284304.98885809793</v>
      </c>
      <c r="Y134" s="11">
        <f>'Activity data'!BA7-'Net zero supporting data'!Y124</f>
        <v>289203.48258462077</v>
      </c>
      <c r="Z134" s="11">
        <f>'Activity data'!BB7-'Net zero supporting data'!Z124</f>
        <v>294121.59189019055</v>
      </c>
      <c r="AA134" s="11">
        <f>'Activity data'!BC7-'Net zero supporting data'!AA124</f>
        <v>299335.94819590321</v>
      </c>
      <c r="AB134" s="11">
        <f>'Activity data'!BD7-'Net zero supporting data'!AB124</f>
        <v>304664.27350547304</v>
      </c>
      <c r="AC134" s="11">
        <f>'Activity data'!BE7-'Net zero supporting data'!AC124</f>
        <v>310093.01616800338</v>
      </c>
      <c r="AD134" s="11">
        <f>'Activity data'!BF7-'Net zero supporting data'!AD124</f>
        <v>315709.63977066224</v>
      </c>
      <c r="AE134" s="11">
        <f>'Activity data'!BG7-'Net zero supporting data'!AE124</f>
        <v>321304.46791795921</v>
      </c>
      <c r="AF134" s="11">
        <f>'Activity data'!BH7-'Net zero supporting data'!AF124</f>
        <v>327168.04451734084</v>
      </c>
      <c r="AG134" s="11">
        <f>'Activity data'!BI7-'Net zero supporting data'!AG124</f>
        <v>333408.62676997459</v>
      </c>
      <c r="AH134" s="11">
        <f>'Activity data'!BJ7-'Net zero supporting data'!AH124</f>
        <v>339849.2914776234</v>
      </c>
      <c r="AI134" s="11">
        <f>'Activity data'!BK7-'Net zero supporting data'!AI124</f>
        <v>346501.6908312107</v>
      </c>
      <c r="AJ134" s="11">
        <f>'Activity data'!BL7-'Net zero supporting data'!AJ124</f>
        <v>353570.5350450651</v>
      </c>
      <c r="AK134" s="11">
        <f>'Activity data'!BM7-'Net zero supporting data'!AK124</f>
        <v>360996.37475213874</v>
      </c>
      <c r="AL134" s="11">
        <f>'Activity data'!BN7-'Net zero supporting data'!AL124</f>
        <v>368740.89774159668</v>
      </c>
      <c r="AM134" s="11">
        <f>'Activity data'!BO7-'Net zero supporting data'!AM124</f>
        <v>376943.65447821026</v>
      </c>
      <c r="AN134" s="11">
        <f>'Activity data'!BP7-'Net zero supporting data'!AN124</f>
        <v>384836.21862808138</v>
      </c>
    </row>
    <row r="135" spans="1:40" x14ac:dyDescent="0.25">
      <c r="A135" t="s">
        <v>1100</v>
      </c>
      <c r="B135" s="11">
        <f>'Activity data'!AD8-'Net zero supporting data'!B125</f>
        <v>5954880.1627134709</v>
      </c>
      <c r="C135" s="11">
        <f>'Activity data'!AE8-'Net zero supporting data'!C125</f>
        <v>5903235.3888004757</v>
      </c>
      <c r="D135" s="11">
        <f>'Activity data'!AF8-'Net zero supporting data'!D125</f>
        <v>5883575.7867908701</v>
      </c>
      <c r="E135" s="11">
        <f>'Activity data'!AG8-'Net zero supporting data'!E125</f>
        <v>5805008.3335930631</v>
      </c>
      <c r="F135" s="11">
        <f>'Activity data'!AH8-'Net zero supporting data'!F125</f>
        <v>5690965.7565264758</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4748663.1043264745</v>
      </c>
      <c r="K135" s="11">
        <f>'Activity data'!AM8-'Net zero supporting data'!K125</f>
        <v>4677156.2332355808</v>
      </c>
      <c r="L135" s="11">
        <f>'Activity data'!AN8-'Net zero supporting data'!L125</f>
        <v>4447781.9643330406</v>
      </c>
      <c r="M135" s="11">
        <f>'Activity data'!AO8-'Net zero supporting data'!M125</f>
        <v>4116534.9988431665</v>
      </c>
      <c r="N135" s="11">
        <f>'Activity data'!AP8-'Net zero supporting data'!N125</f>
        <v>3794223.845501435</v>
      </c>
      <c r="O135" s="11">
        <f>'Activity data'!AQ8-'Net zero supporting data'!O125</f>
        <v>3495956.5480810339</v>
      </c>
      <c r="P135" s="11">
        <f>'Activity data'!AR8-'Net zero supporting data'!P125</f>
        <v>3215072.0661170911</v>
      </c>
      <c r="Q135" s="11">
        <f>'Activity data'!AS8-'Net zero supporting data'!Q125</f>
        <v>2937794.1582722426</v>
      </c>
      <c r="R135" s="11">
        <f>'Activity data'!AT8-'Net zero supporting data'!R125</f>
        <v>2663654.3296138225</v>
      </c>
      <c r="S135" s="11">
        <f>'Activity data'!AU8-'Net zero supporting data'!S125</f>
        <v>2394885.0922075901</v>
      </c>
      <c r="T135" s="11">
        <f>'Activity data'!AV8-'Net zero supporting data'!T125</f>
        <v>2125749.2998732626</v>
      </c>
      <c r="U135" s="11">
        <f>'Activity data'!AW8-'Net zero supporting data'!U125</f>
        <v>2155896.3801937657</v>
      </c>
      <c r="V135" s="11">
        <f>'Activity data'!AX8-'Net zero supporting data'!V125</f>
        <v>2189604.6887802244</v>
      </c>
      <c r="W135" s="11">
        <f>'Activity data'!AY8-'Net zero supporting data'!W125</f>
        <v>2224333.9236916527</v>
      </c>
      <c r="X135" s="11">
        <f>'Activity data'!AZ8-'Net zero supporting data'!X125</f>
        <v>2260855.5547629371</v>
      </c>
      <c r="Y135" s="11">
        <f>'Activity data'!BA8-'Net zero supporting data'!Y125</f>
        <v>2297924.2044055532</v>
      </c>
      <c r="Z135" s="11">
        <f>'Activity data'!BB8-'Net zero supporting data'!Z125</f>
        <v>2331774.4684963482</v>
      </c>
      <c r="AA135" s="11">
        <f>'Activity data'!BC8-'Net zero supporting data'!AA125</f>
        <v>2367480.2845409522</v>
      </c>
      <c r="AB135" s="11">
        <f>'Activity data'!BD8-'Net zero supporting data'!AB125</f>
        <v>2401569.3455931391</v>
      </c>
      <c r="AC135" s="11">
        <f>'Activity data'!BE8-'Net zero supporting data'!AC125</f>
        <v>2433713.2411973253</v>
      </c>
      <c r="AD135" s="11">
        <f>'Activity data'!BF8-'Net zero supporting data'!AD125</f>
        <v>2465286.005052187</v>
      </c>
      <c r="AE135" s="11">
        <f>'Activity data'!BG8-'Net zero supporting data'!AE125</f>
        <v>2505378.6370058549</v>
      </c>
      <c r="AF135" s="11">
        <f>'Activity data'!BH8-'Net zero supporting data'!AF125</f>
        <v>2546846.8443316445</v>
      </c>
      <c r="AG135" s="11">
        <f>'Activity data'!BI8-'Net zero supporting data'!AG125</f>
        <v>2591197.6280817403</v>
      </c>
      <c r="AH135" s="11">
        <f>'Activity data'!BJ8-'Net zero supporting data'!AH125</f>
        <v>2635375.8575311517</v>
      </c>
      <c r="AI135" s="11">
        <f>'Activity data'!BK8-'Net zero supporting data'!AI125</f>
        <v>2679438.8733838308</v>
      </c>
      <c r="AJ135" s="11">
        <f>'Activity data'!BL8-'Net zero supporting data'!AJ125</f>
        <v>2726282.5006633098</v>
      </c>
      <c r="AK135" s="11">
        <f>'Activity data'!BM8-'Net zero supporting data'!AK125</f>
        <v>2774693.8396912646</v>
      </c>
      <c r="AL135" s="11">
        <f>'Activity data'!BN8-'Net zero supporting data'!AL125</f>
        <v>2823831.2129724864</v>
      </c>
      <c r="AM135" s="11">
        <f>'Activity data'!BO8-'Net zero supporting data'!AM125</f>
        <v>2875366.7960458677</v>
      </c>
      <c r="AN135" s="11">
        <f>'Activity data'!BP8-'Net zero supporting data'!AN125</f>
        <v>2918572.9716943884</v>
      </c>
    </row>
    <row r="136" spans="1:40" x14ac:dyDescent="0.25">
      <c r="A136" t="s">
        <v>1101</v>
      </c>
      <c r="B136" s="11">
        <f>'Activity data'!AD9-'Net zero supporting data'!B126</f>
        <v>5280742.7858025106</v>
      </c>
      <c r="C136" s="11">
        <f>'Activity data'!AE9-'Net zero supporting data'!C126</f>
        <v>5234944.5900683459</v>
      </c>
      <c r="D136" s="11">
        <f>'Activity data'!AF9-'Net zero supporting data'!D126</f>
        <v>5217510.6033805832</v>
      </c>
      <c r="E136" s="11">
        <f>'Activity data'!AG9-'Net zero supporting data'!E126</f>
        <v>5147837.5788466781</v>
      </c>
      <c r="F136" s="11">
        <f>'Activity data'!AH9-'Net zero supporting data'!F126</f>
        <v>5046705.4822027236</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4211078.601949892</v>
      </c>
      <c r="K136" s="11">
        <f>'Activity data'!AM9-'Net zero supporting data'!K126</f>
        <v>4147666.8483409858</v>
      </c>
      <c r="L136" s="11">
        <f>'Activity data'!AN9-'Net zero supporting data'!L126</f>
        <v>3944259.4778047716</v>
      </c>
      <c r="M136" s="11">
        <f>'Activity data'!AO9-'Net zero supporting data'!M126</f>
        <v>3650512.1687854496</v>
      </c>
      <c r="N136" s="11">
        <f>'Activity data'!AP9-'Net zero supporting data'!N126</f>
        <v>3364689.0705390084</v>
      </c>
      <c r="O136" s="11">
        <f>'Activity data'!AQ9-'Net zero supporting data'!O126</f>
        <v>3100187.8822605396</v>
      </c>
      <c r="P136" s="11">
        <f>'Activity data'!AR9-'Net zero supporting data'!P126</f>
        <v>2851101.643537798</v>
      </c>
      <c r="Q136" s="11">
        <f>'Activity data'!AS9-'Net zero supporting data'!Q126</f>
        <v>2605213.6875244407</v>
      </c>
      <c r="R136" s="11">
        <f>'Activity data'!AT9-'Net zero supporting data'!R126</f>
        <v>2362108.556449994</v>
      </c>
      <c r="S136" s="11">
        <f>'Activity data'!AU9-'Net zero supporting data'!S126</f>
        <v>2123766.0251652217</v>
      </c>
      <c r="T136" s="11">
        <f>'Activity data'!AV9-'Net zero supporting data'!T126</f>
        <v>1885098.4357366669</v>
      </c>
      <c r="U136" s="11">
        <f>'Activity data'!AW9-'Net zero supporting data'!U126</f>
        <v>1911832.6390397544</v>
      </c>
      <c r="V136" s="11">
        <f>'Activity data'!AX9-'Net zero supporting data'!V126</f>
        <v>1941724.9126918972</v>
      </c>
      <c r="W136" s="11">
        <f>'Activity data'!AY9-'Net zero supporting data'!W126</f>
        <v>1972522.5361039187</v>
      </c>
      <c r="X136" s="11">
        <f>'Activity data'!AZ9-'Net zero supporting data'!X126</f>
        <v>2004909.6429029815</v>
      </c>
      <c r="Y136" s="11">
        <f>'Activity data'!BA9-'Net zero supporting data'!Y126</f>
        <v>2037781.8416426606</v>
      </c>
      <c r="Z136" s="11">
        <f>'Activity data'!BB9-'Net zero supporting data'!Z126</f>
        <v>2067800.0003646864</v>
      </c>
      <c r="AA136" s="11">
        <f>'Activity data'!BC9-'Net zero supporting data'!AA126</f>
        <v>2099463.6485551833</v>
      </c>
      <c r="AB136" s="11">
        <f>'Activity data'!BD9-'Net zero supporting data'!AB126</f>
        <v>2129693.5706203305</v>
      </c>
      <c r="AC136" s="11">
        <f>'Activity data'!BE9-'Net zero supporting data'!AC126</f>
        <v>2158198.5346466848</v>
      </c>
      <c r="AD136" s="11">
        <f>'Activity data'!BF9-'Net zero supporting data'!AD126</f>
        <v>2186197.0233481657</v>
      </c>
      <c r="AE136" s="11">
        <f>'Activity data'!BG9-'Net zero supporting data'!AE126</f>
        <v>2221750.8667787765</v>
      </c>
      <c r="AF136" s="11">
        <f>'Activity data'!BH9-'Net zero supporting data'!AF126</f>
        <v>2258524.5600676844</v>
      </c>
      <c r="AG136" s="11">
        <f>'Activity data'!BI9-'Net zero supporting data'!AG126</f>
        <v>2297854.5003743726</v>
      </c>
      <c r="AH136" s="11">
        <f>'Activity data'!BJ9-'Net zero supporting data'!AH126</f>
        <v>2337031.4208295117</v>
      </c>
      <c r="AI136" s="11">
        <f>'Activity data'!BK9-'Net zero supporting data'!AI126</f>
        <v>2376106.1707366044</v>
      </c>
      <c r="AJ136" s="11">
        <f>'Activity data'!BL9-'Net zero supporting data'!AJ126</f>
        <v>2417646.7458712361</v>
      </c>
      <c r="AK136" s="11">
        <f>'Activity data'!BM9-'Net zero supporting data'!AK126</f>
        <v>2460577.5559526305</v>
      </c>
      <c r="AL136" s="11">
        <f>'Activity data'!BN9-'Net zero supporting data'!AL126</f>
        <v>2504152.207730318</v>
      </c>
      <c r="AM136" s="11">
        <f>'Activity data'!BO9-'Net zero supporting data'!AM126</f>
        <v>2549853.5738519956</v>
      </c>
      <c r="AN136" s="11">
        <f>'Activity data'!BP9-'Net zero supporting data'!AN126</f>
        <v>2588168.4843327594</v>
      </c>
    </row>
    <row r="137" spans="1:40" x14ac:dyDescent="0.25">
      <c r="A137" t="s">
        <v>1102</v>
      </c>
      <c r="B137" s="11">
        <f>'Activity data'!AD10-'Net zero supporting data'!B127</f>
        <v>541460.03376820474</v>
      </c>
      <c r="C137" s="11">
        <f>'Activity data'!AE10-'Net zero supporting data'!C127</f>
        <v>559717.10307730944</v>
      </c>
      <c r="D137" s="11">
        <f>'Activity data'!AF10-'Net zero supporting data'!D127</f>
        <v>581386.33409904351</v>
      </c>
      <c r="E137" s="11">
        <f>'Activity data'!AG10-'Net zero supporting data'!E127</f>
        <v>597546.77075746434</v>
      </c>
      <c r="F137" s="11">
        <f>'Activity data'!AH10-'Net zero supporting data'!F127</f>
        <v>610009.49754182214</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597014.6851984323</v>
      </c>
      <c r="K137" s="11">
        <f>'Activity data'!AM10-'Net zero supporting data'!K127</f>
        <v>586176.00904450263</v>
      </c>
      <c r="L137" s="11">
        <f>'Activity data'!AN10-'Net zero supporting data'!L127</f>
        <v>552956.25549244951</v>
      </c>
      <c r="M137" s="11">
        <f>'Activity data'!AO10-'Net zero supporting data'!M127</f>
        <v>504541.51619636483</v>
      </c>
      <c r="N137" s="11">
        <f>'Activity data'!AP10-'Net zero supporting data'!N127</f>
        <v>454809.56066073047</v>
      </c>
      <c r="O137" s="11">
        <f>'Activity data'!AQ10-'Net zero supporting data'!O127</f>
        <v>405469.71339521545</v>
      </c>
      <c r="P137" s="11">
        <f>'Activity data'!AR10-'Net zero supporting data'!P127</f>
        <v>355449.024858071</v>
      </c>
      <c r="Q137" s="11">
        <f>'Activity data'!AS10-'Net zero supporting data'!Q127</f>
        <v>302884.17714616063</v>
      </c>
      <c r="R137" s="11">
        <f>'Activity data'!AT10-'Net zero supporting data'!R127</f>
        <v>247415.88721013768</v>
      </c>
      <c r="S137" s="11">
        <f>'Activity data'!AU10-'Net zero supporting data'!S127</f>
        <v>188754.2416244403</v>
      </c>
      <c r="T137" s="11">
        <f>'Activity data'!AV10-'Net zero supporting data'!T127</f>
        <v>125682.42956303281</v>
      </c>
      <c r="U137" s="11">
        <f>'Activity data'!AW10-'Net zero supporting data'!U127</f>
        <v>131691.91970554029</v>
      </c>
      <c r="V137" s="11">
        <f>'Activity data'!AX10-'Net zero supporting data'!V127</f>
        <v>138195.02384860977</v>
      </c>
      <c r="W137" s="11">
        <f>'Activity data'!AY10-'Net zero supporting data'!W127</f>
        <v>145063.37886574888</v>
      </c>
      <c r="X137" s="11">
        <f>'Activity data'!AZ10-'Net zero supporting data'!X127</f>
        <v>152372.37138901115</v>
      </c>
      <c r="Y137" s="11">
        <f>'Activity data'!BA10-'Net zero supporting data'!Y127</f>
        <v>160065.58699420036</v>
      </c>
      <c r="Z137" s="11">
        <f>'Activity data'!BB10-'Net zero supporting data'!Z127</f>
        <v>167895.73969372909</v>
      </c>
      <c r="AA137" s="11">
        <f>'Activity data'!BC10-'Net zero supporting data'!AA127</f>
        <v>176238.64341741626</v>
      </c>
      <c r="AB137" s="11">
        <f>'Activity data'!BD10-'Net zero supporting data'!AB127</f>
        <v>184863.49746034958</v>
      </c>
      <c r="AC137" s="11">
        <f>'Activity data'!BE10-'Net zero supporting data'!AC127</f>
        <v>193756.06348478817</v>
      </c>
      <c r="AD137" s="11">
        <f>'Activity data'!BF10-'Net zero supporting data'!AD127</f>
        <v>203039.62866016827</v>
      </c>
      <c r="AE137" s="11">
        <f>'Activity data'!BG10-'Net zero supporting data'!AE127</f>
        <v>212163.61406665947</v>
      </c>
      <c r="AF137" s="11">
        <f>'Activity data'!BH10-'Net zero supporting data'!AF127</f>
        <v>221781.64197059907</v>
      </c>
      <c r="AG137" s="11">
        <f>'Activity data'!BI10-'Net zero supporting data'!AG127</f>
        <v>232057.23071142007</v>
      </c>
      <c r="AH137" s="11">
        <f>'Activity data'!BJ10-'Net zero supporting data'!AH127</f>
        <v>242750.92763007921</v>
      </c>
      <c r="AI137" s="11">
        <f>'Activity data'!BK10-'Net zero supporting data'!AI127</f>
        <v>253888.68730977178</v>
      </c>
      <c r="AJ137" s="11">
        <f>'Activity data'!BL10-'Net zero supporting data'!AJ127</f>
        <v>265775.16295609297</v>
      </c>
      <c r="AK137" s="11">
        <f>'Activity data'!BM10-'Net zero supporting data'!AK127</f>
        <v>278337.0946979234</v>
      </c>
      <c r="AL137" s="11">
        <f>'Activity data'!BN10-'Net zero supporting data'!AL127</f>
        <v>291528.71419947036</v>
      </c>
      <c r="AM137" s="11">
        <f>'Activity data'!BO10-'Net zero supporting data'!AM127</f>
        <v>305564.09040402481</v>
      </c>
      <c r="AN137" s="11">
        <f>'Activity data'!BP10-'Net zero supporting data'!AN127</f>
        <v>319324.2243530245</v>
      </c>
    </row>
    <row r="138" spans="1:40" x14ac:dyDescent="0.25">
      <c r="A138" t="s">
        <v>1103</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19294707.59935737</v>
      </c>
      <c r="K138" s="11">
        <f>'Activity data'!AM11-'Net zero supporting data'!K128</f>
        <v>18150079.799006876</v>
      </c>
      <c r="L138" s="11">
        <f>'Activity data'!AN11-'Net zero supporting data'!L128</f>
        <v>16987267.290341616</v>
      </c>
      <c r="M138" s="11">
        <f>'Activity data'!AO11-'Net zero supporting data'!M128</f>
        <v>15828756.277817542</v>
      </c>
      <c r="N138" s="11">
        <f>'Activity data'!AP11-'Net zero supporting data'!N128</f>
        <v>14686115.79508755</v>
      </c>
      <c r="O138" s="11">
        <f>'Activity data'!AQ11-'Net zero supporting data'!O128</f>
        <v>13550142.353244144</v>
      </c>
      <c r="P138" s="11">
        <f>'Activity data'!AR11-'Net zero supporting data'!P128</f>
        <v>12409279.421727102</v>
      </c>
      <c r="Q138" s="11">
        <f>'Activity data'!AS11-'Net zero supporting data'!Q128</f>
        <v>11263831.383416086</v>
      </c>
      <c r="R138" s="11">
        <f>'Activity data'!AT11-'Net zero supporting data'!R128</f>
        <v>10114001.856413422</v>
      </c>
      <c r="S138" s="11">
        <f>'Activity data'!AU11-'Net zero supporting data'!S128</f>
        <v>8960307.7767799813</v>
      </c>
      <c r="T138" s="11">
        <f>'Activity data'!AV11-'Net zero supporting data'!T128</f>
        <v>7803040.2455740776</v>
      </c>
      <c r="U138" s="11">
        <f>'Activity data'!AW11-'Net zero supporting data'!U128</f>
        <v>7814291.1560192816</v>
      </c>
      <c r="V138" s="11">
        <f>'Activity data'!AX11-'Net zero supporting data'!V128</f>
        <v>7825486.4808827005</v>
      </c>
      <c r="W138" s="11">
        <f>'Activity data'!AY11-'Net zero supporting data'!W128</f>
        <v>7836590.9527271986</v>
      </c>
      <c r="X138" s="11">
        <f>'Activity data'!AZ11-'Net zero supporting data'!X128</f>
        <v>7847515.5955449548</v>
      </c>
      <c r="Y138" s="11">
        <f>'Activity data'!BA11-'Net zero supporting data'!Y128</f>
        <v>7858308.5075212326</v>
      </c>
      <c r="Z138" s="11">
        <f>'Activity data'!BB11-'Net zero supporting data'!Z128</f>
        <v>7868981.2062341645</v>
      </c>
      <c r="AA138" s="11">
        <f>'Activity data'!BC11-'Net zero supporting data'!AA128</f>
        <v>7879569.9248806965</v>
      </c>
      <c r="AB138" s="11">
        <f>'Activity data'!BD11-'Net zero supporting data'!AB128</f>
        <v>7889750.6697424706</v>
      </c>
      <c r="AC138" s="11">
        <f>'Activity data'!BE11-'Net zero supporting data'!AC128</f>
        <v>7899511.5295519531</v>
      </c>
      <c r="AD138" s="11">
        <f>'Activity data'!BF11-'Net zero supporting data'!AD128</f>
        <v>7908943.7301193532</v>
      </c>
      <c r="AE138" s="11">
        <f>'Activity data'!BG11-'Net zero supporting data'!AE128</f>
        <v>7917974.6424998175</v>
      </c>
      <c r="AF138" s="11">
        <f>'Activity data'!BH11-'Net zero supporting data'!AF128</f>
        <v>7926620.6494752709</v>
      </c>
      <c r="AG138" s="11">
        <f>'Activity data'!BI11-'Net zero supporting data'!AG128</f>
        <v>7934842.8092720862</v>
      </c>
      <c r="AH138" s="11">
        <f>'Activity data'!BJ11-'Net zero supporting data'!AH128</f>
        <v>7942523.4621395897</v>
      </c>
      <c r="AI138" s="11">
        <f>'Activity data'!BK11-'Net zero supporting data'!AI128</f>
        <v>7949553.5753704216</v>
      </c>
      <c r="AJ138" s="11">
        <f>'Activity data'!BL11-'Net zero supporting data'!AJ128</f>
        <v>7955926.0465787854</v>
      </c>
      <c r="AK138" s="11">
        <f>'Activity data'!BM11-'Net zero supporting data'!AK128</f>
        <v>7961592.1108254306</v>
      </c>
      <c r="AL138" s="11">
        <f>'Activity data'!BN11-'Net zero supporting data'!AL128</f>
        <v>7966549.0354460943</v>
      </c>
      <c r="AM138" s="11">
        <f>'Activity data'!BO11-'Net zero supporting data'!AM128</f>
        <v>7970891.6808590386</v>
      </c>
      <c r="AN138" s="11">
        <f>'Activity data'!BP11-'Net zero supporting data'!AN128</f>
        <v>7974055.9948610384</v>
      </c>
    </row>
    <row r="139" spans="1:40" x14ac:dyDescent="0.25">
      <c r="A139" t="s">
        <v>1104</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2883117.227490182</v>
      </c>
      <c r="K139" s="11">
        <f>'Activity data'!AM12-'Net zero supporting data'!K129</f>
        <v>2769784.7382196849</v>
      </c>
      <c r="L139" s="11">
        <f>'Activity data'!AN12-'Net zero supporting data'!L129</f>
        <v>2653705.8097242126</v>
      </c>
      <c r="M139" s="11">
        <f>'Activity data'!AO12-'Net zero supporting data'!M129</f>
        <v>2538281.0739870016</v>
      </c>
      <c r="N139" s="11">
        <f>'Activity data'!AP12-'Net zero supporting data'!N129</f>
        <v>2425474.6594427712</v>
      </c>
      <c r="O139" s="11">
        <f>'Activity data'!AQ12-'Net zero supporting data'!O129</f>
        <v>2313981.6169743696</v>
      </c>
      <c r="P139" s="11">
        <f>'Activity data'!AR12-'Net zero supporting data'!P129</f>
        <v>2201933.9203782999</v>
      </c>
      <c r="Q139" s="11">
        <f>'Activity data'!AS12-'Net zero supporting data'!Q129</f>
        <v>2089367.0580415092</v>
      </c>
      <c r="R139" s="11">
        <f>'Activity data'!AT12-'Net zero supporting data'!R129</f>
        <v>1976299.2133221633</v>
      </c>
      <c r="S139" s="11">
        <f>'Activity data'!AU12-'Net zero supporting data'!S129</f>
        <v>1862812.6112646037</v>
      </c>
      <c r="T139" s="11">
        <f>'Activity data'!AV12-'Net zero supporting data'!T129</f>
        <v>1748957.2964217758</v>
      </c>
      <c r="U139" s="11">
        <f>'Activity data'!AW12-'Net zero supporting data'!U129</f>
        <v>1751479.052211218</v>
      </c>
      <c r="V139" s="11">
        <f>'Activity data'!AX12-'Net zero supporting data'!V129</f>
        <v>1753988.3491633639</v>
      </c>
      <c r="W139" s="11">
        <f>'Activity data'!AY12-'Net zero supporting data'!W129</f>
        <v>1756477.2825078203</v>
      </c>
      <c r="X139" s="11">
        <f>'Activity data'!AZ12-'Net zero supporting data'!X129</f>
        <v>1758925.9093462829</v>
      </c>
      <c r="Y139" s="11">
        <f>'Activity data'!BA12-'Net zero supporting data'!Y129</f>
        <v>1761345.0103064829</v>
      </c>
      <c r="Z139" s="11">
        <f>'Activity data'!BB12-'Net zero supporting data'!Z129</f>
        <v>1763737.1669145541</v>
      </c>
      <c r="AA139" s="11">
        <f>'Activity data'!BC12-'Net zero supporting data'!AA129</f>
        <v>1766110.5004042941</v>
      </c>
      <c r="AB139" s="11">
        <f>'Activity data'!BD12-'Net zero supporting data'!AB129</f>
        <v>1768392.3914940024</v>
      </c>
      <c r="AC139" s="11">
        <f>'Activity data'!BE12-'Net zero supporting data'!AC129</f>
        <v>1770580.1704168171</v>
      </c>
      <c r="AD139" s="11">
        <f>'Activity data'!BF12-'Net zero supporting data'!AD129</f>
        <v>1772694.2843370959</v>
      </c>
      <c r="AE139" s="11">
        <f>'Activity data'!BG12-'Net zero supporting data'!AE129</f>
        <v>1774718.4543534073</v>
      </c>
      <c r="AF139" s="11">
        <f>'Activity data'!BH12-'Net zero supporting data'!AF129</f>
        <v>1776656.3524685951</v>
      </c>
      <c r="AG139" s="11">
        <f>'Activity data'!BI12-'Net zero supporting data'!AG129</f>
        <v>1778499.2503540884</v>
      </c>
      <c r="AH139" s="11">
        <f>'Activity data'!BJ12-'Net zero supporting data'!AH129</f>
        <v>1780220.7759968045</v>
      </c>
      <c r="AI139" s="11">
        <f>'Activity data'!BK12-'Net zero supporting data'!AI129</f>
        <v>1781796.4910313017</v>
      </c>
      <c r="AJ139" s="11">
        <f>'Activity data'!BL12-'Net zero supporting data'!AJ129</f>
        <v>1783224.8035435211</v>
      </c>
      <c r="AK139" s="11">
        <f>'Activity data'!BM12-'Net zero supporting data'!AK129</f>
        <v>1784494.7834608725</v>
      </c>
      <c r="AL139" s="11">
        <f>'Activity data'!BN12-'Net zero supporting data'!AL129</f>
        <v>1785605.8182896418</v>
      </c>
      <c r="AM139" s="11">
        <f>'Activity data'!BO12-'Net zero supporting data'!AM129</f>
        <v>1786579.1698477154</v>
      </c>
      <c r="AN139" s="11">
        <f>'Activity data'!BP12-'Net zero supporting data'!AN129</f>
        <v>1787288.4126412671</v>
      </c>
    </row>
    <row r="140" spans="1:40" x14ac:dyDescent="0.25">
      <c r="A140" t="s">
        <v>1105</v>
      </c>
      <c r="B140" s="11">
        <f>'Activity data'!AD13-'Net zero supporting data'!B130</f>
        <v>2068089.0408217213</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2125847.6846541637</v>
      </c>
      <c r="I140" s="11">
        <f>'Activity data'!AK13-'Net zero supporting data'!I130</f>
        <v>2139834.1013227375</v>
      </c>
      <c r="J140" s="11">
        <f>'Activity data'!AL13-'Net zero supporting data'!J130</f>
        <v>2134587.2599102575</v>
      </c>
      <c r="K140" s="11">
        <f>'Activity data'!AM13-'Net zero supporting data'!K130</f>
        <v>2138256.6174556674</v>
      </c>
      <c r="L140" s="11">
        <f>'Activity data'!AN13-'Net zero supporting data'!L130</f>
        <v>2138612.6865135431</v>
      </c>
      <c r="M140" s="11">
        <f>'Activity data'!AO13-'Net zero supporting data'!M130</f>
        <v>2139591.6492956472</v>
      </c>
      <c r="N140" s="11">
        <f>'Activity data'!AP13-'Net zero supporting data'!N130</f>
        <v>2143919.9099595002</v>
      </c>
      <c r="O140" s="11">
        <f>'Activity data'!AQ13-'Net zero supporting data'!O130</f>
        <v>2150286.5393837062</v>
      </c>
      <c r="P140" s="11">
        <f>'Activity data'!AR13-'Net zero supporting data'!P130</f>
        <v>2156296.3015812854</v>
      </c>
      <c r="Q140" s="11">
        <f>'Activity data'!AS13-'Net zero supporting data'!Q130</f>
        <v>2161977.4535931544</v>
      </c>
      <c r="R140" s="11">
        <f>'Activity data'!AT13-'Net zero supporting data'!R130</f>
        <v>2167332.9033531058</v>
      </c>
      <c r="S140" s="11">
        <f>'Activity data'!AU13-'Net zero supporting data'!S130</f>
        <v>2172473.4651576607</v>
      </c>
      <c r="T140" s="11">
        <f>'Activity data'!AV13-'Net zero supporting data'!T130</f>
        <v>2177476.2677693181</v>
      </c>
      <c r="U140" s="11">
        <f>'Activity data'!AW13-'Net zero supporting data'!U130</f>
        <v>2095008.448396689</v>
      </c>
      <c r="V140" s="11">
        <f>'Activity data'!AX13-'Net zero supporting data'!V130</f>
        <v>2012057.0407133186</v>
      </c>
      <c r="W140" s="11">
        <f>'Activity data'!AY13-'Net zero supporting data'!W130</f>
        <v>1928626.6667643876</v>
      </c>
      <c r="X140" s="11">
        <f>'Activity data'!AZ13-'Net zero supporting data'!X130</f>
        <v>1844704.7153723955</v>
      </c>
      <c r="Y140" s="11">
        <f>'Activity data'!BA13-'Net zero supporting data'!Y130</f>
        <v>1760328.2105930101</v>
      </c>
      <c r="Z140" s="11">
        <f>'Activity data'!BB13-'Net zero supporting data'!Z130</f>
        <v>1675518.5928662163</v>
      </c>
      <c r="AA140" s="11">
        <f>'Activity data'!BC13-'Net zero supporting data'!AA130</f>
        <v>1590302.8520147167</v>
      </c>
      <c r="AB140" s="11">
        <f>'Activity data'!BD13-'Net zero supporting data'!AB130</f>
        <v>1504605.4614130985</v>
      </c>
      <c r="AC140" s="11">
        <f>'Activity data'!BE13-'Net zero supporting data'!AC130</f>
        <v>1418452.6034394349</v>
      </c>
      <c r="AD140" s="11">
        <f>'Activity data'!BF13-'Net zero supporting data'!AD130</f>
        <v>1331895.4649027626</v>
      </c>
      <c r="AE140" s="11">
        <f>'Activity data'!BG13-'Net zero supporting data'!AE130</f>
        <v>1333865.8762956627</v>
      </c>
      <c r="AF140" s="11">
        <f>'Activity data'!BH13-'Net zero supporting data'!AF130</f>
        <v>1335716.4151892494</v>
      </c>
      <c r="AG140" s="11">
        <f>'Activity data'!BI13-'Net zero supporting data'!AG130</f>
        <v>1337439.4686647714</v>
      </c>
      <c r="AH140" s="11">
        <f>'Activity data'!BJ13-'Net zero supporting data'!AH130</f>
        <v>1339008.4405909735</v>
      </c>
      <c r="AI140" s="11">
        <f>'Activity data'!BK13-'Net zero supporting data'!AI130</f>
        <v>1340398.8996668817</v>
      </c>
      <c r="AJ140" s="11">
        <f>'Activity data'!BL13-'Net zero supporting data'!AJ130</f>
        <v>1341610.9407606036</v>
      </c>
      <c r="AK140" s="11">
        <f>'Activity data'!BM13-'Net zero supporting data'!AK130</f>
        <v>1342634.6050250186</v>
      </c>
      <c r="AL140" s="11">
        <f>'Activity data'!BN13-'Net zero supporting data'!AL130</f>
        <v>1343470.9306777825</v>
      </c>
      <c r="AM140" s="11">
        <f>'Activity data'!BO13-'Net zero supporting data'!AM130</f>
        <v>1344144.1750352671</v>
      </c>
      <c r="AN140" s="11">
        <f>'Activity data'!BP13-'Net zero supporting data'!AN130</f>
        <v>1344521.3656631596</v>
      </c>
    </row>
    <row r="141" spans="1:40" x14ac:dyDescent="0.25">
      <c r="A141" t="s">
        <v>1106</v>
      </c>
      <c r="B141" s="11">
        <f>'Activity data'!AD14-'Net zero supporting data'!B131</f>
        <v>4014525.785124517</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4077550.4703819798</v>
      </c>
      <c r="G141" s="11">
        <f>'Activity data'!AI14-'Net zero supporting data'!G131</f>
        <v>4101196.8798749652</v>
      </c>
      <c r="H141" s="11">
        <f>'Activity data'!AJ14-'Net zero supporting data'!H131</f>
        <v>4126645.5055051409</v>
      </c>
      <c r="I141" s="11">
        <f>'Activity data'!AK14-'Net zero supporting data'!I131</f>
        <v>4153795.6084500193</v>
      </c>
      <c r="J141" s="11">
        <f>'Activity data'!AL14-'Net zero supporting data'!J131</f>
        <v>4143610.5633552051</v>
      </c>
      <c r="K141" s="11">
        <f>'Activity data'!AM14-'Net zero supporting data'!K131</f>
        <v>4150733.4338845299</v>
      </c>
      <c r="L141" s="11">
        <f>'Activity data'!AN14-'Net zero supporting data'!L131</f>
        <v>4151424.6267615827</v>
      </c>
      <c r="M141" s="11">
        <f>'Activity data'!AO14-'Net zero supporting data'!M131</f>
        <v>4153324.9662797847</v>
      </c>
      <c r="N141" s="11">
        <f>'Activity data'!AP14-'Net zero supporting data'!N131</f>
        <v>4161726.8840390295</v>
      </c>
      <c r="O141" s="11">
        <f>'Activity data'!AQ14-'Net zero supporting data'!O131</f>
        <v>4174085.6352742519</v>
      </c>
      <c r="P141" s="11">
        <f>'Activity data'!AR14-'Net zero supporting data'!P131</f>
        <v>4185751.6442460241</v>
      </c>
      <c r="Q141" s="11">
        <f>'Activity data'!AS14-'Net zero supporting data'!Q131</f>
        <v>4196779.7628572993</v>
      </c>
      <c r="R141" s="11">
        <f>'Activity data'!AT14-'Net zero supporting data'!R131</f>
        <v>4207175.6359207341</v>
      </c>
      <c r="S141" s="11">
        <f>'Activity data'!AU14-'Net zero supporting data'!S131</f>
        <v>4217154.3735413402</v>
      </c>
      <c r="T141" s="11">
        <f>'Activity data'!AV14-'Net zero supporting data'!T131</f>
        <v>4226865.6962580876</v>
      </c>
      <c r="U141" s="11">
        <f>'Activity data'!AW14-'Net zero supporting data'!U131</f>
        <v>4151505.7120802035</v>
      </c>
      <c r="V141" s="11">
        <f>'Activity data'!AX14-'Net zero supporting data'!V131</f>
        <v>4075573.3407799192</v>
      </c>
      <c r="W141" s="11">
        <f>'Activity data'!AY14-'Net zero supporting data'!W131</f>
        <v>3999064.1178496848</v>
      </c>
      <c r="X141" s="11">
        <f>'Activity data'!AZ14-'Net zero supporting data'!X131</f>
        <v>3921935.2352034948</v>
      </c>
      <c r="Y141" s="11">
        <f>'Activity data'!BA14-'Net zero supporting data'!Y131</f>
        <v>3844246.1657803231</v>
      </c>
      <c r="Z141" s="11">
        <f>'Activity data'!BB14-'Net zero supporting data'!Z131</f>
        <v>3766026.3109005354</v>
      </c>
      <c r="AA141" s="11">
        <f>'Activity data'!BC14-'Net zero supporting data'!AA131</f>
        <v>3687319.8480537292</v>
      </c>
      <c r="AB141" s="11">
        <f>'Activity data'!BD14-'Net zero supporting data'!AB131</f>
        <v>3607929.3590286402</v>
      </c>
      <c r="AC141" s="11">
        <f>'Activity data'!BE14-'Net zero supporting data'!AC131</f>
        <v>3527879.3611278581</v>
      </c>
      <c r="AD141" s="11">
        <f>'Activity data'!BF14-'Net zero supporting data'!AD131</f>
        <v>3447258.8503365614</v>
      </c>
      <c r="AE141" s="11">
        <f>'Activity data'!BG14-'Net zero supporting data'!AE131</f>
        <v>3452358.7386475974</v>
      </c>
      <c r="AF141" s="11">
        <f>'Activity data'!BH14-'Net zero supporting data'!AF131</f>
        <v>3457148.3687251159</v>
      </c>
      <c r="AG141" s="11">
        <f>'Activity data'!BI14-'Net zero supporting data'!AG131</f>
        <v>3461608.0365441134</v>
      </c>
      <c r="AH141" s="11">
        <f>'Activity data'!BJ14-'Net zero supporting data'!AH131</f>
        <v>3465668.9050589898</v>
      </c>
      <c r="AI141" s="11">
        <f>'Activity data'!BK14-'Net zero supporting data'!AI131</f>
        <v>3469267.7403142811</v>
      </c>
      <c r="AJ141" s="11">
        <f>'Activity data'!BL14-'Net zero supporting data'!AJ131</f>
        <v>3472404.7878509732</v>
      </c>
      <c r="AK141" s="11">
        <f>'Activity data'!BM14-'Net zero supporting data'!AK131</f>
        <v>3475054.2718294589</v>
      </c>
      <c r="AL141" s="11">
        <f>'Activity data'!BN14-'Net zero supporting data'!AL131</f>
        <v>3477218.8794013187</v>
      </c>
      <c r="AM141" s="11">
        <f>'Activity data'!BO14-'Net zero supporting data'!AM131</f>
        <v>3478961.3942089253</v>
      </c>
      <c r="AN141" s="11">
        <f>'Activity data'!BP14-'Net zero supporting data'!AN131</f>
        <v>3479937.652304648</v>
      </c>
    </row>
    <row r="142" spans="1:40" x14ac:dyDescent="0.25">
      <c r="A142" t="s">
        <v>1087</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1088</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1089</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1090</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1091</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1092</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1093</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1094</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1095</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1096</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75" x14ac:dyDescent="0.25">
      <c r="A153" s="107" t="s">
        <v>1115</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5">
      <c r="A154" t="s">
        <v>1116</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1117</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1124</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1127</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21011.563502333647</v>
      </c>
      <c r="L157">
        <f>'Net zero Activity data'!AN47*'Net zero supporting data'!L154</f>
        <v>42003.163910609714</v>
      </c>
      <c r="M157">
        <f>'Net zero Activity data'!AO47*'Net zero supporting data'!M154</f>
        <v>62988.239317699656</v>
      </c>
      <c r="N157">
        <f>'Net zero Activity data'!AP47*'Net zero supporting data'!N154</f>
        <v>83975.777504991434</v>
      </c>
      <c r="O157">
        <f>'Net zero Activity data'!AQ47*'Net zero supporting data'!O154</f>
        <v>104958.20586897268</v>
      </c>
      <c r="P157">
        <f>'Net zero Activity data'!AR47*'Net zero supporting data'!P154</f>
        <v>125930.73194889422</v>
      </c>
      <c r="Q157">
        <f>'Net zero Activity data'!AS47*'Net zero supporting data'!Q154</f>
        <v>146891.07020246735</v>
      </c>
      <c r="R157">
        <f>'Net zero Activity data'!AT47*'Net zero supporting data'!R154</f>
        <v>167840.38002521079</v>
      </c>
      <c r="S157">
        <f>'Net zero Activity data'!AU47*'Net zero supporting data'!S154</f>
        <v>188776.58050321563</v>
      </c>
      <c r="T157">
        <f>'Net zero Activity data'!AV47*'Net zero supporting data'!T154</f>
        <v>209694.8604613441</v>
      </c>
      <c r="U157">
        <f>'Net zero Activity data'!AW47*'Net zero supporting data'!U154</f>
        <v>230593.65270942432</v>
      </c>
      <c r="V157">
        <f>'Net zero Activity data'!AX47*'Net zero supporting data'!V154</f>
        <v>251475.01074171907</v>
      </c>
      <c r="W157">
        <f>'Net zero Activity data'!AY47*'Net zero supporting data'!W154</f>
        <v>272338.30636938836</v>
      </c>
      <c r="X157">
        <f>'Net zero Activity data'!AZ47*'Net zero supporting data'!X154</f>
        <v>293185.18901723623</v>
      </c>
      <c r="Y157">
        <f>'Net zero Activity data'!BA47*'Net zero supporting data'!Y154</f>
        <v>314014.30570454645</v>
      </c>
      <c r="Z157">
        <f>'Net zero Activity data'!BB47*'Net zero supporting data'!Z154</f>
        <v>334826.49936878192</v>
      </c>
      <c r="AA157">
        <f>'Net zero Activity data'!BC47*'Net zero supporting data'!AA154</f>
        <v>355626.17571917293</v>
      </c>
      <c r="AB157">
        <f>'Net zero Activity data'!BD47*'Net zero supporting data'!AB154</f>
        <v>376406.8992758122</v>
      </c>
      <c r="AC157">
        <f>'Net zero Activity data'!BE47*'Net zero supporting data'!AC154</f>
        <v>397172.89452142647</v>
      </c>
      <c r="AD157">
        <f>'Net zero Activity data'!BF47*'Net zero supporting data'!AD154</f>
        <v>417924.66957713431</v>
      </c>
      <c r="AE157">
        <f>'Net zero Activity data'!BG47*'Net zero supporting data'!AE154</f>
        <v>417771.57053778635</v>
      </c>
      <c r="AF157">
        <f>'Net zero Activity data'!BH47*'Net zero supporting data'!AF154</f>
        <v>417622.73329030647</v>
      </c>
      <c r="AG157">
        <f>'Net zero Activity data'!BI47*'Net zero supporting data'!AG154</f>
        <v>417471.00911182986</v>
      </c>
      <c r="AH157">
        <f>'Net zero Activity data'!BJ47*'Net zero supporting data'!AH154</f>
        <v>417314.21145497524</v>
      </c>
      <c r="AI157">
        <f>'Net zero Activity data'!BK47*'Net zero supporting data'!AI154</f>
        <v>417156.81301954488</v>
      </c>
      <c r="AJ157">
        <f>'Net zero Activity data'!BL47*'Net zero supporting data'!AJ154</f>
        <v>416998.6898637854</v>
      </c>
      <c r="AK157">
        <f>'Net zero Activity data'!BM47*'Net zero supporting data'!AK154</f>
        <v>416835.67922077188</v>
      </c>
      <c r="AL157">
        <f>'Net zero Activity data'!BN47*'Net zero supporting data'!AL154</f>
        <v>416669.54706381354</v>
      </c>
      <c r="AM157">
        <f>'Net zero Activity data'!BO47*'Net zero supporting data'!AM154</f>
        <v>416501.48105856666</v>
      </c>
      <c r="AN157">
        <f>'Net zero Activity data'!BP47*'Net zero supporting data'!AN154</f>
        <v>416329.14483667782</v>
      </c>
    </row>
    <row r="158" spans="1:48" x14ac:dyDescent="0.25">
      <c r="A158" t="s">
        <v>1128</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138.67631911540209</v>
      </c>
      <c r="L158">
        <f>'Net zero Activity data'!AN48*'Net zero supporting data'!L155</f>
        <v>277.22088181002414</v>
      </c>
      <c r="M158">
        <f>'Net zero Activity data'!AO48*'Net zero supporting data'!M155</f>
        <v>415.72237949681778</v>
      </c>
      <c r="N158">
        <f>'Net zero Activity data'!AP48*'Net zero supporting data'!N155</f>
        <v>554.24013153294356</v>
      </c>
      <c r="O158">
        <f>'Net zero Activity data'!AQ48*'Net zero supporting data'!O155</f>
        <v>692.72415873521982</v>
      </c>
      <c r="P158">
        <f>'Net zero Activity data'!AR48*'Net zero supporting data'!P155</f>
        <v>831.14283086270189</v>
      </c>
      <c r="Q158">
        <f>'Net zero Activity data'!AS48*'Net zero supporting data'!Q155</f>
        <v>969.48106333628482</v>
      </c>
      <c r="R158">
        <f>'Net zero Activity data'!AT48*'Net zero supporting data'!R155</f>
        <v>1107.7465081663913</v>
      </c>
      <c r="S158">
        <f>'Net zero Activity data'!AU48*'Net zero supporting data'!S155</f>
        <v>1245.9254313212236</v>
      </c>
      <c r="T158">
        <f>'Net zero Activity data'!AV48*'Net zero supporting data'!T155</f>
        <v>1383.9860790448711</v>
      </c>
      <c r="U158">
        <f>'Net zero Activity data'!AW48*'Net zero supporting data'!U155</f>
        <v>1521.9181078822007</v>
      </c>
      <c r="V158">
        <f>'Net zero Activity data'!AX48*'Net zero supporting data'!V155</f>
        <v>1659.7350708953461</v>
      </c>
      <c r="W158">
        <f>'Net zero Activity data'!AY48*'Net zero supporting data'!W155</f>
        <v>1797.4328220379637</v>
      </c>
      <c r="X158">
        <f>'Net zero Activity data'!AZ48*'Net zero supporting data'!X155</f>
        <v>1935.0222475137593</v>
      </c>
      <c r="Y158">
        <f>'Net zero Activity data'!BA48*'Net zero supporting data'!Y155</f>
        <v>2072.4944176500071</v>
      </c>
      <c r="Z158">
        <f>'Net zero Activity data'!BB48*'Net zero supporting data'!Z155</f>
        <v>2209.8548958339611</v>
      </c>
      <c r="AA158">
        <f>'Net zero Activity data'!BC48*'Net zero supporting data'!AA155</f>
        <v>2347.1327597465415</v>
      </c>
      <c r="AB158">
        <f>'Net zero Activity data'!BD48*'Net zero supporting data'!AB155</f>
        <v>2484.285535220361</v>
      </c>
      <c r="AC158">
        <f>'Net zero Activity data'!BE48*'Net zero supporting data'!AC155</f>
        <v>2621.3411038414151</v>
      </c>
      <c r="AD158">
        <f>'Net zero Activity data'!BF48*'Net zero supporting data'!AD155</f>
        <v>2758.3028192090869</v>
      </c>
      <c r="AE158">
        <f>'Net zero Activity data'!BG48*'Net zero supporting data'!AE155</f>
        <v>2757.2923655493905</v>
      </c>
      <c r="AF158">
        <f>'Net zero Activity data'!BH48*'Net zero supporting data'!AF155</f>
        <v>2756.3100397160233</v>
      </c>
      <c r="AG158">
        <f>'Net zero Activity data'!BI48*'Net zero supporting data'!AG155</f>
        <v>2755.3086601380778</v>
      </c>
      <c r="AH158">
        <f>'Net zero Activity data'!BJ48*'Net zero supporting data'!AH155</f>
        <v>2754.2737956028373</v>
      </c>
      <c r="AI158">
        <f>'Net zero Activity data'!BK48*'Net zero supporting data'!AI155</f>
        <v>2753.2349659289971</v>
      </c>
      <c r="AJ158">
        <f>'Net zero Activity data'!BL48*'Net zero supporting data'!AJ155</f>
        <v>2752.1913531009841</v>
      </c>
      <c r="AK158">
        <f>'Net zero Activity data'!BM48*'Net zero supporting data'!AK155</f>
        <v>2751.1154828570948</v>
      </c>
      <c r="AL158">
        <f>'Net zero Activity data'!BN48*'Net zero supporting data'!AL155</f>
        <v>2750.0190106211703</v>
      </c>
      <c r="AM158">
        <f>'Net zero Activity data'!BO48*'Net zero supporting data'!AM155</f>
        <v>2748.9097749865405</v>
      </c>
      <c r="AN158">
        <f>'Net zero Activity data'!BP48*'Net zero supporting data'!AN155</f>
        <v>2747.772355922074</v>
      </c>
    </row>
    <row r="159" spans="1:48" x14ac:dyDescent="0.25">
      <c r="A159" t="s">
        <v>1131</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1036471.5840785556</v>
      </c>
      <c r="L159">
        <f>'Net zero Activity data'!AN50*'Net zero supporting data'!L156</f>
        <v>2093284.4023349334</v>
      </c>
      <c r="M159">
        <f>'Net zero Activity data'!AO50*'Net zero supporting data'!M156</f>
        <v>3147895.0605532322</v>
      </c>
      <c r="N159">
        <f>'Net zero Activity data'!AP50*'Net zero supporting data'!N156</f>
        <v>4212300.3607849898</v>
      </c>
      <c r="O159">
        <f>'Net zero Activity data'!AQ50*'Net zero supporting data'!O156</f>
        <v>5297062.4140782449</v>
      </c>
      <c r="P159">
        <f>'Net zero Activity data'!AR50*'Net zero supporting data'!P156</f>
        <v>6406706.408975319</v>
      </c>
      <c r="Q159">
        <f>'Net zero Activity data'!AS50*'Net zero supporting data'!Q156</f>
        <v>7540103.8838489866</v>
      </c>
      <c r="R159">
        <f>'Net zero Activity data'!AT50*'Net zero supporting data'!R156</f>
        <v>8702620.6215476748</v>
      </c>
      <c r="S159">
        <f>'Net zero Activity data'!AU50*'Net zero supporting data'!S156</f>
        <v>9906379.9108237848</v>
      </c>
      <c r="T159">
        <f>'Net zero Activity data'!AV50*'Net zero supporting data'!T156</f>
        <v>11157267.720914457</v>
      </c>
      <c r="U159">
        <f>'Net zero Activity data'!AW50*'Net zero supporting data'!U156</f>
        <v>12452797.046835599</v>
      </c>
      <c r="V159">
        <f>'Net zero Activity data'!AX50*'Net zero supporting data'!V156</f>
        <v>13796773.993503122</v>
      </c>
      <c r="W159">
        <f>'Net zero Activity data'!AY50*'Net zero supporting data'!W156</f>
        <v>15187312.219546739</v>
      </c>
      <c r="X159">
        <f>'Net zero Activity data'!AZ50*'Net zero supporting data'!X156</f>
        <v>16629907.027991198</v>
      </c>
      <c r="Y159">
        <f>'Net zero Activity data'!BA50*'Net zero supporting data'!Y156</f>
        <v>18124752.401350103</v>
      </c>
      <c r="Z159">
        <f>'Net zero Activity data'!BB50*'Net zero supporting data'!Z156</f>
        <v>19661841.713231172</v>
      </c>
      <c r="AA159">
        <f>'Net zero Activity data'!BC50*'Net zero supporting data'!AA156</f>
        <v>21261069.254902646</v>
      </c>
      <c r="AB159">
        <f>'Net zero Activity data'!BD50*'Net zero supporting data'!AB156</f>
        <v>22912439.947709892</v>
      </c>
      <c r="AC159">
        <f>'Net zero Activity data'!BE50*'Net zero supporting data'!AC156</f>
        <v>24616306.529199474</v>
      </c>
      <c r="AD159">
        <f>'Net zero Activity data'!BF50*'Net zero supporting data'!AD156</f>
        <v>26381236.262779713</v>
      </c>
      <c r="AE159">
        <f>'Net zero Activity data'!BG50*'Net zero supporting data'!AE156</f>
        <v>26848749.650431447</v>
      </c>
      <c r="AF159">
        <f>'Net zero Activity data'!BH50*'Net zero supporting data'!AF156</f>
        <v>27338720.117362902</v>
      </c>
      <c r="AG159">
        <f>'Net zero Activity data'!BI50*'Net zero supporting data'!AG156</f>
        <v>27860193.82004628</v>
      </c>
      <c r="AH159">
        <f>'Net zero Activity data'!BJ50*'Net zero supporting data'!AH156</f>
        <v>28398386.754114613</v>
      </c>
      <c r="AI159">
        <f>'Net zero Activity data'!BK50*'Net zero supporting data'!AI156</f>
        <v>28954272.596526124</v>
      </c>
      <c r="AJ159">
        <f>'Net zero Activity data'!BL50*'Net zero supporting data'!AJ156</f>
        <v>29544957.282131359</v>
      </c>
      <c r="AK159">
        <f>'Net zero Activity data'!BM50*'Net zero supporting data'!AK156</f>
        <v>30165473.12036851</v>
      </c>
      <c r="AL159">
        <f>'Net zero Activity data'!BN50*'Net zero supporting data'!AL156</f>
        <v>30812618.677519802</v>
      </c>
      <c r="AM159">
        <f>'Net zero Activity data'!BO50*'Net zero supporting data'!AM156</f>
        <v>31498055.028566629</v>
      </c>
      <c r="AN159">
        <f>'Net zero Activity data'!BP50*'Net zero supporting data'!AN156</f>
        <v>32157571.157716651</v>
      </c>
    </row>
    <row r="160" spans="1:48" x14ac:dyDescent="0.25">
      <c r="A160" t="s">
        <v>1133</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3030612.6096765501</v>
      </c>
      <c r="L160">
        <f>'Net zero Activity data'!AN51*'Net zero supporting data'!L156</f>
        <v>6120702.3933949694</v>
      </c>
      <c r="M160">
        <f>'Net zero Activity data'!AO51*'Net zero supporting data'!M156</f>
        <v>9204353.125544155</v>
      </c>
      <c r="N160">
        <f>'Net zero Activity data'!AP51*'Net zero supporting data'!N156</f>
        <v>12316643.104585618</v>
      </c>
      <c r="O160">
        <f>'Net zero Activity data'!AQ51*'Net zero supporting data'!O156</f>
        <v>15488455.634431105</v>
      </c>
      <c r="P160">
        <f>'Net zero Activity data'!AR51*'Net zero supporting data'!P156</f>
        <v>18733022.234080452</v>
      </c>
      <c r="Q160">
        <f>'Net zero Activity data'!AS51*'Net zero supporting data'!Q156</f>
        <v>22047043.314727243</v>
      </c>
      <c r="R160">
        <f>'Net zero Activity data'!AT51*'Net zero supporting data'!R156</f>
        <v>25446208.268546823</v>
      </c>
      <c r="S160">
        <f>'Net zero Activity data'!AU51*'Net zero supporting data'!S156</f>
        <v>28965965.237416089</v>
      </c>
      <c r="T160">
        <f>'Net zero Activity data'!AV51*'Net zero supporting data'!T156</f>
        <v>32623524.623302884</v>
      </c>
      <c r="U160">
        <f>'Net zero Activity data'!AW51*'Net zero supporting data'!U156</f>
        <v>36411614.496343523</v>
      </c>
      <c r="V160">
        <f>'Net zero Activity data'!AX51*'Net zero supporting data'!V156</f>
        <v>40341363.796037279</v>
      </c>
      <c r="W160">
        <f>'Net zero Activity data'!AY51*'Net zero supporting data'!W156</f>
        <v>44407256.915366314</v>
      </c>
      <c r="X160">
        <f>'Net zero Activity data'!AZ51*'Net zero supporting data'!X156</f>
        <v>48625361.959714882</v>
      </c>
      <c r="Y160">
        <f>'Net zero Activity data'!BA51*'Net zero supporting data'!Y156</f>
        <v>52996246.128281511</v>
      </c>
      <c r="Z160">
        <f>'Net zero Activity data'!BB51*'Net zero supporting data'!Z156</f>
        <v>57490650.338047832</v>
      </c>
      <c r="AA160">
        <f>'Net zero Activity data'!BC51*'Net zero supporting data'!AA156</f>
        <v>62166744.915054843</v>
      </c>
      <c r="AB160">
        <f>'Net zero Activity data'!BD51*'Net zero supporting data'!AB156</f>
        <v>66995304.541531444</v>
      </c>
      <c r="AC160">
        <f>'Net zero Activity data'!BE51*'Net zero supporting data'!AC156</f>
        <v>71977360.611751109</v>
      </c>
      <c r="AD160">
        <f>'Net zero Activity data'!BF51*'Net zero supporting data'!AD156</f>
        <v>77137963.553448319</v>
      </c>
      <c r="AE160">
        <f>'Net zero Activity data'!BG51*'Net zero supporting data'!AE156</f>
        <v>78504959.03077206</v>
      </c>
      <c r="AF160">
        <f>'Net zero Activity data'!BH51*'Net zero supporting data'!AF156</f>
        <v>79937618.351356998</v>
      </c>
      <c r="AG160">
        <f>'Net zero Activity data'!BI51*'Net zero supporting data'!AG156</f>
        <v>81462392.212255403</v>
      </c>
      <c r="AH160">
        <f>'Net zero Activity data'!BJ51*'Net zero supporting data'!AH156</f>
        <v>83036052.616921827</v>
      </c>
      <c r="AI160">
        <f>'Net zero Activity data'!BK51*'Net zero supporting data'!AI156</f>
        <v>84661446.568315804</v>
      </c>
      <c r="AJ160">
        <f>'Net zero Activity data'!BL51*'Net zero supporting data'!AJ156</f>
        <v>86388591.319833055</v>
      </c>
      <c r="AK160">
        <f>'Net zero Activity data'!BM51*'Net zero supporting data'!AK156</f>
        <v>88202961.489505738</v>
      </c>
      <c r="AL160">
        <f>'Net zero Activity data'!BN51*'Net zero supporting data'!AL156</f>
        <v>90095196.178739846</v>
      </c>
      <c r="AM160">
        <f>'Net zero Activity data'!BO51*'Net zero supporting data'!AM156</f>
        <v>92099392.029859036</v>
      </c>
      <c r="AN160">
        <f>'Net zero Activity data'!BP51*'Net zero supporting data'!AN156</f>
        <v>94027797.909952775</v>
      </c>
    </row>
    <row r="161" spans="1:40" x14ac:dyDescent="0.25">
      <c r="A161" t="s">
        <v>1132</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162120.68685568348</v>
      </c>
      <c r="L161">
        <f>'Net zero Activity data'!AN52*'Net zero supporting data'!L156</f>
        <v>327423.06716737477</v>
      </c>
      <c r="M161">
        <f>'Net zero Activity data'!AO52*'Net zero supporting data'!M156</f>
        <v>492380.99452596664</v>
      </c>
      <c r="N161">
        <f>'Net zero Activity data'!AP52*'Net zero supporting data'!N156</f>
        <v>658870.96011418279</v>
      </c>
      <c r="O161">
        <f>'Net zero Activity data'!AQ52*'Net zero supporting data'!O156</f>
        <v>828545.04655933054</v>
      </c>
      <c r="P161">
        <f>'Net zero Activity data'!AR52*'Net zero supporting data'!P156</f>
        <v>1002111.0655234968</v>
      </c>
      <c r="Q161">
        <f>'Net zero Activity data'!AS52*'Net zero supporting data'!Q156</f>
        <v>1179392.5076098917</v>
      </c>
      <c r="R161">
        <f>'Net zero Activity data'!AT52*'Net zero supporting data'!R156</f>
        <v>1361228.6668370562</v>
      </c>
      <c r="S161">
        <f>'Net zero Activity data'!AU52*'Net zero supporting data'!S156</f>
        <v>1549515.8189251171</v>
      </c>
      <c r="T161">
        <f>'Net zero Activity data'!AV52*'Net zero supporting data'!T156</f>
        <v>1745174.623340474</v>
      </c>
      <c r="U161">
        <f>'Net zero Activity data'!AW52*'Net zero supporting data'!U156</f>
        <v>1947816.0728373642</v>
      </c>
      <c r="V161">
        <f>'Net zero Activity data'!AX52*'Net zero supporting data'!V156</f>
        <v>2158035.5029297462</v>
      </c>
      <c r="W161">
        <f>'Net zero Activity data'!AY52*'Net zero supporting data'!W156</f>
        <v>2375537.8597412854</v>
      </c>
      <c r="X161">
        <f>'Net zero Activity data'!AZ52*'Net zero supporting data'!X156</f>
        <v>2601182.6963118692</v>
      </c>
      <c r="Y161">
        <f>'Net zero Activity data'!BA52*'Net zero supporting data'!Y156</f>
        <v>2835000.3546005287</v>
      </c>
      <c r="Z161">
        <f>'Net zero Activity data'!BB52*'Net zero supporting data'!Z156</f>
        <v>3075425.63863977</v>
      </c>
      <c r="AA161">
        <f>'Net zero Activity data'!BC52*'Net zero supporting data'!AA156</f>
        <v>3325570.3328860668</v>
      </c>
      <c r="AB161">
        <f>'Net zero Activity data'!BD52*'Net zero supporting data'!AB156</f>
        <v>3583871.0476222713</v>
      </c>
      <c r="AC161">
        <f>'Net zero Activity data'!BE52*'Net zero supporting data'!AC156</f>
        <v>3850382.9566266192</v>
      </c>
      <c r="AD161">
        <f>'Net zero Activity data'!BF52*'Net zero supporting data'!AD156</f>
        <v>4126446.1165389316</v>
      </c>
      <c r="AE161">
        <f>'Net zero Activity data'!BG52*'Net zero supporting data'!AE156</f>
        <v>4199572.6669283565</v>
      </c>
      <c r="AF161">
        <f>'Net zero Activity data'!BH52*'Net zero supporting data'!AF156</f>
        <v>4276211.8626941964</v>
      </c>
      <c r="AG161">
        <f>'Net zero Activity data'!BI52*'Net zero supporting data'!AG156</f>
        <v>4357778.6669895258</v>
      </c>
      <c r="AH161">
        <f>'Net zero Activity data'!BJ52*'Net zero supporting data'!AH156</f>
        <v>4441960.6257352661</v>
      </c>
      <c r="AI161">
        <f>'Net zero Activity data'!BK52*'Net zero supporting data'!AI156</f>
        <v>4528910.0375372544</v>
      </c>
      <c r="AJ161">
        <f>'Net zero Activity data'!BL52*'Net zero supporting data'!AJ156</f>
        <v>4621302.543435608</v>
      </c>
      <c r="AK161">
        <f>'Net zero Activity data'!BM52*'Net zero supporting data'!AK156</f>
        <v>4718361.1173947509</v>
      </c>
      <c r="AL161">
        <f>'Net zero Activity data'!BN52*'Net zero supporting data'!AL156</f>
        <v>4819585.004120254</v>
      </c>
      <c r="AM161">
        <f>'Net zero Activity data'!BO52*'Net zero supporting data'!AM156</f>
        <v>4926798.1817264259</v>
      </c>
      <c r="AN161">
        <f>'Net zero Activity data'!BP52*'Net zero supporting data'!AN156</f>
        <v>5029957.0232158033</v>
      </c>
    </row>
    <row r="162" spans="1:40" x14ac:dyDescent="0.25">
      <c r="A162" t="s">
        <v>1134</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1063447.6598692907</v>
      </c>
      <c r="L162">
        <f>'Net zero Activity data'!AN53*'Net zero supporting data'!L156</f>
        <v>2160493.2281334135</v>
      </c>
      <c r="M162">
        <f>'Net zero Activity data'!AO53*'Net zero supporting data'!M156</f>
        <v>3218854.2401025109</v>
      </c>
      <c r="N162">
        <f>'Net zero Activity data'!AP53*'Net zero supporting data'!N156</f>
        <v>4268069.1251030331</v>
      </c>
      <c r="O162">
        <f>'Net zero Activity data'!AQ53*'Net zero supporting data'!O156</f>
        <v>5337035.4414210115</v>
      </c>
      <c r="P162">
        <f>'Net zero Activity data'!AR53*'Net zero supporting data'!P156</f>
        <v>6442049.9060760392</v>
      </c>
      <c r="Q162">
        <f>'Net zero Activity data'!AS53*'Net zero supporting data'!Q156</f>
        <v>7577980.8907634923</v>
      </c>
      <c r="R162">
        <f>'Net zero Activity data'!AT53*'Net zero supporting data'!R156</f>
        <v>8758436.8756640553</v>
      </c>
      <c r="S162">
        <f>'Net zero Activity data'!AU53*'Net zero supporting data'!S156</f>
        <v>10014550.358710548</v>
      </c>
      <c r="T162">
        <f>'Net zero Activity data'!AV53*'Net zero supporting data'!T156</f>
        <v>11358321.303305244</v>
      </c>
      <c r="U162">
        <f>'Net zero Activity data'!AW53*'Net zero supporting data'!U156</f>
        <v>12671343.776411824</v>
      </c>
      <c r="V162">
        <f>'Net zero Activity data'!AX53*'Net zero supporting data'!V156</f>
        <v>14039416.736793321</v>
      </c>
      <c r="W162">
        <f>'Net zero Activity data'!AY53*'Net zero supporting data'!W156</f>
        <v>15450603.328637598</v>
      </c>
      <c r="X162">
        <f>'Net zero Activity data'!AZ53*'Net zero supporting data'!X156</f>
        <v>16912311.032183915</v>
      </c>
      <c r="Y162">
        <f>'Net zero Activity data'!BA53*'Net zero supporting data'!Y156</f>
        <v>18417431.52344197</v>
      </c>
      <c r="Z162">
        <f>'Net zero Activity data'!BB53*'Net zero supporting data'!Z156</f>
        <v>19934650.710959665</v>
      </c>
      <c r="AA162">
        <f>'Net zero Activity data'!BC53*'Net zero supporting data'!AA156</f>
        <v>21504898.521910269</v>
      </c>
      <c r="AB162">
        <f>'Net zero Activity data'!BD53*'Net zero supporting data'!AB156</f>
        <v>23097753.469741259</v>
      </c>
      <c r="AC162">
        <f>'Net zero Activity data'!BE53*'Net zero supporting data'!AC156</f>
        <v>24707289.902447037</v>
      </c>
      <c r="AD162">
        <f>'Net zero Activity data'!BF53*'Net zero supporting data'!AD156</f>
        <v>26345073.289304607</v>
      </c>
      <c r="AE162">
        <f>'Net zero Activity data'!BG53*'Net zero supporting data'!AE156</f>
        <v>26773519.856970955</v>
      </c>
      <c r="AF162">
        <f>'Net zero Activity data'!BH53*'Net zero supporting data'!AF156</f>
        <v>27216666.396129146</v>
      </c>
      <c r="AG162">
        <f>'Net zero Activity data'!BI53*'Net zero supporting data'!AG156</f>
        <v>27690617.347840179</v>
      </c>
      <c r="AH162">
        <f>'Net zero Activity data'!BJ53*'Net zero supporting data'!AH156</f>
        <v>28162724.3124079</v>
      </c>
      <c r="AI162">
        <f>'Net zero Activity data'!BK53*'Net zero supporting data'!AI156</f>
        <v>28633600.056482889</v>
      </c>
      <c r="AJ162">
        <f>'Net zero Activity data'!BL53*'Net zero supporting data'!AJ156</f>
        <v>29134190.572668709</v>
      </c>
      <c r="AK162">
        <f>'Net zero Activity data'!BM53*'Net zero supporting data'!AK156</f>
        <v>29651534.309708197</v>
      </c>
      <c r="AL162">
        <f>'Net zero Activity data'!BN53*'Net zero supporting data'!AL156</f>
        <v>30176636.751244299</v>
      </c>
      <c r="AM162">
        <f>'Net zero Activity data'!BO53*'Net zero supporting data'!AM156</f>
        <v>30727367.461714763</v>
      </c>
      <c r="AN162">
        <f>'Net zero Activity data'!BP53*'Net zero supporting data'!AN156</f>
        <v>31189086.654408094</v>
      </c>
    </row>
    <row r="163" spans="1:40" x14ac:dyDescent="0.25">
      <c r="A163" t="s">
        <v>1135</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1293435.4750067256</v>
      </c>
      <c r="L163">
        <f>'Net zero Activity data'!AN55*'Net zero supporting data'!L156</f>
        <v>2690174.8072373043</v>
      </c>
      <c r="M163">
        <f>'Net zero Activity data'!AO55*'Net zero supporting data'!M156</f>
        <v>4102038.313875136</v>
      </c>
      <c r="N163">
        <f>'Net zero Activity data'!AP55*'Net zero supporting data'!N156</f>
        <v>5565234.4369263258</v>
      </c>
      <c r="O163">
        <f>'Net zero Activity data'!AQ55*'Net zero supporting data'!O156</f>
        <v>7118662.4832890127</v>
      </c>
      <c r="P163">
        <f>'Net zero Activity data'!AR55*'Net zero supporting data'!P156</f>
        <v>8787600.8054342307</v>
      </c>
      <c r="Q163">
        <f>'Net zero Activity data'!AS55*'Net zero supporting data'!Q156</f>
        <v>10569572.582048085</v>
      </c>
      <c r="R163">
        <f>'Net zero Activity data'!AT55*'Net zero supporting data'!R156</f>
        <v>12488360.14285798</v>
      </c>
      <c r="S163">
        <f>'Net zero Activity data'!AU55*'Net zero supporting data'!S156</f>
        <v>14595171.059944857</v>
      </c>
      <c r="T163">
        <f>'Net zero Activity data'!AV55*'Net zero supporting data'!T156</f>
        <v>16916913.587196391</v>
      </c>
      <c r="U163">
        <f>'Net zero Activity data'!AW55*'Net zero supporting data'!U156</f>
        <v>19498373.136880342</v>
      </c>
      <c r="V163">
        <f>'Net zero Activity data'!AX55*'Net zero supporting data'!V156</f>
        <v>22321337.53068478</v>
      </c>
      <c r="W163">
        <f>'Net zero Activity data'!AY55*'Net zero supporting data'!W156</f>
        <v>25383277.913323652</v>
      </c>
      <c r="X163">
        <f>'Net zero Activity data'!AZ55*'Net zero supporting data'!X156</f>
        <v>28713149.072280355</v>
      </c>
      <c r="Y163">
        <f>'Net zero Activity data'!BA55*'Net zero supporting data'!Y156</f>
        <v>32317353.899974369</v>
      </c>
      <c r="Z163">
        <f>'Net zero Activity data'!BB55*'Net zero supporting data'!Z156</f>
        <v>36158151.683505014</v>
      </c>
      <c r="AA163">
        <f>'Net zero Activity data'!BC55*'Net zero supporting data'!AA156</f>
        <v>40327066.0030265</v>
      </c>
      <c r="AB163">
        <f>'Net zero Activity data'!BD55*'Net zero supporting data'!AB156</f>
        <v>44788883.228195161</v>
      </c>
      <c r="AC163">
        <f>'Net zero Activity data'!BE55*'Net zero supporting data'!AC156</f>
        <v>49551347.22721833</v>
      </c>
      <c r="AD163">
        <f>'Net zero Activity data'!BF55*'Net zero supporting data'!AD156</f>
        <v>54658457.268251188</v>
      </c>
      <c r="AE163">
        <f>'Net zero Activity data'!BG55*'Net zero supporting data'!AE156</f>
        <v>57114642.643233046</v>
      </c>
      <c r="AF163">
        <f>'Net zero Activity data'!BH55*'Net zero supporting data'!AF156</f>
        <v>59703824.718975551</v>
      </c>
      <c r="AG163">
        <f>'Net zero Activity data'!BI55*'Net zero supporting data'!AG156</f>
        <v>62470022.784853309</v>
      </c>
      <c r="AH163">
        <f>'Net zero Activity data'!BJ55*'Net zero supporting data'!AH156</f>
        <v>65348775.961881831</v>
      </c>
      <c r="AI163">
        <f>'Net zero Activity data'!BK55*'Net zero supporting data'!AI156</f>
        <v>68347071.248047099</v>
      </c>
      <c r="AJ163">
        <f>'Net zero Activity data'!BL55*'Net zero supporting data'!AJ156</f>
        <v>71546921.570232078</v>
      </c>
      <c r="AK163">
        <f>'Net zero Activity data'!BM55*'Net zero supporting data'!AK156</f>
        <v>74928605.302853227</v>
      </c>
      <c r="AL163">
        <f>'Net zero Activity data'!BN55*'Net zero supporting data'!AL156</f>
        <v>78479801.567259029</v>
      </c>
      <c r="AM163">
        <f>'Net zero Activity data'!BO55*'Net zero supporting data'!AM156</f>
        <v>82258137.922495723</v>
      </c>
      <c r="AN163">
        <f>'Net zero Activity data'!BP55*'Net zero supporting data'!AN156</f>
        <v>85962378.80601123</v>
      </c>
    </row>
    <row r="164" spans="1:40" x14ac:dyDescent="0.25">
      <c r="A164" t="s">
        <v>1136</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188520.37896685346</v>
      </c>
      <c r="L164">
        <f>'Net zero Activity data'!AN56*'Net zero supporting data'!L156</f>
        <v>376945.41297428304</v>
      </c>
      <c r="M164">
        <f>'Net zero Activity data'!AO56*'Net zero supporting data'!M156</f>
        <v>565407.8233465181</v>
      </c>
      <c r="N164">
        <f>'Net zero Activity data'!AP56*'Net zero supporting data'!N156</f>
        <v>754676.74236919591</v>
      </c>
      <c r="O164">
        <f>'Net zero Activity data'!AQ56*'Net zero supporting data'!O156</f>
        <v>944981.79299247928</v>
      </c>
      <c r="P164">
        <f>'Net zero Activity data'!AR56*'Net zero supporting data'!P156</f>
        <v>1135861.7083665594</v>
      </c>
      <c r="Q164">
        <f>'Net zero Activity data'!AS56*'Net zero supporting data'!Q156</f>
        <v>1327283.8373965253</v>
      </c>
      <c r="R164">
        <f>'Net zero Activity data'!AT56*'Net zero supporting data'!R156</f>
        <v>1519208.183968795</v>
      </c>
      <c r="S164">
        <f>'Net zero Activity data'!AU56*'Net zero supporting data'!S156</f>
        <v>1711651.0235431066</v>
      </c>
      <c r="T164">
        <f>'Net zero Activity data'!AV56*'Net zero supporting data'!T156</f>
        <v>1904633.744383787</v>
      </c>
      <c r="U164">
        <f>'Net zero Activity data'!AW56*'Net zero supporting data'!U156</f>
        <v>2098117.9606115241</v>
      </c>
      <c r="V164">
        <f>'Net zero Activity data'!AX56*'Net zero supporting data'!V156</f>
        <v>2292135.1394278412</v>
      </c>
      <c r="W164">
        <f>'Net zero Activity data'!AY56*'Net zero supporting data'!W156</f>
        <v>2486670.0195929152</v>
      </c>
      <c r="X164">
        <f>'Net zero Activity data'!AZ56*'Net zero supporting data'!X156</f>
        <v>2681685.5429988424</v>
      </c>
      <c r="Y164">
        <f>'Net zero Activity data'!BA56*'Net zero supporting data'!Y156</f>
        <v>2877186.1517104073</v>
      </c>
      <c r="Z164">
        <f>'Net zero Activity data'!BB56*'Net zero supporting data'!Z156</f>
        <v>3073166.6976222885</v>
      </c>
      <c r="AA164">
        <f>'Net zero Activity data'!BC56*'Net zero supporting data'!AA156</f>
        <v>3269633.4129177579</v>
      </c>
      <c r="AB164">
        <f>'Net zero Activity data'!BD56*'Net zero supporting data'!AB156</f>
        <v>3466437.7982673063</v>
      </c>
      <c r="AC164">
        <f>'Net zero Activity data'!BE56*'Net zero supporting data'!AC156</f>
        <v>3663544.4550664858</v>
      </c>
      <c r="AD164">
        <f>'Net zero Activity data'!BF56*'Net zero supporting data'!AD156</f>
        <v>3860967.1709336806</v>
      </c>
      <c r="AE164">
        <f>'Net zero Activity data'!BG56*'Net zero supporting data'!AE156</f>
        <v>3865375.8577842102</v>
      </c>
      <c r="AF164">
        <f>'Net zero Activity data'!BH56*'Net zero supporting data'!AF156</f>
        <v>3869596.6425351202</v>
      </c>
      <c r="AG164">
        <f>'Net zero Activity data'!BI56*'Net zero supporting data'!AG156</f>
        <v>3873610.5146946572</v>
      </c>
      <c r="AH164">
        <f>'Net zero Activity data'!BJ56*'Net zero supporting data'!AH156</f>
        <v>3877360.0354378428</v>
      </c>
      <c r="AI164">
        <f>'Net zero Activity data'!BK56*'Net zero supporting data'!AI156</f>
        <v>3880791.9774668175</v>
      </c>
      <c r="AJ164">
        <f>'Net zero Activity data'!BL56*'Net zero supporting data'!AJ156</f>
        <v>3883902.8735577222</v>
      </c>
      <c r="AK164">
        <f>'Net zero Activity data'!BM56*'Net zero supporting data'!AK156</f>
        <v>3886668.917771867</v>
      </c>
      <c r="AL164">
        <f>'Net zero Activity data'!BN56*'Net zero supporting data'!AL156</f>
        <v>3889088.7760844622</v>
      </c>
      <c r="AM164">
        <f>'Net zero Activity data'!BO56*'Net zero supporting data'!AM156</f>
        <v>3891208.7572028674</v>
      </c>
      <c r="AN164">
        <f>'Net zero Activity data'!BP56*'Net zero supporting data'!AN156</f>
        <v>3892753.5036187153</v>
      </c>
    </row>
    <row r="165" spans="1:40" x14ac:dyDescent="0.25">
      <c r="A165" t="s">
        <v>1137</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23732.728537207502</v>
      </c>
      <c r="L165">
        <f>'Net zero Activity data'!AN58*'Net zero supporting data'!L156</f>
        <v>47473.361168079049</v>
      </c>
      <c r="M165">
        <f>'Net zero Activity data'!AO58*'Net zero supporting data'!M156</f>
        <v>71242.638575763645</v>
      </c>
      <c r="N165">
        <f>'Net zero Activity data'!AP58*'Net zero supporting data'!N156</f>
        <v>95182.343995973788</v>
      </c>
      <c r="O165">
        <f>'Net zero Activity data'!AQ58*'Net zero supporting data'!O156</f>
        <v>119331.24934538615</v>
      </c>
      <c r="P165">
        <f>'Net zero Activity data'!AR58*'Net zero supporting data'!P156</f>
        <v>143597.71700023516</v>
      </c>
      <c r="Q165">
        <f>'Net zero Activity data'!AS58*'Net zero supporting data'!Q156</f>
        <v>167972.05963763272</v>
      </c>
      <c r="R165">
        <f>'Net zero Activity data'!AT58*'Net zero supporting data'!R156</f>
        <v>192443.59362719371</v>
      </c>
      <c r="S165">
        <f>'Net zero Activity data'!AU58*'Net zero supporting data'!S156</f>
        <v>217012.54341399472</v>
      </c>
      <c r="T165">
        <f>'Net zero Activity data'!AV58*'Net zero supporting data'!T156</f>
        <v>241680.31440806433</v>
      </c>
      <c r="U165">
        <f>'Net zero Activity data'!AW58*'Net zero supporting data'!U156</f>
        <v>266437.33293715399</v>
      </c>
      <c r="V165">
        <f>'Net zero Activity data'!AX58*'Net zero supporting data'!V156</f>
        <v>291287.30280713469</v>
      </c>
      <c r="W165">
        <f>'Net zero Activity data'!AY58*'Net zero supporting data'!W156</f>
        <v>316225.35910886241</v>
      </c>
      <c r="X165">
        <f>'Net zero Activity data'!AZ58*'Net zero supporting data'!X156</f>
        <v>341242.76668386825</v>
      </c>
      <c r="Y165">
        <f>'Net zero Activity data'!BA58*'Net zero supporting data'!Y156</f>
        <v>366338.67297552922</v>
      </c>
      <c r="Z165">
        <f>'Net zero Activity data'!BB58*'Net zero supporting data'!Z156</f>
        <v>391510.56740060408</v>
      </c>
      <c r="AA165">
        <f>'Net zero Activity data'!BC58*'Net zero supporting data'!AA156</f>
        <v>416758.15780505259</v>
      </c>
      <c r="AB165">
        <f>'Net zero Activity data'!BD58*'Net zero supporting data'!AB156</f>
        <v>442052.72611878079</v>
      </c>
      <c r="AC165">
        <f>'Net zero Activity data'!BE58*'Net zero supporting data'!AC156</f>
        <v>467386.64910226583</v>
      </c>
      <c r="AD165">
        <f>'Net zero Activity data'!BF58*'Net zero supporting data'!AD156</f>
        <v>492761.45888244722</v>
      </c>
      <c r="AE165">
        <f>'Net zero Activity data'!BG58*'Net zero supporting data'!AE156</f>
        <v>493490.45212414651</v>
      </c>
      <c r="AF165">
        <f>'Net zero Activity data'!BH58*'Net zero supporting data'!AF156</f>
        <v>494175.09612883884</v>
      </c>
      <c r="AG165">
        <f>'Net zero Activity data'!BI58*'Net zero supporting data'!AG156</f>
        <v>494812.5743444378</v>
      </c>
      <c r="AH165">
        <f>'Net zero Activity data'!BJ58*'Net zero supporting data'!AH156</f>
        <v>495393.04699839157</v>
      </c>
      <c r="AI165">
        <f>'Net zero Activity data'!BK58*'Net zero supporting data'!AI156</f>
        <v>495907.47524055897</v>
      </c>
      <c r="AJ165">
        <f>'Net zero Activity data'!BL58*'Net zero supporting data'!AJ156</f>
        <v>496355.89416930091</v>
      </c>
      <c r="AK165">
        <f>'Net zero Activity data'!BM58*'Net zero supporting data'!AK156</f>
        <v>496734.61930924706</v>
      </c>
      <c r="AL165">
        <f>'Net zero Activity data'!BN58*'Net zero supporting data'!AL156</f>
        <v>497044.03476985678</v>
      </c>
      <c r="AM165">
        <f>'Net zero Activity data'!BO58*'Net zero supporting data'!AM156</f>
        <v>497293.11503217492</v>
      </c>
      <c r="AN165">
        <f>'Net zero Activity data'!BP58*'Net zero supporting data'!AN156</f>
        <v>497432.66427532118</v>
      </c>
    </row>
    <row r="166" spans="1:40" x14ac:dyDescent="0.25">
      <c r="A166" t="s">
        <v>1138</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343312.943212674</v>
      </c>
      <c r="L166">
        <f>'Net zero Activity data'!AN62*'Net zero supporting data'!L156</f>
        <v>695600.9504039851</v>
      </c>
      <c r="M166">
        <f>'Net zero Activity data'!AO62*'Net zero supporting data'!M156</f>
        <v>1033104.0664956527</v>
      </c>
      <c r="N166">
        <f>'Net zero Activity data'!AP62*'Net zero supporting data'!N156</f>
        <v>1365396.7918824761</v>
      </c>
      <c r="O166">
        <f>'Net zero Activity data'!AQ62*'Net zero supporting data'!O156</f>
        <v>1702081.1455629424</v>
      </c>
      <c r="P166">
        <f>'Net zero Activity data'!AR62*'Net zero supporting data'!P156</f>
        <v>2048928.3067443934</v>
      </c>
      <c r="Q166">
        <f>'Net zero Activity data'!AS62*'Net zero supporting data'!Q156</f>
        <v>2404390.9782324787</v>
      </c>
      <c r="R166">
        <f>'Net zero Activity data'!AT62*'Net zero supporting data'!R156</f>
        <v>2773064.8945367639</v>
      </c>
      <c r="S166">
        <f>'Net zero Activity data'!AU62*'Net zero supporting data'!S156</f>
        <v>3165220.5028402312</v>
      </c>
      <c r="T166">
        <f>'Net zero Activity data'!AV62*'Net zero supporting data'!T156</f>
        <v>3584819.9380006013</v>
      </c>
      <c r="U166">
        <f>'Net zero Activity data'!AW62*'Net zero supporting data'!U156</f>
        <v>4028320.7396257115</v>
      </c>
      <c r="V166">
        <f>'Net zero Activity data'!AX62*'Net zero supporting data'!V156</f>
        <v>4497616.6647049086</v>
      </c>
      <c r="W166">
        <f>'Net zero Activity data'!AY62*'Net zero supporting data'!W156</f>
        <v>4989705.9558302863</v>
      </c>
      <c r="X166">
        <f>'Net zero Activity data'!AZ62*'Net zero supporting data'!X156</f>
        <v>5508053.0717943273</v>
      </c>
      <c r="Y166">
        <f>'Net zero Activity data'!BA62*'Net zero supporting data'!Y156</f>
        <v>6051311.440577507</v>
      </c>
      <c r="Z166">
        <f>'Net zero Activity data'!BB62*'Net zero supporting data'!Z156</f>
        <v>6609820.8068382135</v>
      </c>
      <c r="AA166">
        <f>'Net zero Activity data'!BC62*'Net zero supporting data'!AA156</f>
        <v>7198614.5350857088</v>
      </c>
      <c r="AB166">
        <f>'Net zero Activity data'!BD62*'Net zero supporting data'!AB156</f>
        <v>7808447.5079121478</v>
      </c>
      <c r="AC166">
        <f>'Net zero Activity data'!BE62*'Net zero supporting data'!AC156</f>
        <v>8438348.6171547472</v>
      </c>
      <c r="AD166">
        <f>'Net zero Activity data'!BF62*'Net zero supporting data'!AD156</f>
        <v>9093557.7512161341</v>
      </c>
      <c r="AE166">
        <f>'Net zero Activity data'!BG62*'Net zero supporting data'!AE156</f>
        <v>9295658.8541150838</v>
      </c>
      <c r="AF166">
        <f>'Net zero Activity data'!BH62*'Net zero supporting data'!AF156</f>
        <v>9507145.8635319714</v>
      </c>
      <c r="AG166">
        <f>'Net zero Activity data'!BI62*'Net zero supporting data'!AG156</f>
        <v>9734115.3389977012</v>
      </c>
      <c r="AH166">
        <f>'Net zero Activity data'!BJ62*'Net zero supporting data'!AH156</f>
        <v>9965051.4034724161</v>
      </c>
      <c r="AI166">
        <f>'Net zero Activity data'!BK62*'Net zero supporting data'!AI156</f>
        <v>10200378.615670796</v>
      </c>
      <c r="AJ166">
        <f>'Net zero Activity data'!BL62*'Net zero supporting data'!AJ156</f>
        <v>10451725.3681826</v>
      </c>
      <c r="AK166">
        <f>'Net zero Activity data'!BM62*'Net zero supporting data'!AK156</f>
        <v>10714716.013016287</v>
      </c>
      <c r="AL166">
        <f>'Net zero Activity data'!BN62*'Net zero supporting data'!AL156</f>
        <v>10986352.809144797</v>
      </c>
      <c r="AM166">
        <f>'Net zero Activity data'!BO62*'Net zero supporting data'!AM156</f>
        <v>11273682.160334487</v>
      </c>
      <c r="AN166">
        <f>'Net zero Activity data'!BP62*'Net zero supporting data'!AN156</f>
        <v>11533767.23493458</v>
      </c>
    </row>
    <row r="167" spans="1:40" x14ac:dyDescent="0.25">
      <c r="A167" t="s">
        <v>1139</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557752.4944581337</v>
      </c>
      <c r="L167">
        <f>'Net zero Activity data'!AN64*'Net zero supporting data'!L156</f>
        <v>1142075.0480127928</v>
      </c>
      <c r="M167">
        <f>'Net zero Activity data'!AO64*'Net zero supporting data'!M156</f>
        <v>1732135.868550099</v>
      </c>
      <c r="N167">
        <f>'Net zero Activity data'!AP64*'Net zero supporting data'!N156</f>
        <v>2337644.4963607229</v>
      </c>
      <c r="O167">
        <f>'Net zero Activity data'!AQ64*'Net zero supporting data'!O156</f>
        <v>2967911.2815423347</v>
      </c>
      <c r="P167">
        <f>'Net zero Activity data'!AR64*'Net zero supporting data'!P156</f>
        <v>3627731.6451891107</v>
      </c>
      <c r="Q167">
        <f>'Net zero Activity data'!AS64*'Net zero supporting data'!Q156</f>
        <v>4316168.0163110765</v>
      </c>
      <c r="R167">
        <f>'Net zero Activity data'!AT64*'Net zero supporting data'!R156</f>
        <v>5038373.1370149385</v>
      </c>
      <c r="S167">
        <f>'Net zero Activity data'!AU64*'Net zero supporting data'!S156</f>
        <v>5805896.9357086457</v>
      </c>
      <c r="T167">
        <f>'Net zero Activity data'!AV64*'Net zero supporting data'!T156</f>
        <v>6624580.112159905</v>
      </c>
      <c r="U167">
        <f>'Net zero Activity data'!AW64*'Net zero supporting data'!U156</f>
        <v>7492466.7301756563</v>
      </c>
      <c r="V167">
        <f>'Net zero Activity data'!AX64*'Net zero supporting data'!V156</f>
        <v>8413472.5793086085</v>
      </c>
      <c r="W167">
        <f>'Net zero Activity data'!AY64*'Net zero supporting data'!W156</f>
        <v>9386166.3282815311</v>
      </c>
      <c r="X167">
        <f>'Net zero Activity data'!AZ64*'Net zero supporting data'!X156</f>
        <v>10416219.281329116</v>
      </c>
      <c r="Y167">
        <f>'Net zero Activity data'!BA64*'Net zero supporting data'!Y156</f>
        <v>11504197.225144036</v>
      </c>
      <c r="Z167">
        <f>'Net zero Activity data'!BB64*'Net zero supporting data'!Z156</f>
        <v>12640767.402322803</v>
      </c>
      <c r="AA167">
        <f>'Net zero Activity data'!BC64*'Net zero supporting data'!AA156</f>
        <v>13845569.582701838</v>
      </c>
      <c r="AB167">
        <f>'Net zero Activity data'!BD64*'Net zero supporting data'!AB156</f>
        <v>15109496.066317409</v>
      </c>
      <c r="AC167">
        <f>'Net zero Activity data'!BE64*'Net zero supporting data'!AC156</f>
        <v>16433294.314611031</v>
      </c>
      <c r="AD167">
        <f>'Net zero Activity data'!BF64*'Net zero supporting data'!AD156</f>
        <v>17825737.695704024</v>
      </c>
      <c r="AE167">
        <f>'Net zero Activity data'!BG64*'Net zero supporting data'!AE156</f>
        <v>18353787.96205559</v>
      </c>
      <c r="AF167">
        <f>'Net zero Activity data'!BH64*'Net zero supporting data'!AF156</f>
        <v>18906390.919617333</v>
      </c>
      <c r="AG167">
        <f>'Net zero Activity data'!BI64*'Net zero supporting data'!AG156</f>
        <v>19492780.44974849</v>
      </c>
      <c r="AH167">
        <f>'Net zero Activity data'!BJ64*'Net zero supporting data'!AH156</f>
        <v>20098552.076406911</v>
      </c>
      <c r="AI167">
        <f>'Net zero Activity data'!BK64*'Net zero supporting data'!AI156</f>
        <v>20724888.779312231</v>
      </c>
      <c r="AJ167">
        <f>'Net zero Activity data'!BL64*'Net zero supporting data'!AJ156</f>
        <v>21389134.123328842</v>
      </c>
      <c r="AK167">
        <f>'Net zero Activity data'!BM64*'Net zero supporting data'!AK156</f>
        <v>22086609.582873523</v>
      </c>
      <c r="AL167">
        <f>'Net zero Activity data'!BN64*'Net zero supporting data'!AL156</f>
        <v>22814322.613232754</v>
      </c>
      <c r="AM167">
        <f>'Net zero Activity data'!BO64*'Net zero supporting data'!AM156</f>
        <v>23584250.551686771</v>
      </c>
      <c r="AN167">
        <f>'Net zero Activity data'!BP64*'Net zero supporting data'!AN156</f>
        <v>24331735.506164808</v>
      </c>
    </row>
    <row r="168" spans="1:40" x14ac:dyDescent="0.25">
      <c r="A168" t="s">
        <v>1140</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2404478.5491524106</v>
      </c>
      <c r="L168">
        <f>'Net zero Activity data'!AN65*'Net zero supporting data'!L156</f>
        <v>5000939.4914195081</v>
      </c>
      <c r="M168">
        <f>'Net zero Activity data'!AO65*'Net zero supporting data'!M156</f>
        <v>7537441.5601970581</v>
      </c>
      <c r="N168">
        <f>'Net zero Activity data'!AP65*'Net zero supporting data'!N156</f>
        <v>10105305.929312071</v>
      </c>
      <c r="O168">
        <f>'Net zero Activity data'!AQ65*'Net zero supporting data'!O156</f>
        <v>12807199.881979868</v>
      </c>
      <c r="P168">
        <f>'Net zero Activity data'!AR65*'Net zero supporting data'!P156</f>
        <v>15715536.569117013</v>
      </c>
      <c r="Q168">
        <f>'Net zero Activity data'!AS65*'Net zero supporting data'!Q156</f>
        <v>18819018.015024103</v>
      </c>
      <c r="R168">
        <f>'Net zero Activity data'!AT65*'Net zero supporting data'!R156</f>
        <v>22176146.51780849</v>
      </c>
      <c r="S168">
        <f>'Net zero Activity data'!AU65*'Net zero supporting data'!S156</f>
        <v>25913681.229064394</v>
      </c>
      <c r="T168">
        <f>'Net zero Activity data'!AV65*'Net zero supporting data'!T156</f>
        <v>30090460.692768954</v>
      </c>
      <c r="U168">
        <f>'Net zero Activity data'!AW65*'Net zero supporting data'!U156</f>
        <v>34679198.786420062</v>
      </c>
      <c r="V168">
        <f>'Net zero Activity data'!AX65*'Net zero supporting data'!V156</f>
        <v>39715758.993038781</v>
      </c>
      <c r="W168">
        <f>'Net zero Activity data'!AY65*'Net zero supporting data'!W156</f>
        <v>45178170.958114058</v>
      </c>
      <c r="X168">
        <f>'Net zero Activity data'!AZ65*'Net zero supporting data'!X156</f>
        <v>51123273.960193433</v>
      </c>
      <c r="Y168">
        <f>'Net zero Activity data'!BA65*'Net zero supporting data'!Y156</f>
        <v>57549779.786403343</v>
      </c>
      <c r="Z168">
        <f>'Net zero Activity data'!BB65*'Net zero supporting data'!Z156</f>
        <v>64350559.121555358</v>
      </c>
      <c r="AA168">
        <f>'Net zero Activity data'!BC65*'Net zero supporting data'!AA156</f>
        <v>71730123.2561533</v>
      </c>
      <c r="AB168">
        <f>'Net zero Activity data'!BD65*'Net zero supporting data'!AB156</f>
        <v>79588577.520220131</v>
      </c>
      <c r="AC168">
        <f>'Net zero Activity data'!BE65*'Net zero supporting data'!AC156</f>
        <v>87928508.293451309</v>
      </c>
      <c r="AD168">
        <f>'Net zero Activity data'!BF65*'Net zero supporting data'!AD156</f>
        <v>96834839.488769963</v>
      </c>
      <c r="AE168">
        <f>'Net zero Activity data'!BG65*'Net zero supporting data'!AE156</f>
        <v>101087665.87864073</v>
      </c>
      <c r="AF168">
        <f>'Net zero Activity data'!BH65*'Net zero supporting data'!AF156</f>
        <v>105564127.97886045</v>
      </c>
      <c r="AG168">
        <f>'Net zero Activity data'!BI65*'Net zero supporting data'!AG156</f>
        <v>110356388.28385124</v>
      </c>
      <c r="AH168">
        <f>'Net zero Activity data'!BJ65*'Net zero supporting data'!AH156</f>
        <v>115314074.23182254</v>
      </c>
      <c r="AI168">
        <f>'Net zero Activity data'!BK65*'Net zero supporting data'!AI156</f>
        <v>120448762.6838035</v>
      </c>
      <c r="AJ168">
        <f>'Net zero Activity data'!BL65*'Net zero supporting data'!AJ156</f>
        <v>125933602.50821653</v>
      </c>
      <c r="AK168">
        <f>'Net zero Activity data'!BM65*'Net zero supporting data'!AK156</f>
        <v>131717106.42779465</v>
      </c>
      <c r="AL168">
        <f>'Net zero Activity data'!BN65*'Net zero supporting data'!AL156</f>
        <v>137765074.08774415</v>
      </c>
      <c r="AM168">
        <f>'Net zero Activity data'!BO65*'Net zero supporting data'!AM156</f>
        <v>144191472.83411726</v>
      </c>
      <c r="AN168">
        <f>'Net zero Activity data'!BP65*'Net zero supporting data'!AN156</f>
        <v>150360154.37166515</v>
      </c>
    </row>
    <row r="169" spans="1:40" x14ac:dyDescent="0.25">
      <c r="A169" t="s">
        <v>1129</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399219.70654433925</v>
      </c>
      <c r="L169">
        <f>'Net zero Activity data'!AN47-'Net zero supporting data'!L157</f>
        <v>378028.47519548738</v>
      </c>
      <c r="M169">
        <f>'Net zero Activity data'!AO47-'Net zero supporting data'!M157</f>
        <v>356933.35613363131</v>
      </c>
      <c r="N169">
        <f>'Net zero Activity data'!AP47-'Net zero supporting data'!N157</f>
        <v>335903.11001996568</v>
      </c>
      <c r="O169">
        <f>'Net zero Activity data'!AQ47-'Net zero supporting data'!O157</f>
        <v>314874.61760691804</v>
      </c>
      <c r="P169">
        <f>'Net zero Activity data'!AR47-'Net zero supporting data'!P157</f>
        <v>293838.37454741984</v>
      </c>
      <c r="Q169">
        <f>'Net zero Activity data'!AS47-'Net zero supporting data'!Q157</f>
        <v>272797.70180458226</v>
      </c>
      <c r="R169">
        <f>'Net zero Activity data'!AT47-'Net zero supporting data'!R157</f>
        <v>251760.57003781624</v>
      </c>
      <c r="S169">
        <f>'Net zero Activity data'!AU47-'Net zero supporting data'!S157</f>
        <v>230726.93172615251</v>
      </c>
      <c r="T169">
        <f>'Net zero Activity data'!AV47-'Net zero supporting data'!T157</f>
        <v>209694.8604613441</v>
      </c>
      <c r="U169">
        <f>'Net zero Activity data'!AW47-'Net zero supporting data'!U157</f>
        <v>188667.53403498349</v>
      </c>
      <c r="V169">
        <f>'Net zero Activity data'!AX47-'Net zero supporting data'!V157</f>
        <v>167650.007161146</v>
      </c>
      <c r="W169">
        <f>'Net zero Activity data'!AY47-'Net zero supporting data'!W157</f>
        <v>146643.7034296706</v>
      </c>
      <c r="X169">
        <f>'Net zero Activity data'!AZ47-'Net zero supporting data'!X157</f>
        <v>125650.79529310111</v>
      </c>
      <c r="Y169">
        <f>'Net zero Activity data'!BA47-'Net zero supporting data'!Y157</f>
        <v>104671.4352348487</v>
      </c>
      <c r="Z169">
        <f>'Net zero Activity data'!BB47-'Net zero supporting data'!Z157</f>
        <v>83706.624842195364</v>
      </c>
      <c r="AA169">
        <f>'Net zero Activity data'!BC47-'Net zero supporting data'!AA157</f>
        <v>62757.560421030386</v>
      </c>
      <c r="AB169">
        <f>'Net zero Activity data'!BD47-'Net zero supporting data'!AB157</f>
        <v>41822.988808423397</v>
      </c>
      <c r="AC169">
        <f>'Net zero Activity data'!BE47-'Net zero supporting data'!AC157</f>
        <v>20903.836553759116</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1130</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2634.8500631926395</v>
      </c>
      <c r="L170">
        <f>'Net zero Activity data'!AN48-'Net zero supporting data'!L158</f>
        <v>2494.9879362902175</v>
      </c>
      <c r="M170">
        <f>'Net zero Activity data'!AO48-'Net zero supporting data'!M158</f>
        <v>2355.7601504819672</v>
      </c>
      <c r="N170">
        <f>'Net zero Activity data'!AP48-'Net zero supporting data'!N158</f>
        <v>2216.9605261317743</v>
      </c>
      <c r="O170">
        <f>'Net zero Activity data'!AQ48-'Net zero supporting data'!O158</f>
        <v>2078.1724762056592</v>
      </c>
      <c r="P170">
        <f>'Net zero Activity data'!AR48-'Net zero supporting data'!P158</f>
        <v>1939.3332720129711</v>
      </c>
      <c r="Q170">
        <f>'Net zero Activity data'!AS48-'Net zero supporting data'!Q158</f>
        <v>1800.4648319102434</v>
      </c>
      <c r="R170">
        <f>'Net zero Activity data'!AT48-'Net zero supporting data'!R158</f>
        <v>1661.6197622495874</v>
      </c>
      <c r="S170">
        <f>'Net zero Activity data'!AU48-'Net zero supporting data'!S158</f>
        <v>1522.7977493926069</v>
      </c>
      <c r="T170">
        <f>'Net zero Activity data'!AV48-'Net zero supporting data'!T158</f>
        <v>1383.9860790448711</v>
      </c>
      <c r="U170">
        <f>'Net zero Activity data'!AW48-'Net zero supporting data'!U158</f>
        <v>1245.2057246308914</v>
      </c>
      <c r="V170">
        <f>'Net zero Activity data'!AX48-'Net zero supporting data'!V158</f>
        <v>1106.4900472635638</v>
      </c>
      <c r="W170">
        <f>'Net zero Activity data'!AY48-'Net zero supporting data'!W158</f>
        <v>967.84844263582613</v>
      </c>
      <c r="X170">
        <f>'Net zero Activity data'!AZ48-'Net zero supporting data'!X158</f>
        <v>829.29524893446751</v>
      </c>
      <c r="Y170">
        <f>'Net zero Activity data'!BA48-'Net zero supporting data'!Y158</f>
        <v>690.83147255000176</v>
      </c>
      <c r="Z170">
        <f>'Net zero Activity data'!BB48-'Net zero supporting data'!Z158</f>
        <v>552.46372395848948</v>
      </c>
      <c r="AA170">
        <f>'Net zero Activity data'!BC48-'Net zero supporting data'!AA158</f>
        <v>414.19989877880062</v>
      </c>
      <c r="AB170">
        <f>'Net zero Activity data'!BD48-'Net zero supporting data'!AB158</f>
        <v>276.03172613559445</v>
      </c>
      <c r="AC170">
        <f>'Net zero Activity data'!BE48-'Net zero supporting data'!AC158</f>
        <v>137.96532125481008</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1141</v>
      </c>
      <c r="B171">
        <f>'Net zero Activity data'!AD50-'Net zero supporting data'!B159</f>
        <v>20286067.697994635</v>
      </c>
      <c r="C171">
        <f>'Net zero Activity data'!AE50-'Net zero supporting data'!C159</f>
        <v>20399477.19036686</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20924019.222796652</v>
      </c>
      <c r="J171">
        <f>'Net zero Activity data'!AL50-'Net zero supporting data'!J159</f>
        <v>20319664.252552513</v>
      </c>
      <c r="K171">
        <f>'Net zero Activity data'!AM50-'Net zero supporting data'!K159</f>
        <v>19692960.097492557</v>
      </c>
      <c r="L171">
        <f>'Net zero Activity data'!AN50-'Net zero supporting data'!L159</f>
        <v>18839559.621014401</v>
      </c>
      <c r="M171">
        <f>'Net zero Activity data'!AO50-'Net zero supporting data'!M159</f>
        <v>17838072.009801649</v>
      </c>
      <c r="N171">
        <f>'Net zero Activity data'!AP50-'Net zero supporting data'!N159</f>
        <v>16849201.443139959</v>
      </c>
      <c r="O171">
        <f>'Net zero Activity data'!AQ50-'Net zero supporting data'!O159</f>
        <v>15891187.242234735</v>
      </c>
      <c r="P171">
        <f>'Net zero Activity data'!AR50-'Net zero supporting data'!P159</f>
        <v>14948981.620942414</v>
      </c>
      <c r="Q171">
        <f>'Net zero Activity data'!AS50-'Net zero supporting data'!Q159</f>
        <v>14003050.07000526</v>
      </c>
      <c r="R171">
        <f>'Net zero Activity data'!AT50-'Net zero supporting data'!R159</f>
        <v>13053930.932321513</v>
      </c>
      <c r="S171">
        <f>'Net zero Activity data'!AU50-'Net zero supporting data'!S159</f>
        <v>12107797.66878463</v>
      </c>
      <c r="T171">
        <f>'Net zero Activity data'!AV50-'Net zero supporting data'!T159</f>
        <v>11157267.720914457</v>
      </c>
      <c r="U171">
        <f>'Net zero Activity data'!AW50-'Net zero supporting data'!U159</f>
        <v>10188652.129229126</v>
      </c>
      <c r="V171">
        <f>'Net zero Activity data'!AX50-'Net zero supporting data'!V159</f>
        <v>9197849.3290020768</v>
      </c>
      <c r="W171">
        <f>'Net zero Activity data'!AY50-'Net zero supporting data'!W159</f>
        <v>8177783.502832856</v>
      </c>
      <c r="X171">
        <f>'Net zero Activity data'!AZ50-'Net zero supporting data'!X159</f>
        <v>7127103.0119962208</v>
      </c>
      <c r="Y171">
        <f>'Net zero Activity data'!BA50-'Net zero supporting data'!Y159</f>
        <v>6041584.1337833628</v>
      </c>
      <c r="Z171">
        <f>'Net zero Activity data'!BB50-'Net zero supporting data'!Z159</f>
        <v>4915460.4283077829</v>
      </c>
      <c r="AA171">
        <f>'Net zero Activity data'!BC50-'Net zero supporting data'!AA159</f>
        <v>3751953.3979239874</v>
      </c>
      <c r="AB171">
        <f>'Net zero Activity data'!BD50-'Net zero supporting data'!AB159</f>
        <v>2545826.6608566456</v>
      </c>
      <c r="AC171">
        <f>'Net zero Activity data'!BE50-'Net zero supporting data'!AC159</f>
        <v>1295595.0804841705</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1142</v>
      </c>
      <c r="B172">
        <f>'Net zero Activity data'!AD51-'Net zero supporting data'!B160</f>
        <v>59315868.867694005</v>
      </c>
      <c r="C172">
        <f>'Net zero Activity data'!AE51-'Net zero supporting data'!C160</f>
        <v>59647474.907762975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61181220.475134552</v>
      </c>
      <c r="J172">
        <f>'Net zero Activity data'!AL51-'Net zero supporting data'!J160</f>
        <v>59414104.210996076</v>
      </c>
      <c r="K172">
        <f>'Net zero Activity data'!AM51-'Net zero supporting data'!K160</f>
        <v>57581639.583854452</v>
      </c>
      <c r="L172">
        <f>'Net zero Activity data'!AN51-'Net zero supporting data'!L160</f>
        <v>55086321.540554725</v>
      </c>
      <c r="M172">
        <f>'Net zero Activity data'!AO51-'Net zero supporting data'!M160</f>
        <v>52158001.044750199</v>
      </c>
      <c r="N172">
        <f>'Net zero Activity data'!AP51-'Net zero supporting data'!N160</f>
        <v>49266572.418342471</v>
      </c>
      <c r="O172">
        <f>'Net zero Activity data'!AQ51-'Net zero supporting data'!O160</f>
        <v>46465366.903293312</v>
      </c>
      <c r="P172">
        <f>'Net zero Activity data'!AR51-'Net zero supporting data'!P160</f>
        <v>43710385.2128544</v>
      </c>
      <c r="Q172">
        <f>'Net zero Activity data'!AS51-'Net zero supporting data'!Q160</f>
        <v>40944509.013064876</v>
      </c>
      <c r="R172">
        <f>'Net zero Activity data'!AT51-'Net zero supporting data'!R160</f>
        <v>38169312.402820244</v>
      </c>
      <c r="S172">
        <f>'Net zero Activity data'!AU51-'Net zero supporting data'!S160</f>
        <v>35402846.401286334</v>
      </c>
      <c r="T172">
        <f>'Net zero Activity data'!AV51-'Net zero supporting data'!T160</f>
        <v>32623524.623302884</v>
      </c>
      <c r="U172">
        <f>'Net zero Activity data'!AW51-'Net zero supporting data'!U160</f>
        <v>29791320.951553792</v>
      </c>
      <c r="V172">
        <f>'Net zero Activity data'!AX51-'Net zero supporting data'!V160</f>
        <v>26894242.530691512</v>
      </c>
      <c r="W172">
        <f>'Net zero Activity data'!AY51-'Net zero supporting data'!W160</f>
        <v>23911599.877504922</v>
      </c>
      <c r="X172">
        <f>'Net zero Activity data'!AZ51-'Net zero supporting data'!X160</f>
        <v>20839440.839877792</v>
      </c>
      <c r="Y172">
        <f>'Net zero Activity data'!BA51-'Net zero supporting data'!Y160</f>
        <v>17665415.376093812</v>
      </c>
      <c r="Z172">
        <f>'Net zero Activity data'!BB51-'Net zero supporting data'!Z160</f>
        <v>14372662.584511936</v>
      </c>
      <c r="AA172">
        <f>'Net zero Activity data'!BC51-'Net zero supporting data'!AA160</f>
        <v>10970602.043833181</v>
      </c>
      <c r="AB172">
        <f>'Net zero Activity data'!BD51-'Net zero supporting data'!AB160</f>
        <v>7443922.7268368006</v>
      </c>
      <c r="AC172">
        <f>'Net zero Activity data'!BE51-'Net zero supporting data'!AC160</f>
        <v>3788282.1374605596</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1143</v>
      </c>
      <c r="B173">
        <f>'Net zero Activity data'!AD52-'Net zero supporting data'!B161</f>
        <v>3173064.5386902587</v>
      </c>
      <c r="C173">
        <f>'Net zero Activity data'!AE52-'Net zero supporting data'!C161</f>
        <v>3190803.5921112793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3272850.3321169848</v>
      </c>
      <c r="J173">
        <f>'Net zero Activity data'!AL52-'Net zero supporting data'!J161</f>
        <v>3178319.5756681897</v>
      </c>
      <c r="K173">
        <f>'Net zero Activity data'!AM52-'Net zero supporting data'!K161</f>
        <v>3080293.0502579859</v>
      </c>
      <c r="L173">
        <f>'Net zero Activity data'!AN52-'Net zero supporting data'!L161</f>
        <v>2946807.6045063729</v>
      </c>
      <c r="M173">
        <f>'Net zero Activity data'!AO52-'Net zero supporting data'!M161</f>
        <v>2790158.9689804772</v>
      </c>
      <c r="N173">
        <f>'Net zero Activity data'!AP52-'Net zero supporting data'!N161</f>
        <v>2635483.8404567307</v>
      </c>
      <c r="O173">
        <f>'Net zero Activity data'!AQ52-'Net zero supporting data'!O161</f>
        <v>2485635.1396779916</v>
      </c>
      <c r="P173">
        <f>'Net zero Activity data'!AR52-'Net zero supporting data'!P161</f>
        <v>2338259.1528881593</v>
      </c>
      <c r="Q173">
        <f>'Net zero Activity data'!AS52-'Net zero supporting data'!Q161</f>
        <v>2190300.3712755134</v>
      </c>
      <c r="R173">
        <f>'Net zero Activity data'!AT52-'Net zero supporting data'!R161</f>
        <v>2041843.0002555847</v>
      </c>
      <c r="S173">
        <f>'Net zero Activity data'!AU52-'Net zero supporting data'!S161</f>
        <v>1893852.6675751433</v>
      </c>
      <c r="T173">
        <f>'Net zero Activity data'!AV52-'Net zero supporting data'!T161</f>
        <v>1745174.623340474</v>
      </c>
      <c r="U173">
        <f>'Net zero Activity data'!AW52-'Net zero supporting data'!U161</f>
        <v>1593667.695957843</v>
      </c>
      <c r="V173">
        <f>'Net zero Activity data'!AX52-'Net zero supporting data'!V161</f>
        <v>1438690.3352864971</v>
      </c>
      <c r="W173">
        <f>'Net zero Activity data'!AY52-'Net zero supporting data'!W161</f>
        <v>1279135.7706299219</v>
      </c>
      <c r="X173">
        <f>'Net zero Activity data'!AZ52-'Net zero supporting data'!X161</f>
        <v>1114792.5841336572</v>
      </c>
      <c r="Y173">
        <f>'Net zero Activity data'!BA52-'Net zero supporting data'!Y161</f>
        <v>945000.118200175</v>
      </c>
      <c r="Z173">
        <f>'Net zero Activity data'!BB52-'Net zero supporting data'!Z161</f>
        <v>768856.40965994122</v>
      </c>
      <c r="AA173">
        <f>'Net zero Activity data'!BC52-'Net zero supporting data'!AA161</f>
        <v>586865.35286224587</v>
      </c>
      <c r="AB173">
        <f>'Net zero Activity data'!BD52-'Net zero supporting data'!AB161</f>
        <v>398207.89418025082</v>
      </c>
      <c r="AC173">
        <f>'Net zero Activity data'!BE52-'Net zero supporting data'!AC161</f>
        <v>202651.73455929384</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1144</v>
      </c>
      <c r="B174">
        <f>'Net zero Activity data'!AD53-'Net zero supporting data'!B162</f>
        <v>25454532.089860551</v>
      </c>
      <c r="C174">
        <f>'Net zero Activity data'!AE53-'Net zero supporting data'!C162</f>
        <v>25233773.062151939</v>
      </c>
      <c r="D174">
        <f>'Net zero Activity data'!AF53-'Net zero supporting data'!D162</f>
        <v>25149736.783242278</v>
      </c>
      <c r="E174">
        <f>'Net zero Activity data'!AG53-'Net zero supporting data'!E162</f>
        <v>24813894.968798291</v>
      </c>
      <c r="F174">
        <f>'Net zero Activity data'!AH53-'Net zero supporting data'!F162</f>
        <v>24326412.37330823</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20298476.891252119</v>
      </c>
      <c r="K174">
        <f>'Net zero Activity data'!AM53-'Net zero supporting data'!K162</f>
        <v>20205505.537516519</v>
      </c>
      <c r="L174">
        <f>'Net zero Activity data'!AN53-'Net zero supporting data'!L162</f>
        <v>19444439.053200718</v>
      </c>
      <c r="M174">
        <f>'Net zero Activity data'!AO53-'Net zero supporting data'!M162</f>
        <v>18240174.027247559</v>
      </c>
      <c r="N174">
        <f>'Net zero Activity data'!AP53-'Net zero supporting data'!N162</f>
        <v>17072276.500412129</v>
      </c>
      <c r="O174">
        <f>'Net zero Activity data'!AQ53-'Net zero supporting data'!O162</f>
        <v>16011106.324263034</v>
      </c>
      <c r="P174">
        <f>'Net zero Activity data'!AR53-'Net zero supporting data'!P162</f>
        <v>15031449.780844092</v>
      </c>
      <c r="Q174">
        <f>'Net zero Activity data'!AS53-'Net zero supporting data'!Q162</f>
        <v>14073393.082846489</v>
      </c>
      <c r="R174">
        <f>'Net zero Activity data'!AT53-'Net zero supporting data'!R162</f>
        <v>13137655.313496083</v>
      </c>
      <c r="S174">
        <f>'Net zero Activity data'!AU53-'Net zero supporting data'!S162</f>
        <v>12240005.99397956</v>
      </c>
      <c r="T174">
        <f>'Net zero Activity data'!AV53-'Net zero supporting data'!T162</f>
        <v>11358321.303305244</v>
      </c>
      <c r="U174">
        <f>'Net zero Activity data'!AW53-'Net zero supporting data'!U162</f>
        <v>10367463.089791492</v>
      </c>
      <c r="V174">
        <f>'Net zero Activity data'!AX53-'Net zero supporting data'!V162</f>
        <v>9359611.1578622088</v>
      </c>
      <c r="W174">
        <f>'Net zero Activity data'!AY53-'Net zero supporting data'!W162</f>
        <v>8319555.6384971645</v>
      </c>
      <c r="X174">
        <f>'Net zero Activity data'!AZ53-'Net zero supporting data'!X162</f>
        <v>7248133.299507387</v>
      </c>
      <c r="Y174">
        <f>'Net zero Activity data'!BA53-'Net zero supporting data'!Y162</f>
        <v>6139143.8411473185</v>
      </c>
      <c r="Z174">
        <f>'Net zero Activity data'!BB53-'Net zero supporting data'!Z162</f>
        <v>4983662.6777399071</v>
      </c>
      <c r="AA174">
        <f>'Net zero Activity data'!BC53-'Net zero supporting data'!AA162</f>
        <v>3794982.0921018049</v>
      </c>
      <c r="AB174">
        <f>'Net zero Activity data'!BD53-'Net zero supporting data'!AB162</f>
        <v>2566417.0521934628</v>
      </c>
      <c r="AC174">
        <f>'Net zero Activity data'!BE53-'Net zero supporting data'!AC162</f>
        <v>1300383.6790761501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1145</v>
      </c>
      <c r="B175">
        <f>'Net zero Activity data'!AD55-'Net zero supporting data'!B163</f>
        <v>21864231.859672826</v>
      </c>
      <c r="C175">
        <f>'Net zero Activity data'!AE55-'Net zero supporting data'!C163</f>
        <v>22601454.870712765</v>
      </c>
      <c r="D175">
        <f>'Net zero Activity data'!AF55-'Net zero supporting data'!D163</f>
        <v>23476461.448728886</v>
      </c>
      <c r="E175">
        <f>'Net zero Activity data'!AG55-'Net zero supporting data'!E163</f>
        <v>24129022.140224963</v>
      </c>
      <c r="F175">
        <f>'Net zero Activity data'!AH55-'Net zero supporting data'!F163</f>
        <v>24632268.790066537</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24107536.450965688</v>
      </c>
      <c r="K175">
        <f>'Net zero Activity data'!AM55-'Net zero supporting data'!K163</f>
        <v>24575274.025127783</v>
      </c>
      <c r="L175">
        <f>'Net zero Activity data'!AN55-'Net zero supporting data'!L163</f>
        <v>24211573.265135735</v>
      </c>
      <c r="M175">
        <f>'Net zero Activity data'!AO55-'Net zero supporting data'!M163</f>
        <v>23244883.778625768</v>
      </c>
      <c r="N175">
        <f>'Net zero Activity data'!AP55-'Net zero supporting data'!N163</f>
        <v>22260937.747705303</v>
      </c>
      <c r="O175">
        <f>'Net zero Activity data'!AQ55-'Net zero supporting data'!O163</f>
        <v>21355987.44986704</v>
      </c>
      <c r="P175">
        <f>'Net zero Activity data'!AR55-'Net zero supporting data'!P163</f>
        <v>20504401.879346542</v>
      </c>
      <c r="Q175">
        <f>'Net zero Activity data'!AS55-'Net zero supporting data'!Q163</f>
        <v>19629206.223803587</v>
      </c>
      <c r="R175">
        <f>'Net zero Activity data'!AT55-'Net zero supporting data'!R163</f>
        <v>18732540.214286972</v>
      </c>
      <c r="S175">
        <f>'Net zero Activity data'!AU55-'Net zero supporting data'!S163</f>
        <v>17838542.406599272</v>
      </c>
      <c r="T175">
        <f>'Net zero Activity data'!AV55-'Net zero supporting data'!T163</f>
        <v>16916913.587196391</v>
      </c>
      <c r="U175">
        <f>'Net zero Activity data'!AW55-'Net zero supporting data'!U163</f>
        <v>15953214.384720277</v>
      </c>
      <c r="V175">
        <f>'Net zero Activity data'!AX55-'Net zero supporting data'!V163</f>
        <v>14880891.687123183</v>
      </c>
      <c r="W175">
        <f>'Net zero Activity data'!AY55-'Net zero supporting data'!W163</f>
        <v>13667918.876405034</v>
      </c>
      <c r="X175">
        <f>'Net zero Activity data'!AZ55-'Net zero supporting data'!X163</f>
        <v>12305635.31669157</v>
      </c>
      <c r="Y175">
        <f>'Net zero Activity data'!BA55-'Net zero supporting data'!Y163</f>
        <v>10772451.299991444</v>
      </c>
      <c r="Z175">
        <f>'Net zero Activity data'!BB55-'Net zero supporting data'!Z163</f>
        <v>9039537.9208762348</v>
      </c>
      <c r="AA175">
        <f>'Net zero Activity data'!BC55-'Net zero supporting data'!AA163</f>
        <v>7116541.0593575984</v>
      </c>
      <c r="AB175">
        <f>'Net zero Activity data'!BD55-'Net zero supporting data'!AB163</f>
        <v>4976542.580910556</v>
      </c>
      <c r="AC175">
        <f>'Net zero Activity data'!BE55-'Net zero supporting data'!AC163</f>
        <v>2607965.6435377821</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1146</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3767695.6699126353</v>
      </c>
      <c r="K176">
        <f>'Net zero Activity data'!AM56-'Net zero supporting data'!K164</f>
        <v>3581887.2003702153</v>
      </c>
      <c r="L176">
        <f>'Net zero Activity data'!AN56-'Net zero supporting data'!L164</f>
        <v>3392508.716768547</v>
      </c>
      <c r="M176">
        <f>'Net zero Activity data'!AO56-'Net zero supporting data'!M164</f>
        <v>3203977.6656302684</v>
      </c>
      <c r="N176">
        <f>'Net zero Activity data'!AP56-'Net zero supporting data'!N164</f>
        <v>3018706.9694767836</v>
      </c>
      <c r="O176">
        <f>'Net zero Activity data'!AQ56-'Net zero supporting data'!O164</f>
        <v>2834945.378977438</v>
      </c>
      <c r="P176">
        <f>'Net zero Activity data'!AR56-'Net zero supporting data'!P164</f>
        <v>2650343.9861886385</v>
      </c>
      <c r="Q176">
        <f>'Net zero Activity data'!AS56-'Net zero supporting data'!Q164</f>
        <v>2464955.6980221188</v>
      </c>
      <c r="R176">
        <f>'Net zero Activity data'!AT56-'Net zero supporting data'!R164</f>
        <v>2278812.2759531927</v>
      </c>
      <c r="S176">
        <f>'Net zero Activity data'!AU56-'Net zero supporting data'!S164</f>
        <v>2092017.9176637975</v>
      </c>
      <c r="T176">
        <f>'Net zero Activity data'!AV56-'Net zero supporting data'!T164</f>
        <v>1904633.744383787</v>
      </c>
      <c r="U176">
        <f>'Net zero Activity data'!AW56-'Net zero supporting data'!U164</f>
        <v>1716641.967773065</v>
      </c>
      <c r="V176">
        <f>'Net zero Activity data'!AX56-'Net zero supporting data'!V164</f>
        <v>1528090.0929518933</v>
      </c>
      <c r="W176">
        <f>'Net zero Activity data'!AY56-'Net zero supporting data'!W164</f>
        <v>1338976.164396184</v>
      </c>
      <c r="X176">
        <f>'Net zero Activity data'!AZ56-'Net zero supporting data'!X164</f>
        <v>1149293.8041423601</v>
      </c>
      <c r="Y176">
        <f>'Net zero Activity data'!BA56-'Net zero supporting data'!Y164</f>
        <v>959062.05057013454</v>
      </c>
      <c r="Z176">
        <f>'Net zero Activity data'!BB56-'Net zero supporting data'!Z164</f>
        <v>768291.67440557061</v>
      </c>
      <c r="AA176">
        <f>'Net zero Activity data'!BC56-'Net zero supporting data'!AA164</f>
        <v>576994.13169136737</v>
      </c>
      <c r="AB176">
        <f>'Net zero Activity data'!BD56-'Net zero supporting data'!AB164</f>
        <v>385159.75536303269</v>
      </c>
      <c r="AC176">
        <f>'Net zero Activity data'!BE56-'Net zero supporting data'!AC164</f>
        <v>192818.12921402371</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1147</v>
      </c>
      <c r="B177">
        <f>'Net zero Activity data'!AD58-'Net zero supporting data'!B165</f>
        <v>459078.62878496025</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471900.01049903809</v>
      </c>
      <c r="I177">
        <f>'Net zero Activity data'!AK58-'Net zero supporting data'!I165</f>
        <v>475004.74383453937</v>
      </c>
      <c r="J177">
        <f>'Net zero Activity data'!AL58-'Net zero supporting data'!J165</f>
        <v>473840.03926256584</v>
      </c>
      <c r="K177">
        <f>'Net zero Activity data'!AM58-'Net zero supporting data'!K165</f>
        <v>450921.8422069425</v>
      </c>
      <c r="L177">
        <f>'Net zero Activity data'!AN58-'Net zero supporting data'!L165</f>
        <v>427260.25051271135</v>
      </c>
      <c r="M177">
        <f>'Net zero Activity data'!AO58-'Net zero supporting data'!M165</f>
        <v>403708.28526266059</v>
      </c>
      <c r="N177">
        <f>'Net zero Activity data'!AP58-'Net zero supporting data'!N165</f>
        <v>380729.37598389515</v>
      </c>
      <c r="O177">
        <f>'Net zero Activity data'!AQ58-'Net zero supporting data'!O165</f>
        <v>357993.74803615845</v>
      </c>
      <c r="P177">
        <f>'Net zero Activity data'!AR58-'Net zero supporting data'!P165</f>
        <v>335061.33966721536</v>
      </c>
      <c r="Q177">
        <f>'Net zero Activity data'!AS58-'Net zero supporting data'!Q165</f>
        <v>311948.11075560364</v>
      </c>
      <c r="R177">
        <f>'Net zero Activity data'!AT58-'Net zero supporting data'!R165</f>
        <v>288665.39044079062</v>
      </c>
      <c r="S177">
        <f>'Net zero Activity data'!AU58-'Net zero supporting data'!S165</f>
        <v>265237.55306154914</v>
      </c>
      <c r="T177">
        <f>'Net zero Activity data'!AV58-'Net zero supporting data'!T165</f>
        <v>241680.31440806433</v>
      </c>
      <c r="U177">
        <f>'Net zero Activity data'!AW58-'Net zero supporting data'!U165</f>
        <v>217994.18149403506</v>
      </c>
      <c r="V177">
        <f>'Net zero Activity data'!AX58-'Net zero supporting data'!V165</f>
        <v>194191.53520475642</v>
      </c>
      <c r="W177">
        <f>'Net zero Activity data'!AY58-'Net zero supporting data'!W165</f>
        <v>170275.19336631038</v>
      </c>
      <c r="X177">
        <f>'Net zero Activity data'!AZ58-'Net zero supporting data'!X165</f>
        <v>146246.90000737202</v>
      </c>
      <c r="Y177">
        <f>'Net zero Activity data'!BA58-'Net zero supporting data'!Y165</f>
        <v>122112.8909918429</v>
      </c>
      <c r="Z177">
        <f>'Net zero Activity data'!BB58-'Net zero supporting data'!Z165</f>
        <v>97877.641850150831</v>
      </c>
      <c r="AA177">
        <f>'Net zero Activity data'!BC58-'Net zero supporting data'!AA165</f>
        <v>73545.557259714988</v>
      </c>
      <c r="AB177">
        <f>'Net zero Activity data'!BD58-'Net zero supporting data'!AB165</f>
        <v>49116.969568753208</v>
      </c>
      <c r="AC177">
        <f>'Net zero Activity data'!BE58-'Net zero supporting data'!AC165</f>
        <v>24599.297321171674</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1148</v>
      </c>
      <c r="B178">
        <f>'Net zero Activity data'!AD62-'Net zero supporting data'!B166</f>
        <v>7930919.3723073695</v>
      </c>
      <c r="C178">
        <f>'Net zero Activity data'!AE62-'Net zero supporting data'!C166</f>
        <v>7887809.5503911283</v>
      </c>
      <c r="D178">
        <f>'Net zero Activity data'!AF62-'Net zero supporting data'!D166</f>
        <v>7891347.8708342668</v>
      </c>
      <c r="E178">
        <f>'Net zero Activity data'!AG62-'Net zero supporting data'!E166</f>
        <v>7818899.2502508257</v>
      </c>
      <c r="F178">
        <f>'Net zero Activity data'!AH62-'Net zero supporting data'!F166</f>
        <v>7700573.9427559059</v>
      </c>
      <c r="G178">
        <f>'Net zero Activity data'!AI62-'Net zero supporting data'!G166</f>
        <v>7538263.5038453471</v>
      </c>
      <c r="H178">
        <f>'Net zero Activity data'!AJ62-'Net zero supporting data'!H166</f>
        <v>7420408.1254293481</v>
      </c>
      <c r="I178">
        <f>'Net zero Activity data'!AK62-'Net zero supporting data'!I166</f>
        <v>7312981.3674521055</v>
      </c>
      <c r="J178">
        <f>'Net zero Activity data'!AL62-'Net zero supporting data'!J166</f>
        <v>6569395.7677534297</v>
      </c>
      <c r="K178">
        <f>'Net zero Activity data'!AM62-'Net zero supporting data'!K166</f>
        <v>6522945.9210408051</v>
      </c>
      <c r="L178">
        <f>'Net zero Activity data'!AN62-'Net zero supporting data'!L166</f>
        <v>6260408.5536358654</v>
      </c>
      <c r="M178">
        <f>'Net zero Activity data'!AO62-'Net zero supporting data'!M166</f>
        <v>5854256.3768086974</v>
      </c>
      <c r="N178">
        <f>'Net zero Activity data'!AP62-'Net zero supporting data'!N166</f>
        <v>5461587.1675299043</v>
      </c>
      <c r="O178">
        <f>'Net zero Activity data'!AQ62-'Net zero supporting data'!O166</f>
        <v>5106243.4366888274</v>
      </c>
      <c r="P178">
        <f>'Net zero Activity data'!AR62-'Net zero supporting data'!P166</f>
        <v>4780832.7157369182</v>
      </c>
      <c r="Q178">
        <f>'Net zero Activity data'!AS62-'Net zero supporting data'!Q166</f>
        <v>4465297.5310031753</v>
      </c>
      <c r="R178">
        <f>'Net zero Activity data'!AT62-'Net zero supporting data'!R166</f>
        <v>4159597.3418051465</v>
      </c>
      <c r="S178">
        <f>'Net zero Activity data'!AU62-'Net zero supporting data'!S166</f>
        <v>3868602.836804728</v>
      </c>
      <c r="T178">
        <f>'Net zero Activity data'!AV62-'Net zero supporting data'!T166</f>
        <v>3584819.9380006013</v>
      </c>
      <c r="U178">
        <f>'Net zero Activity data'!AW62-'Net zero supporting data'!U166</f>
        <v>3295898.786966491</v>
      </c>
      <c r="V178">
        <f>'Net zero Activity data'!AX62-'Net zero supporting data'!V166</f>
        <v>2998411.1098032715</v>
      </c>
      <c r="W178">
        <f>'Net zero Activity data'!AY62-'Net zero supporting data'!W166</f>
        <v>2686764.745447075</v>
      </c>
      <c r="X178">
        <f>'Net zero Activity data'!AZ62-'Net zero supporting data'!X166</f>
        <v>2360594.1736261388</v>
      </c>
      <c r="Y178">
        <f>'Net zero Activity data'!BA62-'Net zero supporting data'!Y166</f>
        <v>2017103.8135258332</v>
      </c>
      <c r="Z178">
        <f>'Net zero Activity data'!BB62-'Net zero supporting data'!Z166</f>
        <v>1652455.2017095508</v>
      </c>
      <c r="AA178">
        <f>'Net zero Activity data'!BC62-'Net zero supporting data'!AA166</f>
        <v>1270343.7414857103</v>
      </c>
      <c r="AB178">
        <f>'Net zero Activity data'!BD62-'Net zero supporting data'!AB166</f>
        <v>867605.27865690179</v>
      </c>
      <c r="AC178">
        <f>'Net zero Activity data'!BE62-'Net zero supporting data'!AC166</f>
        <v>444123.61142919399</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1149</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11156570.250775764</v>
      </c>
      <c r="J179">
        <f>'Net zero Activity data'!AL64-'Net zero supporting data'!J167</f>
        <v>10707973.553800801</v>
      </c>
      <c r="K179">
        <f>'Net zero Activity data'!AM64-'Net zero supporting data'!K167</f>
        <v>10597297.394704541</v>
      </c>
      <c r="L179">
        <f>'Net zero Activity data'!AN64-'Net zero supporting data'!L167</f>
        <v>10278675.432115136</v>
      </c>
      <c r="M179">
        <f>'Net zero Activity data'!AO64-'Net zero supporting data'!M167</f>
        <v>9815436.5884505585</v>
      </c>
      <c r="N179">
        <f>'Net zero Activity data'!AP64-'Net zero supporting data'!N167</f>
        <v>9350577.9854428917</v>
      </c>
      <c r="O179">
        <f>'Net zero Activity data'!AQ64-'Net zero supporting data'!O167</f>
        <v>8903733.8446270041</v>
      </c>
      <c r="P179">
        <f>'Net zero Activity data'!AR64-'Net zero supporting data'!P167</f>
        <v>8464707.1721079256</v>
      </c>
      <c r="Q179">
        <f>'Net zero Activity data'!AS64-'Net zero supporting data'!Q167</f>
        <v>8015740.6017205706</v>
      </c>
      <c r="R179">
        <f>'Net zero Activity data'!AT64-'Net zero supporting data'!R167</f>
        <v>7557559.7055224087</v>
      </c>
      <c r="S179">
        <f>'Net zero Activity data'!AU64-'Net zero supporting data'!S167</f>
        <v>7096096.2547550127</v>
      </c>
      <c r="T179">
        <f>'Net zero Activity data'!AV64-'Net zero supporting data'!T167</f>
        <v>6624580.112159905</v>
      </c>
      <c r="U179">
        <f>'Net zero Activity data'!AW64-'Net zero supporting data'!U167</f>
        <v>6130200.0519618997</v>
      </c>
      <c r="V179">
        <f>'Net zero Activity data'!AX64-'Net zero supporting data'!V167</f>
        <v>5608981.7195390705</v>
      </c>
      <c r="W179">
        <f>'Net zero Activity data'!AY64-'Net zero supporting data'!W167</f>
        <v>5054089.5613823589</v>
      </c>
      <c r="X179">
        <f>'Net zero Activity data'!AZ64-'Net zero supporting data'!X167</f>
        <v>4464093.9777124748</v>
      </c>
      <c r="Y179">
        <f>'Net zero Activity data'!BA64-'Net zero supporting data'!Y167</f>
        <v>3834732.408381341</v>
      </c>
      <c r="Z179">
        <f>'Net zero Activity data'!BB64-'Net zero supporting data'!Z167</f>
        <v>3160191.850580696</v>
      </c>
      <c r="AA179">
        <f>'Net zero Activity data'!BC64-'Net zero supporting data'!AA167</f>
        <v>2443335.808712082</v>
      </c>
      <c r="AB179">
        <f>'Net zero Activity data'!BD64-'Net zero supporting data'!AB167</f>
        <v>1678832.8962574825</v>
      </c>
      <c r="AC179">
        <f>'Net zero Activity data'!BE64-'Net zero supporting data'!AC167</f>
        <v>864910.22708478384</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1150</v>
      </c>
      <c r="B180">
        <f>'Net zero Activity data'!AD65-'Net zero supporting data'!B168</f>
        <v>50031084.230106659</v>
      </c>
      <c r="C180">
        <f>'Net zero Activity data'!AE65-'Net zero supporting data'!C168</f>
        <v>50689904.185566761</v>
      </c>
      <c r="D180">
        <f>'Net zero Activity data'!AF65-'Net zero supporting data'!D168</f>
        <v>51748158.01570043</v>
      </c>
      <c r="E180">
        <f>'Net zero Activity data'!AG65-'Net zero supporting data'!E168</f>
        <v>52052013.608416207</v>
      </c>
      <c r="F180">
        <f>'Net zero Activity data'!AH65-'Net zero supporting data'!F168</f>
        <v>51865691.663914926</v>
      </c>
      <c r="G180">
        <f>'Net zero Activity data'!AI65-'Net zero supporting data'!G168</f>
        <v>51191174.53318394</v>
      </c>
      <c r="H180">
        <f>'Net zero Activity data'!AJ65-'Net zero supporting data'!H168</f>
        <v>50907218.229325019</v>
      </c>
      <c r="I180">
        <f>'Net zero Activity data'!AK65-'Net zero supporting data'!I168</f>
        <v>50687682.526318632</v>
      </c>
      <c r="J180">
        <f>'Net zero Activity data'!AL65-'Net zero supporting data'!J168</f>
        <v>44099651.067897394</v>
      </c>
      <c r="K180">
        <f>'Net zero Activity data'!AM65-'Net zero supporting data'!K168</f>
        <v>45685092.433895797</v>
      </c>
      <c r="L180">
        <f>'Net zero Activity data'!AN65-'Net zero supporting data'!L168</f>
        <v>45008455.422775574</v>
      </c>
      <c r="M180">
        <f>'Net zero Activity data'!AO65-'Net zero supporting data'!M168</f>
        <v>42712168.841116659</v>
      </c>
      <c r="N180">
        <f>'Net zero Activity data'!AP65-'Net zero supporting data'!N168</f>
        <v>40421223.717248276</v>
      </c>
      <c r="O180">
        <f>'Net zero Activity data'!AQ65-'Net zero supporting data'!O168</f>
        <v>38421599.645939603</v>
      </c>
      <c r="P180">
        <f>'Net zero Activity data'!AR65-'Net zero supporting data'!P168</f>
        <v>36669585.327939704</v>
      </c>
      <c r="Q180">
        <f>'Net zero Activity data'!AS65-'Net zero supporting data'!Q168</f>
        <v>34949604.885044768</v>
      </c>
      <c r="R180">
        <f>'Net zero Activity data'!AT65-'Net zero supporting data'!R168</f>
        <v>33264219.776712738</v>
      </c>
      <c r="S180">
        <f>'Net zero Activity data'!AU65-'Net zero supporting data'!S168</f>
        <v>31672277.057745378</v>
      </c>
      <c r="T180">
        <f>'Net zero Activity data'!AV65-'Net zero supporting data'!T168</f>
        <v>30090460.692768954</v>
      </c>
      <c r="U180">
        <f>'Net zero Activity data'!AW65-'Net zero supporting data'!U168</f>
        <v>28373889.916161865</v>
      </c>
      <c r="V180">
        <f>'Net zero Activity data'!AX65-'Net zero supporting data'!V168</f>
        <v>26477172.662025847</v>
      </c>
      <c r="W180">
        <f>'Net zero Activity data'!AY65-'Net zero supporting data'!W168</f>
        <v>24326707.438984483</v>
      </c>
      <c r="X180">
        <f>'Net zero Activity data'!AZ65-'Net zero supporting data'!X168</f>
        <v>21909974.554368593</v>
      </c>
      <c r="Y180">
        <f>'Net zero Activity data'!BA65-'Net zero supporting data'!Y168</f>
        <v>19183259.92880109</v>
      </c>
      <c r="Z180">
        <f>'Net zero Activity data'!BB65-'Net zero supporting data'!Z168</f>
        <v>16087639.780388817</v>
      </c>
      <c r="AA180">
        <f>'Net zero Activity data'!BC65-'Net zero supporting data'!AA168</f>
        <v>12658257.045203492</v>
      </c>
      <c r="AB180">
        <f>'Net zero Activity data'!BD65-'Net zero supporting data'!AB168</f>
        <v>8843175.2800244242</v>
      </c>
      <c r="AC180">
        <f>'Net zero Activity data'!BE65-'Net zero supporting data'!AC168</f>
        <v>4627816.2259710878</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1118</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1119</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1120</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1121</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1122</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75" x14ac:dyDescent="0.25">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5">
      <c r="A188" t="s">
        <v>1218</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1219</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1220</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1221</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1222</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1223</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1224</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1225</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1235</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1236</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132372.34622364846</v>
      </c>
      <c r="L197">
        <f>'Net zero Activity data'!AN9*'Net zero supporting data'!L196</f>
        <v>268926.78257759806</v>
      </c>
      <c r="M197">
        <f>'Net zero Activity data'!AO9*'Net zero supporting data'!M196</f>
        <v>400665.96974474448</v>
      </c>
      <c r="N197">
        <f>'Net zero Activity data'!AP9*'Net zero supporting data'!N196</f>
        <v>531266.69534826442</v>
      </c>
      <c r="O197">
        <f>'Net zero Activity data'!AQ9*'Net zero supporting data'!O196</f>
        <v>664325.97477011557</v>
      </c>
      <c r="P197">
        <f>'Net zero Activity data'!AR9*'Net zero supporting data'!P196</f>
        <v>801872.33724500565</v>
      </c>
      <c r="Q197">
        <f>'Net zero Activity data'!AS9*'Net zero supporting data'!Q196</f>
        <v>943267.02479333198</v>
      </c>
      <c r="R197">
        <f>'Net zero Activity data'!AT9*'Net zero supporting data'!R196</f>
        <v>1090203.9491307663</v>
      </c>
      <c r="S197">
        <f>'Net zero Activity data'!AU9*'Net zero supporting data'!S196</f>
        <v>1246558.3191187172</v>
      </c>
      <c r="T197">
        <f>'Net zero Activity data'!AV9*'Net zero supporting data'!T196</f>
        <v>1413823.8268024998</v>
      </c>
      <c r="U197">
        <f>'Net zero Activity data'!AW9*'Net zero supporting data'!U196</f>
        <v>1481670.2952558093</v>
      </c>
      <c r="V197">
        <f>'Net zero Activity data'!AX9*'Net zero supporting data'!V196</f>
        <v>1553379.9301535178</v>
      </c>
      <c r="W197">
        <f>'Net zero Activity data'!AY9*'Net zero supporting data'!W196</f>
        <v>1627331.0922857327</v>
      </c>
      <c r="X197">
        <f>'Net zero Activity data'!AZ9*'Net zero supporting data'!X196</f>
        <v>1704173.1964675344</v>
      </c>
      <c r="Y197">
        <f>'Net zero Activity data'!BA9*'Net zero supporting data'!Y196</f>
        <v>1783059.1114373279</v>
      </c>
      <c r="Z197">
        <f>'Net zero Activity data'!BB9*'Net zero supporting data'!Z196</f>
        <v>1861020.0003282179</v>
      </c>
      <c r="AA197">
        <f>'Net zero Activity data'!BC9*'Net zero supporting data'!AA196</f>
        <v>1942003.8749135449</v>
      </c>
      <c r="AB197">
        <f>'Net zero Activity data'!BD9*'Net zero supporting data'!AB196</f>
        <v>2023208.8920893143</v>
      </c>
      <c r="AC197">
        <f>'Net zero Activity data'!BE9*'Net zero supporting data'!AC196</f>
        <v>2104243.5712805181</v>
      </c>
      <c r="AD197">
        <f>'Net zero Activity data'!BF9*'Net zero supporting data'!AD196</f>
        <v>2186197.0233481657</v>
      </c>
      <c r="AE197">
        <f>'Net zero Activity data'!BG9*'Net zero supporting data'!AE196</f>
        <v>2277294.6384482458</v>
      </c>
      <c r="AF197">
        <f>'Net zero Activity data'!BH9*'Net zero supporting data'!AF196</f>
        <v>2371450.7880710685</v>
      </c>
      <c r="AG197">
        <f>'Net zero Activity data'!BI9*'Net zero supporting data'!AG196</f>
        <v>2470193.5879024509</v>
      </c>
      <c r="AH197">
        <f>'Net zero Activity data'!BJ9*'Net zero supporting data'!AH196</f>
        <v>2570734.5629124632</v>
      </c>
      <c r="AI197">
        <f>'Net zero Activity data'!BK9*'Net zero supporting data'!AI196</f>
        <v>2673119.4420786803</v>
      </c>
      <c r="AJ197">
        <f>'Net zero Activity data'!BL9*'Net zero supporting data'!AJ196</f>
        <v>2780293.7577519221</v>
      </c>
      <c r="AK197">
        <f>'Net zero Activity data'!BM9*'Net zero supporting data'!AK196</f>
        <v>2891178.6282443414</v>
      </c>
      <c r="AL197">
        <f>'Net zero Activity data'!BN9*'Net zero supporting data'!AL196</f>
        <v>3004982.6492763818</v>
      </c>
      <c r="AM197">
        <f>'Net zero Activity data'!BO9*'Net zero supporting data'!AM196</f>
        <v>3123570.627968695</v>
      </c>
      <c r="AN197">
        <f>'Net zero Activity data'!BP9*'Net zero supporting data'!AN196</f>
        <v>3235210.6054159491</v>
      </c>
    </row>
    <row r="198" spans="1:48" x14ac:dyDescent="0.25">
      <c r="A198" t="s">
        <v>1237</v>
      </c>
      <c r="B198" s="11">
        <f>'Net zero Activity data'!AD9-'Net zero supporting data'!B197</f>
        <v>5280742.7858025106</v>
      </c>
      <c r="C198" s="11">
        <f>'Net zero Activity data'!AE9-'Net zero supporting data'!C197</f>
        <v>5234944.5900683459</v>
      </c>
      <c r="D198" s="11">
        <f>'Net zero Activity data'!AF9-'Net zero supporting data'!D197</f>
        <v>5217510.6033805832</v>
      </c>
      <c r="E198" s="11">
        <f>'Net zero Activity data'!AG9-'Net zero supporting data'!E197</f>
        <v>5147837.5788466781</v>
      </c>
      <c r="F198" s="11">
        <f>'Net zero Activity data'!AH9-'Net zero supporting data'!F197</f>
        <v>5046705.4822027236</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4211078.601949892</v>
      </c>
      <c r="K198" s="11">
        <f>'Net zero Activity data'!AM9-'Net zero supporting data'!K197</f>
        <v>4280039.194564634</v>
      </c>
      <c r="L198" s="11">
        <f>'Net zero Activity data'!AN9-'Net zero supporting data'!L197</f>
        <v>4213186.2603823692</v>
      </c>
      <c r="M198" s="11">
        <f>'Net zero Activity data'!AO9-'Net zero supporting data'!M197</f>
        <v>4051178.1385301938</v>
      </c>
      <c r="N198" s="11">
        <f>'Net zero Activity data'!AP9-'Net zero supporting data'!N197</f>
        <v>3895955.7658872725</v>
      </c>
      <c r="O198" s="11">
        <f>'Net zero Activity data'!AQ9-'Net zero supporting data'!O197</f>
        <v>3764513.8570306553</v>
      </c>
      <c r="P198" s="11">
        <f>'Net zero Activity data'!AR9-'Net zero supporting data'!P197</f>
        <v>3652973.9807828036</v>
      </c>
      <c r="Q198" s="11">
        <f>'Net zero Activity data'!AS9-'Net zero supporting data'!Q197</f>
        <v>3548480.7123177727</v>
      </c>
      <c r="R198" s="11">
        <f>'Net zero Activity data'!AT9-'Net zero supporting data'!R197</f>
        <v>3452312.5055807605</v>
      </c>
      <c r="S198" s="11">
        <f>'Net zero Activity data'!AU9-'Net zero supporting data'!S197</f>
        <v>3370324.3442839389</v>
      </c>
      <c r="T198" s="11">
        <f>'Net zero Activity data'!AV9-'Net zero supporting data'!T197</f>
        <v>3298922.262539167</v>
      </c>
      <c r="U198" s="11">
        <f>'Net zero Activity data'!AW9-'Net zero supporting data'!U197</f>
        <v>3297911.3023435762</v>
      </c>
      <c r="V198" s="11">
        <f>'Net zero Activity data'!AX9-'Net zero supporting data'!V197</f>
        <v>3300932.3515762249</v>
      </c>
      <c r="W198" s="11">
        <f>'Net zero Activity data'!AY9-'Net zero supporting data'!W197</f>
        <v>3303975.2479740633</v>
      </c>
      <c r="X198" s="11">
        <f>'Net zero Activity data'!AZ9-'Net zero supporting data'!X197</f>
        <v>3308100.9107899191</v>
      </c>
      <c r="Y198" s="11">
        <f>'Net zero Activity data'!BA9-'Net zero supporting data'!Y197</f>
        <v>3311395.4926693225</v>
      </c>
      <c r="Z198" s="11">
        <f>'Net zero Activity data'!BB9-'Net zero supporting data'!Z197</f>
        <v>3308480.0005834978</v>
      </c>
      <c r="AA198" s="11">
        <f>'Net zero Activity data'!BC9-'Net zero supporting data'!AA197</f>
        <v>3306655.2464744137</v>
      </c>
      <c r="AB198" s="11">
        <f>'Net zero Activity data'!BD9-'Net zero supporting data'!AB197</f>
        <v>3301025.0344615118</v>
      </c>
      <c r="AC198" s="11">
        <f>'Net zero Activity data'!BE9-'Net zero supporting data'!AC197</f>
        <v>3291252.7653361936</v>
      </c>
      <c r="AD198" s="11">
        <f>'Net zero Activity data'!BF9-'Net zero supporting data'!AD197</f>
        <v>3279295.5350222485</v>
      </c>
      <c r="AE198" s="11">
        <f>'Net zero Activity data'!BG9-'Net zero supporting data'!AE197</f>
        <v>3277082.5284986952</v>
      </c>
      <c r="AF198" s="11">
        <f>'Net zero Activity data'!BH9-'Net zero supporting data'!AF197</f>
        <v>3274860.612098142</v>
      </c>
      <c r="AG198" s="11">
        <f>'Net zero Activity data'!BI9-'Net zero supporting data'!AG197</f>
        <v>3274442.6630334808</v>
      </c>
      <c r="AH198" s="11">
        <f>'Net zero Activity data'!BJ9-'Net zero supporting data'!AH197</f>
        <v>3271843.9891613163</v>
      </c>
      <c r="AI198" s="11">
        <f>'Net zero Activity data'!BK9-'Net zero supporting data'!AI197</f>
        <v>3267145.9847628302</v>
      </c>
      <c r="AJ198" s="11">
        <f>'Net zero Activity data'!BL9-'Net zero supporting data'!AJ197</f>
        <v>3263823.1069261683</v>
      </c>
      <c r="AK198" s="11">
        <f>'Net zero Activity data'!BM9-'Net zero supporting data'!AK197</f>
        <v>3260265.2616372351</v>
      </c>
      <c r="AL198" s="11">
        <f>'Net zero Activity data'!BN9-'Net zero supporting data'!AL197</f>
        <v>3255397.8700494128</v>
      </c>
      <c r="AM198" s="11">
        <f>'Net zero Activity data'!BO9-'Net zero supporting data'!AM197</f>
        <v>3251063.3066612938</v>
      </c>
      <c r="AN198" s="11">
        <f>'Net zero Activity data'!BP9-'Net zero supporting data'!AN197</f>
        <v>3235210.6054159491</v>
      </c>
    </row>
    <row r="199" spans="1:48" x14ac:dyDescent="0.25">
      <c r="A199" t="s">
        <v>1238</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75" x14ac:dyDescent="0.25">
      <c r="A201" s="107" t="s">
        <v>1375</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5">
      <c r="A202" t="s">
        <v>1369</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1370</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1371</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920446.26243808516</v>
      </c>
      <c r="C205">
        <f>'Intermediate calculations'!Z5-('Intermediate calculations'!Z5*'Net zero supporting data'!C202)</f>
        <v>941691.58339834877</v>
      </c>
      <c r="D205">
        <f>'Intermediate calculations'!AA5-('Intermediate calculations'!AA5*'Net zero supporting data'!D202)</f>
        <v>967640.07013586524</v>
      </c>
      <c r="E205">
        <f>'Intermediate calculations'!AB5-('Intermediate calculations'!AB5*'Net zero supporting data'!E202)</f>
        <v>985205.9561567097</v>
      </c>
      <c r="F205">
        <f>'Intermediate calculations'!AC5-('Intermediate calculations'!AC5*'Net zero supporting data'!F202)</f>
        <v>997182.1403323469</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955068.7792857571</v>
      </c>
      <c r="K205">
        <f>'Intermediate calculations'!AH5-('Intermediate calculations'!AH5*'Net zero supporting data'!K202)</f>
        <v>998779.30310212902</v>
      </c>
      <c r="L205">
        <f>'Intermediate calculations'!AI5-('Intermediate calculations'!AI5*'Net zero supporting data'!L202)</f>
        <v>1015944.076219784</v>
      </c>
      <c r="M205">
        <f>'Intermediate calculations'!AJ5-('Intermediate calculations'!AJ5*'Net zero supporting data'!M202)</f>
        <v>1012537.6025118537</v>
      </c>
      <c r="N205">
        <f>'Intermediate calculations'!AK5-('Intermediate calculations'!AK5*'Net zero supporting data'!N202)</f>
        <v>1009783.714224187</v>
      </c>
      <c r="O205">
        <f>'Intermediate calculations'!AL5-('Intermediate calculations'!AL5*'Net zero supporting data'!O202)</f>
        <v>1011921.2419678848</v>
      </c>
      <c r="P205">
        <f>'Intermediate calculations'!AM5-('Intermediate calculations'!AM5*'Net zero supporting data'!P202)</f>
        <v>1018639.1192901349</v>
      </c>
      <c r="Q205">
        <f>'Intermediate calculations'!AN5-('Intermediate calculations'!AN5*'Net zero supporting data'!Q202)</f>
        <v>1027210.0462642994</v>
      </c>
      <c r="R205">
        <f>'Intermediate calculations'!AO5-('Intermediate calculations'!AO5*'Net zero supporting data'!R202)</f>
        <v>1038259.9102963861</v>
      </c>
      <c r="S205">
        <f>'Intermediate calculations'!AP5-('Intermediate calculations'!AP5*'Net zero supporting data'!S202)</f>
        <v>1053808.9669380088</v>
      </c>
      <c r="T205">
        <f>'Intermediate calculations'!AQ5-('Intermediate calculations'!AQ5*'Net zero supporting data'!T202)</f>
        <v>1073432.8837868839</v>
      </c>
      <c r="U205">
        <f>'Intermediate calculations'!AR5-('Intermediate calculations'!AR5*'Net zero supporting data'!U202)</f>
        <v>1101607.3603715808</v>
      </c>
      <c r="V205">
        <f>'Intermediate calculations'!AS5-('Intermediate calculations'!AS5*'Net zero supporting data'!V202)</f>
        <v>1132092.2211567992</v>
      </c>
      <c r="W205">
        <f>'Intermediate calculations'!AT5-('Intermediate calculations'!AT5*'Net zero supporting data'!W202)</f>
        <v>1163772.3112093415</v>
      </c>
      <c r="X205">
        <f>'Intermediate calculations'!AU5-('Intermediate calculations'!AU5*'Net zero supporting data'!X202)</f>
        <v>1197077.2120282692</v>
      </c>
      <c r="Y205">
        <f>'Intermediate calculations'!AV5-('Intermediate calculations'!AV5*'Net zero supporting data'!Y202)</f>
        <v>1231462.8077622568</v>
      </c>
      <c r="Z205">
        <f>'Intermediate calculations'!AW5-('Intermediate calculations'!AW5*'Net zero supporting data'!Z202)</f>
        <v>1265081.409054507</v>
      </c>
      <c r="AA205">
        <f>'Intermediate calculations'!AX5-('Intermediate calculations'!AX5*'Net zero supporting data'!AA202)</f>
        <v>1300489.9278650875</v>
      </c>
      <c r="AB205">
        <f>'Intermediate calculations'!AY5-('Intermediate calculations'!AY5*'Net zero supporting data'!AB202)</f>
        <v>1335969.3604370845</v>
      </c>
      <c r="AC205">
        <f>'Intermediate calculations'!AZ5-('Intermediate calculations'!AZ5*'Net zero supporting data'!AC202)</f>
        <v>1371350.563339659</v>
      </c>
      <c r="AD205">
        <f>'Intermediate calculations'!BA5-('Intermediate calculations'!BA5*'Net zero supporting data'!AD202)</f>
        <v>1407367.4010029957</v>
      </c>
      <c r="AE205">
        <f>'Intermediate calculations'!BB5-('Intermediate calculations'!BB5*'Net zero supporting data'!AE202)</f>
        <v>1451823.9396903005</v>
      </c>
      <c r="AF205">
        <f>'Intermediate calculations'!BC5-('Intermediate calculations'!BC5*'Net zero supporting data'!AF202)</f>
        <v>1498307.2887820743</v>
      </c>
      <c r="AG205">
        <f>'Intermediate calculations'!BD5-('Intermediate calculations'!BD5*'Net zero supporting data'!AG202)</f>
        <v>1547762.2447961033</v>
      </c>
      <c r="AH205">
        <f>'Intermediate calculations'!BE5-('Intermediate calculations'!BE5*'Net zero supporting data'!AH202)</f>
        <v>1598577.7462478285</v>
      </c>
      <c r="AI205">
        <f>'Intermediate calculations'!BF5-('Intermediate calculations'!BF5*'Net zero supporting data'!AI202)</f>
        <v>1650845.5866402988</v>
      </c>
      <c r="AJ205">
        <f>'Intermediate calculations'!BG5-('Intermediate calculations'!BG5*'Net zero supporting data'!AJ202)</f>
        <v>1706354.0835670996</v>
      </c>
      <c r="AK205">
        <f>'Intermediate calculations'!BH5-('Intermediate calculations'!BH5*'Net zero supporting data'!AK202)</f>
        <v>1764530.0514303516</v>
      </c>
      <c r="AL205">
        <f>'Intermediate calculations'!BI5-('Intermediate calculations'!BI5*'Net zero supporting data'!AL202)</f>
        <v>1824985.3698654205</v>
      </c>
      <c r="AM205">
        <f>'Intermediate calculations'!BJ5-('Intermediate calculations'!BJ5*'Net zero supporting data'!AM202)</f>
        <v>1888882.3255923954</v>
      </c>
      <c r="AN205">
        <f>'Intermediate calculations'!BK5-('Intermediate calculations'!BK5*'Net zero supporting data'!AN202)</f>
        <v>1949528.9333282644</v>
      </c>
    </row>
    <row r="206" spans="1:48" x14ac:dyDescent="0.25">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189190.28187789526</v>
      </c>
      <c r="K206">
        <f>'Intermediate calculations'!AH19+('Intermediate calculations'!AH19*'Net zero supporting data'!K203)</f>
        <v>192143.87679960224</v>
      </c>
      <c r="L206">
        <f>'Intermediate calculations'!AI19+('Intermediate calculations'!AI19*'Net zero supporting data'!L203)</f>
        <v>194780.69418253616</v>
      </c>
      <c r="M206">
        <f>'Intermediate calculations'!AJ19+('Intermediate calculations'!AJ19*'Net zero supporting data'!M203)</f>
        <v>197454.05722667111</v>
      </c>
      <c r="N206">
        <f>'Intermediate calculations'!AK19+('Intermediate calculations'!AK19*'Net zero supporting data'!N203)</f>
        <v>200423.02618238871</v>
      </c>
      <c r="O206">
        <f>'Intermediate calculations'!AL19+('Intermediate calculations'!AL19*'Net zero supporting data'!O203)</f>
        <v>203577.17351814624</v>
      </c>
      <c r="P206">
        <f>'Intermediate calculations'!AM19+('Intermediate calculations'!AM19*'Net zero supporting data'!P203)</f>
        <v>206695.60529968169</v>
      </c>
      <c r="Q206">
        <f>'Intermediate calculations'!AN19+('Intermediate calculations'!AN19*'Net zero supporting data'!Q203)</f>
        <v>209781.09576311163</v>
      </c>
      <c r="R206">
        <f>'Intermediate calculations'!AO19+('Intermediate calculations'!AO19*'Net zero supporting data'!R203)</f>
        <v>212833.95686118407</v>
      </c>
      <c r="S206">
        <f>'Intermediate calculations'!AP19+('Intermediate calculations'!AP19*'Net zero supporting data'!S203)</f>
        <v>215865.142615196</v>
      </c>
      <c r="T206">
        <f>'Intermediate calculations'!AQ19+('Intermediate calculations'!AQ19*'Net zero supporting data'!T203)</f>
        <v>218882.6513374247</v>
      </c>
      <c r="U206">
        <f>'Intermediate calculations'!AR19+('Intermediate calculations'!AR19*'Net zero supporting data'!U203)</f>
        <v>221532.2397964077</v>
      </c>
      <c r="V206">
        <f>'Intermediate calculations'!AS19+('Intermediate calculations'!AS19*'Net zero supporting data'!V203)</f>
        <v>224166.01140694306</v>
      </c>
      <c r="W206">
        <f>'Intermediate calculations'!AT19+('Intermediate calculations'!AT19*'Net zero supporting data'!W203)</f>
        <v>226783.5525771534</v>
      </c>
      <c r="X206">
        <f>'Intermediate calculations'!AU19+('Intermediate calculations'!AU19*'Net zero supporting data'!X203)</f>
        <v>229382.02579235472</v>
      </c>
      <c r="Y206">
        <f>'Intermediate calculations'!AV19+('Intermediate calculations'!AV19*'Net zero supporting data'!Y203)</f>
        <v>231964.29313850586</v>
      </c>
      <c r="Z206">
        <f>'Intermediate calculations'!AW19+('Intermediate calculations'!AW19*'Net zero supporting data'!Z203)</f>
        <v>234531.62327597968</v>
      </c>
      <c r="AA206">
        <f>'Intermediate calculations'!AX19+('Intermediate calculations'!AX19*'Net zero supporting data'!AA203)</f>
        <v>237086.3126298225</v>
      </c>
      <c r="AB206">
        <f>'Intermediate calculations'!AY19+('Intermediate calculations'!AY19*'Net zero supporting data'!AB203)</f>
        <v>239614.83352114045</v>
      </c>
      <c r="AC206">
        <f>'Intermediate calculations'!AZ19+('Intermediate calculations'!AZ19*'Net zero supporting data'!AC203)</f>
        <v>242117.00382609668</v>
      </c>
      <c r="AD206">
        <f>'Intermediate calculations'!BA19+('Intermediate calculations'!BA19*'Net zero supporting data'!AD203)</f>
        <v>244597.17180521</v>
      </c>
      <c r="AE206">
        <f>'Intermediate calculations'!BB19+('Intermediate calculations'!BB19*'Net zero supporting data'!AE203)</f>
        <v>246673.49976967624</v>
      </c>
      <c r="AF206">
        <f>'Intermediate calculations'!BC19+('Intermediate calculations'!BC19*'Net zero supporting data'!AF203)</f>
        <v>248720.75143571195</v>
      </c>
      <c r="AG206">
        <f>'Intermediate calculations'!BD19+('Intermediate calculations'!BD19*'Net zero supporting data'!AG203)</f>
        <v>250737.53092591948</v>
      </c>
      <c r="AH206">
        <f>'Intermediate calculations'!BE19+('Intermediate calculations'!BE19*'Net zero supporting data'!AH203)</f>
        <v>252718.79784926519</v>
      </c>
      <c r="AI206">
        <f>'Intermediate calculations'!BF19+('Intermediate calculations'!BF19*'Net zero supporting data'!AI203)</f>
        <v>254659.7688094569</v>
      </c>
      <c r="AJ206">
        <f>'Intermediate calculations'!BG19+('Intermediate calculations'!BG19*'Net zero supporting data'!AJ203)</f>
        <v>256560.21075231169</v>
      </c>
      <c r="AK206">
        <f>'Intermediate calculations'!BH19+('Intermediate calculations'!BH19*'Net zero supporting data'!AK203)</f>
        <v>258417.94030312903</v>
      </c>
      <c r="AL206">
        <f>'Intermediate calculations'!BI19+('Intermediate calculations'!BI19*'Net zero supporting data'!AL203)</f>
        <v>260232.84066896915</v>
      </c>
      <c r="AM206">
        <f>'Intermediate calculations'!BJ19+('Intermediate calculations'!BJ19*'Net zero supporting data'!AM203)</f>
        <v>262009.31311594931</v>
      </c>
      <c r="AN206">
        <f>'Intermediate calculations'!BK19+('Intermediate calculations'!BK19*'Net zero supporting data'!AN203)</f>
        <v>263721.02519950655</v>
      </c>
    </row>
    <row r="207" spans="1:48" x14ac:dyDescent="0.25">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v>
      </c>
      <c r="E207">
        <f>'Intermediate calculations'!AB39+('Intermediate calculations'!AB39*'Net zero supporting data'!E204)</f>
        <v>1943924.6182197316</v>
      </c>
      <c r="F207">
        <f>'Intermediate calculations'!AC39+('Intermediate calculations'!AC39*'Net zero supporting data'!F204)</f>
        <v>1961369.2810630368</v>
      </c>
      <c r="G207">
        <f>'Intermediate calculations'!AD39+('Intermediate calculations'!AD39*'Net zero supporting data'!G204)</f>
        <v>1956860.8704089574</v>
      </c>
      <c r="H207">
        <f>'Intermediate calculations'!AE39+('Intermediate calculations'!AE39*'Net zero supporting data'!H204)</f>
        <v>1968044.8895064972</v>
      </c>
      <c r="I207">
        <f>'Intermediate calculations'!AF39+('Intermediate calculations'!AF39*'Net zero supporting data'!I204)</f>
        <v>1981185.0437649265</v>
      </c>
      <c r="J207">
        <f>'Intermediate calculations'!AG39+('Intermediate calculations'!AG39*'Net zero supporting data'!J204)</f>
        <v>1710744.0753111076</v>
      </c>
      <c r="K207">
        <f>'Intermediate calculations'!AH39+('Intermediate calculations'!AH39*'Net zero supporting data'!K204)</f>
        <v>1928464.4537723742</v>
      </c>
      <c r="L207">
        <f>'Intermediate calculations'!AI39+('Intermediate calculations'!AI39*'Net zero supporting data'!L204)</f>
        <v>2057652.9812823418</v>
      </c>
      <c r="M207">
        <f>'Intermediate calculations'!AJ39+('Intermediate calculations'!AJ39*'Net zero supporting data'!M204)</f>
        <v>2111149.6689379597</v>
      </c>
      <c r="N207">
        <f>'Intermediate calculations'!AK39+('Intermediate calculations'!AK39*'Net zero supporting data'!N204)</f>
        <v>2166828.7077661534</v>
      </c>
      <c r="O207">
        <f>'Intermediate calculations'!AL39+('Intermediate calculations'!AL39*'Net zero supporting data'!O204)</f>
        <v>2243803.8380753757</v>
      </c>
      <c r="P207">
        <f>'Intermediate calculations'!AM39+('Intermediate calculations'!AM39*'Net zero supporting data'!P204)</f>
        <v>2344660.6341304947</v>
      </c>
      <c r="Q207">
        <f>'Intermediate calculations'!AN39+('Intermediate calculations'!AN39*'Net zero supporting data'!Q204)</f>
        <v>2459135.3261538432</v>
      </c>
      <c r="R207">
        <f>'Intermediate calculations'!AO39+('Intermediate calculations'!AO39*'Net zero supporting data'!R204)</f>
        <v>2591002.677803264</v>
      </c>
      <c r="S207">
        <f>'Intermediate calculations'!AP39+('Intermediate calculations'!AP39*'Net zero supporting data'!S204)</f>
        <v>2750793.5255839867</v>
      </c>
      <c r="T207">
        <f>'Intermediate calculations'!AQ39+('Intermediate calculations'!AQ39*'Net zero supporting data'!T204)</f>
        <v>2938495.2208169261</v>
      </c>
      <c r="U207">
        <f>'Intermediate calculations'!AR39+('Intermediate calculations'!AR39*'Net zero supporting data'!U204)</f>
        <v>3136124.0056363246</v>
      </c>
      <c r="V207">
        <f>'Intermediate calculations'!AS39+('Intermediate calculations'!AS39*'Net zero supporting data'!V204)</f>
        <v>3352564.6344452356</v>
      </c>
      <c r="W207">
        <f>'Intermediate calculations'!AT39+('Intermediate calculations'!AT39*'Net zero supporting data'!W204)</f>
        <v>3583096.3225087556</v>
      </c>
      <c r="X207">
        <f>'Intermediate calculations'!AU39+('Intermediate calculations'!AU39*'Net zero supporting data'!X204)</f>
        <v>3830594.8055950352</v>
      </c>
      <c r="Y207">
        <f>'Intermediate calculations'!AV39+('Intermediate calculations'!AV39*'Net zero supporting data'!Y204)</f>
        <v>4092972.3348657154</v>
      </c>
      <c r="Z207">
        <f>'Intermediate calculations'!AW39+('Intermediate calculations'!AW39*'Net zero supporting data'!Z204)</f>
        <v>4361020.5405226266</v>
      </c>
      <c r="AA207">
        <f>'Intermediate calculations'!AX39+('Intermediate calculations'!AX39*'Net zero supporting data'!AA204)</f>
        <v>4648772.5833734311</v>
      </c>
      <c r="AB207">
        <f>'Intermediate calculations'!AY39+('Intermediate calculations'!AY39*'Net zero supporting data'!AB204)</f>
        <v>4947783.1265086345</v>
      </c>
      <c r="AC207">
        <f>'Intermediate calculations'!AZ39+('Intermediate calculations'!AZ39*'Net zero supporting data'!AC204)</f>
        <v>5257546.7040694933</v>
      </c>
      <c r="AD207">
        <f>'Intermediate calculations'!BA39+('Intermediate calculations'!BA39*'Net zero supporting data'!AD204)</f>
        <v>5582663.8783662505</v>
      </c>
      <c r="AE207">
        <f>'Intermediate calculations'!BB39+('Intermediate calculations'!BB39*'Net zero supporting data'!AE204)</f>
        <v>5894948.8394766878</v>
      </c>
      <c r="AF207">
        <f>'Intermediate calculations'!BC39+('Intermediate calculations'!BC39*'Net zero supporting data'!AF204)</f>
        <v>6225498.0996952904</v>
      </c>
      <c r="AG207">
        <f>'Intermediate calculations'!BD39+('Intermediate calculations'!BD39*'Net zero supporting data'!AG204)</f>
        <v>6580406.631366862</v>
      </c>
      <c r="AH207">
        <f>'Intermediate calculations'!BE39+('Intermediate calculations'!BE39*'Net zero supporting data'!AH204)</f>
        <v>6950729.3925867118</v>
      </c>
      <c r="AI207">
        <f>'Intermediate calculations'!BF39+('Intermediate calculations'!BF39*'Net zero supporting data'!AI204)</f>
        <v>7337458.0079665631</v>
      </c>
      <c r="AJ207">
        <f>'Intermediate calculations'!BG39+('Intermediate calculations'!BG39*'Net zero supporting data'!AJ204)</f>
        <v>7751934.6695786845</v>
      </c>
      <c r="AK207">
        <f>'Intermediate calculations'!BH39+('Intermediate calculations'!BH39*'Net zero supporting data'!AK204)</f>
        <v>8191396.6720567206</v>
      </c>
      <c r="AL207">
        <f>'Intermediate calculations'!BI39+('Intermediate calculations'!BI39*'Net zero supporting data'!AL204)</f>
        <v>8654093.0473603532</v>
      </c>
      <c r="AM207">
        <f>'Intermediate calculations'!BJ39+('Intermediate calculations'!BJ39*'Net zero supporting data'!AM204)</f>
        <v>9147906.2239014506</v>
      </c>
      <c r="AN207">
        <f>'Intermediate calculations'!BK39+('Intermediate calculations'!BK39*'Net zero supporting data'!AN204)</f>
        <v>9631417.3216124382</v>
      </c>
    </row>
    <row r="209" spans="1:48" s="111" customFormat="1" ht="15.75" x14ac:dyDescent="0.25">
      <c r="A209" s="107" t="s">
        <v>1376</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5">
      <c r="A210" t="s">
        <v>1369</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75" x14ac:dyDescent="0.25">
      <c r="A212" s="107" t="s">
        <v>1255</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5">
      <c r="A213" t="s">
        <v>1260</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1261</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1262</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1263</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5546875"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42578125" customWidth="1"/>
    <col min="10" max="10" width="14" customWidth="1"/>
    <col min="11" max="16" width="9.7109375" customWidth="1"/>
    <col min="17" max="17" width="9.42578125" customWidth="1"/>
    <col min="19" max="19" width="10" customWidth="1"/>
    <col min="32" max="33" width="9.42578125" customWidth="1"/>
    <col min="34" max="34" width="9.7109375" customWidth="1"/>
  </cols>
  <sheetData>
    <row r="1" spans="1:55" ht="18.75" x14ac:dyDescent="0.3">
      <c r="D1" s="1" t="s">
        <v>658</v>
      </c>
    </row>
    <row r="2" spans="1:55" x14ac:dyDescent="0.25">
      <c r="K2" s="79">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95" t="str">
        <f>B4&amp;" "&amp;C4</f>
        <v>FS Cattle</v>
      </c>
      <c r="B4" s="95" t="s">
        <v>1003</v>
      </c>
      <c r="C4" s="95" t="s">
        <v>1107</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72.365714675231743</v>
      </c>
      <c r="T4" s="93">
        <f>IF('Net zero activities &amp; levers'!$C$5="Off",('Activity data'!AM5*EF!$H4)*kgtoGg,IF('Net zero activities &amp; levers'!$C$5="On",(((('Activity data'!AM5-'Net zero supporting data'!K15)*EF!$H4)+('Net zero supporting data'!K15*'Net zero supporting data'!K25))*kgtoGg)))</f>
        <v>73.825045522582627</v>
      </c>
      <c r="U4" s="93">
        <f>IF('Net zero activities &amp; levers'!$C$5="Off",('Activity data'!AN5*EF!$H4)*kgtoGg,IF('Net zero activities &amp; levers'!$C$5="On",(((('Activity data'!AN5-'Net zero supporting data'!L15)*EF!$H4)+('Net zero supporting data'!L15*'Net zero supporting data'!L25))*kgtoGg)))</f>
        <v>74.549470852823731</v>
      </c>
      <c r="V4" s="93">
        <f>IF('Net zero activities &amp; levers'!$C$5="Off",('Activity data'!AO5*EF!$H4)*kgtoGg,IF('Net zero activities &amp; levers'!$C$5="On",(((('Activity data'!AO5-'Net zero supporting data'!M15)*EF!$H4)+('Net zero supporting data'!M15*'Net zero supporting data'!M25))*kgtoGg)))</f>
        <v>74.73866134408884</v>
      </c>
      <c r="W4" s="93">
        <f>IF('Net zero activities &amp; levers'!$C$5="Off",('Activity data'!AP5*EF!$H4)*kgtoGg,IF('Net zero activities &amp; levers'!$C$5="On",(((('Activity data'!AP5-'Net zero supporting data'!N15)*EF!$H4)+('Net zero supporting data'!N15*'Net zero supporting data'!N25))*kgtoGg)))</f>
        <v>75.00766800235165</v>
      </c>
      <c r="X4" s="93">
        <f>IF('Net zero activities &amp; levers'!$C$5="Off",('Activity data'!AQ5*EF!$H4)*kgtoGg,IF('Net zero activities &amp; levers'!$C$5="On",(((('Activity data'!AQ5-'Net zero supporting data'!O15)*EF!$H4)+('Net zero supporting data'!O15*'Net zero supporting data'!O25))*kgtoGg)))</f>
        <v>75.45906320296173</v>
      </c>
      <c r="Y4" s="93">
        <f>IF('Net zero activities &amp; levers'!$C$5="Off",('Activity data'!AR5*EF!$H4)*kgtoGg,IF('Net zero activities &amp; levers'!$C$5="On",(((('Activity data'!AR5-'Net zero supporting data'!P15)*EF!$H4)+('Net zero supporting data'!P15*'Net zero supporting data'!P25))*kgtoGg)))</f>
        <v>76.055372148787171</v>
      </c>
      <c r="Z4" s="93">
        <f>IF('Net zero activities &amp; levers'!$C$5="Off",('Activity data'!AS5*EF!$H4)*kgtoGg,IF('Net zero activities &amp; levers'!$C$5="On",(((('Activity data'!AS5-'Net zero supporting data'!Q15)*EF!$H4)+('Net zero supporting data'!Q15*'Net zero supporting data'!Q25))*kgtoGg)))</f>
        <v>76.723006485373944</v>
      </c>
      <c r="AA4" s="93">
        <f>IF('Net zero activities &amp; levers'!$C$5="Off",('Activity data'!AT5*EF!$H4)*kgtoGg,IF('Net zero activities &amp; levers'!$C$5="On",(((('Activity data'!AT5-'Net zero supporting data'!R15)*EF!$H4)+('Net zero supporting data'!R15*'Net zero supporting data'!R25))*kgtoGg)))</f>
        <v>77.482992951839307</v>
      </c>
      <c r="AB4" s="93">
        <f>IF('Net zero activities &amp; levers'!$C$5="Off",('Activity data'!AU5*EF!$H4)*kgtoGg,IF('Net zero activities &amp; levers'!$C$5="On",(((('Activity data'!AU5-'Net zero supporting data'!S15)*EF!$H4)+('Net zero supporting data'!S15*'Net zero supporting data'!S25))*kgtoGg)))</f>
        <v>78.40049292820909</v>
      </c>
      <c r="AC4" s="93">
        <f>IF('Net zero activities &amp; levers'!$C$5="Off",('Activity data'!AV5*EF!$H4)*kgtoGg,IF('Net zero activities &amp; levers'!$C$5="On",(((('Activity data'!AV5-'Net zero supporting data'!T15)*EF!$H4)+('Net zero supporting data'!T15*'Net zero supporting data'!T25))*kgtoGg)))</f>
        <v>79.470176515878649</v>
      </c>
      <c r="AD4" s="93">
        <f>IF('Net zero activities &amp; levers'!$C$5="Off",('Activity data'!AW5*EF!$H4)*kgtoGg,IF('Net zero activities &amp; levers'!$C$5="On",(((('Activity data'!AW5-'Net zero supporting data'!U15)*EF!$H4)+('Net zero supporting data'!U15*'Net zero supporting data'!U25))*kgtoGg)))</f>
        <v>80.634435222178453</v>
      </c>
      <c r="AE4" s="93">
        <f>IF('Net zero activities &amp; levers'!$C$5="Off",('Activity data'!AX5*EF!$H4)*kgtoGg,IF('Net zero activities &amp; levers'!$C$5="On",(((('Activity data'!AX5-'Net zero supporting data'!V15)*EF!$H4)+('Net zero supporting data'!V15*'Net zero supporting data'!V25))*kgtoGg)))</f>
        <v>81.892216807263921</v>
      </c>
      <c r="AF4" s="93">
        <f>IF('Net zero activities &amp; levers'!$C$5="Off",('Activity data'!AY5*EF!$H4)*kgtoGg,IF('Net zero activities &amp; levers'!$C$5="On",(((('Activity data'!AY5-'Net zero supporting data'!W15)*EF!$H4)+('Net zero supporting data'!W15*'Net zero supporting data'!W25))*kgtoGg)))</f>
        <v>83.211603764210864</v>
      </c>
      <c r="AG4" s="93">
        <f>IF('Net zero activities &amp; levers'!$C$5="Off",('Activity data'!AZ5*EF!$H4)*kgtoGg,IF('Net zero activities &amp; levers'!$C$5="On",(((('Activity data'!AZ5-'Net zero supporting data'!X15)*EF!$H4)+('Net zero supporting data'!X15*'Net zero supporting data'!X25))*kgtoGg)))</f>
        <v>84.607353188642591</v>
      </c>
      <c r="AH4" s="93">
        <f>IF('Net zero activities &amp; levers'!$C$5="Off",('Activity data'!BA5*EF!$H4)*kgtoGg,IF('Net zero activities &amp; levers'!$C$5="On",(((('Activity data'!BA5-'Net zero supporting data'!Y15)*EF!$H4)+('Net zero supporting data'!Y15*'Net zero supporting data'!Y25))*kgtoGg)))</f>
        <v>86.06511371010545</v>
      </c>
      <c r="AI4" s="93">
        <f>IF('Net zero activities &amp; levers'!$C$5="Off",('Activity data'!BB5*EF!$H4)*kgtoGg,IF('Net zero activities &amp; levers'!$C$5="On",(((('Activity data'!BB5-'Net zero supporting data'!Z15)*EF!$H4)+('Net zero supporting data'!Z15*'Net zero supporting data'!Z25))*kgtoGg)))</f>
        <v>87.52871170290878</v>
      </c>
      <c r="AJ4" s="93">
        <f>IF('Net zero activities &amp; levers'!$C$5="Off",('Activity data'!BC5*EF!$H4)*kgtoGg,IF('Net zero activities &amp; levers'!$C$5="On",(((('Activity data'!BC5-'Net zero supporting data'!AA15)*EF!$H4)+('Net zero supporting data'!AA15*'Net zero supporting data'!AA25))*kgtoGg)))</f>
        <v>89.080470915368679</v>
      </c>
      <c r="AK4" s="93">
        <f>IF('Net zero activities &amp; levers'!$C$5="Off",('Activity data'!BD5*EF!$H4)*kgtoGg,IF('Net zero activities &amp; levers'!$C$5="On",(((('Activity data'!BD5-'Net zero supporting data'!AB15)*EF!$H4)+('Net zero supporting data'!AB15*'Net zero supporting data'!AB25))*kgtoGg)))</f>
        <v>90.666146577204373</v>
      </c>
      <c r="AL4" s="93">
        <f>IF('Net zero activities &amp; levers'!$C$5="Off",('Activity data'!BE5*EF!$H4)*kgtoGg,IF('Net zero activities &amp; levers'!$C$5="On",(((('Activity data'!BE5-'Net zero supporting data'!AC15)*EF!$H4)+('Net zero supporting data'!AC15*'Net zero supporting data'!AC25))*kgtoGg)))</f>
        <v>92.281705803455623</v>
      </c>
      <c r="AM4" s="93">
        <f>IF('Net zero activities &amp; levers'!$C$5="Off",('Activity data'!BF5*EF!$H4)*kgtoGg,IF('Net zero activities &amp; levers'!$C$5="On",(((('Activity data'!BF5-'Net zero supporting data'!AD15)*EF!$H4)+('Net zero supporting data'!AD15*'Net zero supporting data'!AD25))*kgtoGg)))</f>
        <v>93.953177200375109</v>
      </c>
      <c r="AN4" s="93">
        <f>IF('Net zero activities &amp; levers'!$C$5="Off",('Activity data'!BG5*EF!$H4)*kgtoGg,IF('Net zero activities &amp; levers'!$C$5="On",(((('Activity data'!BG5-'Net zero supporting data'!AE15)*EF!$H4)+('Net zero supporting data'!AE15*'Net zero supporting data'!AE25))*kgtoGg)))</f>
        <v>95.618162408652182</v>
      </c>
      <c r="AO4" s="93">
        <f>IF('Net zero activities &amp; levers'!$C$5="Off",('Activity data'!BH5*EF!$H4)*kgtoGg,IF('Net zero activities &amp; levers'!$C$5="On",(((('Activity data'!BH5-'Net zero supporting data'!AF15)*EF!$H4)+('Net zero supporting data'!AF15*'Net zero supporting data'!AF25))*kgtoGg)))</f>
        <v>97.363125443895129</v>
      </c>
      <c r="AP4" s="93">
        <f>IF('Net zero activities &amp; levers'!$C$5="Off",('Activity data'!BI5*EF!$H4)*kgtoGg,IF('Net zero activities &amp; levers'!$C$5="On",(((('Activity data'!BI5-'Net zero supporting data'!AG15)*EF!$H4)+('Net zero supporting data'!AG15*'Net zero supporting data'!AG25))*kgtoGg)))</f>
        <v>99.220282959393018</v>
      </c>
      <c r="AQ4" s="93">
        <f>IF('Net zero activities &amp; levers'!$C$5="Off",('Activity data'!BJ5*EF!$H4)*kgtoGg,IF('Net zero activities &amp; levers'!$C$5="On",(((('Activity data'!BJ5-'Net zero supporting data'!AH15)*EF!$H4)+('Net zero supporting data'!AH15*'Net zero supporting data'!AH25))*kgtoGg)))</f>
        <v>101.13698373864543</v>
      </c>
      <c r="AR4" s="93">
        <f>IF('Net zero activities &amp; levers'!$C$5="Off",('Activity data'!BK5*EF!$H4)*kgtoGg,IF('Net zero activities &amp; levers'!$C$5="On",(((('Activity data'!BK5-'Net zero supporting data'!AI15)*EF!$H4)+('Net zero supporting data'!AI15*'Net zero supporting data'!AI25))*kgtoGg)))</f>
        <v>103.1166953994274</v>
      </c>
      <c r="AS4" s="93">
        <f>IF('Net zero activities &amp; levers'!$C$5="Off",('Activity data'!BL5*EF!$H4)*kgtoGg,IF('Net zero activities &amp; levers'!$C$5="On",(((('Activity data'!BL5-'Net zero supporting data'!AJ15)*EF!$H4)+('Net zero supporting data'!AJ15*'Net zero supporting data'!AJ25))*kgtoGg)))</f>
        <v>105.22033839717858</v>
      </c>
      <c r="AT4" s="93">
        <f>IF('Net zero activities &amp; levers'!$C$5="Off",('Activity data'!BM5*EF!$H4)*kgtoGg,IF('Net zero activities &amp; levers'!$C$5="On",(((('Activity data'!BM5-'Net zero supporting data'!AK15)*EF!$H4)+('Net zero supporting data'!AK15*'Net zero supporting data'!AK25))*kgtoGg)))</f>
        <v>107.43022097905694</v>
      </c>
      <c r="AU4" s="93">
        <f>IF('Net zero activities &amp; levers'!$C$5="Off",('Activity data'!BN5*EF!$H4)*kgtoGg,IF('Net zero activities &amp; levers'!$C$5="On",(((('Activity data'!BN5-'Net zero supporting data'!AL15)*EF!$H4)+('Net zero supporting data'!AL15*'Net zero supporting data'!AL25))*kgtoGg)))</f>
        <v>109.73494167523042</v>
      </c>
      <c r="AV4" s="93">
        <f>IF('Net zero activities &amp; levers'!$C$5="Off",('Activity data'!BO5*EF!$H4)*kgtoGg,IF('Net zero activities &amp; levers'!$C$5="On",(((('Activity data'!BO5-'Net zero supporting data'!AM15)*EF!$H4)+('Net zero supporting data'!AM15*'Net zero supporting data'!AM25))*kgtoGg)))</f>
        <v>112.1760298148465</v>
      </c>
      <c r="AW4" s="93">
        <f>IF('Net zero activities &amp; levers'!$C$5="Off",('Activity data'!BP5*EF!$H4)*kgtoGg,IF('Net zero activities &amp; levers'!$C$5="On",(((('Activity data'!BP5-'Net zero supporting data'!AN15)*EF!$H4)+('Net zero supporting data'!AN15*'Net zero supporting data'!AN25))*kgtoGg)))</f>
        <v>114.52480661709059</v>
      </c>
      <c r="AY4" s="79"/>
    </row>
    <row r="5" spans="1:55" x14ac:dyDescent="0.25">
      <c r="A5" s="95" t="str">
        <f t="shared" ref="A5:A471" si="0">B5&amp;" "&amp;C5</f>
        <v>FS Cattle</v>
      </c>
      <c r="B5" s="95" t="s">
        <v>1003</v>
      </c>
      <c r="C5" s="95" t="s">
        <v>1107</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57.879296587031398</v>
      </c>
      <c r="T5" s="93">
        <f>IF('Net zero activities &amp; levers'!$C$5="Off",('Activity data'!AM6*EF!$H5)*kgtoGg,IF('Net zero activities &amp; levers'!$C$5="On",(((('Activity data'!AM6-'Net zero supporting data'!K16)*EF!$H5)+('Net zero supporting data'!K16*'Net zero supporting data'!K26))*kgtoGg)))</f>
        <v>59.046493557468224</v>
      </c>
      <c r="U5" s="93">
        <f>IF('Net zero activities &amp; levers'!$C$5="Off",('Activity data'!AN6*EF!$H5)*kgtoGg,IF('Net zero activities &amp; levers'!$C$5="On",(((('Activity data'!AN6-'Net zero supporting data'!L16)*EF!$H5)+('Net zero supporting data'!L16*'Net zero supporting data'!L26))*kgtoGg)))</f>
        <v>59.625900929209891</v>
      </c>
      <c r="V5" s="93">
        <f>IF('Net zero activities &amp; levers'!$C$5="Off",('Activity data'!AO6*EF!$H5)*kgtoGg,IF('Net zero activities &amp; levers'!$C$5="On",(((('Activity data'!AO6-'Net zero supporting data'!M16)*EF!$H5)+('Net zero supporting data'!M16*'Net zero supporting data'!M26))*kgtoGg)))</f>
        <v>59.777218616107909</v>
      </c>
      <c r="W5" s="93">
        <f>IF('Net zero activities &amp; levers'!$C$5="Off",('Activity data'!AP6*EF!$H5)*kgtoGg,IF('Net zero activities &amp; levers'!$C$5="On",(((('Activity data'!AP6-'Net zero supporting data'!N16)*EF!$H5)+('Net zero supporting data'!N16*'Net zero supporting data'!N26))*kgtoGg)))</f>
        <v>59.992374594700195</v>
      </c>
      <c r="X5" s="93">
        <f>IF('Net zero activities &amp; levers'!$C$5="Off",('Activity data'!AQ6*EF!$H5)*kgtoGg,IF('Net zero activities &amp; levers'!$C$5="On",(((('Activity data'!AQ6-'Net zero supporting data'!O16)*EF!$H5)+('Net zero supporting data'!O16*'Net zero supporting data'!O26))*kgtoGg)))</f>
        <v>60.353407948842083</v>
      </c>
      <c r="Y5" s="93">
        <f>IF('Net zero activities &amp; levers'!$C$5="Off",('Activity data'!AR6*EF!$H5)*kgtoGg,IF('Net zero activities &amp; levers'!$C$5="On",(((('Activity data'!AR6-'Net zero supporting data'!P16)*EF!$H5)+('Net zero supporting data'!P16*'Net zero supporting data'!P26))*kgtoGg)))</f>
        <v>60.830345715404938</v>
      </c>
      <c r="Z5" s="93">
        <f>IF('Net zero activities &amp; levers'!$C$5="Off",('Activity data'!AS6*EF!$H5)*kgtoGg,IF('Net zero activities &amp; levers'!$C$5="On",(((('Activity data'!AS6-'Net zero supporting data'!Q16)*EF!$H5)+('Net zero supporting data'!Q16*'Net zero supporting data'!Q26))*kgtoGg)))</f>
        <v>61.364330710266294</v>
      </c>
      <c r="AA5" s="93">
        <f>IF('Net zero activities &amp; levers'!$C$5="Off",('Activity data'!AT6*EF!$H5)*kgtoGg,IF('Net zero activities &amp; levers'!$C$5="On",(((('Activity data'!AT6-'Net zero supporting data'!R16)*EF!$H5)+('Net zero supporting data'!R16*'Net zero supporting data'!R26))*kgtoGg)))</f>
        <v>61.97218046746265</v>
      </c>
      <c r="AB5" s="93">
        <f>IF('Net zero activities &amp; levers'!$C$5="Off",('Activity data'!AU6*EF!$H5)*kgtoGg,IF('Net zero activities &amp; levers'!$C$5="On",(((('Activity data'!AU6-'Net zero supporting data'!S16)*EF!$H5)+('Net zero supporting data'!S16*'Net zero supporting data'!S26))*kgtoGg)))</f>
        <v>62.706012137463084</v>
      </c>
      <c r="AC5" s="93">
        <f>IF('Net zero activities &amp; levers'!$C$5="Off",('Activity data'!AV6*EF!$H5)*kgtoGg,IF('Net zero activities &amp; levers'!$C$5="On",(((('Activity data'!AV6-'Net zero supporting data'!T16)*EF!$H5)+('Net zero supporting data'!T16*'Net zero supporting data'!T26))*kgtoGg)))</f>
        <v>63.561562779128991</v>
      </c>
      <c r="AD5" s="93">
        <f>IF('Net zero activities &amp; levers'!$C$5="Off",('Activity data'!AW6*EF!$H5)*kgtoGg,IF('Net zero activities &amp; levers'!$C$5="On",(((('Activity data'!AW6-'Net zero supporting data'!U16)*EF!$H5)+('Net zero supporting data'!U16*'Net zero supporting data'!U26))*kgtoGg)))</f>
        <v>64.49275616633426</v>
      </c>
      <c r="AE5" s="93">
        <f>IF('Net zero activities &amp; levers'!$C$5="Off",('Activity data'!AX6*EF!$H5)*kgtoGg,IF('Net zero activities &amp; levers'!$C$5="On",(((('Activity data'!AX6-'Net zero supporting data'!V16)*EF!$H5)+('Net zero supporting data'!V16*'Net zero supporting data'!V26))*kgtoGg)))</f>
        <v>65.498750700231739</v>
      </c>
      <c r="AF5" s="93">
        <f>IF('Net zero activities &amp; levers'!$C$5="Off",('Activity data'!AY6*EF!$H5)*kgtoGg,IF('Net zero activities &amp; levers'!$C$5="On",(((('Activity data'!AY6-'Net zero supporting data'!W16)*EF!$H5)+('Net zero supporting data'!W16*'Net zero supporting data'!W26))*kgtoGg)))</f>
        <v>66.554018230400004</v>
      </c>
      <c r="AG5" s="93">
        <f>IF('Net zero activities &amp; levers'!$C$5="Off",('Activity data'!AZ6*EF!$H5)*kgtoGg,IF('Net zero activities &amp; levers'!$C$5="On",(((('Activity data'!AZ6-'Net zero supporting data'!X16)*EF!$H5)+('Net zero supporting data'!X16*'Net zero supporting data'!X26))*kgtoGg)))</f>
        <v>67.670361726217266</v>
      </c>
      <c r="AH5" s="93">
        <f>IF('Net zero activities &amp; levers'!$C$5="Off",('Activity data'!BA6*EF!$H5)*kgtoGg,IF('Net zero activities &amp; levers'!$C$5="On",(((('Activity data'!BA6-'Net zero supporting data'!Y16)*EF!$H5)+('Net zero supporting data'!Y16*'Net zero supporting data'!Y26))*kgtoGg)))</f>
        <v>68.836302724012626</v>
      </c>
      <c r="AI5" s="93">
        <f>IF('Net zero activities &amp; levers'!$C$5="Off",('Activity data'!BB6*EF!$H5)*kgtoGg,IF('Net zero activities &amp; levers'!$C$5="On",(((('Activity data'!BB6-'Net zero supporting data'!Z16)*EF!$H5)+('Net zero supporting data'!Z16*'Net zero supporting data'!Z26))*kgtoGg)))</f>
        <v>70.006912628023471</v>
      </c>
      <c r="AJ5" s="93">
        <f>IF('Net zero activities &amp; levers'!$C$5="Off",('Activity data'!BC6*EF!$H5)*kgtoGg,IF('Net zero activities &amp; levers'!$C$5="On",(((('Activity data'!BC6-'Net zero supporting data'!AA16)*EF!$H5)+('Net zero supporting data'!AA16*'Net zero supporting data'!AA26))*kgtoGg)))</f>
        <v>71.248035334994583</v>
      </c>
      <c r="AK5" s="93">
        <f>IF('Net zero activities &amp; levers'!$C$5="Off",('Activity data'!BD6*EF!$H5)*kgtoGg,IF('Net zero activities &amp; levers'!$C$5="On",(((('Activity data'!BD6-'Net zero supporting data'!AB16)*EF!$H5)+('Net zero supporting data'!AB16*'Net zero supporting data'!AB26))*kgtoGg)))</f>
        <v>72.516284979651772</v>
      </c>
      <c r="AL5" s="93">
        <f>IF('Net zero activities &amp; levers'!$C$5="Off",('Activity data'!BE6*EF!$H5)*kgtoGg,IF('Net zero activities &amp; levers'!$C$5="On",(((('Activity data'!BE6-'Net zero supporting data'!AC16)*EF!$H5)+('Net zero supporting data'!AC16*'Net zero supporting data'!AC26))*kgtoGg)))</f>
        <v>73.808435993840746</v>
      </c>
      <c r="AM5" s="93">
        <f>IF('Net zero activities &amp; levers'!$C$5="Off",('Activity data'!BF6*EF!$H5)*kgtoGg,IF('Net zero activities &amp; levers'!$C$5="On",(((('Activity data'!BF6-'Net zero supporting data'!AD16)*EF!$H5)+('Net zero supporting data'!AD16*'Net zero supporting data'!AD26))*kgtoGg)))</f>
        <v>75.145306487737145</v>
      </c>
      <c r="AN5" s="93">
        <f>IF('Net zero activities &amp; levers'!$C$5="Off",('Activity data'!BG6*EF!$H5)*kgtoGg,IF('Net zero activities &amp; levers'!$C$5="On",(((('Activity data'!BG6-'Net zero supporting data'!AE16)*EF!$H5)+('Net zero supporting data'!AE16*'Net zero supporting data'!AE26))*kgtoGg)))</f>
        <v>76.476989220580691</v>
      </c>
      <c r="AO5" s="93">
        <f>IF('Net zero activities &amp; levers'!$C$5="Off",('Activity data'!BH6*EF!$H5)*kgtoGg,IF('Net zero activities &amp; levers'!$C$5="On",(((('Activity data'!BH6-'Net zero supporting data'!AF16)*EF!$H5)+('Net zero supporting data'!AF16*'Net zero supporting data'!AF26))*kgtoGg)))</f>
        <v>77.872639543437259</v>
      </c>
      <c r="AP5" s="93">
        <f>IF('Net zero activities &amp; levers'!$C$5="Off",('Activity data'!BI6*EF!$H5)*kgtoGg,IF('Net zero activities &amp; levers'!$C$5="On",(((('Activity data'!BI6-'Net zero supporting data'!AG16)*EF!$H5)+('Net zero supporting data'!AG16*'Net zero supporting data'!AG26))*kgtoGg)))</f>
        <v>79.358024868943161</v>
      </c>
      <c r="AQ5" s="93">
        <f>IF('Net zero activities &amp; levers'!$C$5="Off",('Activity data'!BJ6*EF!$H5)*kgtoGg,IF('Net zero activities &amp; levers'!$C$5="On",(((('Activity data'!BJ6-'Net zero supporting data'!AH16)*EF!$H5)+('Net zero supporting data'!AH16*'Net zero supporting data'!AH26))*kgtoGg)))</f>
        <v>80.891033882518414</v>
      </c>
      <c r="AR5" s="93">
        <f>IF('Net zero activities &amp; levers'!$C$5="Off",('Activity data'!BK6*EF!$H5)*kgtoGg,IF('Net zero activities &amp; levers'!$C$5="On",(((('Activity data'!BK6-'Net zero supporting data'!AI16)*EF!$H5)+('Net zero supporting data'!AI16*'Net zero supporting data'!AI26))*kgtoGg)))</f>
        <v>82.474440042264703</v>
      </c>
      <c r="AS5" s="93">
        <f>IF('Net zero activities &amp; levers'!$C$5="Off",('Activity data'!BL6*EF!$H5)*kgtoGg,IF('Net zero activities &amp; levers'!$C$5="On",(((('Activity data'!BL6-'Net zero supporting data'!AJ16)*EF!$H5)+('Net zero supporting data'!AJ16*'Net zero supporting data'!AJ26))*kgtoGg)))</f>
        <v>84.156968536960065</v>
      </c>
      <c r="AT5" s="93">
        <f>IF('Net zero activities &amp; levers'!$C$5="Off",('Activity data'!BM6*EF!$H5)*kgtoGg,IF('Net zero activities &amp; levers'!$C$5="On",(((('Activity data'!BM6-'Net zero supporting data'!AK16)*EF!$H5)+('Net zero supporting data'!AK16*'Net zero supporting data'!AK26))*kgtoGg)))</f>
        <v>85.924469209800506</v>
      </c>
      <c r="AU5" s="93">
        <f>IF('Net zero activities &amp; levers'!$C$5="Off",('Activity data'!BN6*EF!$H5)*kgtoGg,IF('Net zero activities &amp; levers'!$C$5="On",(((('Activity data'!BN6-'Net zero supporting data'!AL16)*EF!$H5)+('Net zero supporting data'!AL16*'Net zero supporting data'!AL26))*kgtoGg)))</f>
        <v>87.767822976466917</v>
      </c>
      <c r="AV5" s="93">
        <f>IF('Net zero activities &amp; levers'!$C$5="Off",('Activity data'!BO6*EF!$H5)*kgtoGg,IF('Net zero activities &amp; levers'!$C$5="On",(((('Activity data'!BO6-'Net zero supporting data'!AM16)*EF!$H5)+('Net zero supporting data'!AM16*'Net zero supporting data'!AM26))*kgtoGg)))</f>
        <v>89.72024568191533</v>
      </c>
      <c r="AW5" s="93">
        <f>IF('Net zero activities &amp; levers'!$C$5="Off",('Activity data'!BP6*EF!$H5)*kgtoGg,IF('Net zero activities &amp; levers'!$C$5="On",(((('Activity data'!BP6-'Net zero supporting data'!AN16)*EF!$H5)+('Net zero supporting data'!AN16*'Net zero supporting data'!AN26))*kgtoGg)))</f>
        <v>91.59883625155085</v>
      </c>
      <c r="AY5" s="79"/>
    </row>
    <row r="6" spans="1:55" x14ac:dyDescent="0.25">
      <c r="A6" s="95" t="str">
        <f t="shared" si="0"/>
        <v>FS Cattle</v>
      </c>
      <c r="B6" s="95" t="s">
        <v>1003</v>
      </c>
      <c r="C6" s="95" t="s">
        <v>1107</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26.169460420911491</v>
      </c>
      <c r="T6" s="93">
        <f>IF('Net zero activities &amp; levers'!$C$5="Off",('Activity data'!AM7*EF!$H6)*kgtoGg,IF('Net zero activities &amp; levers'!$C$5="On",(((('Activity data'!AM7-'Net zero supporting data'!K17)*EF!$H6)+('Net zero supporting data'!K17*'Net zero supporting data'!K27))*kgtoGg)))</f>
        <v>26.697195150294817</v>
      </c>
      <c r="U6" s="93">
        <f>IF('Net zero activities &amp; levers'!$C$5="Off",('Activity data'!AN7*EF!$H6)*kgtoGg,IF('Net zero activities &amp; levers'!$C$5="On",(((('Activity data'!AN7-'Net zero supporting data'!L17)*EF!$H6)+('Net zero supporting data'!L17*'Net zero supporting data'!L27))*kgtoGg)))</f>
        <v>26.959167551075083</v>
      </c>
      <c r="V6" s="93">
        <f>IF('Net zero activities &amp; levers'!$C$5="Off",('Activity data'!AO7*EF!$H6)*kgtoGg,IF('Net zero activities &amp; levers'!$C$5="On",(((('Activity data'!AO7-'Net zero supporting data'!M17)*EF!$H6)+('Net zero supporting data'!M17*'Net zero supporting data'!M27))*kgtoGg)))</f>
        <v>27.027584108493112</v>
      </c>
      <c r="W6" s="93">
        <f>IF('Net zero activities &amp; levers'!$C$5="Off",('Activity data'!AP7*EF!$H6)*kgtoGg,IF('Net zero activities &amp; levers'!$C$5="On",(((('Activity data'!AP7-'Net zero supporting data'!N17)*EF!$H6)+('Net zero supporting data'!N17*'Net zero supporting data'!N27))*kgtoGg)))</f>
        <v>27.124864417655591</v>
      </c>
      <c r="X6" s="93">
        <f>IF('Net zero activities &amp; levers'!$C$5="Off",('Activity data'!AQ7*EF!$H6)*kgtoGg,IF('Net zero activities &amp; levers'!$C$5="On",(((('Activity data'!AQ7-'Net zero supporting data'!O17)*EF!$H6)+('Net zero supporting data'!O17*'Net zero supporting data'!O27))*kgtoGg)))</f>
        <v>27.288101509827889</v>
      </c>
      <c r="Y6" s="93">
        <f>IF('Net zero activities &amp; levers'!$C$5="Off",('Activity data'!AR7*EF!$H6)*kgtoGg,IF('Net zero activities &amp; levers'!$C$5="On",(((('Activity data'!AR7-'Net zero supporting data'!P17)*EF!$H6)+('Net zero supporting data'!P17*'Net zero supporting data'!P27))*kgtoGg)))</f>
        <v>27.503743453342821</v>
      </c>
      <c r="Z6" s="93">
        <f>IF('Net zero activities &amp; levers'!$C$5="Off",('Activity data'!AS7*EF!$H6)*kgtoGg,IF('Net zero activities &amp; levers'!$C$5="On",(((('Activity data'!AS7-'Net zero supporting data'!Q17)*EF!$H6)+('Net zero supporting data'!Q17*'Net zero supporting data'!Q27))*kgtoGg)))</f>
        <v>27.745178647140875</v>
      </c>
      <c r="AA6" s="93">
        <f>IF('Net zero activities &amp; levers'!$C$5="Off",('Activity data'!AT7*EF!$H6)*kgtoGg,IF('Net zero activities &amp; levers'!$C$5="On",(((('Activity data'!AT7-'Net zero supporting data'!R17)*EF!$H6)+('Net zero supporting data'!R17*'Net zero supporting data'!R27))*kgtoGg)))</f>
        <v>28.020010946439662</v>
      </c>
      <c r="AB6" s="93">
        <f>IF('Net zero activities &amp; levers'!$C$5="Off",('Activity data'!AU7*EF!$H6)*kgtoGg,IF('Net zero activities &amp; levers'!$C$5="On",(((('Activity data'!AU7-'Net zero supporting data'!S17)*EF!$H6)+('Net zero supporting data'!S17*'Net zero supporting data'!S27))*kgtoGg)))</f>
        <v>28.351804523350385</v>
      </c>
      <c r="AC6" s="93">
        <f>IF('Net zero activities &amp; levers'!$C$5="Off",('Activity data'!AV7*EF!$H6)*kgtoGg,IF('Net zero activities &amp; levers'!$C$5="On",(((('Activity data'!AV7-'Net zero supporting data'!T17)*EF!$H6)+('Net zero supporting data'!T17*'Net zero supporting data'!T27))*kgtoGg)))</f>
        <v>28.738631937907769</v>
      </c>
      <c r="AD6" s="93">
        <f>IF('Net zero activities &amp; levers'!$C$5="Off",('Activity data'!AW7*EF!$H6)*kgtoGg,IF('Net zero activities &amp; levers'!$C$5="On",(((('Activity data'!AW7-'Net zero supporting data'!U17)*EF!$H6)+('Net zero supporting data'!U17*'Net zero supporting data'!U27))*kgtoGg)))</f>
        <v>29.159660352688871</v>
      </c>
      <c r="AE6" s="93">
        <f>IF('Net zero activities &amp; levers'!$C$5="Off",('Activity data'!AX7*EF!$H6)*kgtoGg,IF('Net zero activities &amp; levers'!$C$5="On",(((('Activity data'!AX7-'Net zero supporting data'!V17)*EF!$H6)+('Net zero supporting data'!V17*'Net zero supporting data'!V27))*kgtoGg)))</f>
        <v>29.614509248423072</v>
      </c>
      <c r="AF6" s="93">
        <f>IF('Net zero activities &amp; levers'!$C$5="Off",('Activity data'!AY7*EF!$H6)*kgtoGg,IF('Net zero activities &amp; levers'!$C$5="On",(((('Activity data'!AY7-'Net zero supporting data'!W17)*EF!$H6)+('Net zero supporting data'!W17*'Net zero supporting data'!W27))*kgtoGg)))</f>
        <v>30.09163636455321</v>
      </c>
      <c r="AG6" s="93">
        <f>IF('Net zero activities &amp; levers'!$C$5="Off",('Activity data'!AZ7*EF!$H6)*kgtoGg,IF('Net zero activities &amp; levers'!$C$5="On",(((('Activity data'!AZ7-'Net zero supporting data'!X17)*EF!$H6)+('Net zero supporting data'!X17*'Net zero supporting data'!X27))*kgtoGg)))</f>
        <v>30.596378278373869</v>
      </c>
      <c r="AH6" s="93">
        <f>IF('Net zero activities &amp; levers'!$C$5="Off",('Activity data'!BA7*EF!$H6)*kgtoGg,IF('Net zero activities &amp; levers'!$C$5="On",(((('Activity data'!BA7-'Net zero supporting data'!Y17)*EF!$H6)+('Net zero supporting data'!Y17*'Net zero supporting data'!Y27))*kgtoGg)))</f>
        <v>31.123545134125884</v>
      </c>
      <c r="AI6" s="93">
        <f>IF('Net zero activities &amp; levers'!$C$5="Off",('Activity data'!BB7*EF!$H6)*kgtoGg,IF('Net zero activities &amp; levers'!$C$5="On",(((('Activity data'!BB7-'Net zero supporting data'!Z17)*EF!$H6)+('Net zero supporting data'!Z17*'Net zero supporting data'!Z27))*kgtoGg)))</f>
        <v>31.652822982298673</v>
      </c>
      <c r="AJ6" s="93">
        <f>IF('Net zero activities &amp; levers'!$C$5="Off",('Activity data'!BC7*EF!$H6)*kgtoGg,IF('Net zero activities &amp; levers'!$C$5="On",(((('Activity data'!BC7-'Net zero supporting data'!AA17)*EF!$H6)+('Net zero supporting data'!AA17*'Net zero supporting data'!AA27))*kgtoGg)))</f>
        <v>32.213982385967945</v>
      </c>
      <c r="AK6" s="93">
        <f>IF('Net zero activities &amp; levers'!$C$5="Off",('Activity data'!BD7*EF!$H6)*kgtoGg,IF('Net zero activities &amp; levers'!$C$5="On",(((('Activity data'!BD7-'Net zero supporting data'!AB17)*EF!$H6)+('Net zero supporting data'!AB17*'Net zero supporting data'!AB27))*kgtoGg)))</f>
        <v>32.787406923527513</v>
      </c>
      <c r="AL6" s="93">
        <f>IF('Net zero activities &amp; levers'!$C$5="Off",('Activity data'!BE7*EF!$H6)*kgtoGg,IF('Net zero activities &amp; levers'!$C$5="On",(((('Activity data'!BE7-'Net zero supporting data'!AC17)*EF!$H6)+('Net zero supporting data'!AC17*'Net zero supporting data'!AC27))*kgtoGg)))</f>
        <v>33.371638191314474</v>
      </c>
      <c r="AM6" s="93">
        <f>IF('Net zero activities &amp; levers'!$C$5="Off",('Activity data'!BF7*EF!$H6)*kgtoGg,IF('Net zero activities &amp; levers'!$C$5="On",(((('Activity data'!BF7-'Net zero supporting data'!AD17)*EF!$H6)+('Net zero supporting data'!AD17*'Net zero supporting data'!AD27))*kgtoGg)))</f>
        <v>33.976088859184969</v>
      </c>
      <c r="AN6" s="93">
        <f>IF('Net zero activities &amp; levers'!$C$5="Off",('Activity data'!BG7*EF!$H6)*kgtoGg,IF('Net zero activities &amp; levers'!$C$5="On",(((('Activity data'!BG7-'Net zero supporting data'!AE17)*EF!$H6)+('Net zero supporting data'!AE17*'Net zero supporting data'!AE27))*kgtoGg)))</f>
        <v>34.578193940368166</v>
      </c>
      <c r="AO6" s="93">
        <f>IF('Net zero activities &amp; levers'!$C$5="Off",('Activity data'!BH7*EF!$H6)*kgtoGg,IF('Net zero activities &amp; levers'!$C$5="On",(((('Activity data'!BH7-'Net zero supporting data'!AF17)*EF!$H6)+('Net zero supporting data'!AF17*'Net zero supporting data'!AF27))*kgtoGg)))</f>
        <v>35.209221234048357</v>
      </c>
      <c r="AP6" s="93">
        <f>IF('Net zero activities &amp; levers'!$C$5="Off",('Activity data'!BI7*EF!$H6)*kgtoGg,IF('Net zero activities &amp; levers'!$C$5="On",(((('Activity data'!BI7-'Net zero supporting data'!AG17)*EF!$H6)+('Net zero supporting data'!AG17*'Net zero supporting data'!AG27))*kgtoGg)))</f>
        <v>35.880821180450241</v>
      </c>
      <c r="AQ6" s="93">
        <f>IF('Net zero activities &amp; levers'!$C$5="Off",('Activity data'!BJ7*EF!$H6)*kgtoGg,IF('Net zero activities &amp; levers'!$C$5="On",(((('Activity data'!BJ7-'Net zero supporting data'!AH17)*EF!$H6)+('Net zero supporting data'!AH17*'Net zero supporting data'!AH27))*kgtoGg)))</f>
        <v>36.573953631452547</v>
      </c>
      <c r="AR6" s="93">
        <f>IF('Net zero activities &amp; levers'!$C$5="Off",('Activity data'!BK7*EF!$H6)*kgtoGg,IF('Net zero activities &amp; levers'!$C$5="On",(((('Activity data'!BK7-'Net zero supporting data'!AI17)*EF!$H6)+('Net zero supporting data'!AI17*'Net zero supporting data'!AI27))*kgtoGg)))</f>
        <v>37.289872574340869</v>
      </c>
      <c r="AS6" s="93">
        <f>IF('Net zero activities &amp; levers'!$C$5="Off",('Activity data'!BL7*EF!$H6)*kgtoGg,IF('Net zero activities &amp; levers'!$C$5="On",(((('Activity data'!BL7-'Net zero supporting data'!AJ17)*EF!$H6)+('Net zero supporting data'!AJ17*'Net zero supporting data'!AJ27))*kgtoGg)))</f>
        <v>38.050608544633441</v>
      </c>
      <c r="AT6" s="93">
        <f>IF('Net zero activities &amp; levers'!$C$5="Off",('Activity data'!BM7*EF!$H6)*kgtoGg,IF('Net zero activities &amp; levers'!$C$5="On",(((('Activity data'!BM7-'Net zero supporting data'!AK17)*EF!$H6)+('Net zero supporting data'!AK17*'Net zero supporting data'!AK27))*kgtoGg)))</f>
        <v>38.849763711149343</v>
      </c>
      <c r="AU6" s="93">
        <f>IF('Net zero activities &amp; levers'!$C$5="Off",('Activity data'!BN7*EF!$H6)*kgtoGg,IF('Net zero activities &amp; levers'!$C$5="On",(((('Activity data'!BN7-'Net zero supporting data'!AL17)*EF!$H6)+('Net zero supporting data'!AL17*'Net zero supporting data'!AL27))*kgtoGg)))</f>
        <v>39.683214984455297</v>
      </c>
      <c r="AV6" s="93">
        <f>IF('Net zero activities &amp; levers'!$C$5="Off",('Activity data'!BO7*EF!$H6)*kgtoGg,IF('Net zero activities &amp; levers'!$C$5="On",(((('Activity data'!BO7-'Net zero supporting data'!AM17)*EF!$H6)+('Net zero supporting data'!AM17*'Net zero supporting data'!AM27))*kgtoGg)))</f>
        <v>40.565980528060209</v>
      </c>
      <c r="AW6" s="93">
        <f>IF('Net zero activities &amp; levers'!$C$5="Off",('Activity data'!BP7*EF!$H6)*kgtoGg,IF('Net zero activities &amp; levers'!$C$5="On",(((('Activity data'!BP7-'Net zero supporting data'!AN17)*EF!$H6)+('Net zero supporting data'!AN17*'Net zero supporting data'!AN27))*kgtoGg)))</f>
        <v>41.415363717872332</v>
      </c>
      <c r="AY6" s="79"/>
    </row>
    <row r="7" spans="1:55" x14ac:dyDescent="0.25">
      <c r="A7" s="95" t="str">
        <f t="shared" si="0"/>
        <v>FS Cattle</v>
      </c>
      <c r="B7" s="95" t="s">
        <v>1003</v>
      </c>
      <c r="C7" s="95" t="s">
        <v>1107</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463.23498593143171</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457.68816035731231</v>
      </c>
      <c r="N7" s="93">
        <f>IF('Net zero activities &amp; levers'!$C$5="Off",('Activity data'!AG8*EF!$H7)*kgtoGg,IF('Net zero activities &amp; levers'!$C$5="On",(((('Activity data'!AG8-'Net zero supporting data'!E18)*EF!$H7)+('Net zero supporting data'!E18*'Net zero supporting data'!E28))*kgtoGg)))</f>
        <v>451.57633407663525</v>
      </c>
      <c r="O7" s="93">
        <f>IF('Net zero activities &amp; levers'!$C$5="Off",('Activity data'!AH8*EF!$H7)*kgtoGg,IF('Net zero activities &amp; levers'!$C$5="On",(((('Activity data'!AH8-'Net zero supporting data'!F18)*EF!$H7)+('Net zero supporting data'!F18*'Net zero supporting data'!F28))*kgtoGg)))</f>
        <v>442.704868969107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369.40237691087651</v>
      </c>
      <c r="T7" s="93">
        <f>IF('Net zero activities &amp; levers'!$C$5="Off",('Activity data'!AM8*EF!$H7)*kgtoGg,IF('Net zero activities &amp; levers'!$C$5="On",(((('Activity data'!AM8-'Net zero supporting data'!K18)*EF!$H7)+('Net zero supporting data'!K18*'Net zero supporting data'!K28))*kgtoGg)))</f>
        <v>387.06361603448636</v>
      </c>
      <c r="U7" s="93">
        <f>IF('Net zero activities &amp; levers'!$C$5="Off",('Activity data'!AN8*EF!$H7)*kgtoGg,IF('Net zero activities &amp; levers'!$C$5="On",(((('Activity data'!AN8-'Net zero supporting data'!L18)*EF!$H7)+('Net zero supporting data'!L18*'Net zero supporting data'!L28))*kgtoGg)))</f>
        <v>393.17794041792496</v>
      </c>
      <c r="V7" s="93">
        <f>IF('Net zero activities &amp; levers'!$C$5="Off",('Activity data'!AO8*EF!$H7)*kgtoGg,IF('Net zero activities &amp; levers'!$C$5="On",(((('Activity data'!AO8-'Net zero supporting data'!M18)*EF!$H7)+('Net zero supporting data'!M18*'Net zero supporting data'!M28))*kgtoGg)))</f>
        <v>390.52270230053807</v>
      </c>
      <c r="W7" s="93">
        <f>IF('Net zero activities &amp; levers'!$C$5="Off",('Activity data'!AP8*EF!$H7)*kgtoGg,IF('Net zero activities &amp; levers'!$C$5="On",(((('Activity data'!AP8-'Net zero supporting data'!N18)*EF!$H7)+('Net zero supporting data'!N18*'Net zero supporting data'!N28))*kgtoGg)))</f>
        <v>388.36285305535796</v>
      </c>
      <c r="X7" s="93">
        <f>IF('Net zero activities &amp; levers'!$C$5="Off",('Activity data'!AQ8*EF!$H7)*kgtoGg,IF('Net zero activities &amp; levers'!$C$5="On",(((('Activity data'!AQ8-'Net zero supporting data'!O18)*EF!$H7)+('Net zero supporting data'!O18*'Net zero supporting data'!O28))*kgtoGg)))</f>
        <v>388.50473132162119</v>
      </c>
      <c r="Y7" s="93">
        <f>IF('Net zero activities &amp; levers'!$C$5="Off",('Activity data'!AR8*EF!$H7)*kgtoGg,IF('Net zero activities &amp; levers'!$C$5="On",(((('Activity data'!AR8-'Net zero supporting data'!P18)*EF!$H7)+('Net zero supporting data'!P18*'Net zero supporting data'!P28))*kgtoGg)))</f>
        <v>390.78606081827786</v>
      </c>
      <c r="Z7" s="93">
        <f>IF('Net zero activities &amp; levers'!$C$5="Off",('Activity data'!AS8*EF!$H7)*kgtoGg,IF('Net zero activities &amp; levers'!$C$5="On",(((('Activity data'!AS8-'Net zero supporting data'!Q18)*EF!$H7)+('Net zero supporting data'!Q18*'Net zero supporting data'!Q28))*kgtoGg)))</f>
        <v>394.02311080220409</v>
      </c>
      <c r="AA7" s="93">
        <f>IF('Net zero activities &amp; levers'!$C$5="Off",('Activity data'!AT8*EF!$H7)*kgtoGg,IF('Net zero activities &amp; levers'!$C$5="On",(((('Activity data'!AT8-'Net zero supporting data'!R18)*EF!$H7)+('Net zero supporting data'!R18*'Net zero supporting data'!R28))*kgtoGg)))</f>
        <v>398.47662182088436</v>
      </c>
      <c r="AB7" s="93">
        <f>IF('Net zero activities &amp; levers'!$C$5="Off",('Activity data'!AU8*EF!$H7)*kgtoGg,IF('Net zero activities &amp; levers'!$C$5="On",(((('Activity data'!AU8-'Net zero supporting data'!S18)*EF!$H7)+('Net zero supporting data'!S18*'Net zero supporting data'!S28))*kgtoGg)))</f>
        <v>405.00014152902594</v>
      </c>
      <c r="AC7" s="93">
        <f>IF('Net zero activities &amp; levers'!$C$5="Off",('Activity data'!AV8*EF!$H7)*kgtoGg,IF('Net zero activities &amp; levers'!$C$5="On",(((('Activity data'!AV8-'Net zero supporting data'!T18)*EF!$H7)+('Net zero supporting data'!T18*'Net zero supporting data'!T28))*kgtoGg)))</f>
        <v>413.40943063236716</v>
      </c>
      <c r="AD7" s="93">
        <f>IF('Net zero activities &amp; levers'!$C$5="Off",('Activity data'!AW8*EF!$H7)*kgtoGg,IF('Net zero activities &amp; levers'!$C$5="On",(((('Activity data'!AW8-'Net zero supporting data'!U18)*EF!$H7)+('Net zero supporting data'!U18*'Net zero supporting data'!U28))*kgtoGg)))</f>
        <v>419.27234556371411</v>
      </c>
      <c r="AE7" s="93">
        <f>IF('Net zero activities &amp; levers'!$C$5="Off",('Activity data'!AX8*EF!$H7)*kgtoGg,IF('Net zero activities &amp; levers'!$C$5="On",(((('Activity data'!AX8-'Net zero supporting data'!V18)*EF!$H7)+('Net zero supporting data'!V18*'Net zero supporting data'!V28))*kgtoGg)))</f>
        <v>425.8278376253316</v>
      </c>
      <c r="AF7" s="93">
        <f>IF('Net zero activities &amp; levers'!$C$5="Off",('Activity data'!AY8*EF!$H7)*kgtoGg,IF('Net zero activities &amp; levers'!$C$5="On",(((('Activity data'!AY8-'Net zero supporting data'!W18)*EF!$H7)+('Net zero supporting data'!W18*'Net zero supporting data'!W28))*kgtoGg)))</f>
        <v>432.58187641621225</v>
      </c>
      <c r="AG7" s="93">
        <f>IF('Net zero activities &amp; levers'!$C$5="Off",('Activity data'!AZ8*EF!$H7)*kgtoGg,IF('Net zero activities &amp; levers'!$C$5="On",(((('Activity data'!AZ8-'Net zero supporting data'!X18)*EF!$H7)+('Net zero supporting data'!X18*'Net zero supporting data'!X28))*kgtoGg)))</f>
        <v>439.68449510593507</v>
      </c>
      <c r="AH7" s="93">
        <f>IF('Net zero activities &amp; levers'!$C$5="Off",('Activity data'!BA8*EF!$H7)*kgtoGg,IF('Net zero activities &amp; levers'!$C$5="On",(((('Activity data'!BA8-'Net zero supporting data'!Y18)*EF!$H7)+('Net zero supporting data'!Y18*'Net zero supporting data'!Y28))*kgtoGg)))</f>
        <v>446.893496347981</v>
      </c>
      <c r="AI7" s="93">
        <f>IF('Net zero activities &amp; levers'!$C$5="Off",('Activity data'!BB8*EF!$H7)*kgtoGg,IF('Net zero activities &amp; levers'!$C$5="On",(((('Activity data'!BB8-'Net zero supporting data'!Z18)*EF!$H7)+('Net zero supporting data'!Z18*'Net zero supporting data'!Z28))*kgtoGg)))</f>
        <v>453.4765954958275</v>
      </c>
      <c r="AJ7" s="93">
        <f>IF('Net zero activities &amp; levers'!$C$5="Off",('Activity data'!BC8*EF!$H7)*kgtoGg,IF('Net zero activities &amp; levers'!$C$5="On",(((('Activity data'!BC8-'Net zero supporting data'!AA18)*EF!$H7)+('Net zero supporting data'!AA18*'Net zero supporting data'!AA28))*kgtoGg)))</f>
        <v>460.42055689435347</v>
      </c>
      <c r="AK7" s="93">
        <f>IF('Net zero activities &amp; levers'!$C$5="Off",('Activity data'!BD8*EF!$H7)*kgtoGg,IF('Net zero activities &amp; levers'!$C$5="On",(((('Activity data'!BD8-'Net zero supporting data'!AB18)*EF!$H7)+('Net zero supporting data'!AB18*'Net zero supporting data'!AB28))*kgtoGg)))</f>
        <v>467.05009656830129</v>
      </c>
      <c r="AL7" s="93">
        <f>IF('Net zero activities &amp; levers'!$C$5="Off",('Activity data'!BE8*EF!$H7)*kgtoGg,IF('Net zero activities &amp; levers'!$C$5="On",(((('Activity data'!BE8-'Net zero supporting data'!AC18)*EF!$H7)+('Net zero supporting data'!AC18*'Net zero supporting data'!AC28))*kgtoGg)))</f>
        <v>473.30134622451675</v>
      </c>
      <c r="AM7" s="93">
        <f>IF('Net zero activities &amp; levers'!$C$5="Off",('Activity data'!BF8*EF!$H7)*kgtoGg,IF('Net zero activities &amp; levers'!$C$5="On",(((('Activity data'!BF8-'Net zero supporting data'!AD18)*EF!$H7)+('Net zero supporting data'!AD18*'Net zero supporting data'!AD28))*kgtoGg)))</f>
        <v>479.44152386893921</v>
      </c>
      <c r="AN7" s="93">
        <f>IF('Net zero activities &amp; levers'!$C$5="Off",('Activity data'!BG8*EF!$H7)*kgtoGg,IF('Net zero activities &amp; levers'!$C$5="On",(((('Activity data'!BG8-'Net zero supporting data'!AE18)*EF!$H7)+('Net zero supporting data'!AE18*'Net zero supporting data'!AE28))*kgtoGg)))</f>
        <v>487.2386202384439</v>
      </c>
      <c r="AO7" s="93">
        <f>IF('Net zero activities &amp; levers'!$C$5="Off",('Activity data'!BH8*EF!$H7)*kgtoGg,IF('Net zero activities &amp; levers'!$C$5="On",(((('Activity data'!BH8-'Net zero supporting data'!AF18)*EF!$H7)+('Net zero supporting data'!AF18*'Net zero supporting data'!AF28))*kgtoGg)))</f>
        <v>495.30323443397566</v>
      </c>
      <c r="AP7" s="93">
        <f>IF('Net zero activities &amp; levers'!$C$5="Off",('Activity data'!BI8*EF!$H7)*kgtoGg,IF('Net zero activities &amp; levers'!$C$5="On",(((('Activity data'!BI8-'Net zero supporting data'!AG18)*EF!$H7)+('Net zero supporting data'!AG18*'Net zero supporting data'!AG28))*kgtoGg)))</f>
        <v>503.92844355873905</v>
      </c>
      <c r="AQ7" s="93">
        <f>IF('Net zero activities &amp; levers'!$C$5="Off",('Activity data'!BJ8*EF!$H7)*kgtoGg,IF('Net zero activities &amp; levers'!$C$5="On",(((('Activity data'!BJ8-'Net zero supporting data'!AH18)*EF!$H7)+('Net zero supporting data'!AH18*'Net zero supporting data'!AH28))*kgtoGg)))</f>
        <v>512.52009483394647</v>
      </c>
      <c r="AR7" s="93">
        <f>IF('Net zero activities &amp; levers'!$C$5="Off",('Activity data'!BK8*EF!$H7)*kgtoGg,IF('Net zero activities &amp; levers'!$C$5="On",(((('Activity data'!BK8-'Net zero supporting data'!AI18)*EF!$H7)+('Net zero supporting data'!AI18*'Net zero supporting data'!AI28))*kgtoGg)))</f>
        <v>521.08933970994713</v>
      </c>
      <c r="AS7" s="93">
        <f>IF('Net zero activities &amp; levers'!$C$5="Off",('Activity data'!BL8*EF!$H7)*kgtoGg,IF('Net zero activities &amp; levers'!$C$5="On",(((('Activity data'!BL8-'Net zero supporting data'!AJ18)*EF!$H7)+('Net zero supporting data'!AJ18*'Net zero supporting data'!AJ28))*kgtoGg)))</f>
        <v>530.19934966432822</v>
      </c>
      <c r="AT7" s="93">
        <f>IF('Net zero activities &amp; levers'!$C$5="Off",('Activity data'!BM8*EF!$H7)*kgtoGg,IF('Net zero activities &amp; levers'!$C$5="On",(((('Activity data'!BM8-'Net zero supporting data'!AK18)*EF!$H7)+('Net zero supporting data'!AK18*'Net zero supporting data'!AK28))*kgtoGg)))</f>
        <v>539.61424355839688</v>
      </c>
      <c r="AU7" s="93">
        <f>IF('Net zero activities &amp; levers'!$C$5="Off",('Activity data'!BN8*EF!$H7)*kgtoGg,IF('Net zero activities &amp; levers'!$C$5="On",(((('Activity data'!BN8-'Net zero supporting data'!AL18)*EF!$H7)+('Net zero supporting data'!AL18*'Net zero supporting data'!AL28))*kgtoGg)))</f>
        <v>549.17033444464153</v>
      </c>
      <c r="AV7" s="93">
        <f>IF('Net zero activities &amp; levers'!$C$5="Off",('Activity data'!BO8*EF!$H7)*kgtoGg,IF('Net zero activities &amp; levers'!$C$5="On",(((('Activity data'!BO8-'Net zero supporting data'!AM18)*EF!$H7)+('Net zero supporting data'!AM18*'Net zero supporting data'!AM28))*kgtoGg)))</f>
        <v>559.19282207144863</v>
      </c>
      <c r="AW7" s="93">
        <f>IF('Net zero activities &amp; levers'!$C$5="Off",('Activity data'!BP8*EF!$H7)*kgtoGg,IF('Net zero activities &amp; levers'!$C$5="On",(((('Activity data'!BP8-'Net zero supporting data'!AN18)*EF!$H7)+('Net zero supporting data'!AN18*'Net zero supporting data'!AN28))*kgtoGg)))</f>
        <v>567.59543120119042</v>
      </c>
      <c r="AY7" s="79"/>
    </row>
    <row r="8" spans="1:55" x14ac:dyDescent="0.25">
      <c r="A8" s="95" t="str">
        <f t="shared" si="0"/>
        <v>FS Cattle</v>
      </c>
      <c r="B8" s="95" t="s">
        <v>1003</v>
      </c>
      <c r="C8" s="95" t="s">
        <v>1107</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326.20040935577725</v>
      </c>
      <c r="L8" s="27">
        <f t="shared" ref="L8:AW8" si="5">L1383</f>
        <v>323.37137738012308</v>
      </c>
      <c r="M8" s="27">
        <f t="shared" si="5"/>
        <v>322.29445054900742</v>
      </c>
      <c r="N8" s="27">
        <f t="shared" si="5"/>
        <v>317.99063003627219</v>
      </c>
      <c r="O8" s="27">
        <f t="shared" si="5"/>
        <v>311.74352945546775</v>
      </c>
      <c r="P8" s="27">
        <f t="shared" si="5"/>
        <v>303.68232906672063</v>
      </c>
      <c r="Q8" s="27">
        <f t="shared" si="5"/>
        <v>297.32422455466599</v>
      </c>
      <c r="R8" s="27">
        <f t="shared" si="5"/>
        <v>291.30873487096773</v>
      </c>
      <c r="S8" s="27">
        <f t="shared" si="5"/>
        <v>260.12544437470751</v>
      </c>
      <c r="T8" s="27">
        <f t="shared" si="5"/>
        <v>272.56212037461688</v>
      </c>
      <c r="U8" s="27">
        <f t="shared" si="5"/>
        <v>276.86769999918118</v>
      </c>
      <c r="V8" s="27">
        <f t="shared" si="5"/>
        <v>274.99793673186855</v>
      </c>
      <c r="W8" s="27">
        <f t="shared" si="5"/>
        <v>273.47701596957364</v>
      </c>
      <c r="X8" s="27">
        <f t="shared" si="5"/>
        <v>273.5769236836698</v>
      </c>
      <c r="Y8" s="27">
        <f t="shared" si="5"/>
        <v>275.18338830375563</v>
      </c>
      <c r="Z8" s="27">
        <f t="shared" si="5"/>
        <v>277.46285134504268</v>
      </c>
      <c r="AA8" s="27">
        <f t="shared" si="5"/>
        <v>280.59892085940152</v>
      </c>
      <c r="AB8" s="27">
        <f t="shared" si="5"/>
        <v>285.19264729169487</v>
      </c>
      <c r="AC8" s="27">
        <f t="shared" si="5"/>
        <v>291.11429317598692</v>
      </c>
      <c r="AD8" s="27">
        <f t="shared" si="5"/>
        <v>295.24283551131606</v>
      </c>
      <c r="AE8" s="27">
        <f t="shared" si="5"/>
        <v>299.85907620766255</v>
      </c>
      <c r="AF8" s="27">
        <f t="shared" si="5"/>
        <v>304.61512936707601</v>
      </c>
      <c r="AG8" s="27">
        <f t="shared" si="5"/>
        <v>309.61664521637437</v>
      </c>
      <c r="AH8" s="27">
        <f t="shared" si="5"/>
        <v>314.69307343880962</v>
      </c>
      <c r="AI8" s="27">
        <f t="shared" si="5"/>
        <v>319.32875446911731</v>
      </c>
      <c r="AJ8" s="27">
        <f t="shared" si="5"/>
        <v>324.21854716514042</v>
      </c>
      <c r="AK8" s="27">
        <f t="shared" si="5"/>
        <v>328.88693064471261</v>
      </c>
      <c r="AL8" s="27">
        <f t="shared" si="5"/>
        <v>333.28893018872913</v>
      </c>
      <c r="AM8" s="27">
        <f t="shared" si="5"/>
        <v>337.61271514011941</v>
      </c>
      <c r="AN8" s="27">
        <f t="shared" si="5"/>
        <v>343.10326767773648</v>
      </c>
      <c r="AO8" s="27">
        <f t="shared" si="5"/>
        <v>348.78220068533165</v>
      </c>
      <c r="AP8" s="27">
        <f t="shared" si="5"/>
        <v>354.85589294244767</v>
      </c>
      <c r="AQ8" s="27">
        <f t="shared" si="5"/>
        <v>360.90595446226047</v>
      </c>
      <c r="AR8" s="27">
        <f t="shared" si="5"/>
        <v>366.94023786337442</v>
      </c>
      <c r="AS8" s="27">
        <f t="shared" si="5"/>
        <v>373.35531674688991</v>
      </c>
      <c r="AT8" s="27">
        <f t="shared" si="5"/>
        <v>379.98508853779043</v>
      </c>
      <c r="AU8" s="27">
        <f t="shared" si="5"/>
        <v>386.71428830379313</v>
      </c>
      <c r="AV8" s="27">
        <f t="shared" si="5"/>
        <v>393.77191492077668</v>
      </c>
      <c r="AW8" s="27">
        <f t="shared" si="5"/>
        <v>399.6888569070714</v>
      </c>
      <c r="AY8" s="79"/>
    </row>
    <row r="9" spans="1:55" x14ac:dyDescent="0.25">
      <c r="A9" s="95" t="str">
        <f t="shared" si="0"/>
        <v>FS Cattle</v>
      </c>
      <c r="B9" s="95" t="s">
        <v>1003</v>
      </c>
      <c r="C9" s="95" t="s">
        <v>1107</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31.891995988947254</v>
      </c>
      <c r="L9" s="93">
        <f>IF('Net zero activities &amp; levers'!$C$5="Off",('Activity data'!AE10*EF!$H9)*kgtoGg,IF('Net zero activities &amp; levers'!$C$5="On",(((('Activity data'!AE10-'Net zero supporting data'!C19)*EF!$H9)+('Net zero supporting data'!C19*'Net zero supporting data'!C29))*kgtoGg)))</f>
        <v>32.967337371253521</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35.195504797614646</v>
      </c>
      <c r="O9" s="93">
        <f>IF('Net zero activities &amp; levers'!$C$5="Off",('Activity data'!AH10*EF!$H9)*kgtoGg,IF('Net zero activities &amp; levers'!$C$5="On",(((('Activity data'!AH10-'Net zero supporting data'!F19)*EF!$H9)+('Net zero supporting data'!F19*'Net zero supporting data'!F29))*kgtoGg)))</f>
        <v>35.929559405213325</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35.164164958187662</v>
      </c>
      <c r="T9" s="93">
        <f>IF('Net zero activities &amp; levers'!$C$5="Off",('Activity data'!AM10*EF!$H9)*kgtoGg,IF('Net zero activities &amp; levers'!$C$5="On",(((('Activity data'!AM10-'Net zero supporting data'!K19)*EF!$H9)+('Net zero supporting data'!K19*'Net zero supporting data'!K29))*kgtoGg)))</f>
        <v>37.733078614995847</v>
      </c>
      <c r="U9" s="93">
        <f>IF('Net zero activities &amp; levers'!$C$5="Off",('Activity data'!AN10*EF!$H9)*kgtoGg,IF('Net zero activities &amp; levers'!$C$5="On",(((('Activity data'!AN10-'Net zero supporting data'!L19)*EF!$H9)+('Net zero supporting data'!L19*'Net zero supporting data'!L29))*kgtoGg)))</f>
        <v>39.239907769283455</v>
      </c>
      <c r="V9" s="93">
        <f>IF('Net zero activities &amp; levers'!$C$5="Off",('Activity data'!AO10*EF!$H9)*kgtoGg,IF('Net zero activities &amp; levers'!$C$5="On",(((('Activity data'!AO10-'Net zero supporting data'!M19)*EF!$H9)+('Net zero supporting data'!M19*'Net zero supporting data'!M29))*kgtoGg)))</f>
        <v>39.889255441564949</v>
      </c>
      <c r="W9" s="93">
        <f>IF('Net zero activities &amp; levers'!$C$5="Off",('Activity data'!AP10*EF!$H9)*kgtoGg,IF('Net zero activities &amp; levers'!$C$5="On",(((('Activity data'!AP10-'Net zero supporting data'!N19)*EF!$H9)+('Net zero supporting data'!N19*'Net zero supporting data'!N29))*kgtoGg)))</f>
        <v>40.588307761995488</v>
      </c>
      <c r="X9" s="93">
        <f>IF('Net zero activities &amp; levers'!$C$5="Off",('Activity data'!AQ10*EF!$H9)*kgtoGg,IF('Net zero activities &amp; levers'!$C$5="On",(((('Activity data'!AQ10-'Net zero supporting data'!O19)*EF!$H9)+('Net zero supporting data'!O19*'Net zero supporting data'!O29))*kgtoGg)))</f>
        <v>41.534201946049016</v>
      </c>
      <c r="Y9" s="93">
        <f>IF('Net zero activities &amp; levers'!$C$5="Off",('Activity data'!AR10*EF!$H9)*kgtoGg,IF('Net zero activities &amp; levers'!$C$5="On",(((('Activity data'!AR10-'Net zero supporting data'!P19)*EF!$H9)+('Net zero supporting data'!P19*'Net zero supporting data'!P29))*kgtoGg)))</f>
        <v>42.726423600286481</v>
      </c>
      <c r="Z9" s="93">
        <f>IF('Net zero activities &amp; levers'!$C$5="Off",('Activity data'!AS10*EF!$H9)*kgtoGg,IF('Net zero activities &amp; levers'!$C$5="On",(((('Activity data'!AS10-'Net zero supporting data'!Q19)*EF!$H9)+('Net zero supporting data'!Q19*'Net zero supporting data'!Q29))*kgtoGg)))</f>
        <v>44.049081565207047</v>
      </c>
      <c r="AA9" s="93">
        <f>IF('Net zero activities &amp; levers'!$C$5="Off",('Activity data'!AT10*EF!$H9)*kgtoGg,IF('Net zero activities &amp; levers'!$C$5="On",(((('Activity data'!AT10-'Net zero supporting data'!R19)*EF!$H9)+('Net zero supporting data'!R19*'Net zero supporting data'!R29))*kgtoGg)))</f>
        <v>45.539986739615941</v>
      </c>
      <c r="AB9" s="93">
        <f>IF('Net zero activities &amp; levers'!$C$5="Off",('Activity data'!AU10*EF!$H9)*kgtoGg,IF('Net zero activities &amp; levers'!$C$5="On",(((('Activity data'!AU10-'Net zero supporting data'!S19)*EF!$H9)+('Net zero supporting data'!S19*'Net zero supporting data'!S29))*kgtoGg)))</f>
        <v>47.309041836934135</v>
      </c>
      <c r="AC9" s="93">
        <f>IF('Net zero activities &amp; levers'!$C$5="Off",('Activity data'!AV10*EF!$H9)*kgtoGg,IF('Net zero activities &amp; levers'!$C$5="On",(((('Activity data'!AV10-'Net zero supporting data'!T19)*EF!$H9)+('Net zero supporting data'!T19*'Net zero supporting data'!T29))*kgtoGg)))</f>
        <v>49.351300675084218</v>
      </c>
      <c r="AD9" s="93">
        <f>IF('Net zero activities &amp; levers'!$C$5="Off",('Activity data'!AW10*EF!$H9)*kgtoGg,IF('Net zero activities &amp; levers'!$C$5="On",(((('Activity data'!AW10-'Net zero supporting data'!U19)*EF!$H9)+('Net zero supporting data'!U19*'Net zero supporting data'!U29))*kgtoGg)))</f>
        <v>51.711027137708825</v>
      </c>
      <c r="AE9" s="93">
        <f>IF('Net zero activities &amp; levers'!$C$5="Off",('Activity data'!AX10*EF!$H9)*kgtoGg,IF('Net zero activities &amp; levers'!$C$5="On",(((('Activity data'!AX10-'Net zero supporting data'!V19)*EF!$H9)+('Net zero supporting data'!V19*'Net zero supporting data'!V29))*kgtoGg)))</f>
        <v>54.264579364554088</v>
      </c>
      <c r="AF9" s="93">
        <f>IF('Net zero activities &amp; levers'!$C$5="Off",('Activity data'!AY10*EF!$H9)*kgtoGg,IF('Net zero activities &amp; levers'!$C$5="On",(((('Activity data'!AY10-'Net zero supporting data'!W19)*EF!$H9)+('Net zero supporting data'!W19*'Net zero supporting data'!W29))*kgtoGg)))</f>
        <v>56.961553434617372</v>
      </c>
      <c r="AG9" s="93">
        <f>IF('Net zero activities &amp; levers'!$C$5="Off",('Activity data'!AZ10*EF!$H9)*kgtoGg,IF('Net zero activities &amp; levers'!$C$5="On",(((('Activity data'!AZ10-'Net zero supporting data'!X19)*EF!$H9)+('Net zero supporting data'!X19*'Net zero supporting data'!X29))*kgtoGg)))</f>
        <v>59.831551165418354</v>
      </c>
      <c r="AH9" s="93">
        <f>IF('Net zero activities &amp; levers'!$C$5="Off",('Activity data'!BA10*EF!$H9)*kgtoGg,IF('Net zero activities &amp; levers'!$C$5="On",(((('Activity data'!BA10-'Net zero supporting data'!Y19)*EF!$H9)+('Net zero supporting data'!Y19*'Net zero supporting data'!Y29))*kgtoGg)))</f>
        <v>62.852420493056009</v>
      </c>
      <c r="AI9" s="93">
        <f>IF('Net zero activities &amp; levers'!$C$5="Off",('Activity data'!BB10*EF!$H9)*kgtoGg,IF('Net zero activities &amp; levers'!$C$5="On",(((('Activity data'!BB10-'Net zero supporting data'!Z19)*EF!$H9)+('Net zero supporting data'!Z19*'Net zero supporting data'!Z29))*kgtoGg)))</f>
        <v>65.927060453070922</v>
      </c>
      <c r="AJ9" s="93">
        <f>IF('Net zero activities &amp; levers'!$C$5="Off",('Activity data'!BC10*EF!$H9)*kgtoGg,IF('Net zero activities &amp; levers'!$C$5="On",(((('Activity data'!BC10-'Net zero supporting data'!AA19)*EF!$H9)+('Net zero supporting data'!AA19*'Net zero supporting data'!AA29))*kgtoGg)))</f>
        <v>69.203040648572085</v>
      </c>
      <c r="AK9" s="93">
        <f>IF('Net zero activities &amp; levers'!$C$5="Off",('Activity data'!BD10*EF!$H9)*kgtoGg,IF('Net zero activities &amp; levers'!$C$5="On",(((('Activity data'!BD10-'Net zero supporting data'!AB19)*EF!$H9)+('Net zero supporting data'!AB19*'Net zero supporting data'!AB29))*kgtoGg)))</f>
        <v>72.58973333609724</v>
      </c>
      <c r="AL9" s="93">
        <f>IF('Net zero activities &amp; levers'!$C$5="Off",('Activity data'!BE10*EF!$H9)*kgtoGg,IF('Net zero activities &amp; levers'!$C$5="On",(((('Activity data'!BE10-'Net zero supporting data'!AC19)*EF!$H9)+('Net zero supporting data'!AC19*'Net zero supporting data'!AC29))*kgtoGg)))</f>
        <v>76.081547595026791</v>
      </c>
      <c r="AM9" s="93">
        <f>IF('Net zero activities &amp; levers'!$C$5="Off",('Activity data'!BF10*EF!$H9)*kgtoGg,IF('Net zero activities &amp; levers'!$C$5="On",(((('Activity data'!BF10-'Net zero supporting data'!AD19)*EF!$H9)+('Net zero supporting data'!AD19*'Net zero supporting data'!AD29))*kgtoGg)))</f>
        <v>79.726894187226051</v>
      </c>
      <c r="AN9" s="93">
        <f>IF('Net zero activities &amp; levers'!$C$5="Off",('Activity data'!BG10*EF!$H9)*kgtoGg,IF('Net zero activities &amp; levers'!$C$5="On",(((('Activity data'!BG10-'Net zero supporting data'!AE19)*EF!$H9)+('Net zero supporting data'!AE19*'Net zero supporting data'!AE29))*kgtoGg)))</f>
        <v>83.3095791235083</v>
      </c>
      <c r="AO9" s="93">
        <f>IF('Net zero activities &amp; levers'!$C$5="Off",('Activity data'!BH10*EF!$H9)*kgtoGg,IF('Net zero activities &amp; levers'!$C$5="On",(((('Activity data'!BH10-'Net zero supporting data'!AF19)*EF!$H9)+('Net zero supporting data'!AF19*'Net zero supporting data'!AF29))*kgtoGg)))</f>
        <v>87.086258080455181</v>
      </c>
      <c r="AP9" s="93">
        <f>IF('Net zero activities &amp; levers'!$C$5="Off",('Activity data'!BI10*EF!$H9)*kgtoGg,IF('Net zero activities &amp; levers'!$C$5="On",(((('Activity data'!BI10-'Net zero supporting data'!AG19)*EF!$H9)+('Net zero supporting data'!AG19*'Net zero supporting data'!AG29))*kgtoGg)))</f>
        <v>91.121139259350954</v>
      </c>
      <c r="AQ9" s="93">
        <f>IF('Net zero activities &amp; levers'!$C$5="Off",('Activity data'!BJ10*EF!$H9)*kgtoGg,IF('Net zero activities &amp; levers'!$C$5="On",(((('Activity data'!BJ10-'Net zero supporting data'!AH19)*EF!$H9)+('Net zero supporting data'!AH19*'Net zero supporting data'!AH29))*kgtoGg)))</f>
        <v>95.32019758274437</v>
      </c>
      <c r="AR9" s="93">
        <f>IF('Net zero activities &amp; levers'!$C$5="Off",('Activity data'!BK10*EF!$H9)*kgtoGg,IF('Net zero activities &amp; levers'!$C$5="On",(((('Activity data'!BK10-'Net zero supporting data'!AI19)*EF!$H9)+('Net zero supporting data'!AI19*'Net zero supporting data'!AI29))*kgtoGg)))</f>
        <v>99.693624550303667</v>
      </c>
      <c r="AS9" s="93">
        <f>IF('Net zero activities &amp; levers'!$C$5="Off",('Activity data'!BL10*EF!$H9)*kgtoGg,IF('Net zero activities &amp; levers'!$C$5="On",(((('Activity data'!BL10-'Net zero supporting data'!AJ19)*EF!$H9)+('Net zero supporting data'!AJ19*'Net zero supporting data'!AJ29))*kgtoGg)))</f>
        <v>104.36104732075913</v>
      </c>
      <c r="AT9" s="93">
        <f>IF('Net zero activities &amp; levers'!$C$5="Off",('Activity data'!BM10*EF!$H9)*kgtoGg,IF('Net zero activities &amp; levers'!$C$5="On",(((('Activity data'!BM10-'Net zero supporting data'!AK19)*EF!$H9)+('Net zero supporting data'!AK19*'Net zero supporting data'!AK29))*kgtoGg)))</f>
        <v>109.29369918471791</v>
      </c>
      <c r="AU9" s="93">
        <f>IF('Net zero activities &amp; levers'!$C$5="Off",('Activity data'!BN10*EF!$H9)*kgtoGg,IF('Net zero activities &amp; levers'!$C$5="On",(((('Activity data'!BN10-'Net zero supporting data'!AL19)*EF!$H9)+('Net zero supporting data'!AL19*'Net zero supporting data'!AL29))*kgtoGg)))</f>
        <v>114.47360844232533</v>
      </c>
      <c r="AV9" s="93">
        <f>IF('Net zero activities &amp; levers'!$C$5="Off",('Activity data'!BO10*EF!$H9)*kgtoGg,IF('Net zero activities &amp; levers'!$C$5="On",(((('Activity data'!BO10-'Net zero supporting data'!AM19)*EF!$H9)+('Net zero supporting data'!AM19*'Net zero supporting data'!AM29))*kgtoGg)))</f>
        <v>119.9848328319804</v>
      </c>
      <c r="AW9" s="93">
        <f>IF('Net zero activities &amp; levers'!$C$5="Off",('Activity data'!BP10*EF!$H9)*kgtoGg,IF('Net zero activities &amp; levers'!$C$5="On",(((('Activity data'!BP10-'Net zero supporting data'!AN19)*EF!$H9)+('Net zero supporting data'!AN19*'Net zero supporting data'!AN29))*kgtoGg)))</f>
        <v>125.38797876262088</v>
      </c>
      <c r="AY9" s="79"/>
    </row>
    <row r="10" spans="1:55" x14ac:dyDescent="0.25">
      <c r="A10" s="95" t="str">
        <f t="shared" si="0"/>
        <v>FS Sheep</v>
      </c>
      <c r="B10" s="95" t="s">
        <v>1003</v>
      </c>
      <c r="C10" s="95" t="s">
        <v>152</v>
      </c>
      <c r="D10" t="s">
        <v>15</v>
      </c>
      <c r="E10" t="s">
        <v>16</v>
      </c>
      <c r="F10" t="s">
        <v>18</v>
      </c>
      <c r="G10" t="s">
        <v>122</v>
      </c>
      <c r="H10" t="s">
        <v>1019</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134.514372062219</v>
      </c>
      <c r="T10" s="27">
        <f t="shared" si="6"/>
        <v>134.61119272537138</v>
      </c>
      <c r="U10" s="27">
        <f t="shared" si="6"/>
        <v>134.57715264233437</v>
      </c>
      <c r="V10" s="27">
        <f t="shared" si="6"/>
        <v>134.57470202786035</v>
      </c>
      <c r="W10" s="27">
        <f t="shared" si="6"/>
        <v>134.71744668818661</v>
      </c>
      <c r="X10" s="27">
        <f t="shared" si="6"/>
        <v>134.95106147738375</v>
      </c>
      <c r="Y10" s="27">
        <f t="shared" si="6"/>
        <v>135.17521745945572</v>
      </c>
      <c r="Z10" s="27">
        <f t="shared" si="6"/>
        <v>135.39063780811901</v>
      </c>
      <c r="AA10" s="27">
        <f t="shared" si="6"/>
        <v>135.59702853009694</v>
      </c>
      <c r="AB10" s="27">
        <f t="shared" si="6"/>
        <v>135.7986907607312</v>
      </c>
      <c r="AC10" s="27">
        <f t="shared" si="6"/>
        <v>135.99857025620054</v>
      </c>
      <c r="AD10" s="27">
        <f t="shared" si="6"/>
        <v>136.19466148301387</v>
      </c>
      <c r="AE10" s="27">
        <f t="shared" si="6"/>
        <v>136.38978391312594</v>
      </c>
      <c r="AF10" s="27">
        <f t="shared" si="6"/>
        <v>136.58332287316895</v>
      </c>
      <c r="AG10" s="27">
        <f t="shared" si="6"/>
        <v>136.77372760735147</v>
      </c>
      <c r="AH10" s="27">
        <f t="shared" si="6"/>
        <v>136.96183641513412</v>
      </c>
      <c r="AI10" s="27">
        <f t="shared" si="6"/>
        <v>137.1478500354736</v>
      </c>
      <c r="AJ10" s="27">
        <f t="shared" si="6"/>
        <v>137.33239997388901</v>
      </c>
      <c r="AK10" s="27">
        <f t="shared" si="6"/>
        <v>137.50983936953097</v>
      </c>
      <c r="AL10" s="27">
        <f t="shared" si="6"/>
        <v>137.67996062186128</v>
      </c>
      <c r="AM10" s="27">
        <f t="shared" si="6"/>
        <v>137.84435369829882</v>
      </c>
      <c r="AN10" s="27">
        <f t="shared" si="6"/>
        <v>138.00175275471773</v>
      </c>
      <c r="AO10" s="27">
        <f t="shared" si="6"/>
        <v>138.15244332532626</v>
      </c>
      <c r="AP10" s="27">
        <f t="shared" si="6"/>
        <v>138.29574669703695</v>
      </c>
      <c r="AQ10" s="27">
        <f t="shared" si="6"/>
        <v>138.4296121873767</v>
      </c>
      <c r="AR10" s="27">
        <f t="shared" si="6"/>
        <v>138.55213947392693</v>
      </c>
      <c r="AS10" s="27">
        <f t="shared" si="6"/>
        <v>138.66320476976824</v>
      </c>
      <c r="AT10" s="27">
        <f t="shared" si="6"/>
        <v>138.76195815463774</v>
      </c>
      <c r="AU10" s="27">
        <f t="shared" si="6"/>
        <v>138.84835200114654</v>
      </c>
      <c r="AV10" s="27">
        <f t="shared" si="6"/>
        <v>138.92403962400931</v>
      </c>
      <c r="AW10" s="27">
        <f t="shared" si="6"/>
        <v>138.97919020206226</v>
      </c>
      <c r="AY10" s="79"/>
    </row>
    <row r="11" spans="1:55" x14ac:dyDescent="0.25">
      <c r="A11" s="95" t="str">
        <f t="shared" si="0"/>
        <v>FS Sheep</v>
      </c>
      <c r="B11" s="95" t="s">
        <v>1003</v>
      </c>
      <c r="C11" s="95" t="s">
        <v>152</v>
      </c>
      <c r="D11" t="s">
        <v>15</v>
      </c>
      <c r="E11" t="s">
        <v>16</v>
      </c>
      <c r="F11" t="s">
        <v>18</v>
      </c>
      <c r="G11" t="s">
        <v>123</v>
      </c>
      <c r="H11" t="s">
        <v>1019</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14.577835829783805</v>
      </c>
      <c r="T11" s="27">
        <f t="shared" si="7"/>
        <v>14.588328654533516</v>
      </c>
      <c r="U11" s="27">
        <f t="shared" si="7"/>
        <v>14.584639600832128</v>
      </c>
      <c r="V11" s="27">
        <f t="shared" si="7"/>
        <v>14.584374018389626</v>
      </c>
      <c r="W11" s="27">
        <f t="shared" si="7"/>
        <v>14.599843801966744</v>
      </c>
      <c r="X11" s="27">
        <f t="shared" si="7"/>
        <v>14.625161528185249</v>
      </c>
      <c r="Y11" s="27">
        <f t="shared" si="7"/>
        <v>14.649454167379202</v>
      </c>
      <c r="Z11" s="27">
        <f t="shared" si="7"/>
        <v>14.672800092644023</v>
      </c>
      <c r="AA11" s="27">
        <f t="shared" si="6"/>
        <v>14.695167442806378</v>
      </c>
      <c r="AB11" s="27">
        <f t="shared" si="6"/>
        <v>14.717022348317101</v>
      </c>
      <c r="AC11" s="27">
        <f t="shared" si="6"/>
        <v>14.738684052014786</v>
      </c>
      <c r="AD11" s="27">
        <f t="shared" si="6"/>
        <v>14.759935206581549</v>
      </c>
      <c r="AE11" s="27">
        <f t="shared" si="6"/>
        <v>14.781081368952709</v>
      </c>
      <c r="AF11" s="27">
        <f t="shared" si="6"/>
        <v>14.802055924629695</v>
      </c>
      <c r="AG11" s="27">
        <f t="shared" si="6"/>
        <v>14.822690812289457</v>
      </c>
      <c r="AH11" s="27">
        <f t="shared" si="6"/>
        <v>14.843076881643613</v>
      </c>
      <c r="AI11" s="27">
        <f t="shared" si="6"/>
        <v>14.863235887538975</v>
      </c>
      <c r="AJ11" s="27">
        <f t="shared" si="6"/>
        <v>14.883236268638564</v>
      </c>
      <c r="AK11" s="27">
        <f t="shared" si="6"/>
        <v>14.902466053082772</v>
      </c>
      <c r="AL11" s="27">
        <f t="shared" si="6"/>
        <v>14.920902742409034</v>
      </c>
      <c r="AM11" s="27">
        <f t="shared" si="6"/>
        <v>14.938718647454118</v>
      </c>
      <c r="AN11" s="27">
        <f t="shared" si="6"/>
        <v>14.95577658385943</v>
      </c>
      <c r="AO11" s="27">
        <f t="shared" si="6"/>
        <v>14.972107496056765</v>
      </c>
      <c r="AP11" s="27">
        <f t="shared" si="6"/>
        <v>14.98763782931875</v>
      </c>
      <c r="AQ11" s="27">
        <f t="shared" si="6"/>
        <v>15.002145343360027</v>
      </c>
      <c r="AR11" s="27">
        <f t="shared" si="6"/>
        <v>15.015424092988152</v>
      </c>
      <c r="AS11" s="27">
        <f t="shared" si="6"/>
        <v>15.027460662942268</v>
      </c>
      <c r="AT11" s="27">
        <f t="shared" si="6"/>
        <v>15.038162944120053</v>
      </c>
      <c r="AU11" s="27">
        <f t="shared" si="6"/>
        <v>15.047525774959613</v>
      </c>
      <c r="AV11" s="27">
        <f t="shared" si="6"/>
        <v>15.055728331485913</v>
      </c>
      <c r="AW11" s="27">
        <f t="shared" si="6"/>
        <v>15.061705210093363</v>
      </c>
      <c r="AY11" s="79"/>
    </row>
    <row r="12" spans="1:55" x14ac:dyDescent="0.25">
      <c r="A12" s="95" t="str">
        <f t="shared" si="0"/>
        <v>FS Goats</v>
      </c>
      <c r="B12" s="95" t="s">
        <v>1003</v>
      </c>
      <c r="C12" s="95" t="s">
        <v>153</v>
      </c>
      <c r="D12" t="s">
        <v>15</v>
      </c>
      <c r="E12" t="s">
        <v>16</v>
      </c>
      <c r="F12" t="s">
        <v>19</v>
      </c>
      <c r="G12" t="s">
        <v>122</v>
      </c>
      <c r="H12" t="s">
        <v>1019</v>
      </c>
      <c r="I12" t="s">
        <v>121</v>
      </c>
      <c r="J12" t="s">
        <v>286</v>
      </c>
      <c r="K12" s="27">
        <f t="shared" si="7"/>
        <v>15.123414197798356</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15.545788610572219</v>
      </c>
      <c r="R12" s="27">
        <f t="shared" si="6"/>
        <v>15.648067752449878</v>
      </c>
      <c r="S12" s="27">
        <f t="shared" si="6"/>
        <v>15.609698922895241</v>
      </c>
      <c r="T12" s="27">
        <f t="shared" si="6"/>
        <v>15.636532010302831</v>
      </c>
      <c r="U12" s="27">
        <f t="shared" si="6"/>
        <v>15.639135853628233</v>
      </c>
      <c r="V12" s="27">
        <f t="shared" si="6"/>
        <v>15.646294761850147</v>
      </c>
      <c r="W12" s="27">
        <f t="shared" si="6"/>
        <v>15.677946241783271</v>
      </c>
      <c r="X12" s="27">
        <f t="shared" si="6"/>
        <v>15.724503798989753</v>
      </c>
      <c r="Y12" s="27">
        <f t="shared" si="6"/>
        <v>15.768451676063824</v>
      </c>
      <c r="Z12" s="27">
        <f t="shared" si="6"/>
        <v>15.809996509627668</v>
      </c>
      <c r="AA12" s="27">
        <f t="shared" si="6"/>
        <v>15.849159564668597</v>
      </c>
      <c r="AB12" s="27">
        <f t="shared" si="6"/>
        <v>15.886751198222623</v>
      </c>
      <c r="AC12" s="27">
        <f t="shared" si="6"/>
        <v>15.923335433500936</v>
      </c>
      <c r="AD12" s="27">
        <f t="shared" si="6"/>
        <v>15.958613587829067</v>
      </c>
      <c r="AE12" s="27">
        <f t="shared" si="6"/>
        <v>15.993115538730159</v>
      </c>
      <c r="AF12" s="27">
        <f t="shared" si="6"/>
        <v>16.026773849205178</v>
      </c>
      <c r="AG12" s="27">
        <f t="shared" si="6"/>
        <v>16.059358210664367</v>
      </c>
      <c r="AH12" s="27">
        <f t="shared" si="6"/>
        <v>16.091045965246145</v>
      </c>
      <c r="AI12" s="27">
        <f t="shared" si="6"/>
        <v>16.121901844149729</v>
      </c>
      <c r="AJ12" s="27">
        <f t="shared" si="6"/>
        <v>16.152061326115707</v>
      </c>
      <c r="AK12" s="27">
        <f t="shared" si="6"/>
        <v>16.180589301116473</v>
      </c>
      <c r="AL12" s="27">
        <f t="shared" si="6"/>
        <v>16.207479025870157</v>
      </c>
      <c r="AM12" s="27">
        <f t="shared" si="6"/>
        <v>16.233026710727977</v>
      </c>
      <c r="AN12" s="27">
        <f t="shared" si="6"/>
        <v>16.257041914334369</v>
      </c>
      <c r="AO12" s="27">
        <f t="shared" si="6"/>
        <v>16.279596122288691</v>
      </c>
      <c r="AP12" s="27">
        <f t="shared" si="6"/>
        <v>16.300596548995752</v>
      </c>
      <c r="AQ12" s="27">
        <f t="shared" si="6"/>
        <v>16.31971904310852</v>
      </c>
      <c r="AR12" s="27">
        <f t="shared" si="6"/>
        <v>16.336665838044137</v>
      </c>
      <c r="AS12" s="27">
        <f t="shared" si="6"/>
        <v>16.351438090046905</v>
      </c>
      <c r="AT12" s="27">
        <f t="shared" si="6"/>
        <v>16.363914421549605</v>
      </c>
      <c r="AU12" s="27">
        <f t="shared" si="6"/>
        <v>16.374107486259209</v>
      </c>
      <c r="AV12" s="27">
        <f t="shared" si="6"/>
        <v>16.382312930249284</v>
      </c>
      <c r="AW12" s="27">
        <f t="shared" si="6"/>
        <v>16.386910096993194</v>
      </c>
      <c r="AY12" s="79"/>
    </row>
    <row r="13" spans="1:55" x14ac:dyDescent="0.25">
      <c r="A13" s="95" t="str">
        <f t="shared" si="0"/>
        <v>FS Goats</v>
      </c>
      <c r="B13" s="95" t="s">
        <v>1003</v>
      </c>
      <c r="C13" s="95" t="s">
        <v>153</v>
      </c>
      <c r="D13" t="s">
        <v>15</v>
      </c>
      <c r="E13" t="s">
        <v>16</v>
      </c>
      <c r="F13" t="s">
        <v>19</v>
      </c>
      <c r="G13" t="s">
        <v>123</v>
      </c>
      <c r="H13" t="s">
        <v>1019</v>
      </c>
      <c r="I13" t="s">
        <v>121</v>
      </c>
      <c r="J13" t="s">
        <v>286</v>
      </c>
      <c r="K13" s="27">
        <f t="shared" si="7"/>
        <v>22.381101687842737</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23.100753199022172</v>
      </c>
      <c r="T13" s="27">
        <f t="shared" si="6"/>
        <v>23.140463415909274</v>
      </c>
      <c r="U13" s="27">
        <f t="shared" si="6"/>
        <v>23.144316836934628</v>
      </c>
      <c r="V13" s="27">
        <f t="shared" si="6"/>
        <v>23.154911286758789</v>
      </c>
      <c r="W13" s="27">
        <f t="shared" si="6"/>
        <v>23.201752230324114</v>
      </c>
      <c r="X13" s="27">
        <f t="shared" si="6"/>
        <v>23.270652639223016</v>
      </c>
      <c r="Y13" s="27">
        <f t="shared" si="6"/>
        <v>23.335690989220911</v>
      </c>
      <c r="Z13" s="27">
        <f t="shared" si="6"/>
        <v>23.397173081322329</v>
      </c>
      <c r="AA13" s="27">
        <f t="shared" si="6"/>
        <v>23.455130385527173</v>
      </c>
      <c r="AB13" s="27">
        <f t="shared" si="6"/>
        <v>23.510762147124183</v>
      </c>
      <c r="AC13" s="27">
        <f t="shared" si="6"/>
        <v>23.564903062609726</v>
      </c>
      <c r="AD13" s="27">
        <f t="shared" si="6"/>
        <v>23.617111112263775</v>
      </c>
      <c r="AE13" s="27">
        <f t="shared" si="6"/>
        <v>23.668170460466953</v>
      </c>
      <c r="AF13" s="27">
        <f t="shared" si="6"/>
        <v>23.717981307378224</v>
      </c>
      <c r="AG13" s="27">
        <f t="shared" si="6"/>
        <v>23.766202819909285</v>
      </c>
      <c r="AH13" s="27">
        <f t="shared" si="6"/>
        <v>23.813097446233641</v>
      </c>
      <c r="AI13" s="27">
        <f t="shared" si="6"/>
        <v>23.858760981886149</v>
      </c>
      <c r="AJ13" s="27">
        <f t="shared" si="6"/>
        <v>23.903393921505796</v>
      </c>
      <c r="AK13" s="27">
        <f t="shared" si="6"/>
        <v>23.94561239817315</v>
      </c>
      <c r="AL13" s="27">
        <f t="shared" si="6"/>
        <v>23.985406432522741</v>
      </c>
      <c r="AM13" s="27">
        <f t="shared" si="6"/>
        <v>24.023214385489801</v>
      </c>
      <c r="AN13" s="27">
        <f t="shared" si="6"/>
        <v>24.058754423403148</v>
      </c>
      <c r="AO13" s="27">
        <f t="shared" si="6"/>
        <v>24.092132337616977</v>
      </c>
      <c r="AP13" s="27">
        <f t="shared" si="6"/>
        <v>24.123210814968164</v>
      </c>
      <c r="AQ13" s="27">
        <f t="shared" si="6"/>
        <v>24.151510144713775</v>
      </c>
      <c r="AR13" s="27">
        <f t="shared" si="6"/>
        <v>24.176589662855413</v>
      </c>
      <c r="AS13" s="27">
        <f t="shared" si="6"/>
        <v>24.198451080516016</v>
      </c>
      <c r="AT13" s="27">
        <f t="shared" si="6"/>
        <v>24.21691477134674</v>
      </c>
      <c r="AU13" s="27">
        <f t="shared" si="6"/>
        <v>24.231999461535917</v>
      </c>
      <c r="AV13" s="27">
        <f t="shared" si="6"/>
        <v>24.244142676945735</v>
      </c>
      <c r="AW13" s="27">
        <f t="shared" si="6"/>
        <v>24.250946012159979</v>
      </c>
      <c r="AY13" s="79"/>
    </row>
    <row r="14" spans="1:55" x14ac:dyDescent="0.25">
      <c r="A14" s="95" t="str">
        <f t="shared" si="0"/>
        <v>FS Horses</v>
      </c>
      <c r="B14" s="95" t="s">
        <v>1003</v>
      </c>
      <c r="C14" s="95" t="s">
        <v>3</v>
      </c>
      <c r="D14" t="s">
        <v>15</v>
      </c>
      <c r="E14" t="s">
        <v>16</v>
      </c>
      <c r="F14" t="s">
        <v>20</v>
      </c>
      <c r="G14" t="s">
        <v>3</v>
      </c>
      <c r="H14" t="s">
        <v>1019</v>
      </c>
      <c r="I14" t="s">
        <v>121</v>
      </c>
      <c r="J14" t="s">
        <v>286</v>
      </c>
      <c r="K14" s="27">
        <f t="shared" si="7"/>
        <v>5.5526214800767892</v>
      </c>
      <c r="L14" s="27">
        <f t="shared" si="6"/>
        <v>5.579523571019652</v>
      </c>
      <c r="M14" s="27">
        <f t="shared" si="6"/>
        <v>5.6203482259438013</v>
      </c>
      <c r="N14" s="27">
        <f t="shared" si="6"/>
        <v>5.629075655008374</v>
      </c>
      <c r="O14" s="27">
        <f t="shared" si="6"/>
        <v>5.6165815405282276</v>
      </c>
      <c r="P14" s="27">
        <f t="shared" si="6"/>
        <v>5.5833231296706103</v>
      </c>
      <c r="Q14" s="27">
        <f t="shared" si="6"/>
        <v>5.5648827699457346</v>
      </c>
      <c r="R14" s="27">
        <f t="shared" si="6"/>
        <v>5.5483103177944031</v>
      </c>
      <c r="S14" s="27">
        <f t="shared" si="6"/>
        <v>5.2971852508905934</v>
      </c>
      <c r="T14" s="27">
        <f t="shared" si="6"/>
        <v>5.4545032105207021</v>
      </c>
      <c r="U14" s="27">
        <f t="shared" si="6"/>
        <v>5.5329638064801401</v>
      </c>
      <c r="V14" s="27">
        <f t="shared" si="6"/>
        <v>5.544813640469159</v>
      </c>
      <c r="W14" s="27">
        <f t="shared" si="6"/>
        <v>5.5552394312209037</v>
      </c>
      <c r="X14" s="27">
        <f t="shared" si="6"/>
        <v>5.5805371243140618</v>
      </c>
      <c r="Y14" s="27">
        <f t="shared" si="6"/>
        <v>5.6237182797404808</v>
      </c>
      <c r="Z14" s="27">
        <f t="shared" si="6"/>
        <v>5.6758191216830927</v>
      </c>
      <c r="AA14" s="27">
        <f t="shared" si="6"/>
        <v>5.7392036522982304</v>
      </c>
      <c r="AB14" s="27">
        <f t="shared" si="6"/>
        <v>5.8209863133515896</v>
      </c>
      <c r="AC14" s="27">
        <f t="shared" si="6"/>
        <v>5.9200988769206573</v>
      </c>
      <c r="AD14" s="27">
        <f t="shared" si="6"/>
        <v>6.0298529321871719</v>
      </c>
      <c r="AE14" s="27">
        <f t="shared" si="6"/>
        <v>6.1497995952254207</v>
      </c>
      <c r="AF14" s="27">
        <f t="shared" si="6"/>
        <v>6.2762315807434783</v>
      </c>
      <c r="AG14" s="27">
        <f t="shared" si="6"/>
        <v>6.4109152413607369</v>
      </c>
      <c r="AH14" s="27">
        <f t="shared" si="6"/>
        <v>6.552086974601302</v>
      </c>
      <c r="AI14" s="27">
        <f t="shared" si="6"/>
        <v>6.6933077398392395</v>
      </c>
      <c r="AJ14" s="27">
        <f t="shared" si="6"/>
        <v>6.8438679121481307</v>
      </c>
      <c r="AK14" s="27">
        <f t="shared" si="6"/>
        <v>6.9980784680830306</v>
      </c>
      <c r="AL14" s="27">
        <f t="shared" si="6"/>
        <v>7.1555200224058177</v>
      </c>
      <c r="AM14" s="27">
        <f t="shared" si="6"/>
        <v>7.3189945558292679</v>
      </c>
      <c r="AN14" s="27">
        <f t="shared" si="6"/>
        <v>7.4816205294730294</v>
      </c>
      <c r="AO14" s="27">
        <f t="shared" si="6"/>
        <v>7.6530966093944661</v>
      </c>
      <c r="AP14" s="27">
        <f t="shared" si="6"/>
        <v>7.8370750081366163</v>
      </c>
      <c r="AQ14" s="27">
        <f t="shared" si="6"/>
        <v>8.0278701064246079</v>
      </c>
      <c r="AR14" s="27">
        <f t="shared" si="6"/>
        <v>8.2260903165664789</v>
      </c>
      <c r="AS14" s="27">
        <f t="shared" si="6"/>
        <v>8.4385648916420113</v>
      </c>
      <c r="AT14" s="27">
        <f t="shared" si="6"/>
        <v>8.6634503637197486</v>
      </c>
      <c r="AU14" s="27">
        <f t="shared" si="6"/>
        <v>8.8995458740132776</v>
      </c>
      <c r="AV14" s="27">
        <f t="shared" si="6"/>
        <v>9.151348341874078</v>
      </c>
      <c r="AW14" s="27">
        <f t="shared" si="6"/>
        <v>9.3946927055732683</v>
      </c>
      <c r="AY14" s="79"/>
    </row>
    <row r="15" spans="1:55" x14ac:dyDescent="0.25">
      <c r="A15" s="95" t="str">
        <f t="shared" si="0"/>
        <v>FS Mules&amp;Asses</v>
      </c>
      <c r="B15" s="95" t="s">
        <v>1003</v>
      </c>
      <c r="C15" s="95" t="s">
        <v>1322</v>
      </c>
      <c r="D15" t="s">
        <v>15</v>
      </c>
      <c r="E15" t="s">
        <v>16</v>
      </c>
      <c r="F15" t="s">
        <v>140</v>
      </c>
      <c r="G15" t="s">
        <v>124</v>
      </c>
      <c r="H15" t="s">
        <v>1019</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5">
      <c r="A16" s="95" t="str">
        <f t="shared" si="0"/>
        <v>FS Swine</v>
      </c>
      <c r="B16" s="95" t="s">
        <v>1003</v>
      </c>
      <c r="C16" s="95" t="s">
        <v>155</v>
      </c>
      <c r="D16" t="s">
        <v>15</v>
      </c>
      <c r="E16" t="s">
        <v>16</v>
      </c>
      <c r="F16" t="s">
        <v>21</v>
      </c>
      <c r="G16" t="s">
        <v>122</v>
      </c>
      <c r="H16" t="s">
        <v>1019</v>
      </c>
      <c r="I16" t="s">
        <v>121</v>
      </c>
      <c r="J16" t="s">
        <v>286</v>
      </c>
      <c r="K16" s="27">
        <f t="shared" si="7"/>
        <v>1.8400999552016302</v>
      </c>
      <c r="L16" s="27">
        <f t="shared" si="6"/>
        <v>1.8300977880312248</v>
      </c>
      <c r="M16" s="27">
        <f t="shared" si="6"/>
        <v>1.8309187348828144</v>
      </c>
      <c r="N16" s="27">
        <f t="shared" si="6"/>
        <v>1.8141094978660446</v>
      </c>
      <c r="O16" s="27">
        <f t="shared" si="6"/>
        <v>1.7866561368117291</v>
      </c>
      <c r="P16" s="27">
        <f t="shared" si="6"/>
        <v>1.7489975228040082</v>
      </c>
      <c r="Q16" s="27">
        <f t="shared" si="6"/>
        <v>1.7216531928010093</v>
      </c>
      <c r="R16" s="27">
        <f t="shared" si="6"/>
        <v>1.6967284692901876</v>
      </c>
      <c r="S16" s="27">
        <f t="shared" si="6"/>
        <v>1.524204734718916</v>
      </c>
      <c r="T16" s="27">
        <f t="shared" si="6"/>
        <v>1.593081714161948</v>
      </c>
      <c r="U16" s="27">
        <f t="shared" si="6"/>
        <v>1.6139052959558671</v>
      </c>
      <c r="V16" s="27">
        <f t="shared" si="6"/>
        <v>1.5979776175047269</v>
      </c>
      <c r="W16" s="27">
        <f t="shared" si="6"/>
        <v>1.5839693089985563</v>
      </c>
      <c r="X16" s="27">
        <f t="shared" si="6"/>
        <v>1.5796400354975273</v>
      </c>
      <c r="Y16" s="27">
        <f t="shared" si="6"/>
        <v>1.5846136319816619</v>
      </c>
      <c r="Z16" s="27">
        <f t="shared" si="6"/>
        <v>1.5938774465709915</v>
      </c>
      <c r="AA16" s="27">
        <f t="shared" si="6"/>
        <v>1.6084883569821753</v>
      </c>
      <c r="AB16" s="27">
        <f t="shared" si="6"/>
        <v>1.6319593485428836</v>
      </c>
      <c r="AC16" s="27">
        <f t="shared" si="6"/>
        <v>1.6634709540368702</v>
      </c>
      <c r="AD16" s="27">
        <f t="shared" si="6"/>
        <v>1.6993359016898217</v>
      </c>
      <c r="AE16" s="27">
        <f t="shared" si="6"/>
        <v>1.7391981590716521</v>
      </c>
      <c r="AF16" s="27">
        <f t="shared" si="6"/>
        <v>1.7810637998476497</v>
      </c>
      <c r="AG16" s="27">
        <f t="shared" si="6"/>
        <v>1.8256518272462501</v>
      </c>
      <c r="AH16" s="27">
        <f t="shared" si="6"/>
        <v>1.8720011956576361</v>
      </c>
      <c r="AI16" s="27">
        <f t="shared" si="6"/>
        <v>1.9169799867438404</v>
      </c>
      <c r="AJ16" s="27">
        <f t="shared" si="6"/>
        <v>1.9649335737465348</v>
      </c>
      <c r="AK16" s="27">
        <f t="shared" si="6"/>
        <v>2.0129828074709066</v>
      </c>
      <c r="AL16" s="27">
        <f t="shared" si="6"/>
        <v>2.0608754146421031</v>
      </c>
      <c r="AM16" s="27">
        <f t="shared" si="6"/>
        <v>2.1098506270361996</v>
      </c>
      <c r="AN16" s="27">
        <f t="shared" si="6"/>
        <v>2.1567413105664199</v>
      </c>
      <c r="AO16" s="27">
        <f t="shared" si="6"/>
        <v>2.2058096743065145</v>
      </c>
      <c r="AP16" s="27">
        <f t="shared" si="6"/>
        <v>2.258470217432818</v>
      </c>
      <c r="AQ16" s="27">
        <f t="shared" si="6"/>
        <v>2.3120510725576544</v>
      </c>
      <c r="AR16" s="27">
        <f t="shared" si="6"/>
        <v>2.3666507440832505</v>
      </c>
      <c r="AS16" s="27">
        <f t="shared" si="6"/>
        <v>2.4249672048017872</v>
      </c>
      <c r="AT16" s="27">
        <f t="shared" si="6"/>
        <v>2.4859852344978988</v>
      </c>
      <c r="AU16" s="27">
        <f t="shared" si="6"/>
        <v>2.5490093093778539</v>
      </c>
      <c r="AV16" s="27">
        <f t="shared" si="6"/>
        <v>2.6156743076501083</v>
      </c>
      <c r="AW16" s="27">
        <f t="shared" si="6"/>
        <v>2.6760181986485878</v>
      </c>
      <c r="AY16" s="79"/>
    </row>
    <row r="17" spans="1:51" x14ac:dyDescent="0.25">
      <c r="A17" s="95" t="str">
        <f t="shared" si="0"/>
        <v>FS Swine</v>
      </c>
      <c r="B17" s="95" t="s">
        <v>1003</v>
      </c>
      <c r="C17" s="95" t="s">
        <v>155</v>
      </c>
      <c r="D17" t="s">
        <v>15</v>
      </c>
      <c r="E17" t="s">
        <v>16</v>
      </c>
      <c r="F17" t="s">
        <v>21</v>
      </c>
      <c r="G17" t="s">
        <v>123</v>
      </c>
      <c r="H17" t="s">
        <v>1019</v>
      </c>
      <c r="I17" t="s">
        <v>121</v>
      </c>
      <c r="J17" t="s">
        <v>286</v>
      </c>
      <c r="K17" s="27">
        <f t="shared" si="7"/>
        <v>0.25496723934882604</v>
      </c>
      <c r="L17" s="27">
        <f t="shared" si="6"/>
        <v>0.25358132281546891</v>
      </c>
      <c r="M17" s="27">
        <f t="shared" si="6"/>
        <v>0.25369507454499329</v>
      </c>
      <c r="N17" s="27">
        <f t="shared" si="6"/>
        <v>0.25136595935447836</v>
      </c>
      <c r="O17" s="27">
        <f t="shared" si="6"/>
        <v>0.24756197704412694</v>
      </c>
      <c r="P17" s="27">
        <f t="shared" ref="L17:AW23" si="8">P1392</f>
        <v>0.24234393830437845</v>
      </c>
      <c r="Q17" s="27">
        <f t="shared" si="8"/>
        <v>0.23855506351363698</v>
      </c>
      <c r="R17" s="27">
        <f t="shared" si="8"/>
        <v>0.2351014533295149</v>
      </c>
      <c r="S17" s="27">
        <f t="shared" si="8"/>
        <v>0.21119628437309981</v>
      </c>
      <c r="T17" s="27">
        <f t="shared" si="8"/>
        <v>0.22073999054712201</v>
      </c>
      <c r="U17" s="27">
        <f t="shared" si="8"/>
        <v>0.22362533987194619</v>
      </c>
      <c r="V17" s="27">
        <f t="shared" si="8"/>
        <v>0.22141837486852711</v>
      </c>
      <c r="W17" s="27">
        <f t="shared" si="8"/>
        <v>0.21947736088302675</v>
      </c>
      <c r="X17" s="27">
        <f t="shared" si="8"/>
        <v>0.2188774897130813</v>
      </c>
      <c r="Y17" s="27">
        <f t="shared" si="8"/>
        <v>0.21956663932237841</v>
      </c>
      <c r="Z17" s="27">
        <f t="shared" si="8"/>
        <v>0.22085024852252202</v>
      </c>
      <c r="AA17" s="27">
        <f t="shared" si="8"/>
        <v>0.22287476000701054</v>
      </c>
      <c r="AB17" s="27">
        <f t="shared" si="8"/>
        <v>0.22612693873028961</v>
      </c>
      <c r="AC17" s="27">
        <f t="shared" si="8"/>
        <v>0.23049323798351176</v>
      </c>
      <c r="AD17" s="27">
        <f t="shared" si="8"/>
        <v>0.23546274339902665</v>
      </c>
      <c r="AE17" s="27">
        <f t="shared" si="8"/>
        <v>0.24098612254488616</v>
      </c>
      <c r="AF17" s="27">
        <f t="shared" si="8"/>
        <v>0.24678709374867933</v>
      </c>
      <c r="AG17" s="27">
        <f t="shared" si="8"/>
        <v>0.25296528326588152</v>
      </c>
      <c r="AH17" s="27">
        <f t="shared" si="8"/>
        <v>0.25938752705541407</v>
      </c>
      <c r="AI17" s="27">
        <f t="shared" si="8"/>
        <v>0.26561986142403288</v>
      </c>
      <c r="AJ17" s="27">
        <f t="shared" si="8"/>
        <v>0.27226438834790373</v>
      </c>
      <c r="AK17" s="27">
        <f t="shared" si="8"/>
        <v>0.27892216823692451</v>
      </c>
      <c r="AL17" s="27">
        <f t="shared" si="8"/>
        <v>0.28555824569627086</v>
      </c>
      <c r="AM17" s="27">
        <f t="shared" si="8"/>
        <v>0.29234433069417909</v>
      </c>
      <c r="AN17" s="27">
        <f t="shared" si="8"/>
        <v>0.298841579986036</v>
      </c>
      <c r="AO17" s="27">
        <f t="shared" si="8"/>
        <v>0.30564057218578583</v>
      </c>
      <c r="AP17" s="27">
        <f t="shared" si="8"/>
        <v>0.3129373025973966</v>
      </c>
      <c r="AQ17" s="27">
        <f t="shared" si="8"/>
        <v>0.32036155293472796</v>
      </c>
      <c r="AR17" s="27">
        <f t="shared" si="8"/>
        <v>0.32792697212778937</v>
      </c>
      <c r="AS17" s="27">
        <f t="shared" si="8"/>
        <v>0.33600739566998233</v>
      </c>
      <c r="AT17" s="27">
        <f t="shared" si="8"/>
        <v>0.34446215299886757</v>
      </c>
      <c r="AU17" s="27">
        <f t="shared" si="8"/>
        <v>0.35319487120758841</v>
      </c>
      <c r="AV17" s="27">
        <f t="shared" si="8"/>
        <v>0.3624320816768471</v>
      </c>
      <c r="AW17" s="27">
        <f t="shared" si="8"/>
        <v>0.37079342925253511</v>
      </c>
      <c r="AY17" s="79"/>
    </row>
    <row r="18" spans="1:51" x14ac:dyDescent="0.25">
      <c r="A18" s="95" t="str">
        <f t="shared" si="0"/>
        <v>FS Cattle MMCH4</v>
      </c>
      <c r="B18" s="95" t="s">
        <v>1003</v>
      </c>
      <c r="C18" s="95" t="s">
        <v>1228</v>
      </c>
      <c r="D18" t="s">
        <v>15</v>
      </c>
      <c r="E18" t="s">
        <v>22</v>
      </c>
      <c r="F18" t="s">
        <v>6</v>
      </c>
      <c r="G18" t="s">
        <v>136</v>
      </c>
      <c r="H18" t="s">
        <v>1226</v>
      </c>
      <c r="I18" t="s">
        <v>121</v>
      </c>
      <c r="J18" t="s">
        <v>286</v>
      </c>
      <c r="K18" s="27">
        <f t="shared" si="7"/>
        <v>7.351330651107908</v>
      </c>
      <c r="L18" s="27">
        <f t="shared" si="8"/>
        <v>7.3924283487896005</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7.5825135825669054</v>
      </c>
      <c r="S18" s="27">
        <f t="shared" si="8"/>
        <v>7.3635054789242087</v>
      </c>
      <c r="T18" s="27">
        <f t="shared" si="8"/>
        <v>7.5119983216779529</v>
      </c>
      <c r="U18" s="27">
        <f t="shared" si="8"/>
        <v>7.5857115422581893</v>
      </c>
      <c r="V18" s="27">
        <f t="shared" si="8"/>
        <v>7.6049624433961522</v>
      </c>
      <c r="W18" s="27">
        <f t="shared" si="8"/>
        <v>7.6323349638068887</v>
      </c>
      <c r="X18" s="27">
        <f t="shared" si="8"/>
        <v>7.6782662594179314</v>
      </c>
      <c r="Y18" s="27">
        <f t="shared" si="8"/>
        <v>7.7389431173667962</v>
      </c>
      <c r="Z18" s="27">
        <f t="shared" si="8"/>
        <v>7.8068776236096697</v>
      </c>
      <c r="AA18" s="27">
        <f t="shared" si="8"/>
        <v>7.88420933428013</v>
      </c>
      <c r="AB18" s="27">
        <f t="shared" si="8"/>
        <v>7.9775686845364202</v>
      </c>
      <c r="AC18" s="27">
        <f t="shared" si="8"/>
        <v>8.0864133355409642</v>
      </c>
      <c r="AD18" s="27">
        <f t="shared" si="8"/>
        <v>8.2048813891102359</v>
      </c>
      <c r="AE18" s="27">
        <f t="shared" si="8"/>
        <v>8.3328657755649527</v>
      </c>
      <c r="AF18" s="27">
        <f t="shared" si="8"/>
        <v>8.4671187588996872</v>
      </c>
      <c r="AG18" s="27">
        <f t="shared" si="8"/>
        <v>8.6091419335499069</v>
      </c>
      <c r="AH18" s="27">
        <f t="shared" si="8"/>
        <v>8.7574749892645496</v>
      </c>
      <c r="AI18" s="27">
        <f t="shared" si="8"/>
        <v>8.9064020314048324</v>
      </c>
      <c r="AJ18" s="27">
        <f t="shared" si="8"/>
        <v>9.0642998358305835</v>
      </c>
      <c r="AK18" s="27">
        <f t="shared" si="8"/>
        <v>9.2256487767776196</v>
      </c>
      <c r="AL18" s="27">
        <f t="shared" si="8"/>
        <v>9.3900384918162416</v>
      </c>
      <c r="AM18" s="27">
        <f t="shared" si="8"/>
        <v>9.5601174973828691</v>
      </c>
      <c r="AN18" s="27">
        <f t="shared" si="8"/>
        <v>9.7295365069027504</v>
      </c>
      <c r="AO18" s="27">
        <f t="shared" si="8"/>
        <v>9.9070935852539623</v>
      </c>
      <c r="AP18" s="27">
        <f t="shared" si="8"/>
        <v>10.096066907799957</v>
      </c>
      <c r="AQ18" s="27">
        <f t="shared" si="8"/>
        <v>10.291098999348057</v>
      </c>
      <c r="AR18" s="27">
        <f t="shared" si="8"/>
        <v>10.492542704095264</v>
      </c>
      <c r="AS18" s="27">
        <f t="shared" si="8"/>
        <v>10.706596925892969</v>
      </c>
      <c r="AT18" s="27">
        <f t="shared" si="8"/>
        <v>10.931461457010631</v>
      </c>
      <c r="AU18" s="27">
        <f t="shared" si="8"/>
        <v>11.165976151570428</v>
      </c>
      <c r="AV18" s="27">
        <f t="shared" si="8"/>
        <v>11.414366787540366</v>
      </c>
      <c r="AW18" s="27">
        <f t="shared" si="8"/>
        <v>11.653364369886001</v>
      </c>
      <c r="AY18" s="79"/>
    </row>
    <row r="19" spans="1:51" x14ac:dyDescent="0.25">
      <c r="A19" s="95" t="str">
        <f t="shared" si="0"/>
        <v>FS Cattle MMCH4</v>
      </c>
      <c r="B19" s="95" t="s">
        <v>1003</v>
      </c>
      <c r="C19" s="95" t="s">
        <v>1228</v>
      </c>
      <c r="D19" t="s">
        <v>15</v>
      </c>
      <c r="E19" t="s">
        <v>22</v>
      </c>
      <c r="F19" t="s">
        <v>6</v>
      </c>
      <c r="G19" t="s">
        <v>137</v>
      </c>
      <c r="H19" t="s">
        <v>1226</v>
      </c>
      <c r="I19" t="s">
        <v>121</v>
      </c>
      <c r="J19" t="s">
        <v>286</v>
      </c>
      <c r="K19" s="27">
        <f t="shared" si="7"/>
        <v>2.0944490884992821</v>
      </c>
      <c r="L19" s="27">
        <f t="shared" si="8"/>
        <v>2.1061581299686476</v>
      </c>
      <c r="M19" s="27">
        <f t="shared" si="8"/>
        <v>2.1227712545548463</v>
      </c>
      <c r="N19" s="27">
        <f t="shared" si="8"/>
        <v>2.1334469567638776</v>
      </c>
      <c r="O19" s="27">
        <f t="shared" si="8"/>
        <v>2.1405410097083357</v>
      </c>
      <c r="P19" s="27">
        <f t="shared" si="8"/>
        <v>2.143983592066792</v>
      </c>
      <c r="Q19" s="27">
        <f t="shared" si="8"/>
        <v>2.151589537694508</v>
      </c>
      <c r="R19" s="27">
        <f t="shared" si="8"/>
        <v>2.1603148348588097</v>
      </c>
      <c r="S19" s="27">
        <f t="shared" si="8"/>
        <v>2.0979177880086217</v>
      </c>
      <c r="T19" s="27">
        <f t="shared" si="8"/>
        <v>2.1402245095961443</v>
      </c>
      <c r="U19" s="27">
        <f t="shared" si="8"/>
        <v>2.1612259574947443</v>
      </c>
      <c r="V19" s="27">
        <f t="shared" si="8"/>
        <v>2.1667106832205718</v>
      </c>
      <c r="W19" s="27">
        <f t="shared" si="8"/>
        <v>2.1745093190247649</v>
      </c>
      <c r="X19" s="27">
        <f t="shared" si="8"/>
        <v>2.1875954886982294</v>
      </c>
      <c r="Y19" s="27">
        <f t="shared" si="8"/>
        <v>2.2048827793746253</v>
      </c>
      <c r="Z19" s="27">
        <f t="shared" si="8"/>
        <v>2.224237828335264</v>
      </c>
      <c r="AA19" s="27">
        <f t="shared" si="8"/>
        <v>2.2462702111259123</v>
      </c>
      <c r="AB19" s="27">
        <f t="shared" si="8"/>
        <v>2.2728689883170463</v>
      </c>
      <c r="AC19" s="27">
        <f t="shared" si="8"/>
        <v>2.3038796435172904</v>
      </c>
      <c r="AD19" s="27">
        <f t="shared" si="8"/>
        <v>2.3376320780887165</v>
      </c>
      <c r="AE19" s="27">
        <f t="shared" si="8"/>
        <v>2.3740957870788466</v>
      </c>
      <c r="AF19" s="27">
        <f t="shared" si="8"/>
        <v>2.4123454662075314</v>
      </c>
      <c r="AG19" s="27">
        <f t="shared" si="8"/>
        <v>2.4528089309609635</v>
      </c>
      <c r="AH19" s="27">
        <f t="shared" si="8"/>
        <v>2.495070128025882</v>
      </c>
      <c r="AI19" s="27">
        <f t="shared" si="8"/>
        <v>2.537500556266326</v>
      </c>
      <c r="AJ19" s="27">
        <f t="shared" si="8"/>
        <v>2.5824868217808161</v>
      </c>
      <c r="AK19" s="27">
        <f t="shared" si="8"/>
        <v>2.6284563419038043</v>
      </c>
      <c r="AL19" s="27">
        <f t="shared" si="8"/>
        <v>2.6752922013096669</v>
      </c>
      <c r="AM19" s="27">
        <f t="shared" si="8"/>
        <v>2.7237489821413385</v>
      </c>
      <c r="AN19" s="27">
        <f t="shared" si="8"/>
        <v>2.772017725162697</v>
      </c>
      <c r="AO19" s="27">
        <f t="shared" si="8"/>
        <v>2.8226050648646934</v>
      </c>
      <c r="AP19" s="27">
        <f t="shared" si="8"/>
        <v>2.8764449779282546</v>
      </c>
      <c r="AQ19" s="27">
        <f t="shared" si="8"/>
        <v>2.9320110795984959</v>
      </c>
      <c r="AR19" s="27">
        <f t="shared" si="8"/>
        <v>2.989403897826326</v>
      </c>
      <c r="AS19" s="27">
        <f t="shared" si="8"/>
        <v>3.0503895466851563</v>
      </c>
      <c r="AT19" s="27">
        <f t="shared" si="8"/>
        <v>3.1144551335274819</v>
      </c>
      <c r="AU19" s="27">
        <f t="shared" si="8"/>
        <v>3.1812701241151289</v>
      </c>
      <c r="AV19" s="27">
        <f t="shared" si="8"/>
        <v>3.2520384741988773</v>
      </c>
      <c r="AW19" s="27">
        <f t="shared" si="8"/>
        <v>3.3201306730475184</v>
      </c>
      <c r="AY19" s="79"/>
    </row>
    <row r="20" spans="1:51" x14ac:dyDescent="0.25">
      <c r="A20" s="95" t="str">
        <f t="shared" si="0"/>
        <v>FS Cattle MMCH4</v>
      </c>
      <c r="B20" s="95" t="s">
        <v>1003</v>
      </c>
      <c r="C20" s="95" t="s">
        <v>1228</v>
      </c>
      <c r="D20" t="s">
        <v>15</v>
      </c>
      <c r="E20" t="s">
        <v>22</v>
      </c>
      <c r="F20" t="s">
        <v>67</v>
      </c>
      <c r="G20" t="s">
        <v>307</v>
      </c>
      <c r="H20" t="s">
        <v>1226</v>
      </c>
      <c r="I20" t="s">
        <v>121</v>
      </c>
      <c r="J20" t="s">
        <v>286</v>
      </c>
      <c r="K20" s="27">
        <f t="shared" si="7"/>
        <v>0.43258377187145641</v>
      </c>
      <c r="L20" s="27">
        <f t="shared" si="8"/>
        <v>0.43500213637199753</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0.44618756541973903</v>
      </c>
      <c r="S20" s="27">
        <f t="shared" si="8"/>
        <v>0.4333001908694058</v>
      </c>
      <c r="T20" s="27">
        <f t="shared" si="8"/>
        <v>0.44203814554223075</v>
      </c>
      <c r="U20" s="27">
        <f t="shared" si="8"/>
        <v>0.44637574706075117</v>
      </c>
      <c r="V20" s="27">
        <f t="shared" si="8"/>
        <v>0.44750855251073168</v>
      </c>
      <c r="W20" s="27">
        <f t="shared" si="8"/>
        <v>0.44911926881324493</v>
      </c>
      <c r="X20" s="27">
        <f t="shared" si="8"/>
        <v>0.45182206291207566</v>
      </c>
      <c r="Y20" s="27">
        <f t="shared" si="8"/>
        <v>0.45539254903527465</v>
      </c>
      <c r="Z20" s="27">
        <f t="shared" si="8"/>
        <v>0.45939010625933163</v>
      </c>
      <c r="AA20" s="27">
        <f t="shared" si="8"/>
        <v>0.46394063522813239</v>
      </c>
      <c r="AB20" s="27">
        <f t="shared" si="8"/>
        <v>0.46943429913607365</v>
      </c>
      <c r="AC20" s="27">
        <f t="shared" si="8"/>
        <v>0.47583918444380807</v>
      </c>
      <c r="AD20" s="27">
        <f t="shared" si="8"/>
        <v>0.48281035196319333</v>
      </c>
      <c r="AE20" s="27">
        <f t="shared" si="8"/>
        <v>0.49034150125585807</v>
      </c>
      <c r="AF20" s="27">
        <f t="shared" si="8"/>
        <v>0.49824152162933733</v>
      </c>
      <c r="AG20" s="27">
        <f t="shared" si="8"/>
        <v>0.50659877332962533</v>
      </c>
      <c r="AH20" s="27">
        <f t="shared" si="8"/>
        <v>0.51532732544890569</v>
      </c>
      <c r="AI20" s="27">
        <f t="shared" si="8"/>
        <v>0.52409083027275605</v>
      </c>
      <c r="AJ20" s="27">
        <f t="shared" si="8"/>
        <v>0.53338221315980094</v>
      </c>
      <c r="AK20" s="27">
        <f t="shared" si="8"/>
        <v>0.54287667569656828</v>
      </c>
      <c r="AL20" s="27">
        <f t="shared" si="8"/>
        <v>0.55255007040063653</v>
      </c>
      <c r="AM20" s="27">
        <f t="shared" si="8"/>
        <v>0.56255824731933757</v>
      </c>
      <c r="AN20" s="27">
        <f t="shared" si="8"/>
        <v>0.57252758724472796</v>
      </c>
      <c r="AO20" s="27">
        <f t="shared" si="8"/>
        <v>0.58297580598510912</v>
      </c>
      <c r="AP20" s="27">
        <f t="shared" si="8"/>
        <v>0.59409580541510443</v>
      </c>
      <c r="AQ20" s="27">
        <f t="shared" si="8"/>
        <v>0.60557232875515321</v>
      </c>
      <c r="AR20" s="27">
        <f t="shared" si="8"/>
        <v>0.61742613886858821</v>
      </c>
      <c r="AS20" s="27">
        <f t="shared" si="8"/>
        <v>0.63002200580001311</v>
      </c>
      <c r="AT20" s="27">
        <f t="shared" si="8"/>
        <v>0.64325399761857238</v>
      </c>
      <c r="AU20" s="27">
        <f t="shared" si="8"/>
        <v>0.65705384637339226</v>
      </c>
      <c r="AV20" s="27">
        <f t="shared" si="8"/>
        <v>0.6716702149337197</v>
      </c>
      <c r="AW20" s="27">
        <f t="shared" si="8"/>
        <v>0.6857338560003412</v>
      </c>
      <c r="AY20" s="79"/>
    </row>
    <row r="21" spans="1:51" x14ac:dyDescent="0.25">
      <c r="A21" s="95" t="str">
        <f t="shared" si="0"/>
        <v>FS Cattle MMCH4</v>
      </c>
      <c r="B21" s="95" t="s">
        <v>1003</v>
      </c>
      <c r="C21" s="95" t="s">
        <v>1228</v>
      </c>
      <c r="D21" t="s">
        <v>15</v>
      </c>
      <c r="E21" t="s">
        <v>22</v>
      </c>
      <c r="F21" t="s">
        <v>67</v>
      </c>
      <c r="G21" t="s">
        <v>122</v>
      </c>
      <c r="H21" t="s">
        <v>1226</v>
      </c>
      <c r="I21" t="s">
        <v>121</v>
      </c>
      <c r="J21" t="s">
        <v>286</v>
      </c>
      <c r="K21" s="27">
        <f t="shared" si="7"/>
        <v>9.4871637196006511E-2</v>
      </c>
      <c r="L21" s="27">
        <f t="shared" si="8"/>
        <v>9.404884578461549E-2</v>
      </c>
      <c r="M21" s="27">
        <f t="shared" si="8"/>
        <v>9.3735634002294205E-2</v>
      </c>
      <c r="N21" s="27">
        <f t="shared" si="8"/>
        <v>9.2483917307495084E-2</v>
      </c>
      <c r="O21" s="27">
        <f t="shared" si="8"/>
        <v>9.0667019955957301E-2</v>
      </c>
      <c r="P21" s="27">
        <f t="shared" si="8"/>
        <v>8.8322512540543865E-2</v>
      </c>
      <c r="Q21" s="27">
        <f t="shared" si="8"/>
        <v>8.6473330972337892E-2</v>
      </c>
      <c r="R21" s="27">
        <f t="shared" si="8"/>
        <v>8.4723794986300283E-2</v>
      </c>
      <c r="S21" s="27">
        <f t="shared" si="8"/>
        <v>7.5654493606876719E-2</v>
      </c>
      <c r="T21" s="27">
        <f t="shared" si="8"/>
        <v>7.9271557778310117E-2</v>
      </c>
      <c r="U21" s="27">
        <f t="shared" si="8"/>
        <v>8.0523786090551941E-2</v>
      </c>
      <c r="V21" s="27">
        <f t="shared" si="8"/>
        <v>7.9979986949743884E-2</v>
      </c>
      <c r="W21" s="27">
        <f t="shared" si="8"/>
        <v>7.953764463923213E-2</v>
      </c>
      <c r="X21" s="27">
        <f t="shared" si="8"/>
        <v>7.9566701648766641E-2</v>
      </c>
      <c r="Y21" s="27">
        <f t="shared" si="8"/>
        <v>8.0033923406415561E-2</v>
      </c>
      <c r="Z21" s="27">
        <f t="shared" si="8"/>
        <v>8.0696879014232822E-2</v>
      </c>
      <c r="AA21" s="27">
        <f t="shared" si="8"/>
        <v>8.1608968762296855E-2</v>
      </c>
      <c r="AB21" s="27">
        <f t="shared" si="8"/>
        <v>8.294500125938338E-2</v>
      </c>
      <c r="AC21" s="27">
        <f t="shared" si="8"/>
        <v>8.4667243855728658E-2</v>
      </c>
      <c r="AD21" s="27">
        <f t="shared" si="8"/>
        <v>8.5867982908629403E-2</v>
      </c>
      <c r="AE21" s="27">
        <f t="shared" si="8"/>
        <v>8.7210563420463058E-2</v>
      </c>
      <c r="AF21" s="27">
        <f t="shared" si="8"/>
        <v>8.8593806779096215E-2</v>
      </c>
      <c r="AG21" s="27">
        <f t="shared" si="8"/>
        <v>9.0048440137839775E-2</v>
      </c>
      <c r="AH21" s="27">
        <f t="shared" si="8"/>
        <v>9.1524860898689164E-2</v>
      </c>
      <c r="AI21" s="27">
        <f t="shared" si="8"/>
        <v>9.2873095408058187E-2</v>
      </c>
      <c r="AJ21" s="27">
        <f t="shared" si="8"/>
        <v>9.4295235372679823E-2</v>
      </c>
      <c r="AK21" s="27">
        <f t="shared" si="8"/>
        <v>9.5652981013283067E-2</v>
      </c>
      <c r="AL21" s="27">
        <f t="shared" si="8"/>
        <v>9.6933251950102856E-2</v>
      </c>
      <c r="AM21" s="27">
        <f t="shared" si="8"/>
        <v>9.8190775072259484E-2</v>
      </c>
      <c r="AN21" s="27">
        <f t="shared" si="8"/>
        <v>9.9787639127038461E-2</v>
      </c>
      <c r="AO21" s="27">
        <f t="shared" si="8"/>
        <v>0.1014392914748115</v>
      </c>
      <c r="AP21" s="27">
        <f t="shared" si="8"/>
        <v>0.10320575500989811</v>
      </c>
      <c r="AQ21" s="27">
        <f t="shared" si="8"/>
        <v>0.10496534581683413</v>
      </c>
      <c r="AR21" s="27">
        <f t="shared" si="8"/>
        <v>0.10672034773942209</v>
      </c>
      <c r="AS21" s="27">
        <f t="shared" si="8"/>
        <v>0.10858609964826429</v>
      </c>
      <c r="AT21" s="27">
        <f t="shared" si="8"/>
        <v>0.11051429251988212</v>
      </c>
      <c r="AU21" s="27">
        <f t="shared" si="8"/>
        <v>0.11247140287446589</v>
      </c>
      <c r="AV21" s="27">
        <f t="shared" si="8"/>
        <v>0.11452403240118444</v>
      </c>
      <c r="AW21" s="27">
        <f t="shared" si="8"/>
        <v>0.1162449069229001</v>
      </c>
      <c r="AY21" s="79"/>
    </row>
    <row r="22" spans="1:51" x14ac:dyDescent="0.25">
      <c r="A22" s="95" t="str">
        <f t="shared" si="0"/>
        <v>FS Cattle MMCH4</v>
      </c>
      <c r="B22" s="95" t="s">
        <v>1003</v>
      </c>
      <c r="C22" s="95" t="s">
        <v>1228</v>
      </c>
      <c r="D22" t="s">
        <v>15</v>
      </c>
      <c r="E22" t="s">
        <v>22</v>
      </c>
      <c r="F22" t="s">
        <v>67</v>
      </c>
      <c r="G22" t="s">
        <v>123</v>
      </c>
      <c r="H22" t="s">
        <v>1226</v>
      </c>
      <c r="I22" t="s">
        <v>121</v>
      </c>
      <c r="J22" t="s">
        <v>286</v>
      </c>
      <c r="K22" s="27">
        <f t="shared" si="7"/>
        <v>6.9689449734106276E-2</v>
      </c>
      <c r="L22" s="27">
        <f t="shared" si="8"/>
        <v>6.9085055392440989E-2</v>
      </c>
      <c r="M22" s="27">
        <f t="shared" si="8"/>
        <v>6.8854980763127779E-2</v>
      </c>
      <c r="N22" s="27">
        <f t="shared" si="8"/>
        <v>6.7935512624264269E-2</v>
      </c>
      <c r="O22" s="27">
        <f t="shared" si="8"/>
        <v>6.6600882165738229E-2</v>
      </c>
      <c r="P22" s="27">
        <f t="shared" si="8"/>
        <v>6.4878687456057696E-2</v>
      </c>
      <c r="Q22" s="27">
        <f t="shared" si="8"/>
        <v>6.3520342119606069E-2</v>
      </c>
      <c r="R22" s="27">
        <f t="shared" si="8"/>
        <v>6.2235193009075998E-2</v>
      </c>
      <c r="S22" s="27">
        <f t="shared" si="8"/>
        <v>5.5573195374324494E-2</v>
      </c>
      <c r="T22" s="27">
        <f t="shared" si="8"/>
        <v>5.8230166616839892E-2</v>
      </c>
      <c r="U22" s="27">
        <f t="shared" si="8"/>
        <v>5.9150010572323733E-2</v>
      </c>
      <c r="V22" s="27">
        <f t="shared" si="8"/>
        <v>5.8750554380685591E-2</v>
      </c>
      <c r="W22" s="27">
        <f t="shared" si="8"/>
        <v>5.8425624895701689E-2</v>
      </c>
      <c r="X22" s="27">
        <f t="shared" si="8"/>
        <v>5.8446969177989083E-2</v>
      </c>
      <c r="Y22" s="27">
        <f t="shared" si="8"/>
        <v>5.8790174251251236E-2</v>
      </c>
      <c r="Z22" s="27">
        <f t="shared" si="8"/>
        <v>5.9277158695416256E-2</v>
      </c>
      <c r="AA22" s="27">
        <f t="shared" si="8"/>
        <v>5.9947148531465801E-2</v>
      </c>
      <c r="AB22" s="27">
        <f t="shared" si="8"/>
        <v>6.0928552165899576E-2</v>
      </c>
      <c r="AC22" s="27">
        <f t="shared" si="8"/>
        <v>6.2193652488770283E-2</v>
      </c>
      <c r="AD22" s="27">
        <f t="shared" si="8"/>
        <v>6.3075674200886653E-2</v>
      </c>
      <c r="AE22" s="27">
        <f t="shared" si="8"/>
        <v>6.4061887782297905E-2</v>
      </c>
      <c r="AF22" s="27">
        <f t="shared" si="8"/>
        <v>6.5077970895866852E-2</v>
      </c>
      <c r="AG22" s="27">
        <f t="shared" si="8"/>
        <v>6.6146494654198057E-2</v>
      </c>
      <c r="AH22" s="27">
        <f t="shared" si="8"/>
        <v>6.7231022690612471E-2</v>
      </c>
      <c r="AI22" s="27">
        <f t="shared" si="8"/>
        <v>6.8221389504630262E-2</v>
      </c>
      <c r="AJ22" s="27">
        <f t="shared" si="8"/>
        <v>6.9266044730455056E-2</v>
      </c>
      <c r="AK22" s="27">
        <f t="shared" si="8"/>
        <v>7.026339809516019E-2</v>
      </c>
      <c r="AL22" s="27">
        <f t="shared" si="8"/>
        <v>7.1203841200544876E-2</v>
      </c>
      <c r="AM22" s="27">
        <f t="shared" si="8"/>
        <v>7.2127574541732534E-2</v>
      </c>
      <c r="AN22" s="27">
        <f t="shared" si="8"/>
        <v>7.3300576089579794E-2</v>
      </c>
      <c r="AO22" s="27">
        <f t="shared" si="8"/>
        <v>7.4513823237729482E-2</v>
      </c>
      <c r="AP22" s="27">
        <f t="shared" si="8"/>
        <v>7.5811406745023818E-2</v>
      </c>
      <c r="AQ22" s="27">
        <f t="shared" si="8"/>
        <v>7.7103941782015115E-2</v>
      </c>
      <c r="AR22" s="27">
        <f t="shared" si="8"/>
        <v>7.8393105982004302E-2</v>
      </c>
      <c r="AS22" s="27">
        <f t="shared" si="8"/>
        <v>7.9763623322175625E-2</v>
      </c>
      <c r="AT22" s="27">
        <f t="shared" si="8"/>
        <v>8.1180007651315583E-2</v>
      </c>
      <c r="AU22" s="27">
        <f t="shared" si="8"/>
        <v>8.2617633771312649E-2</v>
      </c>
      <c r="AV22" s="27">
        <f t="shared" si="8"/>
        <v>8.4125424997993567E-2</v>
      </c>
      <c r="AW22" s="27">
        <f t="shared" si="8"/>
        <v>8.5389520380178607E-2</v>
      </c>
      <c r="AY22" s="79"/>
    </row>
    <row r="23" spans="1:51" x14ac:dyDescent="0.25">
      <c r="A23" s="95" t="str">
        <f t="shared" si="0"/>
        <v>FS Cattle MMCH4</v>
      </c>
      <c r="B23" s="95" t="s">
        <v>1003</v>
      </c>
      <c r="C23" s="95" t="s">
        <v>1228</v>
      </c>
      <c r="D23" t="s">
        <v>15</v>
      </c>
      <c r="E23" t="s">
        <v>22</v>
      </c>
      <c r="F23" t="s">
        <v>67</v>
      </c>
      <c r="G23" t="s">
        <v>135</v>
      </c>
      <c r="H23" t="s">
        <v>1226</v>
      </c>
      <c r="I23" t="s">
        <v>121</v>
      </c>
      <c r="J23" t="s">
        <v>286</v>
      </c>
      <c r="K23" s="27">
        <f t="shared" si="7"/>
        <v>0.47107022937833815</v>
      </c>
      <c r="L23" s="27">
        <f t="shared" si="8"/>
        <v>0.48695387967725917</v>
      </c>
      <c r="M23" s="27">
        <f t="shared" si="8"/>
        <v>0.50580611066616787</v>
      </c>
      <c r="N23" s="27">
        <f t="shared" si="8"/>
        <v>0.5198656905589939</v>
      </c>
      <c r="O23" s="27">
        <f t="shared" si="8"/>
        <v>0.53070826286138517</v>
      </c>
      <c r="P23" s="27">
        <f t="shared" si="8"/>
        <v>0.53817886796858128</v>
      </c>
      <c r="Q23" s="27">
        <f t="shared" si="8"/>
        <v>0.54837935702304741</v>
      </c>
      <c r="R23" s="27">
        <f t="shared" si="8"/>
        <v>0.55907244781022658</v>
      </c>
      <c r="S23" s="27">
        <f t="shared" si="8"/>
        <v>0.51940277612263608</v>
      </c>
      <c r="T23" s="27">
        <f t="shared" si="8"/>
        <v>0.55734768073083851</v>
      </c>
      <c r="U23" s="27">
        <f t="shared" si="8"/>
        <v>0.57960474973304943</v>
      </c>
      <c r="V23" s="27">
        <f t="shared" si="8"/>
        <v>0.58919613300783547</v>
      </c>
      <c r="W23" s="27">
        <f t="shared" si="8"/>
        <v>0.59952169359823548</v>
      </c>
      <c r="X23" s="27">
        <f t="shared" si="8"/>
        <v>0.61349330548493453</v>
      </c>
      <c r="Y23" s="27">
        <f t="shared" si="8"/>
        <v>0.63110337066637079</v>
      </c>
      <c r="Z23" s="27">
        <f t="shared" si="8"/>
        <v>0.65064008423990027</v>
      </c>
      <c r="AA23" s="27">
        <f t="shared" si="8"/>
        <v>0.67266194335256146</v>
      </c>
      <c r="AB23" s="27">
        <f t="shared" si="8"/>
        <v>0.69879229877984206</v>
      </c>
      <c r="AC23" s="27">
        <f t="shared" si="8"/>
        <v>0.72895809146559021</v>
      </c>
      <c r="AD23" s="27">
        <f t="shared" si="8"/>
        <v>0.76381313429213382</v>
      </c>
      <c r="AE23" s="27">
        <f t="shared" si="8"/>
        <v>0.80153113832193645</v>
      </c>
      <c r="AF23" s="27">
        <f t="shared" si="8"/>
        <v>0.84136759742134326</v>
      </c>
      <c r="AG23" s="27">
        <f t="shared" si="8"/>
        <v>0.88375975405626439</v>
      </c>
      <c r="AH23" s="27">
        <f t="shared" si="8"/>
        <v>0.92838040456636217</v>
      </c>
      <c r="AI23" s="27">
        <f t="shared" si="8"/>
        <v>0.97379529022362832</v>
      </c>
      <c r="AJ23" s="27">
        <f t="shared" si="8"/>
        <v>1.0221841318210139</v>
      </c>
      <c r="AK23" s="27">
        <f t="shared" si="8"/>
        <v>1.072208285270027</v>
      </c>
      <c r="AL23" s="27">
        <f t="shared" si="8"/>
        <v>1.123785168211771</v>
      </c>
      <c r="AM23" s="27">
        <f t="shared" si="8"/>
        <v>1.1776298462289758</v>
      </c>
      <c r="AN23" s="27">
        <f t="shared" si="8"/>
        <v>1.2305489615866252</v>
      </c>
      <c r="AO23" s="27">
        <f t="shared" si="8"/>
        <v>1.2863335234294737</v>
      </c>
      <c r="AP23" s="27">
        <f t="shared" si="8"/>
        <v>1.3459319381262367</v>
      </c>
      <c r="AQ23" s="27">
        <f t="shared" ref="L23:AW30" si="9">AQ1398</f>
        <v>1.4079553802544587</v>
      </c>
      <c r="AR23" s="27">
        <f t="shared" si="9"/>
        <v>1.4725543863966755</v>
      </c>
      <c r="AS23" s="27">
        <f t="shared" si="9"/>
        <v>1.5414959451453387</v>
      </c>
      <c r="AT23" s="27">
        <f t="shared" si="9"/>
        <v>1.6143551492479555</v>
      </c>
      <c r="AU23" s="27">
        <f t="shared" si="9"/>
        <v>1.6908665423569276</v>
      </c>
      <c r="AV23" s="27">
        <f t="shared" si="9"/>
        <v>1.7722717243433437</v>
      </c>
      <c r="AW23" s="27">
        <f t="shared" si="9"/>
        <v>1.852080501247541</v>
      </c>
      <c r="AY23" s="79"/>
    </row>
    <row r="24" spans="1:51" x14ac:dyDescent="0.25">
      <c r="A24" s="95" t="str">
        <f t="shared" si="0"/>
        <v>FS Sheep MMCH4</v>
      </c>
      <c r="B24" s="95" t="s">
        <v>1003</v>
      </c>
      <c r="C24" s="95" t="s">
        <v>1323</v>
      </c>
      <c r="D24" t="s">
        <v>15</v>
      </c>
      <c r="E24" t="s">
        <v>22</v>
      </c>
      <c r="F24" t="s">
        <v>18</v>
      </c>
      <c r="G24" t="s">
        <v>122</v>
      </c>
      <c r="H24" t="s">
        <v>1226</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3.6577867645106926E-2</v>
      </c>
      <c r="T24" s="27">
        <f t="shared" si="9"/>
        <v>3.6604195637780168E-2</v>
      </c>
      <c r="U24" s="27">
        <f t="shared" si="9"/>
        <v>3.6594939276300961E-2</v>
      </c>
      <c r="V24" s="27">
        <f t="shared" si="9"/>
        <v>3.6594272892103465E-2</v>
      </c>
      <c r="W24" s="27">
        <f t="shared" si="9"/>
        <v>3.663308878376182E-2</v>
      </c>
      <c r="X24" s="27">
        <f t="shared" si="9"/>
        <v>3.66966145669788E-2</v>
      </c>
      <c r="Y24" s="27">
        <f t="shared" si="9"/>
        <v>3.6757568260761757E-2</v>
      </c>
      <c r="Z24" s="27">
        <f t="shared" si="9"/>
        <v>3.6816146514376355E-2</v>
      </c>
      <c r="AA24" s="27">
        <f t="shared" si="9"/>
        <v>3.6872269383598041E-2</v>
      </c>
      <c r="AB24" s="27">
        <f t="shared" si="9"/>
        <v>3.6927106456158189E-2</v>
      </c>
      <c r="AC24" s="27">
        <f t="shared" si="9"/>
        <v>3.6981458757835407E-2</v>
      </c>
      <c r="AD24" s="27">
        <f t="shared" si="9"/>
        <v>3.7034780933234084E-2</v>
      </c>
      <c r="AE24" s="27">
        <f t="shared" si="9"/>
        <v>3.7087839668251105E-2</v>
      </c>
      <c r="AF24" s="27">
        <f t="shared" si="9"/>
        <v>3.7140467817616069E-2</v>
      </c>
      <c r="AG24" s="27">
        <f t="shared" si="9"/>
        <v>3.7192243691518308E-2</v>
      </c>
      <c r="AH24" s="27">
        <f t="shared" si="9"/>
        <v>3.7243395244831647E-2</v>
      </c>
      <c r="AI24" s="27">
        <f t="shared" si="9"/>
        <v>3.7293977063567109E-2</v>
      </c>
      <c r="AJ24" s="27">
        <f t="shared" si="9"/>
        <v>3.7344160870083701E-2</v>
      </c>
      <c r="AK24" s="27">
        <f t="shared" si="9"/>
        <v>3.7392411139770994E-2</v>
      </c>
      <c r="AL24" s="27">
        <f t="shared" si="9"/>
        <v>3.743867142078007E-2</v>
      </c>
      <c r="AM24" s="27">
        <f t="shared" si="9"/>
        <v>3.7483374065557115E-2</v>
      </c>
      <c r="AN24" s="27">
        <f t="shared" si="9"/>
        <v>3.7526174858995696E-2</v>
      </c>
      <c r="AO24" s="27">
        <f t="shared" si="9"/>
        <v>3.7567151445085212E-2</v>
      </c>
      <c r="AP24" s="27">
        <f t="shared" si="9"/>
        <v>3.7606119264532091E-2</v>
      </c>
      <c r="AQ24" s="27">
        <f t="shared" si="9"/>
        <v>3.7642520684787982E-2</v>
      </c>
      <c r="AR24" s="27">
        <f t="shared" si="9"/>
        <v>3.7675838960014932E-2</v>
      </c>
      <c r="AS24" s="27">
        <f t="shared" si="9"/>
        <v>3.7706040429411586E-2</v>
      </c>
      <c r="AT24" s="27">
        <f t="shared" si="9"/>
        <v>3.7732893978113372E-2</v>
      </c>
      <c r="AU24" s="27">
        <f t="shared" si="9"/>
        <v>3.7756386655025911E-2</v>
      </c>
      <c r="AV24" s="27">
        <f t="shared" si="9"/>
        <v>3.7776968038330937E-2</v>
      </c>
      <c r="AW24" s="27">
        <f t="shared" si="9"/>
        <v>3.7791964878546927E-2</v>
      </c>
      <c r="AY24" s="79"/>
    </row>
    <row r="25" spans="1:51" x14ac:dyDescent="0.25">
      <c r="A25" s="95" t="str">
        <f t="shared" si="0"/>
        <v>FS Sheep MMCH4</v>
      </c>
      <c r="B25" s="95" t="s">
        <v>1003</v>
      </c>
      <c r="C25" s="95" t="s">
        <v>1323</v>
      </c>
      <c r="D25" t="s">
        <v>15</v>
      </c>
      <c r="E25" t="s">
        <v>22</v>
      </c>
      <c r="F25" t="s">
        <v>18</v>
      </c>
      <c r="G25" t="s">
        <v>123</v>
      </c>
      <c r="H25" t="s">
        <v>1226</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4.1773668344855536E-3</v>
      </c>
      <c r="T25" s="27">
        <f t="shared" si="9"/>
        <v>4.1803736167419408E-3</v>
      </c>
      <c r="U25" s="27">
        <f t="shared" si="9"/>
        <v>4.1793164961403135E-3</v>
      </c>
      <c r="V25" s="27">
        <f t="shared" si="9"/>
        <v>4.1792403918886204E-3</v>
      </c>
      <c r="W25" s="27">
        <f t="shared" si="9"/>
        <v>4.1836733517330218E-3</v>
      </c>
      <c r="X25" s="27">
        <f t="shared" si="9"/>
        <v>4.190928298973798E-3</v>
      </c>
      <c r="Y25" s="27">
        <f t="shared" si="9"/>
        <v>4.197889501341273E-3</v>
      </c>
      <c r="Z25" s="27">
        <f t="shared" si="9"/>
        <v>4.204579417118921E-3</v>
      </c>
      <c r="AA25" s="27">
        <f t="shared" si="9"/>
        <v>4.2109889162952416E-3</v>
      </c>
      <c r="AB25" s="27">
        <f t="shared" si="9"/>
        <v>4.2172515713640264E-3</v>
      </c>
      <c r="AC25" s="27">
        <f t="shared" si="9"/>
        <v>4.2234588632873099E-3</v>
      </c>
      <c r="AD25" s="27">
        <f t="shared" si="9"/>
        <v>4.2295485098794577E-3</v>
      </c>
      <c r="AE25" s="27">
        <f t="shared" si="9"/>
        <v>4.2356080703243246E-3</v>
      </c>
      <c r="AF25" s="27">
        <f t="shared" si="9"/>
        <v>4.2416184558353278E-3</v>
      </c>
      <c r="AG25" s="27">
        <f t="shared" si="9"/>
        <v>4.247531507426093E-3</v>
      </c>
      <c r="AH25" s="27">
        <f t="shared" si="9"/>
        <v>4.2533732586297656E-3</v>
      </c>
      <c r="AI25" s="27">
        <f t="shared" si="9"/>
        <v>4.2591499434289888E-3</v>
      </c>
      <c r="AJ25" s="27">
        <f t="shared" si="9"/>
        <v>4.2648811733356808E-3</v>
      </c>
      <c r="AK25" s="27">
        <f t="shared" si="9"/>
        <v>4.2703915841202098E-3</v>
      </c>
      <c r="AL25" s="27">
        <f t="shared" si="9"/>
        <v>4.2756747287123493E-3</v>
      </c>
      <c r="AM25" s="27">
        <f t="shared" si="9"/>
        <v>4.2807799838222773E-3</v>
      </c>
      <c r="AN25" s="27">
        <f t="shared" si="9"/>
        <v>4.2856680384441249E-3</v>
      </c>
      <c r="AO25" s="27">
        <f t="shared" si="9"/>
        <v>4.2903477598915749E-3</v>
      </c>
      <c r="AP25" s="27">
        <f t="shared" si="9"/>
        <v>4.2947980706135938E-3</v>
      </c>
      <c r="AQ25" s="27">
        <f t="shared" si="9"/>
        <v>4.2989552863151904E-3</v>
      </c>
      <c r="AR25" s="27">
        <f t="shared" si="9"/>
        <v>4.3027603921585852E-3</v>
      </c>
      <c r="AS25" s="27">
        <f t="shared" si="9"/>
        <v>4.3062095439198199E-3</v>
      </c>
      <c r="AT25" s="27">
        <f t="shared" si="9"/>
        <v>4.3092763471797441E-3</v>
      </c>
      <c r="AU25" s="27">
        <f t="shared" si="9"/>
        <v>4.3119593228616469E-3</v>
      </c>
      <c r="AV25" s="27">
        <f t="shared" si="9"/>
        <v>4.3143098149368113E-3</v>
      </c>
      <c r="AW25" s="27">
        <f t="shared" si="9"/>
        <v>4.3160225255723297E-3</v>
      </c>
      <c r="AY25" s="79"/>
    </row>
    <row r="26" spans="1:51" x14ac:dyDescent="0.25">
      <c r="A26" s="95" t="str">
        <f t="shared" si="0"/>
        <v>FS Goats MMCH4</v>
      </c>
      <c r="B26" s="95" t="s">
        <v>1003</v>
      </c>
      <c r="C26" s="95" t="s">
        <v>1324</v>
      </c>
      <c r="D26" t="s">
        <v>15</v>
      </c>
      <c r="E26" t="s">
        <v>22</v>
      </c>
      <c r="F26" t="s">
        <v>19</v>
      </c>
      <c r="G26" t="s">
        <v>122</v>
      </c>
      <c r="H26" t="s">
        <v>1226</v>
      </c>
      <c r="I26" t="s">
        <v>121</v>
      </c>
      <c r="J26" t="s">
        <v>286</v>
      </c>
      <c r="K26" s="27">
        <f t="shared" si="7"/>
        <v>1.5789672763163298E-2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1.623065478441902E-2</v>
      </c>
      <c r="R26" s="27">
        <f t="shared" si="9"/>
        <v>1.6337439810579345E-2</v>
      </c>
      <c r="S26" s="27">
        <f t="shared" si="9"/>
        <v>1.6297380650984187E-2</v>
      </c>
      <c r="T26" s="27">
        <f t="shared" si="9"/>
        <v>1.6325395863941383E-2</v>
      </c>
      <c r="U26" s="27">
        <f t="shared" si="9"/>
        <v>1.6328114418990985E-2</v>
      </c>
      <c r="V26" s="27">
        <f t="shared" si="9"/>
        <v>1.6335588711282864E-2</v>
      </c>
      <c r="W26" s="27">
        <f t="shared" si="9"/>
        <v>1.6368634589950044E-2</v>
      </c>
      <c r="X26" s="27">
        <f t="shared" si="9"/>
        <v>1.641724322972727E-2</v>
      </c>
      <c r="Y26" s="27">
        <f t="shared" si="9"/>
        <v>1.6463127220508685E-2</v>
      </c>
      <c r="Z26" s="27">
        <f t="shared" si="9"/>
        <v>1.6506502302245762E-2</v>
      </c>
      <c r="AA26" s="27">
        <f t="shared" si="9"/>
        <v>1.6547390676749981E-2</v>
      </c>
      <c r="AB26" s="27">
        <f t="shared" si="9"/>
        <v>1.6586638401151873E-2</v>
      </c>
      <c r="AC26" s="27">
        <f t="shared" si="9"/>
        <v>1.6624834346576634E-2</v>
      </c>
      <c r="AD26" s="27">
        <f t="shared" si="9"/>
        <v>1.6661666671952648E-2</v>
      </c>
      <c r="AE26" s="27">
        <f t="shared" si="9"/>
        <v>1.669768859843657E-2</v>
      </c>
      <c r="AF26" s="27">
        <f t="shared" si="9"/>
        <v>1.6732829718107738E-2</v>
      </c>
      <c r="AG26" s="27">
        <f t="shared" si="9"/>
        <v>1.6766849576183976E-2</v>
      </c>
      <c r="AH26" s="27">
        <f t="shared" si="9"/>
        <v>1.6799933327571178E-2</v>
      </c>
      <c r="AI26" s="27">
        <f t="shared" si="9"/>
        <v>1.6832148555186801E-2</v>
      </c>
      <c r="AJ26" s="27">
        <f t="shared" si="9"/>
        <v>1.6863636706256461E-2</v>
      </c>
      <c r="AK26" s="27">
        <f t="shared" si="9"/>
        <v>1.6893421474693429E-2</v>
      </c>
      <c r="AL26" s="27">
        <f t="shared" si="9"/>
        <v>1.6921495820142095E-2</v>
      </c>
      <c r="AM26" s="27">
        <f t="shared" si="9"/>
        <v>1.6948169002433171E-2</v>
      </c>
      <c r="AN26" s="27">
        <f t="shared" si="9"/>
        <v>1.6973242190360595E-2</v>
      </c>
      <c r="AO26" s="27">
        <f t="shared" si="9"/>
        <v>1.699679001880551E-2</v>
      </c>
      <c r="AP26" s="27">
        <f t="shared" si="9"/>
        <v>1.701871561452447E-2</v>
      </c>
      <c r="AQ26" s="27">
        <f t="shared" si="9"/>
        <v>1.7038680545756732E-2</v>
      </c>
      <c r="AR26" s="27">
        <f t="shared" si="9"/>
        <v>1.7056373927880512E-2</v>
      </c>
      <c r="AS26" s="27">
        <f t="shared" si="9"/>
        <v>1.7071796968078184E-2</v>
      </c>
      <c r="AT26" s="27">
        <f t="shared" si="9"/>
        <v>1.7084822941521471E-2</v>
      </c>
      <c r="AU26" s="27">
        <f t="shared" si="9"/>
        <v>1.7095465059373528E-2</v>
      </c>
      <c r="AV26" s="27">
        <f t="shared" si="9"/>
        <v>1.7104031992328298E-2</v>
      </c>
      <c r="AW26" s="27">
        <f t="shared" si="9"/>
        <v>1.7108831686205268E-2</v>
      </c>
      <c r="AY26" s="79"/>
    </row>
    <row r="27" spans="1:51" x14ac:dyDescent="0.25">
      <c r="A27" s="95" t="str">
        <f t="shared" si="0"/>
        <v>FS Goats MMCH4</v>
      </c>
      <c r="B27" s="95" t="s">
        <v>1003</v>
      </c>
      <c r="C27" s="95" t="s">
        <v>1324</v>
      </c>
      <c r="D27" t="s">
        <v>15</v>
      </c>
      <c r="E27" t="s">
        <v>22</v>
      </c>
      <c r="F27" t="s">
        <v>19</v>
      </c>
      <c r="G27" t="s">
        <v>123</v>
      </c>
      <c r="H27" t="s">
        <v>1226</v>
      </c>
      <c r="I27" t="s">
        <v>121</v>
      </c>
      <c r="J27" t="s">
        <v>286</v>
      </c>
      <c r="K27" s="27">
        <f t="shared" si="7"/>
        <v>2.6592218800664796E-2</v>
      </c>
      <c r="L27" s="27">
        <f t="shared" si="9"/>
        <v>2.6661345733624896E-2</v>
      </c>
      <c r="M27" s="27">
        <f t="shared" si="9"/>
        <v>2.6756703894783639E-2</v>
      </c>
      <c r="N27" s="27">
        <f t="shared" si="9"/>
        <v>2.6872875319249701E-2</v>
      </c>
      <c r="O27" s="27">
        <f t="shared" si="9"/>
        <v>2.7009694315810229E-2</v>
      </c>
      <c r="P27" s="27">
        <f t="shared" si="9"/>
        <v>2.7166328132291764E-2</v>
      </c>
      <c r="Q27" s="27">
        <f t="shared" si="9"/>
        <v>2.7334899828466049E-2</v>
      </c>
      <c r="R27" s="27">
        <f t="shared" si="9"/>
        <v>2.7514742110372921E-2</v>
      </c>
      <c r="S27" s="27">
        <f t="shared" si="9"/>
        <v>2.7447276371664872E-2</v>
      </c>
      <c r="T27" s="27">
        <f t="shared" si="9"/>
        <v>2.7494458266051122E-2</v>
      </c>
      <c r="U27" s="27">
        <f t="shared" si="9"/>
        <v>2.7499036727668718E-2</v>
      </c>
      <c r="V27" s="27">
        <f t="shared" si="9"/>
        <v>2.7511624576637288E-2</v>
      </c>
      <c r="W27" s="27">
        <f t="shared" si="9"/>
        <v>2.7567278879874528E-2</v>
      </c>
      <c r="X27" s="27">
        <f t="shared" si="9"/>
        <v>2.7649143248056639E-2</v>
      </c>
      <c r="Y27" s="27">
        <f t="shared" si="9"/>
        <v>2.7726418891485655E-2</v>
      </c>
      <c r="Z27" s="27">
        <f t="shared" si="9"/>
        <v>2.7799469149166745E-2</v>
      </c>
      <c r="AA27" s="27">
        <f t="shared" si="9"/>
        <v>2.7868331412338937E-2</v>
      </c>
      <c r="AB27" s="27">
        <f t="shared" si="9"/>
        <v>2.7934430570337832E-2</v>
      </c>
      <c r="AC27" s="27">
        <f t="shared" si="9"/>
        <v>2.7998758372013564E-2</v>
      </c>
      <c r="AD27" s="27">
        <f t="shared" si="9"/>
        <v>2.8060789629407407E-2</v>
      </c>
      <c r="AE27" s="27">
        <f t="shared" si="9"/>
        <v>2.8121456051381433E-2</v>
      </c>
      <c r="AF27" s="27">
        <f t="shared" si="9"/>
        <v>2.8180639060251388E-2</v>
      </c>
      <c r="AG27" s="27">
        <f t="shared" si="9"/>
        <v>2.8237933693465157E-2</v>
      </c>
      <c r="AH27" s="27">
        <f t="shared" si="9"/>
        <v>2.8293651780143172E-2</v>
      </c>
      <c r="AI27" s="27">
        <f t="shared" si="9"/>
        <v>2.8347907140233115E-2</v>
      </c>
      <c r="AJ27" s="27">
        <f t="shared" si="9"/>
        <v>2.8400937992451046E-2</v>
      </c>
      <c r="AK27" s="27">
        <f t="shared" si="9"/>
        <v>2.845110008834013E-2</v>
      </c>
      <c r="AL27" s="27">
        <f t="shared" si="9"/>
        <v>2.8498381570866985E-2</v>
      </c>
      <c r="AM27" s="27">
        <f t="shared" si="9"/>
        <v>2.8543303280786723E-2</v>
      </c>
      <c r="AN27" s="27">
        <f t="shared" si="9"/>
        <v>2.8585530356002101E-2</v>
      </c>
      <c r="AO27" s="27">
        <f t="shared" si="9"/>
        <v>2.8625188493043956E-2</v>
      </c>
      <c r="AP27" s="27">
        <f t="shared" si="9"/>
        <v>2.8662114542585253E-2</v>
      </c>
      <c r="AQ27" s="27">
        <f t="shared" si="9"/>
        <v>2.8695738533888428E-2</v>
      </c>
      <c r="AR27" s="27">
        <f t="shared" si="9"/>
        <v>2.8725536889802242E-2</v>
      </c>
      <c r="AS27" s="27">
        <f t="shared" si="9"/>
        <v>2.8751511643406051E-2</v>
      </c>
      <c r="AT27" s="27">
        <f t="shared" si="9"/>
        <v>2.8773449370747915E-2</v>
      </c>
      <c r="AU27" s="27">
        <f t="shared" si="9"/>
        <v>2.8791372321442913E-2</v>
      </c>
      <c r="AV27" s="27">
        <f t="shared" si="9"/>
        <v>2.8805800344049892E-2</v>
      </c>
      <c r="AW27" s="27">
        <f t="shared" si="9"/>
        <v>2.8813883761082477E-2</v>
      </c>
      <c r="AY27" s="79"/>
    </row>
    <row r="28" spans="1:51" x14ac:dyDescent="0.25">
      <c r="A28" s="95" t="str">
        <f t="shared" si="0"/>
        <v>FS Horses MMCH4</v>
      </c>
      <c r="B28" s="95" t="s">
        <v>1003</v>
      </c>
      <c r="C28" s="95" t="s">
        <v>1325</v>
      </c>
      <c r="D28" t="s">
        <v>15</v>
      </c>
      <c r="E28" t="s">
        <v>22</v>
      </c>
      <c r="F28" t="s">
        <v>20</v>
      </c>
      <c r="G28" t="s">
        <v>3</v>
      </c>
      <c r="H28" t="s">
        <v>1226</v>
      </c>
      <c r="I28" t="s">
        <v>121</v>
      </c>
      <c r="J28" t="s">
        <v>286</v>
      </c>
      <c r="K28" s="27">
        <f t="shared" si="7"/>
        <v>4.1336182129460544E-3</v>
      </c>
      <c r="L28" s="27">
        <f t="shared" si="9"/>
        <v>4.1536453250924079E-3</v>
      </c>
      <c r="M28" s="27">
        <f t="shared" si="9"/>
        <v>4.1840370126470525E-3</v>
      </c>
      <c r="N28" s="27">
        <f t="shared" si="9"/>
        <v>4.1905340987284569E-3</v>
      </c>
      <c r="O28" s="27">
        <f t="shared" si="9"/>
        <v>4.1812329246154589E-3</v>
      </c>
      <c r="P28" s="27">
        <f t="shared" si="9"/>
        <v>4.1564738854214548E-3</v>
      </c>
      <c r="Q28" s="27">
        <f t="shared" si="9"/>
        <v>4.1427460620707141E-3</v>
      </c>
      <c r="R28" s="27">
        <f t="shared" si="9"/>
        <v>4.130408792135833E-3</v>
      </c>
      <c r="S28" s="27">
        <f t="shared" si="9"/>
        <v>3.9434601312185527E-3</v>
      </c>
      <c r="T28" s="27">
        <f t="shared" si="9"/>
        <v>4.0605746122765228E-3</v>
      </c>
      <c r="U28" s="27">
        <f t="shared" si="9"/>
        <v>4.1189841670463273E-3</v>
      </c>
      <c r="V28" s="27">
        <f t="shared" si="9"/>
        <v>4.1278057101270405E-3</v>
      </c>
      <c r="W28" s="27">
        <f t="shared" si="9"/>
        <v>4.1355671321311174E-3</v>
      </c>
      <c r="X28" s="27">
        <f t="shared" si="9"/>
        <v>4.1543998592115791E-3</v>
      </c>
      <c r="Y28" s="27">
        <f t="shared" si="9"/>
        <v>4.1865458304734694E-3</v>
      </c>
      <c r="Z28" s="27">
        <f t="shared" si="9"/>
        <v>4.2253320128085251E-3</v>
      </c>
      <c r="AA28" s="27">
        <f t="shared" si="9"/>
        <v>4.272518274488683E-3</v>
      </c>
      <c r="AB28" s="27">
        <f t="shared" si="9"/>
        <v>4.3334009221617396E-3</v>
      </c>
      <c r="AC28" s="27">
        <f t="shared" si="9"/>
        <v>4.4071847194853781E-3</v>
      </c>
      <c r="AD28" s="27">
        <f t="shared" si="9"/>
        <v>4.4888905161837847E-3</v>
      </c>
      <c r="AE28" s="27">
        <f t="shared" si="9"/>
        <v>4.5781841431122572E-3</v>
      </c>
      <c r="AF28" s="27">
        <f t="shared" si="9"/>
        <v>4.6723057323312554E-3</v>
      </c>
      <c r="AG28" s="27">
        <f t="shared" si="9"/>
        <v>4.7725702352352153E-3</v>
      </c>
      <c r="AH28" s="27">
        <f t="shared" si="9"/>
        <v>4.8776647477587476E-3</v>
      </c>
      <c r="AI28" s="27">
        <f t="shared" si="9"/>
        <v>4.9827957618803235E-3</v>
      </c>
      <c r="AJ28" s="27">
        <f t="shared" si="9"/>
        <v>5.0948794457102743E-3</v>
      </c>
      <c r="AK28" s="27">
        <f t="shared" si="9"/>
        <v>5.2096806373507004E-3</v>
      </c>
      <c r="AL28" s="27">
        <f t="shared" si="9"/>
        <v>5.326887127790998E-3</v>
      </c>
      <c r="AM28" s="27">
        <f t="shared" si="9"/>
        <v>5.4485848360062324E-3</v>
      </c>
      <c r="AN28" s="27">
        <f t="shared" si="9"/>
        <v>5.5696508386077004E-3</v>
      </c>
      <c r="AO28" s="27">
        <f t="shared" si="9"/>
        <v>5.6973052536603251E-3</v>
      </c>
      <c r="AP28" s="27">
        <f t="shared" si="9"/>
        <v>5.8342669505017037E-3</v>
      </c>
      <c r="AQ28" s="27">
        <f t="shared" si="9"/>
        <v>5.9763033014494302E-3</v>
      </c>
      <c r="AR28" s="27">
        <f t="shared" si="9"/>
        <v>6.1238672356661557E-3</v>
      </c>
      <c r="AS28" s="27">
        <f t="shared" si="9"/>
        <v>6.2820427526668306E-3</v>
      </c>
      <c r="AT28" s="27">
        <f t="shared" si="9"/>
        <v>6.4494574929913678E-3</v>
      </c>
      <c r="AU28" s="27">
        <f t="shared" si="9"/>
        <v>6.6252174839876625E-3</v>
      </c>
      <c r="AV28" s="27">
        <f t="shared" si="9"/>
        <v>6.8126704322840365E-3</v>
      </c>
      <c r="AW28" s="27">
        <f t="shared" si="9"/>
        <v>6.9938267919267671E-3</v>
      </c>
      <c r="AY28" s="79"/>
    </row>
    <row r="29" spans="1:51" x14ac:dyDescent="0.25">
      <c r="A29" s="95" t="str">
        <f t="shared" si="0"/>
        <v>FS Mules MMCH4</v>
      </c>
      <c r="B29" s="95" t="s">
        <v>1003</v>
      </c>
      <c r="C29" s="95" t="s">
        <v>1326</v>
      </c>
      <c r="D29" t="s">
        <v>15</v>
      </c>
      <c r="E29" t="s">
        <v>22</v>
      </c>
      <c r="F29" t="s">
        <v>140</v>
      </c>
      <c r="G29" t="s">
        <v>124</v>
      </c>
      <c r="H29" t="s">
        <v>1226</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5">
      <c r="A30" s="95" t="str">
        <f t="shared" si="0"/>
        <v>FS Swine MMCH4</v>
      </c>
      <c r="B30" s="95" t="s">
        <v>1003</v>
      </c>
      <c r="C30" s="95" t="s">
        <v>1229</v>
      </c>
      <c r="D30" t="s">
        <v>15</v>
      </c>
      <c r="E30" t="s">
        <v>22</v>
      </c>
      <c r="F30" t="s">
        <v>21</v>
      </c>
      <c r="G30" t="s">
        <v>122</v>
      </c>
      <c r="H30" t="s">
        <v>1226</v>
      </c>
      <c r="I30" t="s">
        <v>121</v>
      </c>
      <c r="J30" t="s">
        <v>286</v>
      </c>
      <c r="K30" s="27">
        <f t="shared" si="7"/>
        <v>23.279067868377393</v>
      </c>
      <c r="L30" s="27">
        <f t="shared" si="9"/>
        <v>23.152530650802596</v>
      </c>
      <c r="M30" s="27">
        <f t="shared" si="9"/>
        <v>23.1629164330643</v>
      </c>
      <c r="N30" s="27">
        <f t="shared" si="9"/>
        <v>22.950263110497293</v>
      </c>
      <c r="O30" s="27">
        <f t="shared" si="9"/>
        <v>22.60295118682059</v>
      </c>
      <c r="P30" s="27">
        <f t="shared" si="9"/>
        <v>22.12653281137495</v>
      </c>
      <c r="Q30" s="27">
        <f t="shared" si="9"/>
        <v>21.780600237355966</v>
      </c>
      <c r="R30" s="27">
        <f t="shared" si="9"/>
        <v>21.465278056857684</v>
      </c>
      <c r="S30" s="27">
        <f t="shared" si="9"/>
        <v>19.28268372841509</v>
      </c>
      <c r="T30" s="27">
        <f t="shared" si="9"/>
        <v>20.154045022941879</v>
      </c>
      <c r="U30" s="27">
        <f t="shared" si="9"/>
        <v>20.417483741296842</v>
      </c>
      <c r="V30" s="27">
        <f t="shared" si="9"/>
        <v>20.215982998578138</v>
      </c>
      <c r="W30" s="27">
        <f t="shared" si="9"/>
        <v>20.038764166788877</v>
      </c>
      <c r="X30" s="27">
        <f t="shared" si="9"/>
        <v>19.983994613990216</v>
      </c>
      <c r="Y30" s="27">
        <f t="shared" si="9"/>
        <v>20.046915484009698</v>
      </c>
      <c r="Z30" s="27">
        <f t="shared" si="9"/>
        <v>20.164111817793334</v>
      </c>
      <c r="AA30" s="27">
        <f t="shared" si="9"/>
        <v>20.348954154275784</v>
      </c>
      <c r="AB30" s="27">
        <f t="shared" si="9"/>
        <v>20.645885200839494</v>
      </c>
      <c r="AC30" s="27">
        <f t="shared" si="9"/>
        <v>21.044537894059989</v>
      </c>
      <c r="AD30" s="27">
        <f t="shared" si="9"/>
        <v>21.498264632191113</v>
      </c>
      <c r="AE30" s="27">
        <f t="shared" si="9"/>
        <v>22.002561256053959</v>
      </c>
      <c r="AF30" s="27">
        <f t="shared" ref="L30:AW38" si="10">AF1405</f>
        <v>22.532202643318037</v>
      </c>
      <c r="AG30" s="27">
        <f t="shared" si="10"/>
        <v>23.096284889499795</v>
      </c>
      <c r="AH30" s="27">
        <f t="shared" si="10"/>
        <v>23.682649825738739</v>
      </c>
      <c r="AI30" s="27">
        <f t="shared" si="10"/>
        <v>24.251675615546215</v>
      </c>
      <c r="AJ30" s="27">
        <f t="shared" si="10"/>
        <v>24.858335489218973</v>
      </c>
      <c r="AK30" s="27">
        <f t="shared" si="10"/>
        <v>25.466205387661859</v>
      </c>
      <c r="AL30" s="27">
        <f t="shared" si="10"/>
        <v>26.072093806701385</v>
      </c>
      <c r="AM30" s="27">
        <f t="shared" si="10"/>
        <v>26.691678242844393</v>
      </c>
      <c r="AN30" s="27">
        <f t="shared" si="10"/>
        <v>27.284891345865745</v>
      </c>
      <c r="AO30" s="27">
        <f t="shared" si="10"/>
        <v>27.905654237830884</v>
      </c>
      <c r="AP30" s="27">
        <f t="shared" si="10"/>
        <v>28.571861719635045</v>
      </c>
      <c r="AQ30" s="27">
        <f t="shared" si="10"/>
        <v>29.249712050194997</v>
      </c>
      <c r="AR30" s="27">
        <f t="shared" si="10"/>
        <v>29.940451406740536</v>
      </c>
      <c r="AS30" s="27">
        <f t="shared" si="10"/>
        <v>30.678211789307159</v>
      </c>
      <c r="AT30" s="27">
        <f t="shared" si="10"/>
        <v>31.450149667179016</v>
      </c>
      <c r="AU30" s="27">
        <f t="shared" si="10"/>
        <v>32.247465982700263</v>
      </c>
      <c r="AV30" s="27">
        <f t="shared" si="10"/>
        <v>33.090843547510339</v>
      </c>
      <c r="AW30" s="27">
        <f t="shared" si="10"/>
        <v>33.85425291015099</v>
      </c>
      <c r="AY30" s="79"/>
    </row>
    <row r="31" spans="1:51" x14ac:dyDescent="0.25">
      <c r="A31" s="95" t="str">
        <f t="shared" si="0"/>
        <v>FS Swine MMCH4</v>
      </c>
      <c r="B31" s="95" t="s">
        <v>1003</v>
      </c>
      <c r="C31" s="95" t="s">
        <v>1229</v>
      </c>
      <c r="D31" t="s">
        <v>15</v>
      </c>
      <c r="E31" t="s">
        <v>22</v>
      </c>
      <c r="F31" t="s">
        <v>21</v>
      </c>
      <c r="G31" t="s">
        <v>123</v>
      </c>
      <c r="H31" t="s">
        <v>1226</v>
      </c>
      <c r="I31" t="s">
        <v>121</v>
      </c>
      <c r="J31" t="s">
        <v>286</v>
      </c>
      <c r="K31" s="27">
        <f t="shared" si="7"/>
        <v>7.7932061732677776E-2</v>
      </c>
      <c r="L31" s="27">
        <f t="shared" si="10"/>
        <v>7.7508449141861113E-2</v>
      </c>
      <c r="M31" s="27">
        <f t="shared" si="10"/>
        <v>7.7543217949140569E-2</v>
      </c>
      <c r="N31" s="27">
        <f t="shared" si="10"/>
        <v>7.6831311787104603E-2</v>
      </c>
      <c r="O31" s="27">
        <f t="shared" si="10"/>
        <v>7.5668604825231994E-2</v>
      </c>
      <c r="P31" s="27">
        <f t="shared" si="10"/>
        <v>7.4073684167079393E-2</v>
      </c>
      <c r="Q31" s="27">
        <f t="shared" si="10"/>
        <v>7.291559489708703E-2</v>
      </c>
      <c r="R31" s="27">
        <f t="shared" si="10"/>
        <v>7.1859980996426709E-2</v>
      </c>
      <c r="S31" s="27">
        <f t="shared" si="10"/>
        <v>6.455324187339509E-2</v>
      </c>
      <c r="T31" s="27">
        <f t="shared" si="10"/>
        <v>6.7470325262664888E-2</v>
      </c>
      <c r="U31" s="27">
        <f t="shared" si="10"/>
        <v>6.8352247278516104E-2</v>
      </c>
      <c r="V31" s="27">
        <f t="shared" si="10"/>
        <v>6.767767695596183E-2</v>
      </c>
      <c r="W31" s="27">
        <f t="shared" si="10"/>
        <v>6.7084395944141104E-2</v>
      </c>
      <c r="X31" s="27">
        <f t="shared" si="10"/>
        <v>6.6901042203608638E-2</v>
      </c>
      <c r="Y31" s="27">
        <f t="shared" si="10"/>
        <v>6.7111684363095322E-2</v>
      </c>
      <c r="Z31" s="27">
        <f t="shared" si="10"/>
        <v>6.7504026185839727E-2</v>
      </c>
      <c r="AA31" s="27">
        <f t="shared" si="10"/>
        <v>6.8122828642149871E-2</v>
      </c>
      <c r="AB31" s="27">
        <f t="shared" si="10"/>
        <v>6.9116873969995066E-2</v>
      </c>
      <c r="AC31" s="27">
        <f t="shared" si="10"/>
        <v>7.0451456027731174E-2</v>
      </c>
      <c r="AD31" s="27">
        <f t="shared" si="10"/>
        <v>7.1970411183742145E-2</v>
      </c>
      <c r="AE31" s="27">
        <f t="shared" si="10"/>
        <v>7.3658660723829941E-2</v>
      </c>
      <c r="AF31" s="27">
        <f t="shared" si="10"/>
        <v>7.5431757719028575E-2</v>
      </c>
      <c r="AG31" s="27">
        <f t="shared" si="10"/>
        <v>7.7320153452066526E-2</v>
      </c>
      <c r="AH31" s="27">
        <f t="shared" si="10"/>
        <v>7.9283145641754912E-2</v>
      </c>
      <c r="AI31" s="27">
        <f t="shared" si="10"/>
        <v>8.1188091030010831E-2</v>
      </c>
      <c r="AJ31" s="27">
        <f t="shared" si="10"/>
        <v>8.3219025214881143E-2</v>
      </c>
      <c r="AK31" s="27">
        <f t="shared" si="10"/>
        <v>8.525401023742317E-2</v>
      </c>
      <c r="AL31" s="27">
        <f t="shared" si="10"/>
        <v>8.7282361799551011E-2</v>
      </c>
      <c r="AM31" s="27">
        <f t="shared" si="10"/>
        <v>8.9356563945406475E-2</v>
      </c>
      <c r="AN31" s="27">
        <f t="shared" si="10"/>
        <v>9.1342481956672425E-2</v>
      </c>
      <c r="AO31" s="27">
        <f t="shared" si="10"/>
        <v>9.3420629255847557E-2</v>
      </c>
      <c r="AP31" s="27">
        <f t="shared" si="10"/>
        <v>9.5650912826147239E-2</v>
      </c>
      <c r="AQ31" s="27">
        <f t="shared" si="10"/>
        <v>9.7920173524444973E-2</v>
      </c>
      <c r="AR31" s="27">
        <f t="shared" si="10"/>
        <v>0.10023258321712952</v>
      </c>
      <c r="AS31" s="27">
        <f t="shared" si="10"/>
        <v>0.1027024066655249</v>
      </c>
      <c r="AT31" s="27">
        <f t="shared" si="10"/>
        <v>0.10528664718117813</v>
      </c>
      <c r="AU31" s="27">
        <f t="shared" si="10"/>
        <v>0.10795584788427327</v>
      </c>
      <c r="AV31" s="27">
        <f t="shared" si="10"/>
        <v>0.11077924926857086</v>
      </c>
      <c r="AW31" s="27">
        <f t="shared" si="10"/>
        <v>0.11333493860772317</v>
      </c>
      <c r="AY31" s="79"/>
    </row>
    <row r="32" spans="1:51" x14ac:dyDescent="0.25">
      <c r="A32" s="95" t="str">
        <f t="shared" si="0"/>
        <v>FS Poultry MMCH4</v>
      </c>
      <c r="B32" s="95" t="s">
        <v>1003</v>
      </c>
      <c r="C32" s="95" t="s">
        <v>1230</v>
      </c>
      <c r="D32" t="s">
        <v>15</v>
      </c>
      <c r="E32" t="s">
        <v>22</v>
      </c>
      <c r="F32" t="s">
        <v>28</v>
      </c>
      <c r="G32" t="s">
        <v>131</v>
      </c>
      <c r="H32" t="s">
        <v>1226</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0.62068986953889782</v>
      </c>
      <c r="S32" s="27">
        <f t="shared" si="10"/>
        <v>0.59573243019488353</v>
      </c>
      <c r="T32" s="27">
        <f t="shared" si="10"/>
        <v>0.62060528502680601</v>
      </c>
      <c r="U32" s="27">
        <f t="shared" si="10"/>
        <v>0.63538739650332932</v>
      </c>
      <c r="V32" s="27">
        <f t="shared" si="10"/>
        <v>0.64244306993256506</v>
      </c>
      <c r="W32" s="27">
        <f t="shared" si="10"/>
        <v>0.65026805947534316</v>
      </c>
      <c r="X32" s="27">
        <f t="shared" si="10"/>
        <v>0.66047268102504608</v>
      </c>
      <c r="Y32" s="27">
        <f t="shared" si="10"/>
        <v>0.67275642094337218</v>
      </c>
      <c r="Z32" s="27">
        <f t="shared" si="10"/>
        <v>0.68607919631568115</v>
      </c>
      <c r="AA32" s="27">
        <f t="shared" si="10"/>
        <v>0.70076804403320936</v>
      </c>
      <c r="AB32" s="27">
        <f t="shared" si="10"/>
        <v>0.71779554918535993</v>
      </c>
      <c r="AC32" s="27">
        <f t="shared" si="10"/>
        <v>0.73711000301021679</v>
      </c>
      <c r="AD32" s="27">
        <f t="shared" si="10"/>
        <v>0.75788984228274747</v>
      </c>
      <c r="AE32" s="27">
        <f t="shared" si="10"/>
        <v>0.78013180876638377</v>
      </c>
      <c r="AF32" s="27">
        <f t="shared" si="10"/>
        <v>0.80337597870999389</v>
      </c>
      <c r="AG32" s="27">
        <f t="shared" si="10"/>
        <v>0.82785833709156575</v>
      </c>
      <c r="AH32" s="27">
        <f t="shared" si="10"/>
        <v>0.85337321588031811</v>
      </c>
      <c r="AI32" s="27">
        <f t="shared" si="10"/>
        <v>0.87907798873871268</v>
      </c>
      <c r="AJ32" s="27">
        <f t="shared" si="10"/>
        <v>0.90622461339542404</v>
      </c>
      <c r="AK32" s="27">
        <f t="shared" si="10"/>
        <v>0.93400977893113157</v>
      </c>
      <c r="AL32" s="27">
        <f t="shared" si="10"/>
        <v>0.96237643638695936</v>
      </c>
      <c r="AM32" s="27">
        <f t="shared" si="10"/>
        <v>0.99172546365777581</v>
      </c>
      <c r="AN32" s="27">
        <f t="shared" si="10"/>
        <v>1.0211032601995891</v>
      </c>
      <c r="AO32" s="27">
        <f t="shared" si="10"/>
        <v>1.0518470326965137</v>
      </c>
      <c r="AP32" s="27">
        <f t="shared" si="10"/>
        <v>1.0844705032412159</v>
      </c>
      <c r="AQ32" s="27">
        <f t="shared" si="10"/>
        <v>1.1181722864478278</v>
      </c>
      <c r="AR32" s="27">
        <f t="shared" si="10"/>
        <v>1.1530181967657136</v>
      </c>
      <c r="AS32" s="27">
        <f t="shared" si="10"/>
        <v>1.1899731342287589</v>
      </c>
      <c r="AT32" s="27">
        <f t="shared" si="10"/>
        <v>1.2287768115471775</v>
      </c>
      <c r="AU32" s="27">
        <f t="shared" si="10"/>
        <v>1.2692627400827883</v>
      </c>
      <c r="AV32" s="27">
        <f t="shared" si="10"/>
        <v>1.3120972726435587</v>
      </c>
      <c r="AW32" s="27">
        <f t="shared" si="10"/>
        <v>1.3536832016924076</v>
      </c>
      <c r="AY32" s="79"/>
    </row>
    <row r="33" spans="1:51" x14ac:dyDescent="0.25">
      <c r="A33" s="95" t="str">
        <f t="shared" si="0"/>
        <v>FS Poultry MMCH4</v>
      </c>
      <c r="B33" s="95" t="s">
        <v>1003</v>
      </c>
      <c r="C33" s="95" t="s">
        <v>1230</v>
      </c>
      <c r="D33" t="s">
        <v>15</v>
      </c>
      <c r="E33" t="s">
        <v>22</v>
      </c>
      <c r="F33" t="s">
        <v>28</v>
      </c>
      <c r="G33" t="s">
        <v>132</v>
      </c>
      <c r="H33" t="s">
        <v>1226</v>
      </c>
      <c r="I33" t="s">
        <v>121</v>
      </c>
      <c r="J33" t="s">
        <v>286</v>
      </c>
      <c r="K33" s="27">
        <f t="shared" si="7"/>
        <v>2.2100196981344111</v>
      </c>
      <c r="L33" s="27">
        <f t="shared" si="10"/>
        <v>2.2391217074451477</v>
      </c>
      <c r="M33" s="27">
        <f t="shared" si="10"/>
        <v>2.2858678822724814</v>
      </c>
      <c r="N33" s="27">
        <f t="shared" si="10"/>
        <v>2.2992900748078591</v>
      </c>
      <c r="O33" s="27">
        <f t="shared" si="10"/>
        <v>2.2910596881616558</v>
      </c>
      <c r="P33" s="27">
        <f t="shared" si="10"/>
        <v>2.2612642885898917</v>
      </c>
      <c r="Q33" s="27">
        <f t="shared" si="10"/>
        <v>2.2487211059946204</v>
      </c>
      <c r="R33" s="27">
        <f t="shared" si="10"/>
        <v>2.2390235702415184</v>
      </c>
      <c r="S33" s="27">
        <f t="shared" si="10"/>
        <v>1.9480109024353172</v>
      </c>
      <c r="T33" s="27">
        <f t="shared" si="10"/>
        <v>2.1242573648526935</v>
      </c>
      <c r="U33" s="27">
        <f t="shared" si="10"/>
        <v>2.2090616174503466</v>
      </c>
      <c r="V33" s="27">
        <f t="shared" si="10"/>
        <v>2.219672639907655</v>
      </c>
      <c r="W33" s="27">
        <f t="shared" si="10"/>
        <v>2.2319049749890385</v>
      </c>
      <c r="X33" s="27">
        <f t="shared" si="10"/>
        <v>2.2629262949362925</v>
      </c>
      <c r="Y33" s="27">
        <f t="shared" si="10"/>
        <v>2.3140044447008137</v>
      </c>
      <c r="Z33" s="27">
        <f t="shared" si="10"/>
        <v>2.3751177408865005</v>
      </c>
      <c r="AA33" s="27">
        <f t="shared" si="10"/>
        <v>2.4489635487241519</v>
      </c>
      <c r="AB33" s="27">
        <f t="shared" si="10"/>
        <v>2.5437406386090786</v>
      </c>
      <c r="AC33" s="27">
        <f t="shared" si="10"/>
        <v>2.6583677679701894</v>
      </c>
      <c r="AD33" s="27">
        <f t="shared" si="10"/>
        <v>2.7852398205087883</v>
      </c>
      <c r="AE33" s="27">
        <f t="shared" si="10"/>
        <v>2.9239358907782309</v>
      </c>
      <c r="AF33" s="27">
        <f t="shared" si="10"/>
        <v>3.0702342900973978</v>
      </c>
      <c r="AG33" s="27">
        <f t="shared" si="10"/>
        <v>3.2260927445342245</v>
      </c>
      <c r="AH33" s="27">
        <f t="shared" si="10"/>
        <v>3.3895233708783912</v>
      </c>
      <c r="AI33" s="27">
        <f t="shared" si="10"/>
        <v>3.5531911169091885</v>
      </c>
      <c r="AJ33" s="27">
        <f t="shared" si="10"/>
        <v>3.7276822125599338</v>
      </c>
      <c r="AK33" s="27">
        <f t="shared" si="10"/>
        <v>3.9062898323416295</v>
      </c>
      <c r="AL33" s="27">
        <f t="shared" si="10"/>
        <v>4.0884842597865152</v>
      </c>
      <c r="AM33" s="27">
        <f t="shared" si="10"/>
        <v>4.2774788120039364</v>
      </c>
      <c r="AN33" s="27">
        <f t="shared" si="10"/>
        <v>4.4653386243384539</v>
      </c>
      <c r="AO33" s="27">
        <f t="shared" si="10"/>
        <v>4.6630770817729719</v>
      </c>
      <c r="AP33" s="27">
        <f t="shared" si="10"/>
        <v>4.8747652719370373</v>
      </c>
      <c r="AQ33" s="27">
        <f t="shared" si="10"/>
        <v>5.0937607978342658</v>
      </c>
      <c r="AR33" s="27">
        <f t="shared" si="10"/>
        <v>5.3205750433635002</v>
      </c>
      <c r="AS33" s="27">
        <f t="shared" si="10"/>
        <v>5.5628565017727221</v>
      </c>
      <c r="AT33" s="27">
        <f t="shared" si="10"/>
        <v>5.8183308290473201</v>
      </c>
      <c r="AU33" s="27">
        <f t="shared" si="10"/>
        <v>6.0854872952292993</v>
      </c>
      <c r="AV33" s="27">
        <f t="shared" si="10"/>
        <v>6.3693601721837521</v>
      </c>
      <c r="AW33" s="27">
        <f t="shared" si="10"/>
        <v>6.641848924312276</v>
      </c>
      <c r="AY33" s="79"/>
    </row>
    <row r="34" spans="1:51" x14ac:dyDescent="0.25">
      <c r="A34" s="95" t="str">
        <f t="shared" si="0"/>
        <v>FS Poultry MMCH4</v>
      </c>
      <c r="B34" s="95" t="s">
        <v>1003</v>
      </c>
      <c r="C34" s="95" t="s">
        <v>1230</v>
      </c>
      <c r="D34" t="s">
        <v>15</v>
      </c>
      <c r="E34" t="s">
        <v>22</v>
      </c>
      <c r="F34" t="s">
        <v>28</v>
      </c>
      <c r="G34" t="s">
        <v>134</v>
      </c>
      <c r="H34" t="s">
        <v>1226</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2.4944242822745922E-2</v>
      </c>
      <c r="P34" s="27">
        <f t="shared" si="10"/>
        <v>2.5198104828966561E-2</v>
      </c>
      <c r="Q34" s="27">
        <f t="shared" si="10"/>
        <v>2.5523625995077459E-2</v>
      </c>
      <c r="R34" s="27">
        <f t="shared" si="10"/>
        <v>2.5862077897454101E-2</v>
      </c>
      <c r="S34" s="27">
        <f t="shared" si="10"/>
        <v>2.4822184591453505E-2</v>
      </c>
      <c r="T34" s="27">
        <f t="shared" si="10"/>
        <v>2.5858553542783609E-2</v>
      </c>
      <c r="U34" s="27">
        <f t="shared" si="10"/>
        <v>2.6474474854305419E-2</v>
      </c>
      <c r="V34" s="27">
        <f t="shared" si="10"/>
        <v>2.6768461247190234E-2</v>
      </c>
      <c r="W34" s="27">
        <f t="shared" si="10"/>
        <v>2.709450247813933E-2</v>
      </c>
      <c r="X34" s="27">
        <f t="shared" si="10"/>
        <v>2.751969504271028E-2</v>
      </c>
      <c r="Y34" s="27">
        <f t="shared" si="10"/>
        <v>2.8031517539307202E-2</v>
      </c>
      <c r="Z34" s="27">
        <f t="shared" si="10"/>
        <v>2.8586633179820076E-2</v>
      </c>
      <c r="AA34" s="27">
        <f t="shared" si="10"/>
        <v>2.9198668501383751E-2</v>
      </c>
      <c r="AB34" s="27">
        <f t="shared" si="10"/>
        <v>2.9908147882723356E-2</v>
      </c>
      <c r="AC34" s="27">
        <f t="shared" si="10"/>
        <v>3.0712916792092395E-2</v>
      </c>
      <c r="AD34" s="27">
        <f t="shared" si="10"/>
        <v>3.1578743428447839E-2</v>
      </c>
      <c r="AE34" s="27">
        <f t="shared" si="10"/>
        <v>3.250549203193269E-2</v>
      </c>
      <c r="AF34" s="27">
        <f t="shared" si="10"/>
        <v>3.3473999112916437E-2</v>
      </c>
      <c r="AG34" s="27">
        <f t="shared" si="10"/>
        <v>3.4494097378815265E-2</v>
      </c>
      <c r="AH34" s="27">
        <f t="shared" si="10"/>
        <v>3.5557217328346623E-2</v>
      </c>
      <c r="AI34" s="27">
        <f t="shared" si="10"/>
        <v>3.6628249530779734E-2</v>
      </c>
      <c r="AJ34" s="27">
        <f t="shared" si="10"/>
        <v>3.7759358891476039E-2</v>
      </c>
      <c r="AK34" s="27">
        <f t="shared" si="10"/>
        <v>3.8917074122130517E-2</v>
      </c>
      <c r="AL34" s="27">
        <f t="shared" si="10"/>
        <v>4.0099018182790006E-2</v>
      </c>
      <c r="AM34" s="27">
        <f t="shared" si="10"/>
        <v>4.1321894319074036E-2</v>
      </c>
      <c r="AN34" s="27">
        <f t="shared" si="10"/>
        <v>4.2545969174982913E-2</v>
      </c>
      <c r="AO34" s="27">
        <f t="shared" si="10"/>
        <v>4.382695969568811E-2</v>
      </c>
      <c r="AP34" s="27">
        <f t="shared" si="10"/>
        <v>4.5186270968384026E-2</v>
      </c>
      <c r="AQ34" s="27">
        <f t="shared" si="10"/>
        <v>4.6590511935326193E-2</v>
      </c>
      <c r="AR34" s="27">
        <f t="shared" si="10"/>
        <v>4.8042424865238111E-2</v>
      </c>
      <c r="AS34" s="27">
        <f t="shared" si="10"/>
        <v>4.958221392619834E-2</v>
      </c>
      <c r="AT34" s="27">
        <f t="shared" si="10"/>
        <v>5.1199033814465784E-2</v>
      </c>
      <c r="AU34" s="27">
        <f t="shared" si="10"/>
        <v>5.2885947503449555E-2</v>
      </c>
      <c r="AV34" s="27">
        <f t="shared" si="10"/>
        <v>5.4670719693481661E-2</v>
      </c>
      <c r="AW34" s="27">
        <f t="shared" si="10"/>
        <v>5.6403466737183702E-2</v>
      </c>
      <c r="AY34" s="79"/>
    </row>
    <row r="35" spans="1:51" x14ac:dyDescent="0.25">
      <c r="A35" s="95" t="str">
        <f t="shared" si="0"/>
        <v>FS Poultry MMCH4</v>
      </c>
      <c r="B35" s="95" t="s">
        <v>1003</v>
      </c>
      <c r="C35" s="95" t="s">
        <v>1230</v>
      </c>
      <c r="D35" t="s">
        <v>15</v>
      </c>
      <c r="E35" t="s">
        <v>22</v>
      </c>
      <c r="F35" t="s">
        <v>28</v>
      </c>
      <c r="G35" t="s">
        <v>133</v>
      </c>
      <c r="H35" t="s">
        <v>1226</v>
      </c>
      <c r="I35" t="s">
        <v>121</v>
      </c>
      <c r="J35" t="s">
        <v>286</v>
      </c>
      <c r="K35" s="27">
        <f t="shared" si="7"/>
        <v>9.2084154088933862E-2</v>
      </c>
      <c r="L35" s="27">
        <f t="shared" si="10"/>
        <v>9.3296737810214581E-2</v>
      </c>
      <c r="M35" s="27">
        <f t="shared" si="10"/>
        <v>9.5244495094686812E-2</v>
      </c>
      <c r="N35" s="27">
        <f t="shared" si="10"/>
        <v>9.5803753116994184E-2</v>
      </c>
      <c r="O35" s="27">
        <f t="shared" si="10"/>
        <v>9.5460820340069058E-2</v>
      </c>
      <c r="P35" s="27">
        <f t="shared" si="10"/>
        <v>9.4219345357912251E-2</v>
      </c>
      <c r="Q35" s="27">
        <f t="shared" si="10"/>
        <v>9.3696712749775937E-2</v>
      </c>
      <c r="R35" s="27">
        <f t="shared" si="10"/>
        <v>9.3292648760063338E-2</v>
      </c>
      <c r="S35" s="27">
        <f t="shared" si="10"/>
        <v>8.1167120934804951E-2</v>
      </c>
      <c r="T35" s="27">
        <f t="shared" si="10"/>
        <v>8.8510723535528968E-2</v>
      </c>
      <c r="U35" s="27">
        <f t="shared" si="10"/>
        <v>9.2044234060431204E-2</v>
      </c>
      <c r="V35" s="27">
        <f t="shared" si="10"/>
        <v>9.2486359996152387E-2</v>
      </c>
      <c r="W35" s="27">
        <f t="shared" si="10"/>
        <v>9.299604062454335E-2</v>
      </c>
      <c r="X35" s="27">
        <f t="shared" si="10"/>
        <v>9.4288595622345608E-2</v>
      </c>
      <c r="Y35" s="27">
        <f t="shared" si="10"/>
        <v>9.6416851862533987E-2</v>
      </c>
      <c r="Z35" s="27">
        <f t="shared" si="10"/>
        <v>9.8963239203604281E-2</v>
      </c>
      <c r="AA35" s="27">
        <f t="shared" si="10"/>
        <v>0.1020401478635064</v>
      </c>
      <c r="AB35" s="27">
        <f t="shared" si="10"/>
        <v>0.10598919327537835</v>
      </c>
      <c r="AC35" s="27">
        <f t="shared" si="10"/>
        <v>0.11076532366542467</v>
      </c>
      <c r="AD35" s="27">
        <f t="shared" si="10"/>
        <v>0.11605165918786628</v>
      </c>
      <c r="AE35" s="27">
        <f t="shared" si="10"/>
        <v>0.12183066211575974</v>
      </c>
      <c r="AF35" s="27">
        <f t="shared" si="10"/>
        <v>0.12792642875405835</v>
      </c>
      <c r="AG35" s="27">
        <f t="shared" si="10"/>
        <v>0.13442053102225948</v>
      </c>
      <c r="AH35" s="27">
        <f t="shared" si="10"/>
        <v>0.1412301404532664</v>
      </c>
      <c r="AI35" s="27">
        <f t="shared" si="10"/>
        <v>0.14804962987121634</v>
      </c>
      <c r="AJ35" s="27">
        <f t="shared" si="10"/>
        <v>0.15532009218999737</v>
      </c>
      <c r="AK35" s="27">
        <f t="shared" si="10"/>
        <v>0.16276207634756804</v>
      </c>
      <c r="AL35" s="27">
        <f t="shared" si="10"/>
        <v>0.17035351082443828</v>
      </c>
      <c r="AM35" s="27">
        <f t="shared" si="10"/>
        <v>0.17822828383349751</v>
      </c>
      <c r="AN35" s="27">
        <f t="shared" si="10"/>
        <v>0.18605577601410239</v>
      </c>
      <c r="AO35" s="27">
        <f t="shared" si="10"/>
        <v>0.19429487840720733</v>
      </c>
      <c r="AP35" s="27">
        <f t="shared" si="10"/>
        <v>0.20311521966404342</v>
      </c>
      <c r="AQ35" s="27">
        <f t="shared" si="10"/>
        <v>0.21224003324309459</v>
      </c>
      <c r="AR35" s="27">
        <f t="shared" si="10"/>
        <v>0.22169062680681273</v>
      </c>
      <c r="AS35" s="27">
        <f t="shared" si="10"/>
        <v>0.23178568757386364</v>
      </c>
      <c r="AT35" s="27">
        <f t="shared" si="10"/>
        <v>0.24243045121030524</v>
      </c>
      <c r="AU35" s="27">
        <f t="shared" si="10"/>
        <v>0.25356197063455443</v>
      </c>
      <c r="AV35" s="27">
        <f t="shared" si="10"/>
        <v>0.26539000717432326</v>
      </c>
      <c r="AW35" s="27">
        <f t="shared" si="10"/>
        <v>0.27674370517967845</v>
      </c>
      <c r="AY35" s="79"/>
    </row>
    <row r="36" spans="1:51" x14ac:dyDescent="0.25">
      <c r="A36" s="95" t="str">
        <f t="shared" si="0"/>
        <v>FS Cattle MMN2O</v>
      </c>
      <c r="B36" s="95" t="s">
        <v>1003</v>
      </c>
      <c r="C36" s="95" t="s">
        <v>1231</v>
      </c>
      <c r="D36" t="s">
        <v>15</v>
      </c>
      <c r="E36" t="s">
        <v>657</v>
      </c>
      <c r="F36" t="s">
        <v>6</v>
      </c>
      <c r="G36" t="s">
        <v>136</v>
      </c>
      <c r="H36" t="s">
        <v>1226</v>
      </c>
      <c r="I36" t="s">
        <v>139</v>
      </c>
      <c r="J36" t="s">
        <v>287</v>
      </c>
      <c r="K36" s="27">
        <f>K1411</f>
        <v>5.9474079071945893E-2</v>
      </c>
      <c r="L36" s="27">
        <f t="shared" ref="L36:AW36" si="11">L1411</f>
        <v>5.9806569587962537E-2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6.1344406036983781E-2</v>
      </c>
      <c r="S36" s="27">
        <f t="shared" si="11"/>
        <v>5.9572576433389555E-2</v>
      </c>
      <c r="T36" s="27">
        <f t="shared" si="11"/>
        <v>6.0773920175181823E-2</v>
      </c>
      <c r="U36" s="27">
        <f t="shared" si="11"/>
        <v>6.1370278320054004E-2</v>
      </c>
      <c r="V36" s="27">
        <f t="shared" si="11"/>
        <v>6.1526022860848524E-2</v>
      </c>
      <c r="W36" s="27">
        <f t="shared" si="11"/>
        <v>6.174747330575011E-2</v>
      </c>
      <c r="X36" s="27">
        <f t="shared" si="11"/>
        <v>6.2119068821813103E-2</v>
      </c>
      <c r="Y36" s="27">
        <f t="shared" si="11"/>
        <v>6.2609959575984822E-2</v>
      </c>
      <c r="Z36" s="27">
        <f t="shared" si="11"/>
        <v>6.3159566495841341E-2</v>
      </c>
      <c r="AA36" s="27">
        <f t="shared" si="11"/>
        <v>6.3785199118486416E-2</v>
      </c>
      <c r="AB36" s="27">
        <f t="shared" si="11"/>
        <v>6.4540499300557705E-2</v>
      </c>
      <c r="AC36" s="27">
        <f t="shared" si="11"/>
        <v>6.5421079387025072E-2</v>
      </c>
      <c r="AD36" s="27">
        <f t="shared" si="11"/>
        <v>6.6379515175029838E-2</v>
      </c>
      <c r="AE36" s="27">
        <f t="shared" si="11"/>
        <v>6.7414940444444876E-2</v>
      </c>
      <c r="AF36" s="27">
        <f t="shared" si="11"/>
        <v>6.8501080209535048E-2</v>
      </c>
      <c r="AG36" s="27">
        <f t="shared" si="11"/>
        <v>6.9650082739835181E-2</v>
      </c>
      <c r="AH36" s="27">
        <f t="shared" si="11"/>
        <v>7.085013376505013E-2</v>
      </c>
      <c r="AI36" s="27">
        <f t="shared" si="11"/>
        <v>7.2054990287027845E-2</v>
      </c>
      <c r="AJ36" s="27">
        <f t="shared" si="11"/>
        <v>7.3332422489630317E-2</v>
      </c>
      <c r="AK36" s="27">
        <f t="shared" si="11"/>
        <v>7.4637775238334716E-2</v>
      </c>
      <c r="AL36" s="27">
        <f t="shared" si="11"/>
        <v>7.596772859981879E-2</v>
      </c>
      <c r="AM36" s="27">
        <f t="shared" si="11"/>
        <v>7.734370972563348E-2</v>
      </c>
      <c r="AN36" s="27">
        <f t="shared" si="11"/>
        <v>7.871435132056126E-2</v>
      </c>
      <c r="AO36" s="27">
        <f t="shared" si="11"/>
        <v>8.0150831900584182E-2</v>
      </c>
      <c r="AP36" s="27">
        <f t="shared" si="11"/>
        <v>8.1679672713355286E-2</v>
      </c>
      <c r="AQ36" s="27">
        <f t="shared" si="11"/>
        <v>8.3257530462489515E-2</v>
      </c>
      <c r="AR36" s="27">
        <f t="shared" si="11"/>
        <v>8.4887259744612836E-2</v>
      </c>
      <c r="AS36" s="27">
        <f t="shared" si="11"/>
        <v>8.6619011221600456E-2</v>
      </c>
      <c r="AT36" s="27">
        <f t="shared" si="11"/>
        <v>8.8438220768671E-2</v>
      </c>
      <c r="AU36" s="27">
        <f t="shared" si="11"/>
        <v>9.0335502519381064E-2</v>
      </c>
      <c r="AV36" s="27">
        <f t="shared" si="11"/>
        <v>9.2345044060296602E-2</v>
      </c>
      <c r="AW36" s="27">
        <f t="shared" si="11"/>
        <v>9.4278593479446449E-2</v>
      </c>
      <c r="AY36" s="79"/>
    </row>
    <row r="37" spans="1:51" x14ac:dyDescent="0.25">
      <c r="A37" s="95" t="str">
        <f t="shared" si="0"/>
        <v>FS Cattle MMN2O</v>
      </c>
      <c r="B37" s="95" t="s">
        <v>1003</v>
      </c>
      <c r="C37" s="95" t="s">
        <v>1231</v>
      </c>
      <c r="D37" t="s">
        <v>15</v>
      </c>
      <c r="E37" t="s">
        <v>657</v>
      </c>
      <c r="F37" t="s">
        <v>6</v>
      </c>
      <c r="G37" t="s">
        <v>137</v>
      </c>
      <c r="H37" t="s">
        <v>1226</v>
      </c>
      <c r="I37" t="s">
        <v>139</v>
      </c>
      <c r="J37" t="s">
        <v>287</v>
      </c>
      <c r="K37" s="27">
        <f t="shared" si="7"/>
        <v>0.26041511380118898</v>
      </c>
      <c r="L37" s="27">
        <f t="shared" si="10"/>
        <v>0.26187096745907495</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0.26860458755254507</v>
      </c>
      <c r="S37" s="27">
        <f t="shared" si="10"/>
        <v>0.26084639751318123</v>
      </c>
      <c r="T37" s="27">
        <f t="shared" si="10"/>
        <v>0.26610663982571414</v>
      </c>
      <c r="U37" s="27">
        <f t="shared" si="10"/>
        <v>0.26871787276259229</v>
      </c>
      <c r="V37" s="27">
        <f t="shared" si="10"/>
        <v>0.26939982081370628</v>
      </c>
      <c r="W37" s="27">
        <f t="shared" si="10"/>
        <v>0.27036947084797774</v>
      </c>
      <c r="X37" s="27">
        <f t="shared" si="10"/>
        <v>0.27199655091569075</v>
      </c>
      <c r="Y37" s="27">
        <f t="shared" si="10"/>
        <v>0.27414598094649351</v>
      </c>
      <c r="Z37" s="27">
        <f t="shared" si="10"/>
        <v>0.27655250746718535</v>
      </c>
      <c r="AA37" s="27">
        <f t="shared" si="10"/>
        <v>0.27929192257316399</v>
      </c>
      <c r="AB37" s="27">
        <f t="shared" si="10"/>
        <v>0.28259910422166357</v>
      </c>
      <c r="AC37" s="27">
        <f t="shared" si="10"/>
        <v>0.28645484048537356</v>
      </c>
      <c r="AD37" s="27">
        <f t="shared" si="10"/>
        <v>0.29065147822569842</v>
      </c>
      <c r="AE37" s="27">
        <f t="shared" si="10"/>
        <v>0.29518522458335378</v>
      </c>
      <c r="AF37" s="27">
        <f t="shared" si="10"/>
        <v>0.2999410310614633</v>
      </c>
      <c r="AG37" s="27">
        <f t="shared" si="10"/>
        <v>0.30497209046339202</v>
      </c>
      <c r="AH37" s="27">
        <f t="shared" si="10"/>
        <v>0.31022667244557844</v>
      </c>
      <c r="AI37" s="27">
        <f t="shared" si="10"/>
        <v>0.31550229593031343</v>
      </c>
      <c r="AJ37" s="27">
        <f t="shared" si="10"/>
        <v>0.32109570162242335</v>
      </c>
      <c r="AK37" s="27">
        <f t="shared" si="10"/>
        <v>0.32681136111491149</v>
      </c>
      <c r="AL37" s="27">
        <f t="shared" si="10"/>
        <v>0.33263473764104773</v>
      </c>
      <c r="AM37" s="27">
        <f t="shared" si="10"/>
        <v>0.33865965281516675</v>
      </c>
      <c r="AN37" s="27">
        <f t="shared" si="10"/>
        <v>0.34466118814776064</v>
      </c>
      <c r="AO37" s="27">
        <f t="shared" si="10"/>
        <v>0.35095100817620256</v>
      </c>
      <c r="AP37" s="27">
        <f t="shared" si="10"/>
        <v>0.35764523968771644</v>
      </c>
      <c r="AQ37" s="27">
        <f t="shared" si="10"/>
        <v>0.36455409833193048</v>
      </c>
      <c r="AR37" s="27">
        <f t="shared" si="10"/>
        <v>0.37169008333736225</v>
      </c>
      <c r="AS37" s="27">
        <f t="shared" si="10"/>
        <v>0.37927278600367109</v>
      </c>
      <c r="AT37" s="27">
        <f t="shared" si="10"/>
        <v>0.38723843538607666</v>
      </c>
      <c r="AU37" s="27">
        <f t="shared" si="10"/>
        <v>0.39554593422815865</v>
      </c>
      <c r="AV37" s="27">
        <f t="shared" si="10"/>
        <v>0.4043449773950597</v>
      </c>
      <c r="AW37" s="27">
        <f t="shared" si="10"/>
        <v>0.41281127901561981</v>
      </c>
      <c r="AY37" s="79"/>
    </row>
    <row r="38" spans="1:51" x14ac:dyDescent="0.25">
      <c r="A38" s="95" t="str">
        <f t="shared" si="0"/>
        <v>FS Cattle MMN2O</v>
      </c>
      <c r="B38" s="95" t="s">
        <v>1003</v>
      </c>
      <c r="C38" s="95" t="s">
        <v>1231</v>
      </c>
      <c r="D38" t="s">
        <v>15</v>
      </c>
      <c r="E38" t="s">
        <v>657</v>
      </c>
      <c r="F38" t="s">
        <v>67</v>
      </c>
      <c r="G38" t="s">
        <v>307</v>
      </c>
      <c r="H38" t="s">
        <v>1226</v>
      </c>
      <c r="I38" t="s">
        <v>139</v>
      </c>
      <c r="J38" t="s">
        <v>287</v>
      </c>
      <c r="K38" s="27">
        <f t="shared" si="7"/>
        <v>1.1586934798802538E-2</v>
      </c>
      <c r="L38" s="27">
        <f t="shared" si="10"/>
        <v>1.1651711689683767E-2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1.1951318021451862E-2</v>
      </c>
      <c r="S38" s="27">
        <f t="shared" si="10"/>
        <v>1.1606124377232515E-2</v>
      </c>
      <c r="T38" s="27">
        <f t="shared" si="10"/>
        <v>1.1840174098124497E-2</v>
      </c>
      <c r="U38" s="27">
        <f t="shared" ref="L38:AW44" si="12">U1413</f>
        <v>1.1956358544343662E-2</v>
      </c>
      <c r="V38" s="27">
        <f t="shared" si="12"/>
        <v>1.198670120567806E-2</v>
      </c>
      <c r="W38" s="27">
        <f t="shared" si="12"/>
        <v>1.2029844906367174E-2</v>
      </c>
      <c r="X38" s="27">
        <f t="shared" si="12"/>
        <v>1.2102240361384485E-2</v>
      </c>
      <c r="Y38" s="27">
        <f t="shared" si="12"/>
        <v>1.2197877305254469E-2</v>
      </c>
      <c r="Z38" s="27">
        <f t="shared" si="12"/>
        <v>1.2304953524755821E-2</v>
      </c>
      <c r="AA38" s="27">
        <f t="shared" si="12"/>
        <v>1.2426841320577307E-2</v>
      </c>
      <c r="AB38" s="27">
        <f t="shared" si="12"/>
        <v>1.2573991374848796E-2</v>
      </c>
      <c r="AC38" s="27">
        <f t="shared" si="12"/>
        <v>1.2745548870252437E-2</v>
      </c>
      <c r="AD38" s="27">
        <f t="shared" si="12"/>
        <v>1.2932274468323759E-2</v>
      </c>
      <c r="AE38" s="27">
        <f t="shared" si="12"/>
        <v>1.3133999409221648E-2</v>
      </c>
      <c r="AF38" s="27">
        <f t="shared" si="12"/>
        <v>1.3345604714202703E-2</v>
      </c>
      <c r="AG38" s="27">
        <f t="shared" si="12"/>
        <v>1.3569457148910296E-2</v>
      </c>
      <c r="AH38" s="27">
        <f t="shared" si="12"/>
        <v>1.3803255018526413E-2</v>
      </c>
      <c r="AI38" s="27">
        <f t="shared" si="12"/>
        <v>1.4037989110754724E-2</v>
      </c>
      <c r="AJ38" s="27">
        <f t="shared" si="12"/>
        <v>1.4286862634690086E-2</v>
      </c>
      <c r="AK38" s="27">
        <f t="shared" si="12"/>
        <v>1.4541175730826956E-2</v>
      </c>
      <c r="AL38" s="27">
        <f t="shared" si="12"/>
        <v>1.4800281598886257E-2</v>
      </c>
      <c r="AM38" s="27">
        <f t="shared" si="12"/>
        <v>1.5068354746684156E-2</v>
      </c>
      <c r="AN38" s="27">
        <f t="shared" si="12"/>
        <v>1.533538762959342E-2</v>
      </c>
      <c r="AO38" s="27">
        <f t="shared" si="12"/>
        <v>1.5615247479131181E-2</v>
      </c>
      <c r="AP38" s="27">
        <f t="shared" si="12"/>
        <v>1.5913101251593929E-2</v>
      </c>
      <c r="AQ38" s="27">
        <f t="shared" si="12"/>
        <v>1.6220504664076991E-2</v>
      </c>
      <c r="AR38" s="27">
        <f t="shared" si="12"/>
        <v>1.6538013858440784E-2</v>
      </c>
      <c r="AS38" s="27">
        <f t="shared" si="12"/>
        <v>1.6875399350821628E-2</v>
      </c>
      <c r="AT38" s="27">
        <f t="shared" si="12"/>
        <v>1.7229823710747674E-2</v>
      </c>
      <c r="AU38" s="27">
        <f t="shared" si="12"/>
        <v>1.7599458352989747E-2</v>
      </c>
      <c r="AV38" s="27">
        <f t="shared" si="12"/>
        <v>1.7990963815090407E-2</v>
      </c>
      <c r="AW38" s="27">
        <f t="shared" si="12"/>
        <v>1.836766424323575E-2</v>
      </c>
      <c r="AY38" s="79"/>
    </row>
    <row r="39" spans="1:51" x14ac:dyDescent="0.25">
      <c r="A39" s="95" t="str">
        <f t="shared" si="0"/>
        <v>FS Cattle MMN2O</v>
      </c>
      <c r="B39" s="95" t="s">
        <v>1003</v>
      </c>
      <c r="C39" s="95" t="s">
        <v>1231</v>
      </c>
      <c r="D39" t="s">
        <v>15</v>
      </c>
      <c r="E39" t="s">
        <v>657</v>
      </c>
      <c r="F39" t="s">
        <v>67</v>
      </c>
      <c r="G39" t="s">
        <v>122</v>
      </c>
      <c r="H39" t="s">
        <v>1226</v>
      </c>
      <c r="I39" t="s">
        <v>139</v>
      </c>
      <c r="J39" t="s">
        <v>287</v>
      </c>
      <c r="K39" s="27">
        <f t="shared" si="7"/>
        <v>0.52525224947331295</v>
      </c>
      <c r="L39" s="27">
        <f t="shared" si="12"/>
        <v>0.52069690445710348</v>
      </c>
      <c r="M39" s="27">
        <f t="shared" si="12"/>
        <v>0.51896282251134851</v>
      </c>
      <c r="N39" s="27">
        <f t="shared" si="12"/>
        <v>0.51203275332440912</v>
      </c>
      <c r="O39" s="27">
        <f t="shared" si="12"/>
        <v>0.50197358865556663</v>
      </c>
      <c r="P39" s="27">
        <f t="shared" si="12"/>
        <v>0.48899333628247271</v>
      </c>
      <c r="Q39" s="27">
        <f t="shared" si="12"/>
        <v>0.47875543160314177</v>
      </c>
      <c r="R39" s="27">
        <f t="shared" si="12"/>
        <v>0.46906920988966794</v>
      </c>
      <c r="S39" s="27">
        <f t="shared" si="12"/>
        <v>0.41885745966075799</v>
      </c>
      <c r="T39" s="27">
        <f t="shared" si="12"/>
        <v>0.43888316121589754</v>
      </c>
      <c r="U39" s="27">
        <f t="shared" si="12"/>
        <v>0.44581606294816456</v>
      </c>
      <c r="V39" s="27">
        <f t="shared" si="12"/>
        <v>0.4428053451992871</v>
      </c>
      <c r="W39" s="27">
        <f t="shared" si="12"/>
        <v>0.44035633830428106</v>
      </c>
      <c r="X39" s="27">
        <f t="shared" si="12"/>
        <v>0.44051721103792468</v>
      </c>
      <c r="Y39" s="27">
        <f t="shared" si="12"/>
        <v>0.44310396179359002</v>
      </c>
      <c r="Z39" s="27">
        <f t="shared" si="12"/>
        <v>0.4467743835824281</v>
      </c>
      <c r="AA39" s="27">
        <f t="shared" si="12"/>
        <v>0.45182412453822507</v>
      </c>
      <c r="AB39" s="27">
        <f t="shared" si="12"/>
        <v>0.4592210041031291</v>
      </c>
      <c r="AC39" s="27">
        <f t="shared" si="12"/>
        <v>0.46875611727926397</v>
      </c>
      <c r="AD39" s="27">
        <f t="shared" si="12"/>
        <v>0.47540395120736983</v>
      </c>
      <c r="AE39" s="27">
        <f t="shared" si="12"/>
        <v>0.48283708354051091</v>
      </c>
      <c r="AF39" s="27">
        <f t="shared" si="12"/>
        <v>0.49049534376627268</v>
      </c>
      <c r="AG39" s="27">
        <f t="shared" si="12"/>
        <v>0.49854885128886806</v>
      </c>
      <c r="AH39" s="27">
        <f t="shared" si="12"/>
        <v>0.50672298371374713</v>
      </c>
      <c r="AI39" s="27">
        <f t="shared" si="12"/>
        <v>0.51418741913189581</v>
      </c>
      <c r="AJ39" s="27">
        <f t="shared" si="12"/>
        <v>0.52206102854310632</v>
      </c>
      <c r="AK39" s="27">
        <f t="shared" si="12"/>
        <v>0.52957812188119258</v>
      </c>
      <c r="AL39" s="27">
        <f t="shared" si="12"/>
        <v>0.53666628025365293</v>
      </c>
      <c r="AM39" s="27">
        <f t="shared" si="12"/>
        <v>0.543628496445968</v>
      </c>
      <c r="AN39" s="27">
        <f t="shared" si="12"/>
        <v>0.55246945736606723</v>
      </c>
      <c r="AO39" s="27">
        <f t="shared" si="12"/>
        <v>0.56161375103123634</v>
      </c>
      <c r="AP39" s="27">
        <f t="shared" si="12"/>
        <v>0.57139369130463846</v>
      </c>
      <c r="AQ39" s="27">
        <f t="shared" si="12"/>
        <v>0.58113558104968666</v>
      </c>
      <c r="AR39" s="27">
        <f t="shared" si="12"/>
        <v>0.59085206465758344</v>
      </c>
      <c r="AS39" s="27">
        <f t="shared" si="12"/>
        <v>0.6011817102296716</v>
      </c>
      <c r="AT39" s="27">
        <f t="shared" si="12"/>
        <v>0.61185705718445471</v>
      </c>
      <c r="AU39" s="27">
        <f t="shared" si="12"/>
        <v>0.6226925043907553</v>
      </c>
      <c r="AV39" s="27">
        <f t="shared" si="12"/>
        <v>0.63405678889252681</v>
      </c>
      <c r="AW39" s="27">
        <f t="shared" si="12"/>
        <v>0.64358432778937325</v>
      </c>
      <c r="AY39" s="79"/>
    </row>
    <row r="40" spans="1:51" x14ac:dyDescent="0.25">
      <c r="A40" s="95" t="str">
        <f t="shared" si="0"/>
        <v>FS Cattle MMN2O</v>
      </c>
      <c r="B40" s="95" t="s">
        <v>1003</v>
      </c>
      <c r="C40" s="95" t="s">
        <v>1231</v>
      </c>
      <c r="D40" t="s">
        <v>15</v>
      </c>
      <c r="E40" t="s">
        <v>657</v>
      </c>
      <c r="F40" t="s">
        <v>67</v>
      </c>
      <c r="G40" t="s">
        <v>123</v>
      </c>
      <c r="H40" t="s">
        <v>1226</v>
      </c>
      <c r="I40" t="s">
        <v>139</v>
      </c>
      <c r="J40" t="s">
        <v>287</v>
      </c>
      <c r="K40" s="27">
        <f t="shared" si="7"/>
        <v>0.80452586370517842</v>
      </c>
      <c r="L40" s="27">
        <f t="shared" si="12"/>
        <v>0.79754846782098032</v>
      </c>
      <c r="M40" s="27">
        <f t="shared" si="12"/>
        <v>0.79489238443144161</v>
      </c>
      <c r="N40" s="27">
        <f t="shared" si="12"/>
        <v>0.78427763712907439</v>
      </c>
      <c r="O40" s="27">
        <f t="shared" si="12"/>
        <v>0.76887007218962278</v>
      </c>
      <c r="P40" s="27">
        <f t="shared" si="12"/>
        <v>0.74898829393537225</v>
      </c>
      <c r="Q40" s="27">
        <f t="shared" si="12"/>
        <v>0.73330695394505496</v>
      </c>
      <c r="R40" s="27">
        <f t="shared" si="12"/>
        <v>0.71847062359542491</v>
      </c>
      <c r="S40" s="27">
        <f t="shared" si="12"/>
        <v>0.64156157320759799</v>
      </c>
      <c r="T40" s="27">
        <f t="shared" si="12"/>
        <v>0.67223482564222559</v>
      </c>
      <c r="U40" s="27">
        <f t="shared" si="12"/>
        <v>0.68285391153805586</v>
      </c>
      <c r="V40" s="27">
        <f t="shared" si="12"/>
        <v>0.67824241239699168</v>
      </c>
      <c r="W40" s="27">
        <f t="shared" si="12"/>
        <v>0.67449128255528179</v>
      </c>
      <c r="X40" s="27">
        <f t="shared" si="12"/>
        <v>0.67473769040048559</v>
      </c>
      <c r="Y40" s="27">
        <f t="shared" si="12"/>
        <v>0.67869980172505096</v>
      </c>
      <c r="Z40" s="27">
        <f t="shared" si="12"/>
        <v>0.68432176576763859</v>
      </c>
      <c r="AA40" s="27">
        <f t="shared" si="12"/>
        <v>0.69205642508232745</v>
      </c>
      <c r="AB40" s="27">
        <f t="shared" si="12"/>
        <v>0.70338618316836132</v>
      </c>
      <c r="AC40" s="27">
        <f t="shared" si="12"/>
        <v>0.71799106143637159</v>
      </c>
      <c r="AD40" s="27">
        <f t="shared" si="12"/>
        <v>0.72817351060844282</v>
      </c>
      <c r="AE40" s="27">
        <f t="shared" si="12"/>
        <v>0.7395587968520555</v>
      </c>
      <c r="AF40" s="27">
        <f t="shared" si="12"/>
        <v>0.75128891020004818</v>
      </c>
      <c r="AG40" s="27">
        <f t="shared" si="12"/>
        <v>0.76362442157000243</v>
      </c>
      <c r="AH40" s="27">
        <f t="shared" si="12"/>
        <v>0.77614469341226622</v>
      </c>
      <c r="AI40" s="27">
        <f t="shared" si="12"/>
        <v>0.78757792641199043</v>
      </c>
      <c r="AJ40" s="27">
        <f t="shared" si="12"/>
        <v>0.79963788887456544</v>
      </c>
      <c r="AK40" s="27">
        <f t="shared" si="12"/>
        <v>0.81115177770881697</v>
      </c>
      <c r="AL40" s="27">
        <f t="shared" si="12"/>
        <v>0.82200866931166305</v>
      </c>
      <c r="AM40" s="27">
        <f t="shared" si="12"/>
        <v>0.83267265599813822</v>
      </c>
      <c r="AN40" s="27">
        <f t="shared" si="12"/>
        <v>0.84621430522926222</v>
      </c>
      <c r="AO40" s="27">
        <f t="shared" si="12"/>
        <v>0.86022056748957776</v>
      </c>
      <c r="AP40" s="27">
        <f t="shared" si="12"/>
        <v>0.87520044602095726</v>
      </c>
      <c r="AQ40" s="27">
        <f t="shared" si="12"/>
        <v>0.89012204277587748</v>
      </c>
      <c r="AR40" s="27">
        <f t="shared" si="12"/>
        <v>0.90500472509596042</v>
      </c>
      <c r="AS40" s="27">
        <f t="shared" si="12"/>
        <v>0.92082658408654217</v>
      </c>
      <c r="AT40" s="27">
        <f t="shared" si="12"/>
        <v>0.93717795190602593</v>
      </c>
      <c r="AU40" s="27">
        <f t="shared" si="12"/>
        <v>0.95377454436426301</v>
      </c>
      <c r="AV40" s="27">
        <f t="shared" si="12"/>
        <v>0.97118115388063697</v>
      </c>
      <c r="AW40" s="27">
        <f t="shared" si="12"/>
        <v>0.98577443066842085</v>
      </c>
      <c r="AY40" s="79"/>
    </row>
    <row r="41" spans="1:51" x14ac:dyDescent="0.25">
      <c r="A41" s="95" t="str">
        <f t="shared" si="0"/>
        <v>FS Cattle MMN2O</v>
      </c>
      <c r="B41" s="95" t="s">
        <v>1003</v>
      </c>
      <c r="C41" s="95" t="s">
        <v>1231</v>
      </c>
      <c r="D41" t="s">
        <v>15</v>
      </c>
      <c r="E41" t="s">
        <v>657</v>
      </c>
      <c r="F41" t="s">
        <v>67</v>
      </c>
      <c r="G41" t="s">
        <v>135</v>
      </c>
      <c r="H41" t="s">
        <v>1226</v>
      </c>
      <c r="I41" t="s">
        <v>139</v>
      </c>
      <c r="J41" t="s">
        <v>287</v>
      </c>
      <c r="K41" s="27">
        <f t="shared" si="7"/>
        <v>0.97926119892671459</v>
      </c>
      <c r="L41" s="27">
        <f t="shared" si="12"/>
        <v>1.0122801448609138</v>
      </c>
      <c r="M41" s="27">
        <f t="shared" si="12"/>
        <v>1.0514701788925804</v>
      </c>
      <c r="N41" s="27">
        <f t="shared" si="12"/>
        <v>1.0806972456941148</v>
      </c>
      <c r="O41" s="27">
        <f t="shared" si="12"/>
        <v>1.103236794343371</v>
      </c>
      <c r="P41" s="27">
        <f t="shared" si="12"/>
        <v>1.1187666946803865</v>
      </c>
      <c r="Q41" s="27">
        <f t="shared" si="12"/>
        <v>1.1399714801203362</v>
      </c>
      <c r="R41" s="27">
        <f t="shared" si="12"/>
        <v>1.1622002864669057</v>
      </c>
      <c r="S41" s="27">
        <f t="shared" si="12"/>
        <v>1.0797349387647497</v>
      </c>
      <c r="T41" s="27">
        <f t="shared" si="12"/>
        <v>1.1586148391754056</v>
      </c>
      <c r="U41" s="27">
        <f t="shared" si="12"/>
        <v>1.2048828534043301</v>
      </c>
      <c r="V41" s="27">
        <f t="shared" si="12"/>
        <v>1.2248214292243891</v>
      </c>
      <c r="W41" s="27">
        <f t="shared" si="12"/>
        <v>1.2462862134810584</v>
      </c>
      <c r="X41" s="27">
        <f t="shared" si="12"/>
        <v>1.2753304123156213</v>
      </c>
      <c r="Y41" s="27">
        <f t="shared" si="12"/>
        <v>1.3119382309958816</v>
      </c>
      <c r="Z41" s="27">
        <f t="shared" si="12"/>
        <v>1.352551168014529</v>
      </c>
      <c r="AA41" s="27">
        <f t="shared" si="12"/>
        <v>1.3983302277222904</v>
      </c>
      <c r="AB41" s="27">
        <f t="shared" si="12"/>
        <v>1.45265003311069</v>
      </c>
      <c r="AC41" s="27">
        <f t="shared" si="12"/>
        <v>1.5153587089508171</v>
      </c>
      <c r="AD41" s="27">
        <f t="shared" si="12"/>
        <v>1.5878154020260862</v>
      </c>
      <c r="AE41" s="27">
        <f t="shared" si="12"/>
        <v>1.6662236213187609</v>
      </c>
      <c r="AF41" s="27">
        <f t="shared" si="12"/>
        <v>1.7490356868363826</v>
      </c>
      <c r="AG41" s="27">
        <f t="shared" si="12"/>
        <v>1.8371605385940195</v>
      </c>
      <c r="AH41" s="27">
        <f t="shared" si="12"/>
        <v>1.9299179853404884</v>
      </c>
      <c r="AI41" s="27">
        <f t="shared" si="12"/>
        <v>2.0243264887955772</v>
      </c>
      <c r="AJ41" s="27">
        <f t="shared" si="12"/>
        <v>2.1249172544227406</v>
      </c>
      <c r="AK41" s="27">
        <f t="shared" si="12"/>
        <v>2.2289075077368197</v>
      </c>
      <c r="AL41" s="27">
        <f t="shared" si="12"/>
        <v>2.3361255764589468</v>
      </c>
      <c r="AM41" s="27">
        <f t="shared" si="12"/>
        <v>2.4480579395389377</v>
      </c>
      <c r="AN41" s="27">
        <f t="shared" si="12"/>
        <v>2.5580662421643461</v>
      </c>
      <c r="AO41" s="27">
        <f t="shared" si="12"/>
        <v>2.6740312374133999</v>
      </c>
      <c r="AP41" s="27">
        <f t="shared" si="12"/>
        <v>2.7979244732629738</v>
      </c>
      <c r="AQ41" s="27">
        <f t="shared" si="12"/>
        <v>2.9268588582276069</v>
      </c>
      <c r="AR41" s="27">
        <f t="shared" si="12"/>
        <v>3.0611473278848456</v>
      </c>
      <c r="AS41" s="27">
        <f t="shared" si="12"/>
        <v>3.2044630996439452</v>
      </c>
      <c r="AT41" s="27">
        <f t="shared" si="12"/>
        <v>3.3559228759421229</v>
      </c>
      <c r="AU41" s="27">
        <f t="shared" si="12"/>
        <v>3.5149748258951519</v>
      </c>
      <c r="AV41" s="27">
        <f t="shared" si="12"/>
        <v>3.6841999883853953</v>
      </c>
      <c r="AW41" s="27">
        <f t="shared" si="12"/>
        <v>3.8501065426145096</v>
      </c>
      <c r="AY41" s="79"/>
    </row>
    <row r="42" spans="1:51" x14ac:dyDescent="0.25">
      <c r="A42" s="95" t="str">
        <f t="shared" si="0"/>
        <v>FS Sheep MMN2O</v>
      </c>
      <c r="B42" s="95" t="s">
        <v>1003</v>
      </c>
      <c r="C42" s="95" t="s">
        <v>1327</v>
      </c>
      <c r="D42" t="s">
        <v>15</v>
      </c>
      <c r="E42" t="s">
        <v>657</v>
      </c>
      <c r="F42" t="s">
        <v>18</v>
      </c>
      <c r="G42" t="s">
        <v>122</v>
      </c>
      <c r="H42" t="s">
        <v>1226</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0.11888884787446641</v>
      </c>
      <c r="T42" s="27">
        <f t="shared" si="12"/>
        <v>0.11897442160845599</v>
      </c>
      <c r="U42" s="27">
        <f t="shared" si="12"/>
        <v>0.11894433570617077</v>
      </c>
      <c r="V42" s="27">
        <f t="shared" si="12"/>
        <v>0.11894216976117228</v>
      </c>
      <c r="W42" s="27">
        <f t="shared" si="12"/>
        <v>0.11906833284654554</v>
      </c>
      <c r="X42" s="27">
        <f t="shared" si="12"/>
        <v>0.1192748103604965</v>
      </c>
      <c r="Y42" s="27">
        <f t="shared" si="12"/>
        <v>0.11947292782589553</v>
      </c>
      <c r="Z42" s="27">
        <f t="shared" si="12"/>
        <v>0.11966332441080059</v>
      </c>
      <c r="AA42" s="27">
        <f t="shared" si="12"/>
        <v>0.11984574027292559</v>
      </c>
      <c r="AB42" s="27">
        <f t="shared" si="12"/>
        <v>0.12002397691702794</v>
      </c>
      <c r="AC42" s="27">
        <f t="shared" si="12"/>
        <v>0.12020063791291828</v>
      </c>
      <c r="AD42" s="27">
        <f t="shared" si="12"/>
        <v>0.12037395069486655</v>
      </c>
      <c r="AE42" s="27">
        <f t="shared" si="12"/>
        <v>0.12054640721794915</v>
      </c>
      <c r="AF42" s="27">
        <f t="shared" si="12"/>
        <v>0.12071746421078627</v>
      </c>
      <c r="AG42" s="27">
        <f t="shared" si="12"/>
        <v>0.12088575105723816</v>
      </c>
      <c r="AH42" s="27">
        <f t="shared" si="12"/>
        <v>0.12105200867781399</v>
      </c>
      <c r="AI42" s="27">
        <f t="shared" si="12"/>
        <v>0.12121641449313381</v>
      </c>
      <c r="AJ42" s="27">
        <f t="shared" si="12"/>
        <v>0.12137952665146406</v>
      </c>
      <c r="AK42" s="27">
        <f t="shared" si="12"/>
        <v>0.12153635424536353</v>
      </c>
      <c r="AL42" s="27">
        <f t="shared" si="12"/>
        <v>0.12168671378968904</v>
      </c>
      <c r="AM42" s="27">
        <f t="shared" si="12"/>
        <v>0.12183201055728769</v>
      </c>
      <c r="AN42" s="27">
        <f t="shared" si="12"/>
        <v>0.12197112574763715</v>
      </c>
      <c r="AO42" s="27">
        <f t="shared" si="12"/>
        <v>0.12210431172658152</v>
      </c>
      <c r="AP42" s="27">
        <f t="shared" si="12"/>
        <v>0.12223096862203452</v>
      </c>
      <c r="AQ42" s="27">
        <f t="shared" si="12"/>
        <v>0.12234928396390207</v>
      </c>
      <c r="AR42" s="27">
        <f t="shared" si="12"/>
        <v>0.12245757817594662</v>
      </c>
      <c r="AS42" s="27">
        <f t="shared" si="12"/>
        <v>0.12255574185064526</v>
      </c>
      <c r="AT42" s="27">
        <f t="shared" si="12"/>
        <v>0.12264302379658787</v>
      </c>
      <c r="AU42" s="27">
        <f t="shared" si="12"/>
        <v>0.12271938191890155</v>
      </c>
      <c r="AV42" s="27">
        <f t="shared" si="12"/>
        <v>0.12278627747914957</v>
      </c>
      <c r="AW42" s="27">
        <f t="shared" si="12"/>
        <v>0.12283502162881774</v>
      </c>
      <c r="AY42" s="79"/>
    </row>
    <row r="43" spans="1:51" x14ac:dyDescent="0.25">
      <c r="A43" s="95" t="str">
        <f t="shared" si="0"/>
        <v>FS Sheep MMN2O</v>
      </c>
      <c r="B43" s="95" t="s">
        <v>1003</v>
      </c>
      <c r="C43" s="95" t="s">
        <v>1327</v>
      </c>
      <c r="D43" t="s">
        <v>15</v>
      </c>
      <c r="E43" t="s">
        <v>657</v>
      </c>
      <c r="F43" t="s">
        <v>18</v>
      </c>
      <c r="G43" t="s">
        <v>123</v>
      </c>
      <c r="H43" t="s">
        <v>1226</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6.3574794121898134E-2</v>
      </c>
      <c r="T43" s="27">
        <f t="shared" si="12"/>
        <v>6.362055394393272E-2</v>
      </c>
      <c r="U43" s="27">
        <f t="shared" si="12"/>
        <v>6.3604465765117371E-2</v>
      </c>
      <c r="V43" s="27">
        <f t="shared" si="12"/>
        <v>6.3603307544562435E-2</v>
      </c>
      <c r="W43" s="27">
        <f t="shared" si="12"/>
        <v>6.3670772174944407E-2</v>
      </c>
      <c r="X43" s="27">
        <f t="shared" si="12"/>
        <v>6.3781184258793491E-2</v>
      </c>
      <c r="Y43" s="27">
        <f t="shared" si="12"/>
        <v>6.3887125878212575E-2</v>
      </c>
      <c r="Z43" s="27">
        <f t="shared" si="12"/>
        <v>6.3988938822851713E-2</v>
      </c>
      <c r="AA43" s="27">
        <f t="shared" si="12"/>
        <v>6.4086484144271705E-2</v>
      </c>
      <c r="AB43" s="27">
        <f t="shared" si="12"/>
        <v>6.4181794664613767E-2</v>
      </c>
      <c r="AC43" s="27">
        <f t="shared" si="12"/>
        <v>6.4276262620556607E-2</v>
      </c>
      <c r="AD43" s="27">
        <f t="shared" si="12"/>
        <v>6.4368940147743067E-2</v>
      </c>
      <c r="AE43" s="27">
        <f t="shared" si="12"/>
        <v>6.4461159797827752E-2</v>
      </c>
      <c r="AF43" s="27">
        <f t="shared" si="12"/>
        <v>6.4552631061088828E-2</v>
      </c>
      <c r="AG43" s="27">
        <f t="shared" si="12"/>
        <v>6.4642621012273305E-2</v>
      </c>
      <c r="AH43" s="27">
        <f t="shared" si="12"/>
        <v>6.4731525852283742E-2</v>
      </c>
      <c r="AI43" s="27">
        <f t="shared" si="12"/>
        <v>6.4819440455278599E-2</v>
      </c>
      <c r="AJ43" s="27">
        <f t="shared" si="12"/>
        <v>6.4906663286267555E-2</v>
      </c>
      <c r="AK43" s="27">
        <f t="shared" si="12"/>
        <v>6.499052550020136E-2</v>
      </c>
      <c r="AL43" s="27">
        <f t="shared" si="12"/>
        <v>6.5070928979969703E-2</v>
      </c>
      <c r="AM43" s="27">
        <f t="shared" si="12"/>
        <v>6.5148625183203274E-2</v>
      </c>
      <c r="AN43" s="27">
        <f t="shared" si="12"/>
        <v>6.5223015840895862E-2</v>
      </c>
      <c r="AO43" s="27">
        <f t="shared" si="12"/>
        <v>6.5294235903523207E-2</v>
      </c>
      <c r="AP43" s="27">
        <f t="shared" si="12"/>
        <v>6.5361964594620001E-2</v>
      </c>
      <c r="AQ43" s="27">
        <f t="shared" si="12"/>
        <v>6.542523271131194E-2</v>
      </c>
      <c r="AR43" s="27">
        <f t="shared" si="12"/>
        <v>6.548314211457737E-2</v>
      </c>
      <c r="AS43" s="27">
        <f t="shared" si="12"/>
        <v>6.5535634299679582E-2</v>
      </c>
      <c r="AT43" s="27">
        <f t="shared" si="12"/>
        <v>6.5582307573439622E-2</v>
      </c>
      <c r="AU43" s="27">
        <f t="shared" si="12"/>
        <v>6.5623139425984384E-2</v>
      </c>
      <c r="AV43" s="27">
        <f t="shared" si="12"/>
        <v>6.5658911254431448E-2</v>
      </c>
      <c r="AW43" s="27">
        <f t="shared" si="12"/>
        <v>6.5684976771384518E-2</v>
      </c>
      <c r="AY43" s="79"/>
    </row>
    <row r="44" spans="1:51" x14ac:dyDescent="0.25">
      <c r="A44" s="95" t="str">
        <f t="shared" si="0"/>
        <v>FS Goats MMN2O</v>
      </c>
      <c r="B44" s="95" t="s">
        <v>1003</v>
      </c>
      <c r="C44" s="95" t="s">
        <v>1328</v>
      </c>
      <c r="D44" t="s">
        <v>15</v>
      </c>
      <c r="E44" t="s">
        <v>657</v>
      </c>
      <c r="F44" t="s">
        <v>19</v>
      </c>
      <c r="G44" t="s">
        <v>122</v>
      </c>
      <c r="H44" t="s">
        <v>1226</v>
      </c>
      <c r="I44" t="s">
        <v>139</v>
      </c>
      <c r="J44" t="s">
        <v>287</v>
      </c>
      <c r="K44" s="27">
        <f t="shared" si="7"/>
        <v>1.4486129996083083E-2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1.4890706011157254E-2</v>
      </c>
      <c r="R44" s="27">
        <f t="shared" si="12"/>
        <v>1.4988675221399694E-2</v>
      </c>
      <c r="S44" s="27">
        <f t="shared" si="12"/>
        <v>1.4951923212530764E-2</v>
      </c>
      <c r="T44" s="27">
        <f t="shared" si="12"/>
        <v>1.4977625582861876E-2</v>
      </c>
      <c r="U44" s="27">
        <f t="shared" si="12"/>
        <v>1.4980119703065675E-2</v>
      </c>
      <c r="V44" s="27">
        <f t="shared" si="12"/>
        <v>1.4986976942692673E-2</v>
      </c>
      <c r="W44" s="27">
        <f t="shared" si="12"/>
        <v>1.5017294663736542E-2</v>
      </c>
      <c r="X44" s="27">
        <f t="shared" si="12"/>
        <v>1.5061890336193319E-2</v>
      </c>
      <c r="Y44" s="27">
        <f t="shared" si="12"/>
        <v>1.5103986297595969E-2</v>
      </c>
      <c r="Z44" s="27">
        <f t="shared" si="12"/>
        <v>1.5143780477124499E-2</v>
      </c>
      <c r="AA44" s="27">
        <f t="shared" si="12"/>
        <v>1.518129324368281E-2</v>
      </c>
      <c r="AB44" s="27">
        <f t="shared" si="12"/>
        <v>1.5217300806744069E-2</v>
      </c>
      <c r="AC44" s="27">
        <f t="shared" si="12"/>
        <v>1.5252343422195683E-2</v>
      </c>
      <c r="AD44" s="27">
        <f t="shared" si="12"/>
        <v>1.528613499352576E-2</v>
      </c>
      <c r="AE44" s="27">
        <f t="shared" si="12"/>
        <v>1.5319183069795761E-2</v>
      </c>
      <c r="AF44" s="27">
        <f t="shared" si="12"/>
        <v>1.5351423055728343E-2</v>
      </c>
      <c r="AG44" s="27">
        <f t="shared" si="12"/>
        <v>1.5382634347686872E-2</v>
      </c>
      <c r="AH44" s="27">
        <f t="shared" si="12"/>
        <v>1.5412986814805201E-2</v>
      </c>
      <c r="AI44" s="27">
        <f t="shared" si="12"/>
        <v>1.5442542460580333E-2</v>
      </c>
      <c r="AJ44" s="27">
        <f t="shared" si="12"/>
        <v>1.5471431054826285E-2</v>
      </c>
      <c r="AK44" s="27">
        <f t="shared" si="12"/>
        <v>1.5498756892033489E-2</v>
      </c>
      <c r="AL44" s="27">
        <f t="shared" si="12"/>
        <v>1.5524513513074619E-2</v>
      </c>
      <c r="AM44" s="27">
        <f t="shared" si="12"/>
        <v>1.5548984646319333E-2</v>
      </c>
      <c r="AN44" s="27">
        <f t="shared" si="12"/>
        <v>1.5571987875403363E-2</v>
      </c>
      <c r="AO44" s="27">
        <f t="shared" si="12"/>
        <v>1.5593591673600768E-2</v>
      </c>
      <c r="AP44" s="27">
        <f t="shared" si="12"/>
        <v>1.5613707165200276E-2</v>
      </c>
      <c r="AQ44" s="27">
        <f t="shared" si="12"/>
        <v>1.5632023858239551E-2</v>
      </c>
      <c r="AR44" s="27">
        <f t="shared" si="12"/>
        <v>1.5648256533695205E-2</v>
      </c>
      <c r="AS44" s="27">
        <f t="shared" si="12"/>
        <v>1.5662406299088667E-2</v>
      </c>
      <c r="AT44" s="27">
        <f t="shared" si="12"/>
        <v>1.5674356891571192E-2</v>
      </c>
      <c r="AU44" s="27">
        <f t="shared" si="12"/>
        <v>1.568412043163633E-2</v>
      </c>
      <c r="AV44" s="27">
        <f t="shared" ref="L44:AW51" si="13">AV1419</f>
        <v>1.5691980107154113E-2</v>
      </c>
      <c r="AW44" s="27">
        <f t="shared" si="13"/>
        <v>1.5696383554298719E-2</v>
      </c>
      <c r="AY44" s="79"/>
    </row>
    <row r="45" spans="1:51" x14ac:dyDescent="0.25">
      <c r="A45" s="95" t="str">
        <f t="shared" si="0"/>
        <v>FS Goats MMN2O</v>
      </c>
      <c r="B45" s="95" t="s">
        <v>1003</v>
      </c>
      <c r="C45" s="95" t="s">
        <v>1328</v>
      </c>
      <c r="D45" t="s">
        <v>15</v>
      </c>
      <c r="E45" t="s">
        <v>657</v>
      </c>
      <c r="F45" t="s">
        <v>19</v>
      </c>
      <c r="G45" t="s">
        <v>123</v>
      </c>
      <c r="H45" t="s">
        <v>1226</v>
      </c>
      <c r="I45" t="s">
        <v>139</v>
      </c>
      <c r="J45" t="s">
        <v>287</v>
      </c>
      <c r="K45" s="27">
        <f t="shared" si="7"/>
        <v>0.11484439540301131</v>
      </c>
      <c r="L45" s="27">
        <f t="shared" si="13"/>
        <v>0.11514293539628438</v>
      </c>
      <c r="M45" s="27">
        <f t="shared" si="13"/>
        <v>0.1155547607669731</v>
      </c>
      <c r="N45" s="27">
        <f t="shared" si="13"/>
        <v>0.11605647283191661</v>
      </c>
      <c r="O45" s="27">
        <f t="shared" si="13"/>
        <v>0.11664735601685972</v>
      </c>
      <c r="P45" s="27">
        <f t="shared" si="13"/>
        <v>0.11732381389682567</v>
      </c>
      <c r="Q45" s="27">
        <f t="shared" si="13"/>
        <v>0.11805182815822723</v>
      </c>
      <c r="R45" s="27">
        <f t="shared" si="13"/>
        <v>0.11882851694408277</v>
      </c>
      <c r="S45" s="27">
        <f t="shared" si="13"/>
        <v>0.11853715118666242</v>
      </c>
      <c r="T45" s="27">
        <f t="shared" si="13"/>
        <v>0.11874091666314918</v>
      </c>
      <c r="U45" s="27">
        <f t="shared" si="13"/>
        <v>0.11876068976520925</v>
      </c>
      <c r="V45" s="27">
        <f t="shared" si="13"/>
        <v>0.11881505318313448</v>
      </c>
      <c r="W45" s="27">
        <f t="shared" si="13"/>
        <v>0.11905540863653861</v>
      </c>
      <c r="X45" s="27">
        <f t="shared" si="13"/>
        <v>0.11940895806915272</v>
      </c>
      <c r="Y45" s="27">
        <f t="shared" si="13"/>
        <v>0.11974269007607956</v>
      </c>
      <c r="Z45" s="27">
        <f t="shared" si="13"/>
        <v>0.12005817381740651</v>
      </c>
      <c r="AA45" s="27">
        <f t="shared" si="13"/>
        <v>0.12035557077549322</v>
      </c>
      <c r="AB45" s="27">
        <f t="shared" si="13"/>
        <v>0.12064103465099509</v>
      </c>
      <c r="AC45" s="27">
        <f t="shared" si="13"/>
        <v>0.12091884853130468</v>
      </c>
      <c r="AD45" s="27">
        <f t="shared" si="13"/>
        <v>0.12118674427572847</v>
      </c>
      <c r="AE45" s="27">
        <f t="shared" si="13"/>
        <v>0.12144874567565288</v>
      </c>
      <c r="AF45" s="27">
        <f t="shared" si="13"/>
        <v>0.1217043406270464</v>
      </c>
      <c r="AG45" s="27">
        <f t="shared" si="13"/>
        <v>0.12195178020930149</v>
      </c>
      <c r="AH45" s="27">
        <f t="shared" si="13"/>
        <v>0.12219241112564265</v>
      </c>
      <c r="AI45" s="27">
        <f t="shared" si="13"/>
        <v>0.1224267249327608</v>
      </c>
      <c r="AJ45" s="27">
        <f t="shared" si="13"/>
        <v>0.1226557504310213</v>
      </c>
      <c r="AK45" s="27">
        <f t="shared" si="13"/>
        <v>0.12287238656874688</v>
      </c>
      <c r="AL45" s="27">
        <f t="shared" si="13"/>
        <v>0.12307658213870883</v>
      </c>
      <c r="AM45" s="27">
        <f t="shared" si="13"/>
        <v>0.1232705865072376</v>
      </c>
      <c r="AN45" s="27">
        <f t="shared" si="13"/>
        <v>0.12345295349808931</v>
      </c>
      <c r="AO45" s="27">
        <f t="shared" si="13"/>
        <v>0.12362422595961356</v>
      </c>
      <c r="AP45" s="27">
        <f t="shared" si="13"/>
        <v>0.12378369929525287</v>
      </c>
      <c r="AQ45" s="27">
        <f t="shared" si="13"/>
        <v>0.12392891195994982</v>
      </c>
      <c r="AR45" s="27">
        <f t="shared" si="13"/>
        <v>0.12405760276964035</v>
      </c>
      <c r="AS45" s="27">
        <f t="shared" si="13"/>
        <v>0.12416978050462869</v>
      </c>
      <c r="AT45" s="27">
        <f t="shared" si="13"/>
        <v>0.12426452344623794</v>
      </c>
      <c r="AU45" s="27">
        <f t="shared" si="13"/>
        <v>0.12434192768436619</v>
      </c>
      <c r="AV45" s="27">
        <f t="shared" si="13"/>
        <v>0.1244042383003242</v>
      </c>
      <c r="AW45" s="27">
        <f t="shared" si="13"/>
        <v>0.12443914832979021</v>
      </c>
      <c r="AY45" s="79"/>
    </row>
    <row r="46" spans="1:51" x14ac:dyDescent="0.25">
      <c r="A46" s="95" t="str">
        <f t="shared" si="0"/>
        <v>FS Horses MMN2O</v>
      </c>
      <c r="B46" s="95" t="s">
        <v>1003</v>
      </c>
      <c r="C46" s="95" t="s">
        <v>1329</v>
      </c>
      <c r="D46" t="s">
        <v>15</v>
      </c>
      <c r="E46" t="s">
        <v>657</v>
      </c>
      <c r="F46" t="s">
        <v>20</v>
      </c>
      <c r="G46" t="s">
        <v>3</v>
      </c>
      <c r="H46" t="s">
        <v>1226</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5">
      <c r="A47" s="95" t="str">
        <f t="shared" si="0"/>
        <v>FS Mules MMN2O</v>
      </c>
      <c r="B47" s="95" t="s">
        <v>1003</v>
      </c>
      <c r="C47" s="95" t="s">
        <v>1330</v>
      </c>
      <c r="D47" t="s">
        <v>15</v>
      </c>
      <c r="E47" t="s">
        <v>657</v>
      </c>
      <c r="F47" t="s">
        <v>140</v>
      </c>
      <c r="G47" t="s">
        <v>124</v>
      </c>
      <c r="H47" t="s">
        <v>1226</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5">
      <c r="A48" s="95" t="str">
        <f t="shared" si="0"/>
        <v>FS Swine MMN2O</v>
      </c>
      <c r="B48" s="95" t="s">
        <v>1003</v>
      </c>
      <c r="C48" s="95" t="s">
        <v>1232</v>
      </c>
      <c r="D48" t="s">
        <v>15</v>
      </c>
      <c r="E48" t="s">
        <v>657</v>
      </c>
      <c r="F48" t="s">
        <v>21</v>
      </c>
      <c r="G48" t="s">
        <v>122</v>
      </c>
      <c r="H48" t="s">
        <v>1226</v>
      </c>
      <c r="I48" t="s">
        <v>139</v>
      </c>
      <c r="J48" t="s">
        <v>287</v>
      </c>
      <c r="K48" s="27">
        <f t="shared" si="7"/>
        <v>9.7466979224281824E-2</v>
      </c>
      <c r="L48" s="27">
        <f t="shared" si="13"/>
        <v>9.6937181363551519E-2</v>
      </c>
      <c r="M48" s="27">
        <f t="shared" si="13"/>
        <v>9.6980665528366566E-2</v>
      </c>
      <c r="N48" s="27">
        <f t="shared" si="13"/>
        <v>9.6090308702663552E-2</v>
      </c>
      <c r="O48" s="27">
        <f t="shared" si="13"/>
        <v>9.4636150647850456E-2</v>
      </c>
      <c r="P48" s="27">
        <f t="shared" si="13"/>
        <v>9.2641437622218339E-2</v>
      </c>
      <c r="Q48" s="27">
        <f t="shared" si="13"/>
        <v>9.1193054757597189E-2</v>
      </c>
      <c r="R48" s="27">
        <f t="shared" si="13"/>
        <v>8.9872834352323586E-2</v>
      </c>
      <c r="S48" s="27">
        <f t="shared" si="13"/>
        <v>8.0734544225409766E-2</v>
      </c>
      <c r="T48" s="27">
        <f t="shared" si="13"/>
        <v>8.4382841213531623E-2</v>
      </c>
      <c r="U48" s="27">
        <f t="shared" si="13"/>
        <v>8.5485831085546846E-2</v>
      </c>
      <c r="V48" s="27">
        <f t="shared" si="13"/>
        <v>8.4642168924532232E-2</v>
      </c>
      <c r="W48" s="27">
        <f t="shared" si="13"/>
        <v>8.3900172539890919E-2</v>
      </c>
      <c r="X48" s="27">
        <f t="shared" si="13"/>
        <v>8.3670858252268526E-2</v>
      </c>
      <c r="Y48" s="27">
        <f t="shared" si="13"/>
        <v>8.3934301237427442E-2</v>
      </c>
      <c r="Z48" s="27">
        <f t="shared" si="13"/>
        <v>8.44249898120146E-2</v>
      </c>
      <c r="AA48" s="27">
        <f t="shared" si="13"/>
        <v>8.5198904999322256E-2</v>
      </c>
      <c r="AB48" s="27">
        <f t="shared" si="13"/>
        <v>8.6442123684456251E-2</v>
      </c>
      <c r="AC48" s="27">
        <f t="shared" si="13"/>
        <v>8.8111240076380506E-2</v>
      </c>
      <c r="AD48" s="27">
        <f t="shared" si="13"/>
        <v>9.001094563198829E-2</v>
      </c>
      <c r="AE48" s="27">
        <f t="shared" si="13"/>
        <v>9.2122381916242821E-2</v>
      </c>
      <c r="AF48" s="27">
        <f t="shared" si="13"/>
        <v>9.433993402703468E-2</v>
      </c>
      <c r="AG48" s="27">
        <f t="shared" si="13"/>
        <v>9.6701686348057328E-2</v>
      </c>
      <c r="AH48" s="27">
        <f t="shared" si="13"/>
        <v>9.9156733920468212E-2</v>
      </c>
      <c r="AI48" s="27">
        <f t="shared" si="13"/>
        <v>0.10153918433243618</v>
      </c>
      <c r="AJ48" s="27">
        <f t="shared" si="13"/>
        <v>0.10407920464758763</v>
      </c>
      <c r="AK48" s="27">
        <f t="shared" si="13"/>
        <v>0.10662429120765052</v>
      </c>
      <c r="AL48" s="27">
        <f t="shared" si="13"/>
        <v>0.10916108152437015</v>
      </c>
      <c r="AM48" s="27">
        <f t="shared" si="13"/>
        <v>0.11175521560682936</v>
      </c>
      <c r="AN48" s="27">
        <f t="shared" si="13"/>
        <v>0.11423893572460501</v>
      </c>
      <c r="AO48" s="27">
        <f t="shared" si="13"/>
        <v>0.11683800387615073</v>
      </c>
      <c r="AP48" s="27">
        <f t="shared" si="13"/>
        <v>0.11962734368800265</v>
      </c>
      <c r="AQ48" s="27">
        <f t="shared" si="13"/>
        <v>0.12246543086827189</v>
      </c>
      <c r="AR48" s="27">
        <f t="shared" si="13"/>
        <v>0.12535748302837027</v>
      </c>
      <c r="AS48" s="27">
        <f t="shared" si="13"/>
        <v>0.12844640721926534</v>
      </c>
      <c r="AT48" s="27">
        <f t="shared" si="13"/>
        <v>0.13167842894497958</v>
      </c>
      <c r="AU48" s="27">
        <f t="shared" si="13"/>
        <v>0.13501670748772379</v>
      </c>
      <c r="AV48" s="27">
        <f t="shared" si="13"/>
        <v>0.13854783957825018</v>
      </c>
      <c r="AW48" s="27">
        <f t="shared" si="13"/>
        <v>0.14174415331850926</v>
      </c>
      <c r="AY48" s="79"/>
    </row>
    <row r="49" spans="1:51" x14ac:dyDescent="0.25">
      <c r="A49" s="95" t="str">
        <f t="shared" si="0"/>
        <v>FS Swine MMN2O</v>
      </c>
      <c r="B49" s="95" t="s">
        <v>1003</v>
      </c>
      <c r="C49" s="95" t="s">
        <v>1232</v>
      </c>
      <c r="D49" t="s">
        <v>15</v>
      </c>
      <c r="E49" t="s">
        <v>657</v>
      </c>
      <c r="F49" t="s">
        <v>21</v>
      </c>
      <c r="G49" t="s">
        <v>123</v>
      </c>
      <c r="H49" t="s">
        <v>1226</v>
      </c>
      <c r="I49" t="s">
        <v>139</v>
      </c>
      <c r="J49" t="s">
        <v>287</v>
      </c>
      <c r="K49" s="27">
        <f t="shared" si="7"/>
        <v>3.8131055665722169E-2</v>
      </c>
      <c r="L49" s="27">
        <f t="shared" si="13"/>
        <v>3.7923788015899962E-2</v>
      </c>
      <c r="M49" s="27">
        <f t="shared" si="13"/>
        <v>3.794079990159023E-2</v>
      </c>
      <c r="N49" s="27">
        <f t="shared" si="13"/>
        <v>3.7592474284510076E-2</v>
      </c>
      <c r="O49" s="27">
        <f t="shared" si="13"/>
        <v>3.7023578211438556E-2</v>
      </c>
      <c r="P49" s="27">
        <f t="shared" si="13"/>
        <v>3.6243206089281214E-2</v>
      </c>
      <c r="Q49" s="27">
        <f t="shared" si="13"/>
        <v>3.5676569387541837E-2</v>
      </c>
      <c r="R49" s="27">
        <f t="shared" si="13"/>
        <v>3.5160072434777263E-2</v>
      </c>
      <c r="S49" s="27">
        <f t="shared" si="13"/>
        <v>3.1584988316113387E-2</v>
      </c>
      <c r="T49" s="27">
        <f t="shared" si="13"/>
        <v>3.3012275964159274E-2</v>
      </c>
      <c r="U49" s="27">
        <f t="shared" si="13"/>
        <v>3.3443787934092799E-2</v>
      </c>
      <c r="V49" s="27">
        <f t="shared" si="13"/>
        <v>3.3113730215255661E-2</v>
      </c>
      <c r="W49" s="27">
        <f t="shared" si="13"/>
        <v>3.2823446206541117E-2</v>
      </c>
      <c r="X49" s="27">
        <f t="shared" si="13"/>
        <v>3.2733733814345668E-2</v>
      </c>
      <c r="Y49" s="27">
        <f t="shared" si="13"/>
        <v>3.2836798044013883E-2</v>
      </c>
      <c r="Z49" s="27">
        <f t="shared" si="13"/>
        <v>3.3028765349259512E-2</v>
      </c>
      <c r="AA49" s="27">
        <f t="shared" si="13"/>
        <v>3.3331536639830336E-2</v>
      </c>
      <c r="AB49" s="27">
        <f t="shared" si="13"/>
        <v>3.3817908960638868E-2</v>
      </c>
      <c r="AC49" s="27">
        <f t="shared" si="13"/>
        <v>3.4470901087403957E-2</v>
      </c>
      <c r="AD49" s="27">
        <f t="shared" si="13"/>
        <v>3.5214104363691767E-2</v>
      </c>
      <c r="AE49" s="27">
        <f t="shared" si="13"/>
        <v>3.6040140987893189E-2</v>
      </c>
      <c r="AF49" s="27">
        <f t="shared" si="13"/>
        <v>3.6907692271940552E-2</v>
      </c>
      <c r="AG49" s="27">
        <f t="shared" si="13"/>
        <v>3.7831657597821179E-2</v>
      </c>
      <c r="AH49" s="27">
        <f t="shared" si="13"/>
        <v>3.879212191497397E-2</v>
      </c>
      <c r="AI49" s="27">
        <f t="shared" si="13"/>
        <v>3.9724184753102243E-2</v>
      </c>
      <c r="AJ49" s="27">
        <f t="shared" si="13"/>
        <v>4.0717892127640175E-2</v>
      </c>
      <c r="AK49" s="27">
        <f t="shared" si="13"/>
        <v>4.1713581519762656E-2</v>
      </c>
      <c r="AL49" s="27">
        <f t="shared" si="13"/>
        <v>4.270602525351698E-2</v>
      </c>
      <c r="AM49" s="27">
        <f t="shared" si="13"/>
        <v>4.3720903029455652E-2</v>
      </c>
      <c r="AN49" s="27">
        <f t="shared" si="13"/>
        <v>4.4692584626882061E-2</v>
      </c>
      <c r="AO49" s="27">
        <f t="shared" si="13"/>
        <v>4.5709392710546422E-2</v>
      </c>
      <c r="AP49" s="27">
        <f t="shared" si="13"/>
        <v>4.6800638920112353E-2</v>
      </c>
      <c r="AQ49" s="27">
        <f t="shared" si="13"/>
        <v>4.791095608718076E-2</v>
      </c>
      <c r="AR49" s="27">
        <f t="shared" si="13"/>
        <v>4.9042385446975784E-2</v>
      </c>
      <c r="AS49" s="27">
        <f t="shared" si="13"/>
        <v>5.0250835131244558E-2</v>
      </c>
      <c r="AT49" s="27">
        <f t="shared" si="13"/>
        <v>5.1515267468399954E-2</v>
      </c>
      <c r="AU49" s="27">
        <f t="shared" si="13"/>
        <v>5.2821269623736601E-2</v>
      </c>
      <c r="AV49" s="27">
        <f t="shared" si="13"/>
        <v>5.4202719991630371E-2</v>
      </c>
      <c r="AW49" s="27">
        <f t="shared" si="13"/>
        <v>5.5453182641903707E-2</v>
      </c>
      <c r="AY49" s="79"/>
    </row>
    <row r="50" spans="1:51" x14ac:dyDescent="0.25">
      <c r="A50" s="95" t="str">
        <f t="shared" si="0"/>
        <v>FS Poultry MMN2O</v>
      </c>
      <c r="B50" s="95" t="s">
        <v>1003</v>
      </c>
      <c r="C50" s="95" t="s">
        <v>1233</v>
      </c>
      <c r="D50" t="s">
        <v>15</v>
      </c>
      <c r="E50" t="s">
        <v>657</v>
      </c>
      <c r="F50" t="s">
        <v>28</v>
      </c>
      <c r="G50" t="s">
        <v>131</v>
      </c>
      <c r="H50" t="s">
        <v>1226</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0.36607496135357975</v>
      </c>
      <c r="S50" s="27">
        <f t="shared" si="13"/>
        <v>0.35135538223408885</v>
      </c>
      <c r="T50" s="27">
        <f t="shared" si="13"/>
        <v>0.3660250744881503</v>
      </c>
      <c r="U50" s="27">
        <f t="shared" si="13"/>
        <v>0.3747433751291977</v>
      </c>
      <c r="V50" s="27">
        <f t="shared" si="13"/>
        <v>0.37890472124533414</v>
      </c>
      <c r="W50" s="27">
        <f t="shared" si="13"/>
        <v>0.38351980018418114</v>
      </c>
      <c r="X50" s="27">
        <f t="shared" si="13"/>
        <v>0.38953835570243145</v>
      </c>
      <c r="Y50" s="27">
        <f t="shared" si="13"/>
        <v>0.39678314869255904</v>
      </c>
      <c r="Z50" s="27">
        <f t="shared" si="13"/>
        <v>0.40464075152916346</v>
      </c>
      <c r="AA50" s="27">
        <f t="shared" si="13"/>
        <v>0.41330404639575669</v>
      </c>
      <c r="AB50" s="27">
        <f t="shared" si="13"/>
        <v>0.42334665156208889</v>
      </c>
      <c r="AC50" s="27">
        <f t="shared" si="13"/>
        <v>0.43473806986049379</v>
      </c>
      <c r="AD50" s="27">
        <f t="shared" si="13"/>
        <v>0.44699375378888861</v>
      </c>
      <c r="AE50" s="27">
        <f t="shared" si="13"/>
        <v>0.46011178168093952</v>
      </c>
      <c r="AF50" s="27">
        <f t="shared" si="13"/>
        <v>0.47382089637959635</v>
      </c>
      <c r="AG50" s="27">
        <f t="shared" si="13"/>
        <v>0.48826027881230222</v>
      </c>
      <c r="AH50" s="27">
        <f t="shared" si="13"/>
        <v>0.50330862860005154</v>
      </c>
      <c r="AI50" s="27">
        <f t="shared" si="13"/>
        <v>0.5184689754858961</v>
      </c>
      <c r="AJ50" s="27">
        <f t="shared" si="13"/>
        <v>0.53447970815576928</v>
      </c>
      <c r="AK50" s="27">
        <f t="shared" si="13"/>
        <v>0.55086704408448872</v>
      </c>
      <c r="AL50" s="27">
        <f t="shared" si="13"/>
        <v>0.56759733652439393</v>
      </c>
      <c r="AM50" s="27">
        <f t="shared" si="13"/>
        <v>0.58490701814028823</v>
      </c>
      <c r="AN50" s="27">
        <f t="shared" si="13"/>
        <v>0.60223366750494911</v>
      </c>
      <c r="AO50" s="27">
        <f t="shared" si="13"/>
        <v>0.62036595204994383</v>
      </c>
      <c r="AP50" s="27">
        <f t="shared" si="13"/>
        <v>0.63960685850737242</v>
      </c>
      <c r="AQ50" s="27">
        <f t="shared" si="13"/>
        <v>0.65948374000710175</v>
      </c>
      <c r="AR50" s="27">
        <f t="shared" si="13"/>
        <v>0.68003541307118265</v>
      </c>
      <c r="AS50" s="27">
        <f t="shared" si="13"/>
        <v>0.70183096342172768</v>
      </c>
      <c r="AT50" s="27">
        <f t="shared" si="13"/>
        <v>0.72471687693803755</v>
      </c>
      <c r="AU50" s="27">
        <f t="shared" si="13"/>
        <v>0.74859496074669962</v>
      </c>
      <c r="AV50" s="27">
        <f t="shared" si="13"/>
        <v>0.77385822122722236</v>
      </c>
      <c r="AW50" s="27">
        <f t="shared" si="13"/>
        <v>0.79838507129603287</v>
      </c>
      <c r="AY50" s="79"/>
    </row>
    <row r="51" spans="1:51" x14ac:dyDescent="0.25">
      <c r="A51" s="95" t="str">
        <f t="shared" si="0"/>
        <v>FS Poultry MMN2O</v>
      </c>
      <c r="B51" s="95" t="s">
        <v>1003</v>
      </c>
      <c r="C51" s="95" t="s">
        <v>1233</v>
      </c>
      <c r="D51" t="s">
        <v>15</v>
      </c>
      <c r="E51" t="s">
        <v>657</v>
      </c>
      <c r="F51" t="s">
        <v>28</v>
      </c>
      <c r="G51" t="s">
        <v>132</v>
      </c>
      <c r="H51" t="s">
        <v>1226</v>
      </c>
      <c r="I51" t="s">
        <v>139</v>
      </c>
      <c r="J51" t="s">
        <v>287</v>
      </c>
      <c r="K51" s="27">
        <f t="shared" si="7"/>
        <v>1.7017151675634961</v>
      </c>
      <c r="L51" s="27">
        <f t="shared" si="13"/>
        <v>1.7241237147327637</v>
      </c>
      <c r="M51" s="27">
        <f t="shared" si="13"/>
        <v>1.7601182693498105</v>
      </c>
      <c r="N51" s="27">
        <f t="shared" si="13"/>
        <v>1.7704533576020511</v>
      </c>
      <c r="O51" s="27">
        <f t="shared" si="13"/>
        <v>1.7641159598844747</v>
      </c>
      <c r="P51" s="27">
        <f t="shared" si="13"/>
        <v>1.7411735022142167</v>
      </c>
      <c r="Q51" s="27">
        <f t="shared" si="13"/>
        <v>1.7315152516158574</v>
      </c>
      <c r="R51" s="27">
        <f t="shared" si="13"/>
        <v>1.7240481490859689</v>
      </c>
      <c r="S51" s="27">
        <f t="shared" si="13"/>
        <v>1.4999683948751941</v>
      </c>
      <c r="T51" s="27">
        <f t="shared" si="13"/>
        <v>1.635678170936574</v>
      </c>
      <c r="U51" s="27">
        <f t="shared" si="13"/>
        <v>1.7009774454367668</v>
      </c>
      <c r="V51" s="27">
        <f t="shared" si="13"/>
        <v>1.7091479327288939</v>
      </c>
      <c r="W51" s="27">
        <f t="shared" si="13"/>
        <v>1.7185668307415591</v>
      </c>
      <c r="X51" s="27">
        <f t="shared" si="13"/>
        <v>1.7424532471009451</v>
      </c>
      <c r="Y51" s="27">
        <f t="shared" si="13"/>
        <v>1.7817834224196265</v>
      </c>
      <c r="Z51" s="27">
        <f t="shared" si="13"/>
        <v>1.8288406604826053</v>
      </c>
      <c r="AA51" s="27">
        <f t="shared" si="13"/>
        <v>1.885701932517597</v>
      </c>
      <c r="AB51" s="27">
        <f t="shared" si="13"/>
        <v>1.9586802917289898</v>
      </c>
      <c r="AC51" s="27">
        <f t="shared" si="13"/>
        <v>2.0469431813370456</v>
      </c>
      <c r="AD51" s="27">
        <f t="shared" si="13"/>
        <v>2.1446346617917671</v>
      </c>
      <c r="AE51" s="27">
        <f t="shared" si="13"/>
        <v>2.2514306358992373</v>
      </c>
      <c r="AF51" s="27">
        <f t="shared" si="13"/>
        <v>2.364080403374996</v>
      </c>
      <c r="AG51" s="27">
        <f t="shared" si="13"/>
        <v>2.4840914132913525</v>
      </c>
      <c r="AH51" s="27">
        <f t="shared" si="13"/>
        <v>2.609932995576361</v>
      </c>
      <c r="AI51" s="27">
        <f t="shared" si="13"/>
        <v>2.7359571600200745</v>
      </c>
      <c r="AJ51" s="27">
        <f t="shared" si="13"/>
        <v>2.870315303671148</v>
      </c>
      <c r="AK51" s="27">
        <f t="shared" ref="L51:AW53" si="14">AK1426</f>
        <v>3.0078431709030542</v>
      </c>
      <c r="AL51" s="27">
        <f t="shared" si="14"/>
        <v>3.1481328800356168</v>
      </c>
      <c r="AM51" s="27">
        <f t="shared" si="14"/>
        <v>3.293658685243031</v>
      </c>
      <c r="AN51" s="27">
        <f t="shared" si="14"/>
        <v>3.4383107407406079</v>
      </c>
      <c r="AO51" s="27">
        <f t="shared" si="14"/>
        <v>3.5905693529651876</v>
      </c>
      <c r="AP51" s="27">
        <f t="shared" si="14"/>
        <v>3.7535692593915186</v>
      </c>
      <c r="AQ51" s="27">
        <f t="shared" si="14"/>
        <v>3.922195814332385</v>
      </c>
      <c r="AR51" s="27">
        <f t="shared" si="14"/>
        <v>4.0968427833898948</v>
      </c>
      <c r="AS51" s="27">
        <f t="shared" si="14"/>
        <v>4.2833995063649954</v>
      </c>
      <c r="AT51" s="27">
        <f t="shared" si="14"/>
        <v>4.4801147383664359</v>
      </c>
      <c r="AU51" s="27">
        <f t="shared" si="14"/>
        <v>4.6858252173265607</v>
      </c>
      <c r="AV51" s="27">
        <f t="shared" si="14"/>
        <v>4.9044073325814885</v>
      </c>
      <c r="AW51" s="27">
        <f t="shared" si="14"/>
        <v>5.1142236717204526</v>
      </c>
      <c r="AY51" s="79"/>
    </row>
    <row r="52" spans="1:51" x14ac:dyDescent="0.25">
      <c r="A52" s="95" t="str">
        <f t="shared" si="0"/>
        <v>FS Poultry MMN2O</v>
      </c>
      <c r="B52" s="95" t="s">
        <v>1003</v>
      </c>
      <c r="C52" s="95" t="s">
        <v>1233</v>
      </c>
      <c r="D52" t="s">
        <v>15</v>
      </c>
      <c r="E52" t="s">
        <v>657</v>
      </c>
      <c r="F52" t="s">
        <v>28</v>
      </c>
      <c r="G52" t="s">
        <v>134</v>
      </c>
      <c r="H52" t="s">
        <v>1226</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1.4711795979713126E-2</v>
      </c>
      <c r="P52" s="27">
        <f t="shared" si="14"/>
        <v>1.4861520550190493E-2</v>
      </c>
      <c r="Q52" s="27">
        <f t="shared" si="14"/>
        <v>1.5053508778373347E-2</v>
      </c>
      <c r="R52" s="27">
        <f t="shared" si="14"/>
        <v>1.5253123389732505E-2</v>
      </c>
      <c r="S52" s="27">
        <f t="shared" si="14"/>
        <v>1.4639807593087044E-2</v>
      </c>
      <c r="T52" s="27">
        <f t="shared" si="14"/>
        <v>1.525104477033961E-2</v>
      </c>
      <c r="U52" s="27">
        <f t="shared" si="14"/>
        <v>1.5614307297049917E-2</v>
      </c>
      <c r="V52" s="27">
        <f t="shared" si="14"/>
        <v>1.5787696718555604E-2</v>
      </c>
      <c r="W52" s="27">
        <f t="shared" si="14"/>
        <v>1.5979991674340898E-2</v>
      </c>
      <c r="X52" s="27">
        <f t="shared" si="14"/>
        <v>1.6230764820934659E-2</v>
      </c>
      <c r="Y52" s="27">
        <f t="shared" si="14"/>
        <v>1.6532631195523312E-2</v>
      </c>
      <c r="Z52" s="27">
        <f t="shared" si="14"/>
        <v>1.6860031313715163E-2</v>
      </c>
      <c r="AA52" s="27">
        <f t="shared" si="14"/>
        <v>1.7221001933156545E-2</v>
      </c>
      <c r="AB52" s="27">
        <f t="shared" si="14"/>
        <v>1.7639443815087055E-2</v>
      </c>
      <c r="AC52" s="27">
        <f t="shared" si="14"/>
        <v>1.8114086244187262E-2</v>
      </c>
      <c r="AD52" s="27">
        <f t="shared" si="14"/>
        <v>1.8624739741203704E-2</v>
      </c>
      <c r="AE52" s="27">
        <f t="shared" si="14"/>
        <v>1.9171324236705832E-2</v>
      </c>
      <c r="AF52" s="27">
        <f t="shared" si="14"/>
        <v>1.9742537349149866E-2</v>
      </c>
      <c r="AG52" s="27">
        <f t="shared" si="14"/>
        <v>2.0344178283845944E-2</v>
      </c>
      <c r="AH52" s="27">
        <f t="shared" si="14"/>
        <v>2.09711928583355E-2</v>
      </c>
      <c r="AI52" s="27">
        <f t="shared" si="14"/>
        <v>2.1602873978579022E-2</v>
      </c>
      <c r="AJ52" s="27">
        <f t="shared" si="14"/>
        <v>2.226998783982374E-2</v>
      </c>
      <c r="AK52" s="27">
        <f t="shared" si="14"/>
        <v>2.2952793503520384E-2</v>
      </c>
      <c r="AL52" s="27">
        <f t="shared" si="14"/>
        <v>2.3649889021849769E-2</v>
      </c>
      <c r="AM52" s="27">
        <f t="shared" si="14"/>
        <v>2.4371125755845373E-2</v>
      </c>
      <c r="AN52" s="27">
        <f t="shared" si="14"/>
        <v>2.5093069479372905E-2</v>
      </c>
      <c r="AO52" s="27">
        <f t="shared" si="14"/>
        <v>2.5848581335414348E-2</v>
      </c>
      <c r="AP52" s="27">
        <f t="shared" si="14"/>
        <v>2.665028577114054E-2</v>
      </c>
      <c r="AQ52" s="27">
        <f t="shared" si="14"/>
        <v>2.7478489166962602E-2</v>
      </c>
      <c r="AR52" s="27">
        <f t="shared" si="14"/>
        <v>2.8334808877965974E-2</v>
      </c>
      <c r="AS52" s="27">
        <f t="shared" si="14"/>
        <v>2.924295680923868E-2</v>
      </c>
      <c r="AT52" s="27">
        <f t="shared" si="14"/>
        <v>3.0196536539084926E-2</v>
      </c>
      <c r="AU52" s="27">
        <f t="shared" si="14"/>
        <v>3.1191456697779184E-2</v>
      </c>
      <c r="AV52" s="27">
        <f t="shared" si="14"/>
        <v>3.2244092551134286E-2</v>
      </c>
      <c r="AW52" s="27">
        <f t="shared" si="14"/>
        <v>3.3266044637334728E-2</v>
      </c>
      <c r="AY52" s="79"/>
    </row>
    <row r="53" spans="1:51" x14ac:dyDescent="0.25">
      <c r="A53" s="95" t="str">
        <f t="shared" si="0"/>
        <v>FS Poultry MMN2O</v>
      </c>
      <c r="B53" s="95" t="s">
        <v>1003</v>
      </c>
      <c r="C53" s="95" t="s">
        <v>1233</v>
      </c>
      <c r="D53" t="s">
        <v>15</v>
      </c>
      <c r="E53" t="s">
        <v>657</v>
      </c>
      <c r="F53" t="s">
        <v>28</v>
      </c>
      <c r="G53" t="s">
        <v>133</v>
      </c>
      <c r="H53" t="s">
        <v>1226</v>
      </c>
      <c r="I53" t="s">
        <v>139</v>
      </c>
      <c r="J53" t="s">
        <v>287</v>
      </c>
      <c r="K53" s="27">
        <f t="shared" si="7"/>
        <v>7.0904798648479067E-2</v>
      </c>
      <c r="L53" s="27">
        <f t="shared" si="14"/>
        <v>7.1838488113865229E-2</v>
      </c>
      <c r="M53" s="27">
        <f t="shared" si="14"/>
        <v>7.3338261222908846E-2</v>
      </c>
      <c r="N53" s="27">
        <f t="shared" si="14"/>
        <v>7.3768889900085524E-2</v>
      </c>
      <c r="O53" s="27">
        <f t="shared" si="14"/>
        <v>7.3504831661853176E-2</v>
      </c>
      <c r="P53" s="27">
        <f t="shared" si="14"/>
        <v>7.2548895925592424E-2</v>
      </c>
      <c r="Q53" s="27">
        <f t="shared" si="14"/>
        <v>7.2146468817327461E-2</v>
      </c>
      <c r="R53" s="27">
        <f t="shared" si="14"/>
        <v>7.1835339545248775E-2</v>
      </c>
      <c r="S53" s="27">
        <f t="shared" si="14"/>
        <v>6.2498683119799801E-2</v>
      </c>
      <c r="T53" s="27">
        <f t="shared" si="14"/>
        <v>6.81532571223573E-2</v>
      </c>
      <c r="U53" s="27">
        <f t="shared" si="14"/>
        <v>7.0874060226532018E-2</v>
      </c>
      <c r="V53" s="27">
        <f t="shared" si="14"/>
        <v>7.1214497197037332E-2</v>
      </c>
      <c r="W53" s="27">
        <f t="shared" si="14"/>
        <v>7.1606951280898362E-2</v>
      </c>
      <c r="X53" s="27">
        <f t="shared" si="14"/>
        <v>7.26022186292061E-2</v>
      </c>
      <c r="Y53" s="27">
        <f t="shared" si="14"/>
        <v>7.4240975934151174E-2</v>
      </c>
      <c r="Z53" s="27">
        <f t="shared" si="14"/>
        <v>7.620169418677529E-2</v>
      </c>
      <c r="AA53" s="27">
        <f t="shared" si="14"/>
        <v>7.8570913854899935E-2</v>
      </c>
      <c r="AB53" s="27">
        <f t="shared" si="14"/>
        <v>8.1611678822041331E-2</v>
      </c>
      <c r="AC53" s="27">
        <f t="shared" si="14"/>
        <v>8.5289299222376991E-2</v>
      </c>
      <c r="AD53" s="27">
        <f t="shared" si="14"/>
        <v>8.9359777574657032E-2</v>
      </c>
      <c r="AE53" s="27">
        <f t="shared" si="14"/>
        <v>9.3809609829134971E-2</v>
      </c>
      <c r="AF53" s="27">
        <f t="shared" si="14"/>
        <v>9.8503350140624904E-2</v>
      </c>
      <c r="AG53" s="27">
        <f t="shared" si="14"/>
        <v>0.10350380888713978</v>
      </c>
      <c r="AH53" s="27">
        <f t="shared" si="14"/>
        <v>0.10874720814901513</v>
      </c>
      <c r="AI53" s="27">
        <f t="shared" si="14"/>
        <v>0.11399821500083657</v>
      </c>
      <c r="AJ53" s="27">
        <f t="shared" si="14"/>
        <v>0.11959647098629794</v>
      </c>
      <c r="AK53" s="27">
        <f t="shared" si="14"/>
        <v>0.12532679878762737</v>
      </c>
      <c r="AL53" s="27">
        <f t="shared" si="14"/>
        <v>0.13117220333481747</v>
      </c>
      <c r="AM53" s="27">
        <f t="shared" si="14"/>
        <v>0.13723577855179306</v>
      </c>
      <c r="AN53" s="27">
        <f t="shared" si="14"/>
        <v>0.1432629475308588</v>
      </c>
      <c r="AO53" s="27">
        <f t="shared" si="14"/>
        <v>0.14960705637354962</v>
      </c>
      <c r="AP53" s="27">
        <f t="shared" si="14"/>
        <v>0.15639871914131342</v>
      </c>
      <c r="AQ53" s="27">
        <f t="shared" si="14"/>
        <v>0.16342482559718283</v>
      </c>
      <c r="AR53" s="27">
        <f t="shared" si="14"/>
        <v>0.1707017826412458</v>
      </c>
      <c r="AS53" s="27">
        <f t="shared" si="14"/>
        <v>0.17847497943187501</v>
      </c>
      <c r="AT53" s="27">
        <f t="shared" si="14"/>
        <v>0.18667144743193501</v>
      </c>
      <c r="AU53" s="27">
        <f t="shared" si="14"/>
        <v>0.19524271738860685</v>
      </c>
      <c r="AV53" s="27">
        <f t="shared" si="14"/>
        <v>0.20435030552422884</v>
      </c>
      <c r="AW53" s="27">
        <f t="shared" si="14"/>
        <v>0.21309265298835234</v>
      </c>
      <c r="AY53" s="79"/>
    </row>
    <row r="54" spans="1:51" x14ac:dyDescent="0.25">
      <c r="A54" s="95" t="str">
        <f t="shared" si="0"/>
        <v>FS Synthetic</v>
      </c>
      <c r="B54" s="95" t="s">
        <v>1003</v>
      </c>
      <c r="C54" s="95" t="s">
        <v>1125</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6.603634243590573</v>
      </c>
      <c r="U54" s="22">
        <f t="shared" si="15"/>
        <v>6.6004971859529533</v>
      </c>
      <c r="V54" s="22">
        <f t="shared" si="15"/>
        <v>6.5987679285209158</v>
      </c>
      <c r="W54" s="22">
        <f t="shared" si="15"/>
        <v>6.5980968039636112</v>
      </c>
      <c r="X54" s="22">
        <f t="shared" si="15"/>
        <v>6.5973729403354264</v>
      </c>
      <c r="Y54" s="22">
        <f t="shared" si="15"/>
        <v>6.5963716735135058</v>
      </c>
      <c r="Z54" s="22">
        <f t="shared" si="15"/>
        <v>6.5951092743964939</v>
      </c>
      <c r="AA54" s="22">
        <f t="shared" si="15"/>
        <v>6.5937292152761398</v>
      </c>
      <c r="AB54" s="22">
        <f t="shared" si="15"/>
        <v>6.5921980493186423</v>
      </c>
      <c r="AC54" s="22">
        <f t="shared" si="15"/>
        <v>6.5904099002136718</v>
      </c>
      <c r="AD54" s="22">
        <f t="shared" si="15"/>
        <v>6.5883900774121225</v>
      </c>
      <c r="AE54" s="22">
        <f t="shared" si="15"/>
        <v>6.5862502813307362</v>
      </c>
      <c r="AF54" s="22">
        <f t="shared" si="15"/>
        <v>6.5840030111280692</v>
      </c>
      <c r="AG54" s="22">
        <f t="shared" si="15"/>
        <v>6.5817083248767299</v>
      </c>
      <c r="AH54" s="22">
        <f t="shared" si="15"/>
        <v>6.5793473576190653</v>
      </c>
      <c r="AI54" s="22">
        <f t="shared" si="15"/>
        <v>6.5769490947439282</v>
      </c>
      <c r="AJ54" s="22">
        <f t="shared" si="15"/>
        <v>6.5746015679174796</v>
      </c>
      <c r="AK54" s="22">
        <f t="shared" si="15"/>
        <v>6.5721839556094164</v>
      </c>
      <c r="AL54" s="22">
        <f t="shared" si="15"/>
        <v>6.5697772026100587</v>
      </c>
      <c r="AM54" s="22">
        <f t="shared" si="15"/>
        <v>6.5673876647835385</v>
      </c>
      <c r="AN54" s="22">
        <f t="shared" si="15"/>
        <v>6.5649818227366428</v>
      </c>
      <c r="AO54" s="22">
        <f t="shared" si="15"/>
        <v>6.5626429517048157</v>
      </c>
      <c r="AP54" s="22">
        <f t="shared" si="15"/>
        <v>6.5602587146144691</v>
      </c>
      <c r="AQ54" s="22">
        <f t="shared" si="15"/>
        <v>6.557794751435325</v>
      </c>
      <c r="AR54" s="22">
        <f t="shared" si="15"/>
        <v>6.5553213474499907</v>
      </c>
      <c r="AS54" s="22">
        <f t="shared" si="15"/>
        <v>6.552836555002342</v>
      </c>
      <c r="AT54" s="22">
        <f t="shared" si="15"/>
        <v>6.5502749591835583</v>
      </c>
      <c r="AU54" s="22">
        <f t="shared" si="15"/>
        <v>6.5476643110027855</v>
      </c>
      <c r="AV54" s="22">
        <f t="shared" si="15"/>
        <v>6.5450232737774749</v>
      </c>
      <c r="AW54" s="22">
        <f t="shared" si="15"/>
        <v>6.5423151331477944</v>
      </c>
      <c r="AY54" s="79"/>
    </row>
    <row r="55" spans="1:51" x14ac:dyDescent="0.25">
      <c r="A55" s="95" t="str">
        <f t="shared" si="0"/>
        <v>FS Organic</v>
      </c>
      <c r="B55" s="95" t="s">
        <v>1003</v>
      </c>
      <c r="C55" s="95" t="s">
        <v>1126</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4.3583986007697799E-2</v>
      </c>
      <c r="U55" s="22">
        <f t="shared" si="16"/>
        <v>4.3563281427289505E-2</v>
      </c>
      <c r="V55" s="22">
        <f t="shared" si="16"/>
        <v>4.3551868328238041E-2</v>
      </c>
      <c r="W55" s="22">
        <f t="shared" si="16"/>
        <v>4.3547438906159849E-2</v>
      </c>
      <c r="X55" s="22">
        <f t="shared" si="16"/>
        <v>4.3542661406213816E-2</v>
      </c>
      <c r="Y55" s="22">
        <f t="shared" si="16"/>
        <v>4.3536053045189142E-2</v>
      </c>
      <c r="Z55" s="22">
        <f t="shared" si="16"/>
        <v>4.3527721211016876E-2</v>
      </c>
      <c r="AA55" s="22">
        <f t="shared" si="15"/>
        <v>4.3518612820822526E-2</v>
      </c>
      <c r="AB55" s="22">
        <f t="shared" si="15"/>
        <v>4.3508507125503047E-2</v>
      </c>
      <c r="AC55" s="22">
        <f t="shared" si="15"/>
        <v>4.349670534141023E-2</v>
      </c>
      <c r="AD55" s="22">
        <f t="shared" si="15"/>
        <v>4.3483374510920013E-2</v>
      </c>
      <c r="AE55" s="22">
        <f t="shared" si="15"/>
        <v>4.3469251856782874E-2</v>
      </c>
      <c r="AF55" s="22">
        <f t="shared" si="15"/>
        <v>4.3454419873445269E-2</v>
      </c>
      <c r="AG55" s="22">
        <f t="shared" si="15"/>
        <v>4.3439274944186416E-2</v>
      </c>
      <c r="AH55" s="22">
        <f t="shared" si="15"/>
        <v>4.3423692560285852E-2</v>
      </c>
      <c r="AI55" s="22">
        <f t="shared" si="15"/>
        <v>4.3407864025309932E-2</v>
      </c>
      <c r="AJ55" s="22">
        <f t="shared" si="15"/>
        <v>4.3392370348255375E-2</v>
      </c>
      <c r="AK55" s="22">
        <f t="shared" si="15"/>
        <v>4.3376414107022157E-2</v>
      </c>
      <c r="AL55" s="22">
        <f t="shared" si="15"/>
        <v>4.336052953722639E-2</v>
      </c>
      <c r="AM55" s="22">
        <f t="shared" si="15"/>
        <v>4.3344758587571364E-2</v>
      </c>
      <c r="AN55" s="22">
        <f t="shared" si="15"/>
        <v>4.3328880030061849E-2</v>
      </c>
      <c r="AO55" s="22">
        <f t="shared" si="15"/>
        <v>4.3313443481251802E-2</v>
      </c>
      <c r="AP55" s="22">
        <f t="shared" si="15"/>
        <v>4.3297707516455515E-2</v>
      </c>
      <c r="AQ55" s="22">
        <f t="shared" si="15"/>
        <v>4.3281445359473161E-2</v>
      </c>
      <c r="AR55" s="22">
        <f t="shared" si="15"/>
        <v>4.3265120893169952E-2</v>
      </c>
      <c r="AS55" s="22">
        <f t="shared" si="15"/>
        <v>4.324872126301546E-2</v>
      </c>
      <c r="AT55" s="22">
        <f t="shared" si="15"/>
        <v>4.3231814730611481E-2</v>
      </c>
      <c r="AU55" s="22">
        <f t="shared" si="15"/>
        <v>4.3214584452618394E-2</v>
      </c>
      <c r="AV55" s="22">
        <f t="shared" si="15"/>
        <v>4.3197153606931347E-2</v>
      </c>
      <c r="AW55" s="22">
        <f t="shared" si="15"/>
        <v>4.3179279878775449E-2</v>
      </c>
      <c r="AY55" s="79"/>
    </row>
    <row r="56" spans="1:51" x14ac:dyDescent="0.25">
      <c r="A56" s="95" t="str">
        <f t="shared" si="0"/>
        <v>FS Crop residues</v>
      </c>
      <c r="B56" s="95" t="s">
        <v>1003</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2.9705633438591348</v>
      </c>
      <c r="U56" s="22">
        <f t="shared" si="15"/>
        <v>2.9939833213378622</v>
      </c>
      <c r="V56" s="22">
        <f t="shared" si="15"/>
        <v>3.0068932435616724</v>
      </c>
      <c r="W56" s="22">
        <f t="shared" si="15"/>
        <v>3.0119035824948748</v>
      </c>
      <c r="X56" s="22">
        <f t="shared" si="15"/>
        <v>3.0173076495628459</v>
      </c>
      <c r="Y56" s="22">
        <f t="shared" si="15"/>
        <v>3.0247826943750078</v>
      </c>
      <c r="Z56" s="22">
        <f t="shared" si="15"/>
        <v>3.0342072451180488</v>
      </c>
      <c r="AA56" s="22">
        <f t="shared" si="15"/>
        <v>3.0445101968810144</v>
      </c>
      <c r="AB56" s="22">
        <f t="shared" si="15"/>
        <v>3.0559412499196137</v>
      </c>
      <c r="AC56" s="22">
        <f t="shared" si="15"/>
        <v>3.0692908330655531</v>
      </c>
      <c r="AD56" s="22">
        <f t="shared" si="15"/>
        <v>3.0843699964051159</v>
      </c>
      <c r="AE56" s="22">
        <f t="shared" si="15"/>
        <v>3.1003448307320856</v>
      </c>
      <c r="AF56" s="22">
        <f t="shared" si="15"/>
        <v>3.1171220224878007</v>
      </c>
      <c r="AG56" s="22">
        <f t="shared" si="15"/>
        <v>3.1342532028915815</v>
      </c>
      <c r="AH56" s="22">
        <f t="shared" si="15"/>
        <v>3.1518792099305966</v>
      </c>
      <c r="AI56" s="22">
        <f t="shared" si="15"/>
        <v>3.1697836506556398</v>
      </c>
      <c r="AJ56" s="22">
        <f t="shared" si="15"/>
        <v>3.1873093169828417</v>
      </c>
      <c r="AK56" s="22">
        <f t="shared" si="15"/>
        <v>3.2053582125874849</v>
      </c>
      <c r="AL56" s="22">
        <f t="shared" si="15"/>
        <v>3.2233260370755845</v>
      </c>
      <c r="AM56" s="22">
        <f t="shared" si="15"/>
        <v>3.2411653401889731</v>
      </c>
      <c r="AN56" s="22">
        <f t="shared" si="15"/>
        <v>3.2591263638820034</v>
      </c>
      <c r="AO56" s="22">
        <f t="shared" si="15"/>
        <v>3.2765874096193026</v>
      </c>
      <c r="AP56" s="22">
        <f t="shared" si="15"/>
        <v>3.294387139624336</v>
      </c>
      <c r="AQ56" s="22">
        <f t="shared" si="15"/>
        <v>3.3127820717007999</v>
      </c>
      <c r="AR56" s="22">
        <f t="shared" si="15"/>
        <v>3.3312474849395168</v>
      </c>
      <c r="AS56" s="22">
        <f t="shared" si="15"/>
        <v>3.3497979197372052</v>
      </c>
      <c r="AT56" s="22">
        <f t="shared" si="15"/>
        <v>3.3689217368026219</v>
      </c>
      <c r="AU56" s="22">
        <f t="shared" si="15"/>
        <v>3.3884117585559377</v>
      </c>
      <c r="AV56" s="22">
        <f t="shared" si="15"/>
        <v>3.4081286523724397</v>
      </c>
      <c r="AW56" s="22">
        <f t="shared" si="15"/>
        <v>3.4283465125085661</v>
      </c>
      <c r="AY56" s="79"/>
    </row>
    <row r="57" spans="1:51" x14ac:dyDescent="0.25">
      <c r="A57" s="95" t="str">
        <f t="shared" si="0"/>
        <v>FS Organic</v>
      </c>
      <c r="B57" s="95" t="s">
        <v>1003</v>
      </c>
      <c r="C57" s="95" t="s">
        <v>1126</v>
      </c>
      <c r="D57" t="s">
        <v>369</v>
      </c>
      <c r="E57" t="s">
        <v>55</v>
      </c>
      <c r="F57" t="s">
        <v>421</v>
      </c>
      <c r="G57" t="s">
        <v>1151</v>
      </c>
      <c r="H57" t="s">
        <v>1152</v>
      </c>
      <c r="I57" t="s">
        <v>139</v>
      </c>
      <c r="J57" t="s">
        <v>287</v>
      </c>
      <c r="K57" s="22">
        <f t="shared" si="16"/>
        <v>0.31878106382562998</v>
      </c>
      <c r="L57" s="22">
        <f t="shared" si="15"/>
        <v>0.32056321299147922</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0.32880601635823309</v>
      </c>
      <c r="S57" s="22">
        <f t="shared" si="15"/>
        <v>0.31930900968296799</v>
      </c>
      <c r="T57" s="22">
        <f t="shared" si="15"/>
        <v>0.32574821213897459</v>
      </c>
      <c r="U57" s="22">
        <f t="shared" si="15"/>
        <v>0.32894469179548952</v>
      </c>
      <c r="V57" s="22">
        <f t="shared" si="15"/>
        <v>0.32977948253414807</v>
      </c>
      <c r="W57" s="22">
        <f t="shared" si="15"/>
        <v>0.3309664569188206</v>
      </c>
      <c r="X57" s="22">
        <f t="shared" si="15"/>
        <v>0.33295820888491823</v>
      </c>
      <c r="Y57" s="22">
        <f t="shared" si="15"/>
        <v>0.33558938332727861</v>
      </c>
      <c r="Z57" s="22">
        <f t="shared" si="15"/>
        <v>0.33853527641770959</v>
      </c>
      <c r="AA57" s="22">
        <f t="shared" si="15"/>
        <v>0.34188866727508727</v>
      </c>
      <c r="AB57" s="22">
        <f t="shared" si="15"/>
        <v>0.34593707625098935</v>
      </c>
      <c r="AC57" s="22">
        <f t="shared" si="15"/>
        <v>0.35065698551445434</v>
      </c>
      <c r="AD57" s="22">
        <f t="shared" si="15"/>
        <v>0.35579420133815998</v>
      </c>
      <c r="AE57" s="22">
        <f t="shared" si="15"/>
        <v>0.36134408078222452</v>
      </c>
      <c r="AF57" s="22">
        <f t="shared" si="15"/>
        <v>0.36716578992310794</v>
      </c>
      <c r="AG57" s="22">
        <f t="shared" si="15"/>
        <v>0.37332444348551658</v>
      </c>
      <c r="AH57" s="22">
        <f t="shared" si="15"/>
        <v>0.37975671698066876</v>
      </c>
      <c r="AI57" s="22">
        <f t="shared" si="15"/>
        <v>0.38621474793846927</v>
      </c>
      <c r="AJ57" s="22">
        <f t="shared" si="15"/>
        <v>0.39306178454441848</v>
      </c>
      <c r="AK57" s="22">
        <f t="shared" si="15"/>
        <v>0.40005847527747412</v>
      </c>
      <c r="AL57" s="22">
        <f t="shared" si="15"/>
        <v>0.4071870252950287</v>
      </c>
      <c r="AM57" s="22">
        <f t="shared" si="15"/>
        <v>0.41456228412939544</v>
      </c>
      <c r="AN57" s="22">
        <f t="shared" si="15"/>
        <v>0.42190892307820843</v>
      </c>
      <c r="AO57" s="22">
        <f t="shared" si="15"/>
        <v>0.42960845898713129</v>
      </c>
      <c r="AP57" s="22">
        <f t="shared" si="15"/>
        <v>0.43780304574358431</v>
      </c>
      <c r="AQ57" s="22">
        <f t="shared" si="15"/>
        <v>0.44626036327894386</v>
      </c>
      <c r="AR57" s="22">
        <f t="shared" si="15"/>
        <v>0.45499571223112473</v>
      </c>
      <c r="AS57" s="22">
        <f t="shared" si="15"/>
        <v>0.46427790014777842</v>
      </c>
      <c r="AT57" s="22">
        <f t="shared" si="15"/>
        <v>0.4740288633200766</v>
      </c>
      <c r="AU57" s="22">
        <f t="shared" si="15"/>
        <v>0.48419829350388255</v>
      </c>
      <c r="AV57" s="22">
        <f t="shared" si="15"/>
        <v>0.49496943616318984</v>
      </c>
      <c r="AW57" s="22">
        <f t="shared" si="15"/>
        <v>0.50533326104983312</v>
      </c>
      <c r="AY57" s="79"/>
    </row>
    <row r="58" spans="1:51" x14ac:dyDescent="0.25">
      <c r="A58" s="95" t="str">
        <f t="shared" si="0"/>
        <v>FS Organic</v>
      </c>
      <c r="B58" s="95" t="s">
        <v>1003</v>
      </c>
      <c r="C58" s="95" t="s">
        <v>1126</v>
      </c>
      <c r="D58" t="s">
        <v>369</v>
      </c>
      <c r="E58" t="s">
        <v>55</v>
      </c>
      <c r="F58" t="s">
        <v>421</v>
      </c>
      <c r="G58" t="s">
        <v>1153</v>
      </c>
      <c r="H58" t="s">
        <v>1154</v>
      </c>
      <c r="I58" t="s">
        <v>139</v>
      </c>
      <c r="J58" t="s">
        <v>287</v>
      </c>
      <c r="K58" s="22">
        <f t="shared" si="16"/>
        <v>0.93210651077804862</v>
      </c>
      <c r="L58" s="22">
        <f t="shared" si="15"/>
        <v>0.93731746283627526</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0.96141917889497153</v>
      </c>
      <c r="S58" s="22">
        <f t="shared" si="15"/>
        <v>0.93365020902993845</v>
      </c>
      <c r="T58" s="22">
        <f t="shared" si="15"/>
        <v>0.95247824875548714</v>
      </c>
      <c r="U58" s="22">
        <f t="shared" si="15"/>
        <v>0.96182466181920945</v>
      </c>
      <c r="V58" s="22">
        <f t="shared" si="15"/>
        <v>0.96426556553319687</v>
      </c>
      <c r="W58" s="22">
        <f t="shared" si="15"/>
        <v>0.96773624393172708</v>
      </c>
      <c r="X58" s="22">
        <f t="shared" si="15"/>
        <v>0.97356006844995502</v>
      </c>
      <c r="Y58" s="22">
        <f t="shared" si="15"/>
        <v>0.98125354559469047</v>
      </c>
      <c r="Z58" s="22">
        <f t="shared" si="15"/>
        <v>0.9898672508653048</v>
      </c>
      <c r="AA58" s="22">
        <f t="shared" si="15"/>
        <v>0.99967246769291085</v>
      </c>
      <c r="AB58" s="22">
        <f t="shared" si="15"/>
        <v>1.0115098971796095</v>
      </c>
      <c r="AC58" s="22">
        <f t="shared" si="15"/>
        <v>1.0253107738752334</v>
      </c>
      <c r="AD58" s="22">
        <f t="shared" si="15"/>
        <v>1.0403318427526722</v>
      </c>
      <c r="AE58" s="22">
        <f t="shared" si="15"/>
        <v>1.0565595279914524</v>
      </c>
      <c r="AF58" s="22">
        <f t="shared" si="15"/>
        <v>1.0735820353165477</v>
      </c>
      <c r="AG58" s="22">
        <f t="shared" si="15"/>
        <v>1.0915897582793135</v>
      </c>
      <c r="AH58" s="22">
        <f t="shared" si="15"/>
        <v>1.1103975379258981</v>
      </c>
      <c r="AI58" s="22">
        <f t="shared" si="15"/>
        <v>1.1292806316402249</v>
      </c>
      <c r="AJ58" s="22">
        <f t="shared" si="15"/>
        <v>1.1493011664968118</v>
      </c>
      <c r="AK58" s="22">
        <f t="shared" si="15"/>
        <v>1.1697592856457866</v>
      </c>
      <c r="AL58" s="22">
        <f t="shared" si="15"/>
        <v>1.190602957487612</v>
      </c>
      <c r="AM58" s="22">
        <f t="shared" si="15"/>
        <v>1.2121679986970451</v>
      </c>
      <c r="AN58" s="22">
        <f t="shared" si="15"/>
        <v>1.2336493561978465</v>
      </c>
      <c r="AO58" s="22">
        <f t="shared" si="15"/>
        <v>1.2561625740927527</v>
      </c>
      <c r="AP58" s="22">
        <f t="shared" si="15"/>
        <v>1.2801233061925847</v>
      </c>
      <c r="AQ58" s="22">
        <f t="shared" si="15"/>
        <v>1.3048522554087716</v>
      </c>
      <c r="AR58" s="22">
        <f t="shared" si="15"/>
        <v>1.3303941603592482</v>
      </c>
      <c r="AS58" s="22">
        <f t="shared" si="15"/>
        <v>1.3575350064545193</v>
      </c>
      <c r="AT58" s="22">
        <f t="shared" si="15"/>
        <v>1.3860465376922328</v>
      </c>
      <c r="AU58" s="22">
        <f t="shared" si="15"/>
        <v>1.4157816542373405</v>
      </c>
      <c r="AV58" s="22">
        <f t="shared" si="15"/>
        <v>1.4472761604692133</v>
      </c>
      <c r="AW58" s="22">
        <f t="shared" si="15"/>
        <v>1.4775796814421152</v>
      </c>
      <c r="AY58" s="79"/>
    </row>
    <row r="59" spans="1:51" x14ac:dyDescent="0.25">
      <c r="A59" s="95" t="str">
        <f t="shared" si="0"/>
        <v>FS Organic</v>
      </c>
      <c r="B59" s="95" t="s">
        <v>1003</v>
      </c>
      <c r="C59" s="95" t="s">
        <v>1126</v>
      </c>
      <c r="D59" t="s">
        <v>369</v>
      </c>
      <c r="E59" t="s">
        <v>55</v>
      </c>
      <c r="F59" t="s">
        <v>421</v>
      </c>
      <c r="G59" t="s">
        <v>1155</v>
      </c>
      <c r="H59" t="s">
        <v>1156</v>
      </c>
      <c r="I59" t="s">
        <v>139</v>
      </c>
      <c r="J59" t="s">
        <v>287</v>
      </c>
      <c r="K59" s="22">
        <f t="shared" si="16"/>
        <v>4.9862442750846919E-2</v>
      </c>
      <c r="L59" s="22">
        <f t="shared" si="15"/>
        <v>5.0141199304605817E-2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5.1430505218981189E-2</v>
      </c>
      <c r="S59" s="22">
        <f t="shared" si="15"/>
        <v>4.9945021903357263E-2</v>
      </c>
      <c r="T59" s="22">
        <f t="shared" si="15"/>
        <v>5.0952215868929084E-2</v>
      </c>
      <c r="U59" s="22">
        <f t="shared" si="15"/>
        <v>5.1452196269158888E-2</v>
      </c>
      <c r="V59" s="22">
        <f t="shared" si="15"/>
        <v>5.1582770855101254E-2</v>
      </c>
      <c r="W59" s="22">
        <f t="shared" si="15"/>
        <v>5.1768432580400064E-2</v>
      </c>
      <c r="X59" s="22">
        <f t="shared" si="15"/>
        <v>5.2079974355157911E-2</v>
      </c>
      <c r="Y59" s="22">
        <f t="shared" si="15"/>
        <v>5.2491532003611736E-2</v>
      </c>
      <c r="Z59" s="22">
        <f t="shared" si="15"/>
        <v>5.2952316668199217E-2</v>
      </c>
      <c r="AA59" s="22">
        <f t="shared" si="15"/>
        <v>5.3476840482884362E-2</v>
      </c>
      <c r="AB59" s="22">
        <f t="shared" si="15"/>
        <v>5.4110076216432663E-2</v>
      </c>
      <c r="AC59" s="22">
        <f t="shared" si="15"/>
        <v>5.4848345304986328E-2</v>
      </c>
      <c r="AD59" s="22">
        <f t="shared" si="15"/>
        <v>5.5651887795353253E-2</v>
      </c>
      <c r="AE59" s="22">
        <f t="shared" si="15"/>
        <v>5.651997745768382E-2</v>
      </c>
      <c r="AF59" s="22">
        <f t="shared" si="15"/>
        <v>5.7430585620118969E-2</v>
      </c>
      <c r="AG59" s="22">
        <f t="shared" si="15"/>
        <v>5.8393897264143985E-2</v>
      </c>
      <c r="AH59" s="22">
        <f t="shared" si="15"/>
        <v>5.9400007429725336E-2</v>
      </c>
      <c r="AI59" s="22">
        <f t="shared" si="15"/>
        <v>6.0410146473281176E-2</v>
      </c>
      <c r="AJ59" s="22">
        <f t="shared" si="15"/>
        <v>6.1481132204616346E-2</v>
      </c>
      <c r="AK59" s="22">
        <f t="shared" si="15"/>
        <v>6.2575526228325351E-2</v>
      </c>
      <c r="AL59" s="22">
        <f t="shared" si="15"/>
        <v>6.3690545147207192E-2</v>
      </c>
      <c r="AM59" s="22">
        <f t="shared" si="15"/>
        <v>6.4844153259897494E-2</v>
      </c>
      <c r="AN59" s="22">
        <f t="shared" si="15"/>
        <v>6.5993284766017041E-2</v>
      </c>
      <c r="AO59" s="22">
        <f t="shared" si="15"/>
        <v>6.7197614985194512E-2</v>
      </c>
      <c r="AP59" s="22">
        <f t="shared" si="15"/>
        <v>6.8479379052692538E-2</v>
      </c>
      <c r="AQ59" s="22">
        <f t="shared" si="15"/>
        <v>6.9802238404411326E-2</v>
      </c>
      <c r="AR59" s="22">
        <f t="shared" si="15"/>
        <v>7.1168586304156845E-2</v>
      </c>
      <c r="AS59" s="22">
        <f t="shared" si="15"/>
        <v>7.2620468539702415E-2</v>
      </c>
      <c r="AT59" s="22">
        <f t="shared" si="15"/>
        <v>7.4145674701917505E-2</v>
      </c>
      <c r="AU59" s="22">
        <f t="shared" si="15"/>
        <v>7.5736335779032549E-2</v>
      </c>
      <c r="AV59" s="22">
        <f t="shared" si="15"/>
        <v>7.742111428427241E-2</v>
      </c>
      <c r="AW59" s="22">
        <f t="shared" si="15"/>
        <v>7.9042181793391189E-2</v>
      </c>
      <c r="AY59" s="79"/>
    </row>
    <row r="60" spans="1:51" x14ac:dyDescent="0.25">
      <c r="A60" s="95" t="str">
        <f t="shared" si="0"/>
        <v>FS Organic</v>
      </c>
      <c r="B60" s="95" t="s">
        <v>1003</v>
      </c>
      <c r="C60" s="95" t="s">
        <v>1126</v>
      </c>
      <c r="D60" t="s">
        <v>369</v>
      </c>
      <c r="E60" t="s">
        <v>55</v>
      </c>
      <c r="F60" t="s">
        <v>421</v>
      </c>
      <c r="G60" t="s">
        <v>1157</v>
      </c>
      <c r="H60" t="s">
        <v>1158</v>
      </c>
      <c r="I60" t="s">
        <v>139</v>
      </c>
      <c r="J60" t="s">
        <v>287</v>
      </c>
      <c r="K60" s="22">
        <f t="shared" si="16"/>
        <v>0.39999978998352292</v>
      </c>
      <c r="L60" s="22">
        <f t="shared" si="15"/>
        <v>0.39653071954810187</v>
      </c>
      <c r="M60" s="22">
        <f t="shared" si="15"/>
        <v>0.39521014945095007</v>
      </c>
      <c r="N60" s="22">
        <f t="shared" si="15"/>
        <v>0.38993263522397309</v>
      </c>
      <c r="O60" s="22">
        <f t="shared" si="15"/>
        <v>0.38227219443770077</v>
      </c>
      <c r="P60" s="22">
        <f t="shared" si="15"/>
        <v>0.37238723301511378</v>
      </c>
      <c r="Q60" s="22">
        <f t="shared" si="15"/>
        <v>0.36459067483623875</v>
      </c>
      <c r="R60" s="22">
        <f t="shared" si="15"/>
        <v>0.3572142444544395</v>
      </c>
      <c r="S60" s="22">
        <f t="shared" si="15"/>
        <v>0.31897606543396184</v>
      </c>
      <c r="T60" s="22">
        <f t="shared" si="15"/>
        <v>0.33422640738749132</v>
      </c>
      <c r="U60" s="22">
        <f t="shared" si="15"/>
        <v>0.3395060787066792</v>
      </c>
      <c r="V60" s="22">
        <f t="shared" si="15"/>
        <v>0.33721330134407257</v>
      </c>
      <c r="W60" s="22">
        <f t="shared" si="15"/>
        <v>0.33534828840095249</v>
      </c>
      <c r="X60" s="22">
        <f t="shared" si="15"/>
        <v>0.33547079917503503</v>
      </c>
      <c r="Y60" s="22">
        <f t="shared" si="15"/>
        <v>0.33744070936588777</v>
      </c>
      <c r="Z60" s="22">
        <f t="shared" si="15"/>
        <v>0.34023587672815686</v>
      </c>
      <c r="AA60" s="22">
        <f t="shared" si="15"/>
        <v>0.34408144868680218</v>
      </c>
      <c r="AB60" s="22">
        <f t="shared" si="15"/>
        <v>0.34971445697084458</v>
      </c>
      <c r="AC60" s="22">
        <f t="shared" si="15"/>
        <v>0.35697581238959336</v>
      </c>
      <c r="AD60" s="22">
        <f t="shared" si="15"/>
        <v>0.36203839361176637</v>
      </c>
      <c r="AE60" s="22">
        <f t="shared" si="15"/>
        <v>0.36769900977315834</v>
      </c>
      <c r="AF60" s="22">
        <f t="shared" si="15"/>
        <v>0.37353106948354631</v>
      </c>
      <c r="AG60" s="22">
        <f t="shared" si="15"/>
        <v>0.37966412521229187</v>
      </c>
      <c r="AH60" s="22">
        <f t="shared" si="15"/>
        <v>0.38588904144354591</v>
      </c>
      <c r="AI60" s="22">
        <f t="shared" si="15"/>
        <v>0.39157349610813613</v>
      </c>
      <c r="AJ60" s="22">
        <f t="shared" si="15"/>
        <v>0.39756955250590403</v>
      </c>
      <c r="AK60" s="22">
        <f t="shared" si="15"/>
        <v>0.40329410820183131</v>
      </c>
      <c r="AL60" s="22">
        <f t="shared" si="15"/>
        <v>0.4086920134239358</v>
      </c>
      <c r="AM60" s="22">
        <f t="shared" si="15"/>
        <v>0.41399400883192944</v>
      </c>
      <c r="AN60" s="22">
        <f t="shared" si="15"/>
        <v>0.42072674060954357</v>
      </c>
      <c r="AO60" s="22">
        <f t="shared" si="15"/>
        <v>0.42769047193917231</v>
      </c>
      <c r="AP60" s="22">
        <f t="shared" si="15"/>
        <v>0.43513827260891708</v>
      </c>
      <c r="AQ60" s="22">
        <f t="shared" si="15"/>
        <v>0.44255709633783841</v>
      </c>
      <c r="AR60" s="22">
        <f t="shared" si="15"/>
        <v>0.44995657231615971</v>
      </c>
      <c r="AS60" s="22">
        <f t="shared" si="15"/>
        <v>0.45782299471336541</v>
      </c>
      <c r="AT60" s="22">
        <f t="shared" si="15"/>
        <v>0.46595268200970025</v>
      </c>
      <c r="AU60" s="22">
        <f t="shared" si="15"/>
        <v>0.47420429180526752</v>
      </c>
      <c r="AV60" s="22">
        <f t="shared" si="15"/>
        <v>0.48285863154123199</v>
      </c>
      <c r="AW60" s="22">
        <f t="shared" si="15"/>
        <v>0.4901142188549843</v>
      </c>
      <c r="AY60" s="79"/>
    </row>
    <row r="61" spans="1:51" x14ac:dyDescent="0.25">
      <c r="A61" s="95" t="str">
        <f t="shared" si="0"/>
        <v>FS Organic</v>
      </c>
      <c r="B61" s="95" t="s">
        <v>1003</v>
      </c>
      <c r="C61" s="95" t="s">
        <v>1126</v>
      </c>
      <c r="D61" t="s">
        <v>369</v>
      </c>
      <c r="E61" t="s">
        <v>55</v>
      </c>
      <c r="F61" t="s">
        <v>421</v>
      </c>
      <c r="G61" t="s">
        <v>1159</v>
      </c>
      <c r="H61" t="s">
        <v>1160</v>
      </c>
      <c r="I61" t="s">
        <v>139</v>
      </c>
      <c r="J61" t="s">
        <v>287</v>
      </c>
      <c r="K61" s="22">
        <f t="shared" si="16"/>
        <v>2.6602988559851233</v>
      </c>
      <c r="L61" s="22">
        <f t="shared" si="15"/>
        <v>2.6372269335947083</v>
      </c>
      <c r="M61" s="22">
        <f t="shared" si="15"/>
        <v>2.6284441511866339</v>
      </c>
      <c r="N61" s="22">
        <f t="shared" si="15"/>
        <v>2.5933447201068058</v>
      </c>
      <c r="O61" s="22">
        <f t="shared" si="15"/>
        <v>2.5423970387070192</v>
      </c>
      <c r="P61" s="22">
        <f t="shared" ref="L61:AW67" si="17">P1470</f>
        <v>2.4766546252796311</v>
      </c>
      <c r="Q61" s="22">
        <f t="shared" si="17"/>
        <v>2.4248016610449818</v>
      </c>
      <c r="R61" s="22">
        <f t="shared" si="17"/>
        <v>2.3757428620222045</v>
      </c>
      <c r="S61" s="22">
        <f t="shared" si="17"/>
        <v>2.1214302687397906</v>
      </c>
      <c r="T61" s="22">
        <f t="shared" si="17"/>
        <v>2.2228564901236254</v>
      </c>
      <c r="U61" s="22">
        <f t="shared" si="17"/>
        <v>2.2579702674858382</v>
      </c>
      <c r="V61" s="22">
        <f t="shared" si="17"/>
        <v>2.2427215769927198</v>
      </c>
      <c r="W61" s="22">
        <f t="shared" si="17"/>
        <v>2.230317840982798</v>
      </c>
      <c r="X61" s="22">
        <f t="shared" si="17"/>
        <v>2.2311326295909391</v>
      </c>
      <c r="Y61" s="22">
        <f t="shared" si="17"/>
        <v>2.2442340110375012</v>
      </c>
      <c r="Z61" s="22">
        <f t="shared" si="17"/>
        <v>2.2628239721383245</v>
      </c>
      <c r="AA61" s="22">
        <f t="shared" si="17"/>
        <v>2.2883999122722289</v>
      </c>
      <c r="AB61" s="22">
        <f t="shared" si="17"/>
        <v>2.3258636456767143</v>
      </c>
      <c r="AC61" s="22">
        <f t="shared" si="17"/>
        <v>2.3741571098162688</v>
      </c>
      <c r="AD61" s="22">
        <f t="shared" si="17"/>
        <v>2.4078270750785844</v>
      </c>
      <c r="AE61" s="22">
        <f t="shared" si="17"/>
        <v>2.4454744215907969</v>
      </c>
      <c r="AF61" s="22">
        <f t="shared" si="17"/>
        <v>2.4842619963948258</v>
      </c>
      <c r="AG61" s="22">
        <f t="shared" si="17"/>
        <v>2.5250514206581411</v>
      </c>
      <c r="AH61" s="22">
        <f t="shared" si="17"/>
        <v>2.5664517862165597</v>
      </c>
      <c r="AI61" s="22">
        <f t="shared" si="17"/>
        <v>2.6042576766689809</v>
      </c>
      <c r="AJ61" s="22">
        <f t="shared" si="17"/>
        <v>2.6441359525452293</v>
      </c>
      <c r="AK61" s="22">
        <f t="shared" si="17"/>
        <v>2.6822085449571547</v>
      </c>
      <c r="AL61" s="22">
        <f t="shared" si="17"/>
        <v>2.7181086665238992</v>
      </c>
      <c r="AM61" s="22">
        <f t="shared" si="17"/>
        <v>2.7533709158338433</v>
      </c>
      <c r="AN61" s="22">
        <f t="shared" si="17"/>
        <v>2.7981486359580932</v>
      </c>
      <c r="AO61" s="22">
        <f t="shared" si="17"/>
        <v>2.8444626764988703</v>
      </c>
      <c r="AP61" s="22">
        <f t="shared" si="17"/>
        <v>2.8939961415092981</v>
      </c>
      <c r="AQ61" s="22">
        <f t="shared" si="17"/>
        <v>2.9433368881122353</v>
      </c>
      <c r="AR61" s="22">
        <f t="shared" si="17"/>
        <v>2.9925489576506421</v>
      </c>
      <c r="AS61" s="22">
        <f t="shared" si="17"/>
        <v>3.0448665713794991</v>
      </c>
      <c r="AT61" s="22">
        <f t="shared" si="17"/>
        <v>3.0989350943025911</v>
      </c>
      <c r="AU61" s="22">
        <f t="shared" si="17"/>
        <v>3.1538144933644965</v>
      </c>
      <c r="AV61" s="22">
        <f t="shared" si="17"/>
        <v>3.211372348831973</v>
      </c>
      <c r="AW61" s="22">
        <f t="shared" si="17"/>
        <v>3.2596274507435776</v>
      </c>
      <c r="AY61" s="79"/>
    </row>
    <row r="62" spans="1:51" x14ac:dyDescent="0.25">
      <c r="A62" s="95" t="str">
        <f t="shared" si="0"/>
        <v>FS Organic</v>
      </c>
      <c r="B62" s="95" t="s">
        <v>1003</v>
      </c>
      <c r="C62" s="95" t="s">
        <v>1126</v>
      </c>
      <c r="D62" t="s">
        <v>369</v>
      </c>
      <c r="E62" t="s">
        <v>55</v>
      </c>
      <c r="F62" t="s">
        <v>421</v>
      </c>
      <c r="G62" t="s">
        <v>1161</v>
      </c>
      <c r="H62" t="s">
        <v>1162</v>
      </c>
      <c r="I62" t="s">
        <v>139</v>
      </c>
      <c r="J62" t="s">
        <v>287</v>
      </c>
      <c r="K62" s="22">
        <f t="shared" si="16"/>
        <v>0.34358078636628725</v>
      </c>
      <c r="L62" s="22">
        <f t="shared" si="17"/>
        <v>0.35516571939691488</v>
      </c>
      <c r="M62" s="22">
        <f t="shared" si="17"/>
        <v>0.36891582276573964</v>
      </c>
      <c r="N62" s="22">
        <f t="shared" si="17"/>
        <v>0.37917034791782084</v>
      </c>
      <c r="O62" s="22">
        <f t="shared" si="17"/>
        <v>0.3870785095581884</v>
      </c>
      <c r="P62" s="22">
        <f t="shared" si="17"/>
        <v>0.39252728601928993</v>
      </c>
      <c r="Q62" s="22">
        <f t="shared" si="17"/>
        <v>0.39996713645364929</v>
      </c>
      <c r="R62" s="22">
        <f t="shared" si="17"/>
        <v>0.40776627193753145</v>
      </c>
      <c r="S62" s="22">
        <f t="shared" si="17"/>
        <v>0.37883271565803223</v>
      </c>
      <c r="T62" s="22">
        <f t="shared" si="17"/>
        <v>0.40650829214497081</v>
      </c>
      <c r="U62" s="22">
        <f t="shared" si="17"/>
        <v>0.42274175542300491</v>
      </c>
      <c r="V62" s="22">
        <f t="shared" si="17"/>
        <v>0.42973734716787138</v>
      </c>
      <c r="W62" s="22">
        <f t="shared" si="17"/>
        <v>0.43726842004421129</v>
      </c>
      <c r="X62" s="22">
        <f t="shared" si="17"/>
        <v>0.44745878466388073</v>
      </c>
      <c r="Y62" s="22">
        <f t="shared" si="17"/>
        <v>0.46030289933226931</v>
      </c>
      <c r="Z62" s="22">
        <f t="shared" si="17"/>
        <v>0.47455223837766919</v>
      </c>
      <c r="AA62" s="22">
        <f t="shared" si="17"/>
        <v>0.4906141484694207</v>
      </c>
      <c r="AB62" s="22">
        <f t="shared" si="17"/>
        <v>0.50967264018855052</v>
      </c>
      <c r="AC62" s="22">
        <f t="shared" si="17"/>
        <v>0.53167442702617229</v>
      </c>
      <c r="AD62" s="22">
        <f t="shared" si="17"/>
        <v>0.55709637533943834</v>
      </c>
      <c r="AE62" s="22">
        <f t="shared" si="17"/>
        <v>0.58460645913698228</v>
      </c>
      <c r="AF62" s="22">
        <f t="shared" si="17"/>
        <v>0.61366166383859366</v>
      </c>
      <c r="AG62" s="22">
        <f t="shared" si="17"/>
        <v>0.64458089754098746</v>
      </c>
      <c r="AH62" s="22">
        <f t="shared" si="17"/>
        <v>0.67712551028517698</v>
      </c>
      <c r="AI62" s="22">
        <f t="shared" si="17"/>
        <v>0.71024940806884818</v>
      </c>
      <c r="AJ62" s="22">
        <f t="shared" si="17"/>
        <v>0.74554239669460731</v>
      </c>
      <c r="AK62" s="22">
        <f t="shared" si="17"/>
        <v>0.78202811985737553</v>
      </c>
      <c r="AL62" s="22">
        <f t="shared" si="17"/>
        <v>0.81964634511188172</v>
      </c>
      <c r="AM62" s="22">
        <f t="shared" si="17"/>
        <v>0.85891861421537574</v>
      </c>
      <c r="AN62" s="22">
        <f t="shared" si="17"/>
        <v>0.89751581296509064</v>
      </c>
      <c r="AO62" s="22">
        <f t="shared" si="17"/>
        <v>0.93820295986961577</v>
      </c>
      <c r="AP62" s="22">
        <f t="shared" si="17"/>
        <v>0.98167178661912335</v>
      </c>
      <c r="AQ62" s="22">
        <f t="shared" si="17"/>
        <v>1.0269093365438573</v>
      </c>
      <c r="AR62" s="22">
        <f t="shared" si="17"/>
        <v>1.0740254053264544</v>
      </c>
      <c r="AS62" s="22">
        <f t="shared" si="17"/>
        <v>1.1243087675322185</v>
      </c>
      <c r="AT62" s="22">
        <f t="shared" si="17"/>
        <v>1.1774495119019792</v>
      </c>
      <c r="AU62" s="22">
        <f t="shared" si="17"/>
        <v>1.2332540246283563</v>
      </c>
      <c r="AV62" s="22">
        <f t="shared" si="17"/>
        <v>1.2926278816392183</v>
      </c>
      <c r="AW62" s="22">
        <f t="shared" si="17"/>
        <v>1.3508373812373191</v>
      </c>
      <c r="AY62" s="79"/>
    </row>
    <row r="63" spans="1:51" x14ac:dyDescent="0.25">
      <c r="A63" s="95" t="str">
        <f t="shared" si="0"/>
        <v>FS Organic</v>
      </c>
      <c r="B63" s="95" t="s">
        <v>1003</v>
      </c>
      <c r="C63" s="95" t="s">
        <v>1126</v>
      </c>
      <c r="D63" t="s">
        <v>369</v>
      </c>
      <c r="E63" t="s">
        <v>55</v>
      </c>
      <c r="F63" t="s">
        <v>421</v>
      </c>
      <c r="G63" t="s">
        <v>1163</v>
      </c>
      <c r="H63" t="s">
        <v>1164</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5.9206646241484272E-2</v>
      </c>
      <c r="T63" s="22">
        <f t="shared" si="17"/>
        <v>5.9249261961011081E-2</v>
      </c>
      <c r="U63" s="22">
        <f t="shared" si="17"/>
        <v>5.9234279181673045E-2</v>
      </c>
      <c r="V63" s="22">
        <f t="shared" si="17"/>
        <v>5.9233200541063784E-2</v>
      </c>
      <c r="W63" s="22">
        <f t="shared" si="17"/>
        <v>5.9296029757579687E-2</v>
      </c>
      <c r="X63" s="22">
        <f t="shared" si="17"/>
        <v>5.9398855559527265E-2</v>
      </c>
      <c r="Y63" s="22">
        <f t="shared" si="17"/>
        <v>5.9497518057295966E-2</v>
      </c>
      <c r="Z63" s="22">
        <f t="shared" si="17"/>
        <v>5.9592335556578689E-2</v>
      </c>
      <c r="AA63" s="22">
        <f t="shared" si="17"/>
        <v>5.9683178655916949E-2</v>
      </c>
      <c r="AB63" s="22">
        <f t="shared" si="17"/>
        <v>5.9771940504679918E-2</v>
      </c>
      <c r="AC63" s="22">
        <f t="shared" si="17"/>
        <v>5.9859917680633305E-2</v>
      </c>
      <c r="AD63" s="22">
        <f t="shared" si="17"/>
        <v>5.994622744604354E-2</v>
      </c>
      <c r="AE63" s="22">
        <f t="shared" si="17"/>
        <v>6.0032110794538678E-2</v>
      </c>
      <c r="AF63" s="22">
        <f t="shared" si="17"/>
        <v>6.0117297176971563E-2</v>
      </c>
      <c r="AG63" s="22">
        <f t="shared" si="17"/>
        <v>6.0201104026504609E-2</v>
      </c>
      <c r="AH63" s="22">
        <f t="shared" si="17"/>
        <v>6.0283900321551377E-2</v>
      </c>
      <c r="AI63" s="22">
        <f t="shared" si="17"/>
        <v>6.0365774417580641E-2</v>
      </c>
      <c r="AJ63" s="22">
        <f t="shared" si="17"/>
        <v>6.0447004272429113E-2</v>
      </c>
      <c r="AK63" s="22">
        <f t="shared" si="17"/>
        <v>6.0525104414191039E-2</v>
      </c>
      <c r="AL63" s="22">
        <f t="shared" si="17"/>
        <v>6.0599983467265146E-2</v>
      </c>
      <c r="AM63" s="22">
        <f t="shared" si="17"/>
        <v>6.0672341257529266E-2</v>
      </c>
      <c r="AN63" s="22">
        <f t="shared" si="17"/>
        <v>6.0741620622323307E-2</v>
      </c>
      <c r="AO63" s="22">
        <f t="shared" si="17"/>
        <v>6.0807947239837602E-2</v>
      </c>
      <c r="AP63" s="22">
        <f t="shared" si="17"/>
        <v>6.0871022373773183E-2</v>
      </c>
      <c r="AQ63" s="22">
        <f t="shared" si="17"/>
        <v>6.0929943414023247E-2</v>
      </c>
      <c r="AR63" s="22">
        <f t="shared" si="17"/>
        <v>6.098387393162142E-2</v>
      </c>
      <c r="AS63" s="22">
        <f t="shared" si="17"/>
        <v>6.1032759441621343E-2</v>
      </c>
      <c r="AT63" s="22">
        <f t="shared" si="17"/>
        <v>6.1076225850700765E-2</v>
      </c>
      <c r="AU63" s="22">
        <f t="shared" si="17"/>
        <v>6.1114252195612971E-2</v>
      </c>
      <c r="AV63" s="22">
        <f t="shared" si="17"/>
        <v>6.1147566184616489E-2</v>
      </c>
      <c r="AW63" s="22">
        <f t="shared" si="17"/>
        <v>6.1171840771151238E-2</v>
      </c>
      <c r="AY63" s="79"/>
    </row>
    <row r="64" spans="1:51" x14ac:dyDescent="0.25">
      <c r="A64" s="95" t="str">
        <f t="shared" si="0"/>
        <v>FS Organic</v>
      </c>
      <c r="B64" s="95" t="s">
        <v>1003</v>
      </c>
      <c r="C64" s="95" t="s">
        <v>1126</v>
      </c>
      <c r="D64" t="s">
        <v>369</v>
      </c>
      <c r="E64" t="s">
        <v>55</v>
      </c>
      <c r="F64" t="s">
        <v>421</v>
      </c>
      <c r="G64" t="s">
        <v>1165</v>
      </c>
      <c r="H64" t="s">
        <v>1166</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4.8186162011392024E-2</v>
      </c>
      <c r="T64" s="22">
        <f t="shared" si="17"/>
        <v>4.8220845414281899E-2</v>
      </c>
      <c r="U64" s="22">
        <f t="shared" si="17"/>
        <v>4.8208651468527576E-2</v>
      </c>
      <c r="V64" s="22">
        <f t="shared" si="17"/>
        <v>4.8207773601692518E-2</v>
      </c>
      <c r="W64" s="22">
        <f t="shared" si="17"/>
        <v>4.8258908043487037E-2</v>
      </c>
      <c r="X64" s="22">
        <f t="shared" si="17"/>
        <v>4.8342594269039987E-2</v>
      </c>
      <c r="Y64" s="22">
        <f t="shared" si="17"/>
        <v>4.8422892130914143E-2</v>
      </c>
      <c r="Z64" s="22">
        <f t="shared" si="17"/>
        <v>4.8500060686675887E-2</v>
      </c>
      <c r="AA64" s="22">
        <f t="shared" si="17"/>
        <v>4.8573994621127721E-2</v>
      </c>
      <c r="AB64" s="22">
        <f t="shared" si="17"/>
        <v>4.8646234700518105E-2</v>
      </c>
      <c r="AC64" s="22">
        <f t="shared" si="17"/>
        <v>4.8717836162902997E-2</v>
      </c>
      <c r="AD64" s="22">
        <f t="shared" si="17"/>
        <v>4.8788080579758822E-2</v>
      </c>
      <c r="AE64" s="22">
        <f t="shared" si="17"/>
        <v>4.8857977951209122E-2</v>
      </c>
      <c r="AF64" s="22">
        <f t="shared" si="17"/>
        <v>4.8927308087024161E-2</v>
      </c>
      <c r="AG64" s="22">
        <f t="shared" si="17"/>
        <v>4.8995515470580273E-2</v>
      </c>
      <c r="AH64" s="22">
        <f t="shared" si="17"/>
        <v>4.9062900400150392E-2</v>
      </c>
      <c r="AI64" s="22">
        <f t="shared" si="17"/>
        <v>4.9129534785075896E-2</v>
      </c>
      <c r="AJ64" s="22">
        <f t="shared" si="17"/>
        <v>4.9195644845252684E-2</v>
      </c>
      <c r="AK64" s="22">
        <f t="shared" si="17"/>
        <v>4.9259207744402629E-2</v>
      </c>
      <c r="AL64" s="22">
        <f t="shared" si="17"/>
        <v>4.9320149115207046E-2</v>
      </c>
      <c r="AM64" s="22">
        <f t="shared" si="17"/>
        <v>4.9379038520802346E-2</v>
      </c>
      <c r="AN64" s="22">
        <f t="shared" si="17"/>
        <v>4.9435422506519014E-2</v>
      </c>
      <c r="AO64" s="22">
        <f t="shared" si="17"/>
        <v>4.9489403357320404E-2</v>
      </c>
      <c r="AP64" s="22">
        <f t="shared" si="17"/>
        <v>4.9540737942466703E-2</v>
      </c>
      <c r="AQ64" s="22">
        <f t="shared" si="17"/>
        <v>4.9588691660023831E-2</v>
      </c>
      <c r="AR64" s="22">
        <f t="shared" si="17"/>
        <v>4.9632583770509955E-2</v>
      </c>
      <c r="AS64" s="22">
        <f t="shared" si="17"/>
        <v>4.9672369930584929E-2</v>
      </c>
      <c r="AT64" s="22">
        <f t="shared" si="17"/>
        <v>4.9707745679135391E-2</v>
      </c>
      <c r="AU64" s="22">
        <f t="shared" si="17"/>
        <v>4.9738693954928054E-2</v>
      </c>
      <c r="AV64" s="22">
        <f t="shared" si="17"/>
        <v>4.9765807013567136E-2</v>
      </c>
      <c r="AW64" s="22">
        <f t="shared" si="17"/>
        <v>4.9785563227333289E-2</v>
      </c>
      <c r="AY64" s="79"/>
    </row>
    <row r="65" spans="1:51" x14ac:dyDescent="0.25">
      <c r="A65" s="95" t="str">
        <f t="shared" si="0"/>
        <v>FS Organic</v>
      </c>
      <c r="B65" s="95" t="s">
        <v>1003</v>
      </c>
      <c r="C65" s="95" t="s">
        <v>1126</v>
      </c>
      <c r="D65" t="s">
        <v>369</v>
      </c>
      <c r="E65" t="s">
        <v>55</v>
      </c>
      <c r="F65" t="s">
        <v>421</v>
      </c>
      <c r="G65" t="s">
        <v>1167</v>
      </c>
      <c r="H65" t="s">
        <v>1168</v>
      </c>
      <c r="I65" t="s">
        <v>139</v>
      </c>
      <c r="J65" t="s">
        <v>287</v>
      </c>
      <c r="K65" s="22">
        <f t="shared" si="16"/>
        <v>7.2140927380493743E-3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7.4155715935563127E-3</v>
      </c>
      <c r="R65" s="22">
        <f t="shared" si="17"/>
        <v>7.4643602602570466E-3</v>
      </c>
      <c r="S65" s="22">
        <f t="shared" si="17"/>
        <v>7.446057759840319E-3</v>
      </c>
      <c r="T65" s="22">
        <f t="shared" si="17"/>
        <v>7.4588575402652147E-3</v>
      </c>
      <c r="U65" s="22">
        <f t="shared" si="17"/>
        <v>7.4600996121267065E-3</v>
      </c>
      <c r="V65" s="22">
        <f t="shared" si="17"/>
        <v>7.4635145174609509E-3</v>
      </c>
      <c r="W65" s="22">
        <f t="shared" si="17"/>
        <v>7.478612742540797E-3</v>
      </c>
      <c r="X65" s="22">
        <f t="shared" si="17"/>
        <v>7.5008213874242727E-3</v>
      </c>
      <c r="Y65" s="22">
        <f t="shared" si="17"/>
        <v>7.521785176202795E-3</v>
      </c>
      <c r="Z65" s="22">
        <f t="shared" si="17"/>
        <v>7.5416026776079998E-3</v>
      </c>
      <c r="AA65" s="22">
        <f t="shared" si="17"/>
        <v>7.5602840353540396E-3</v>
      </c>
      <c r="AB65" s="22">
        <f t="shared" si="17"/>
        <v>7.5782158017585468E-3</v>
      </c>
      <c r="AC65" s="22">
        <f t="shared" si="17"/>
        <v>7.5956670242534503E-3</v>
      </c>
      <c r="AD65" s="22">
        <f t="shared" si="17"/>
        <v>7.6124952267758277E-3</v>
      </c>
      <c r="AE65" s="22">
        <f t="shared" si="17"/>
        <v>7.6289531687582885E-3</v>
      </c>
      <c r="AF65" s="22">
        <f t="shared" si="17"/>
        <v>7.6450086817527159E-3</v>
      </c>
      <c r="AG65" s="22">
        <f t="shared" si="17"/>
        <v>7.6605519051480614E-3</v>
      </c>
      <c r="AH65" s="22">
        <f t="shared" si="17"/>
        <v>7.6756674337729895E-3</v>
      </c>
      <c r="AI65" s="22">
        <f t="shared" si="17"/>
        <v>7.6903861453690046E-3</v>
      </c>
      <c r="AJ65" s="22">
        <f t="shared" si="17"/>
        <v>7.7047726653034906E-3</v>
      </c>
      <c r="AK65" s="22">
        <f t="shared" si="17"/>
        <v>7.7183809322326768E-3</v>
      </c>
      <c r="AL65" s="22">
        <f t="shared" si="17"/>
        <v>7.7312077295111602E-3</v>
      </c>
      <c r="AM65" s="22">
        <f t="shared" si="17"/>
        <v>7.7433943538670266E-3</v>
      </c>
      <c r="AN65" s="22">
        <f t="shared" si="17"/>
        <v>7.7548499619508725E-3</v>
      </c>
      <c r="AO65" s="22">
        <f t="shared" si="17"/>
        <v>7.7656086534531824E-3</v>
      </c>
      <c r="AP65" s="22">
        <f t="shared" si="17"/>
        <v>7.7756261682697366E-3</v>
      </c>
      <c r="AQ65" s="22">
        <f t="shared" si="17"/>
        <v>7.7847478814032966E-3</v>
      </c>
      <c r="AR65" s="22">
        <f t="shared" si="17"/>
        <v>7.7928317537802119E-3</v>
      </c>
      <c r="AS65" s="22">
        <f t="shared" si="17"/>
        <v>7.7998783369461555E-3</v>
      </c>
      <c r="AT65" s="22">
        <f t="shared" si="17"/>
        <v>7.8058297320024528E-3</v>
      </c>
      <c r="AU65" s="22">
        <f t="shared" si="17"/>
        <v>7.8106919749548918E-3</v>
      </c>
      <c r="AV65" s="22">
        <f t="shared" si="17"/>
        <v>7.8146060933627498E-3</v>
      </c>
      <c r="AW65" s="22">
        <f t="shared" si="17"/>
        <v>7.8167990100407609E-3</v>
      </c>
      <c r="AY65" s="79"/>
    </row>
    <row r="66" spans="1:51" x14ac:dyDescent="0.25">
      <c r="A66" s="95" t="str">
        <f t="shared" si="0"/>
        <v>FS Organic</v>
      </c>
      <c r="B66" s="95" t="s">
        <v>1003</v>
      </c>
      <c r="C66" s="95" t="s">
        <v>1126</v>
      </c>
      <c r="D66" t="s">
        <v>369</v>
      </c>
      <c r="E66" t="s">
        <v>55</v>
      </c>
      <c r="F66" t="s">
        <v>421</v>
      </c>
      <c r="G66" t="s">
        <v>1169</v>
      </c>
      <c r="H66" t="s">
        <v>1170</v>
      </c>
      <c r="I66" t="s">
        <v>139</v>
      </c>
      <c r="J66" t="s">
        <v>287</v>
      </c>
      <c r="K66" s="22">
        <f t="shared" si="16"/>
        <v>8.7045671471293523E-2</v>
      </c>
      <c r="L66" s="22">
        <f t="shared" si="17"/>
        <v>8.7271948200639354E-2</v>
      </c>
      <c r="M66" s="22">
        <f t="shared" si="17"/>
        <v>8.7584088952434122E-2</v>
      </c>
      <c r="N66" s="22">
        <f t="shared" si="17"/>
        <v>8.7964358824768801E-2</v>
      </c>
      <c r="O66" s="22">
        <f t="shared" si="17"/>
        <v>8.8412215452112072E-2</v>
      </c>
      <c r="P66" s="22">
        <f t="shared" si="17"/>
        <v>8.8924932944132923E-2</v>
      </c>
      <c r="Q66" s="22">
        <f t="shared" si="17"/>
        <v>8.9476727309038565E-2</v>
      </c>
      <c r="R66" s="22">
        <f t="shared" si="17"/>
        <v>9.0065414259340087E-2</v>
      </c>
      <c r="S66" s="22">
        <f t="shared" si="17"/>
        <v>8.9844575202202001E-2</v>
      </c>
      <c r="T66" s="22">
        <f t="shared" si="17"/>
        <v>8.9999018113074689E-2</v>
      </c>
      <c r="U66" s="22">
        <f t="shared" si="17"/>
        <v>9.0014005025930557E-2</v>
      </c>
      <c r="V66" s="22">
        <f t="shared" si="17"/>
        <v>9.0055209476527981E-2</v>
      </c>
      <c r="W66" s="22">
        <f t="shared" si="17"/>
        <v>9.0237385557127583E-2</v>
      </c>
      <c r="X66" s="22">
        <f t="shared" si="17"/>
        <v>9.0505356385413932E-2</v>
      </c>
      <c r="Y66" s="22">
        <f t="shared" si="17"/>
        <v>9.0758306705997438E-2</v>
      </c>
      <c r="Z66" s="22">
        <f t="shared" si="17"/>
        <v>9.0997425855048733E-2</v>
      </c>
      <c r="AA66" s="22">
        <f t="shared" si="17"/>
        <v>9.122283622722524E-2</v>
      </c>
      <c r="AB66" s="22">
        <f t="shared" si="17"/>
        <v>9.1439201985751464E-2</v>
      </c>
      <c r="AC66" s="22">
        <f t="shared" si="17"/>
        <v>9.1649769472921652E-2</v>
      </c>
      <c r="AD66" s="22">
        <f t="shared" si="17"/>
        <v>9.1852819564097965E-2</v>
      </c>
      <c r="AE66" s="22">
        <f t="shared" si="17"/>
        <v>9.2051402069607366E-2</v>
      </c>
      <c r="AF66" s="22">
        <f t="shared" si="17"/>
        <v>9.224512884304413E-2</v>
      </c>
      <c r="AG66" s="22">
        <f t="shared" si="17"/>
        <v>9.2432674299750023E-2</v>
      </c>
      <c r="AH66" s="22">
        <f t="shared" si="17"/>
        <v>9.261505916595239E-2</v>
      </c>
      <c r="AI66" s="22">
        <f t="shared" si="17"/>
        <v>9.2792656014314204E-2</v>
      </c>
      <c r="AJ66" s="22">
        <f t="shared" si="17"/>
        <v>9.2966244618356883E-2</v>
      </c>
      <c r="AK66" s="22">
        <f t="shared" si="17"/>
        <v>9.3130442775411881E-2</v>
      </c>
      <c r="AL66" s="22">
        <f t="shared" si="17"/>
        <v>9.3285211673244717E-2</v>
      </c>
      <c r="AM66" s="22">
        <f t="shared" si="17"/>
        <v>9.3432256206569059E-2</v>
      </c>
      <c r="AN66" s="22">
        <f t="shared" si="17"/>
        <v>9.3570480254135169E-2</v>
      </c>
      <c r="AO66" s="22">
        <f t="shared" si="17"/>
        <v>9.3700295264833783E-2</v>
      </c>
      <c r="AP66" s="22">
        <f t="shared" si="17"/>
        <v>9.3821167193618646E-2</v>
      </c>
      <c r="AQ66" s="22">
        <f t="shared" si="17"/>
        <v>9.3931230326088647E-2</v>
      </c>
      <c r="AR66" s="22">
        <f t="shared" si="17"/>
        <v>9.4028770810344664E-2</v>
      </c>
      <c r="AS66" s="22">
        <f t="shared" si="17"/>
        <v>9.4113795301369402E-2</v>
      </c>
      <c r="AT66" s="22">
        <f t="shared" si="17"/>
        <v>9.4185605187612459E-2</v>
      </c>
      <c r="AU66" s="22">
        <f t="shared" si="17"/>
        <v>9.4244273299878237E-2</v>
      </c>
      <c r="AV66" s="22">
        <f t="shared" si="17"/>
        <v>9.429150128507352E-2</v>
      </c>
      <c r="AW66" s="22">
        <f t="shared" si="17"/>
        <v>9.4317961147962676E-2</v>
      </c>
      <c r="AY66" s="79"/>
    </row>
    <row r="67" spans="1:51" x14ac:dyDescent="0.25">
      <c r="A67" s="95" t="str">
        <f t="shared" si="0"/>
        <v>FS Organic</v>
      </c>
      <c r="B67" s="95" t="s">
        <v>1003</v>
      </c>
      <c r="C67" s="95" t="s">
        <v>1126</v>
      </c>
      <c r="D67" t="s">
        <v>369</v>
      </c>
      <c r="E67" t="s">
        <v>55</v>
      </c>
      <c r="F67" t="s">
        <v>421</v>
      </c>
      <c r="G67" t="s">
        <v>1171</v>
      </c>
      <c r="H67" t="s">
        <v>1172</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5">
      <c r="A68" s="95" t="str">
        <f t="shared" si="0"/>
        <v>FS Organic</v>
      </c>
      <c r="B68" s="95" t="s">
        <v>1003</v>
      </c>
      <c r="C68" s="95" t="s">
        <v>1126</v>
      </c>
      <c r="D68" t="s">
        <v>369</v>
      </c>
      <c r="E68" t="s">
        <v>55</v>
      </c>
      <c r="F68" t="s">
        <v>421</v>
      </c>
      <c r="G68" t="s">
        <v>1173</v>
      </c>
      <c r="H68" t="s">
        <v>1174</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5">
      <c r="A69" s="95" t="str">
        <f t="shared" si="0"/>
        <v>FS Organic</v>
      </c>
      <c r="B69" s="95" t="s">
        <v>1003</v>
      </c>
      <c r="C69" s="95" t="s">
        <v>1126</v>
      </c>
      <c r="D69" t="s">
        <v>369</v>
      </c>
      <c r="E69" t="s">
        <v>55</v>
      </c>
      <c r="F69" t="s">
        <v>421</v>
      </c>
      <c r="G69" t="s">
        <v>1175</v>
      </c>
      <c r="H69" t="s">
        <v>1176</v>
      </c>
      <c r="I69" t="s">
        <v>139</v>
      </c>
      <c r="J69" t="s">
        <v>287</v>
      </c>
      <c r="K69" s="22">
        <f t="shared" si="16"/>
        <v>0.12462873299340151</v>
      </c>
      <c r="L69" s="22">
        <f t="shared" si="18"/>
        <v>0.12395129293471774</v>
      </c>
      <c r="M69" s="22">
        <f t="shared" si="18"/>
        <v>0.1240068951131099</v>
      </c>
      <c r="N69" s="22">
        <f t="shared" si="18"/>
        <v>0.12286841678965583</v>
      </c>
      <c r="O69" s="22">
        <f t="shared" si="18"/>
        <v>0.12100901910044995</v>
      </c>
      <c r="P69" s="22">
        <f t="shared" si="18"/>
        <v>0.11845842648899831</v>
      </c>
      <c r="Q69" s="22">
        <f t="shared" si="18"/>
        <v>0.11660641339960404</v>
      </c>
      <c r="R69" s="22">
        <f t="shared" si="18"/>
        <v>0.11491827863139022</v>
      </c>
      <c r="S69" s="22">
        <f t="shared" si="18"/>
        <v>0.10323336206469676</v>
      </c>
      <c r="T69" s="22">
        <f t="shared" si="18"/>
        <v>0.10789835358112609</v>
      </c>
      <c r="U69" s="22">
        <f t="shared" si="18"/>
        <v>0.10930872077776907</v>
      </c>
      <c r="V69" s="22">
        <f t="shared" si="18"/>
        <v>0.10822994982335406</v>
      </c>
      <c r="W69" s="22">
        <f t="shared" si="18"/>
        <v>0.10728117650505167</v>
      </c>
      <c r="X69" s="22">
        <f t="shared" si="18"/>
        <v>0.10698795772109922</v>
      </c>
      <c r="Y69" s="22">
        <f t="shared" si="18"/>
        <v>0.10732481606756347</v>
      </c>
      <c r="Z69" s="22">
        <f t="shared" si="18"/>
        <v>0.10795224800227457</v>
      </c>
      <c r="AA69" s="22">
        <f t="shared" si="18"/>
        <v>0.10894183514251574</v>
      </c>
      <c r="AB69" s="22">
        <f t="shared" si="18"/>
        <v>0.11053150962299221</v>
      </c>
      <c r="AC69" s="22">
        <f t="shared" si="18"/>
        <v>0.1126657694800189</v>
      </c>
      <c r="AD69" s="22">
        <f t="shared" si="18"/>
        <v>0.11509487827502032</v>
      </c>
      <c r="AE69" s="22">
        <f t="shared" si="18"/>
        <v>0.11779472217084282</v>
      </c>
      <c r="AF69" s="22">
        <f t="shared" si="18"/>
        <v>0.12063025387721567</v>
      </c>
      <c r="AG69" s="22">
        <f t="shared" si="18"/>
        <v>0.12365017099946446</v>
      </c>
      <c r="AH69" s="22">
        <f t="shared" si="18"/>
        <v>0.12678938256448105</v>
      </c>
      <c r="AI69" s="22">
        <f t="shared" si="18"/>
        <v>0.1298357658486077</v>
      </c>
      <c r="AJ69" s="22">
        <f t="shared" si="18"/>
        <v>0.13308363006040799</v>
      </c>
      <c r="AK69" s="22">
        <f t="shared" si="18"/>
        <v>0.13633797236037076</v>
      </c>
      <c r="AL69" s="22">
        <f t="shared" si="18"/>
        <v>0.1395817064491762</v>
      </c>
      <c r="AM69" s="22">
        <f t="shared" si="18"/>
        <v>0.1428987646619678</v>
      </c>
      <c r="AN69" s="22">
        <f t="shared" si="18"/>
        <v>0.14607463913609417</v>
      </c>
      <c r="AO69" s="22">
        <f t="shared" si="18"/>
        <v>0.14939800642693096</v>
      </c>
      <c r="AP69" s="22">
        <f t="shared" si="18"/>
        <v>0.15296466961282101</v>
      </c>
      <c r="AQ69" s="22">
        <f t="shared" si="18"/>
        <v>0.1565936649117094</v>
      </c>
      <c r="AR69" s="22">
        <f t="shared" si="18"/>
        <v>0.16029166396054106</v>
      </c>
      <c r="AS69" s="22">
        <f t="shared" si="18"/>
        <v>0.16424139864286944</v>
      </c>
      <c r="AT69" s="22">
        <f t="shared" si="18"/>
        <v>0.1683741087759702</v>
      </c>
      <c r="AU69" s="22">
        <f t="shared" si="18"/>
        <v>0.17264268700084681</v>
      </c>
      <c r="AV69" s="22">
        <f t="shared" si="18"/>
        <v>0.17715786251954191</v>
      </c>
      <c r="AW69" s="22">
        <f t="shared" si="18"/>
        <v>0.1812449136918291</v>
      </c>
      <c r="AY69" s="79"/>
    </row>
    <row r="70" spans="1:51" x14ac:dyDescent="0.25">
      <c r="A70" s="95" t="str">
        <f t="shared" si="0"/>
        <v>FS Organic</v>
      </c>
      <c r="B70" s="95" t="s">
        <v>1003</v>
      </c>
      <c r="C70" s="95" t="s">
        <v>1126</v>
      </c>
      <c r="D70" t="s">
        <v>369</v>
      </c>
      <c r="E70" t="s">
        <v>55</v>
      </c>
      <c r="F70" t="s">
        <v>421</v>
      </c>
      <c r="G70" t="s">
        <v>1177</v>
      </c>
      <c r="H70" t="s">
        <v>1178</v>
      </c>
      <c r="I70" t="s">
        <v>139</v>
      </c>
      <c r="J70" t="s">
        <v>287</v>
      </c>
      <c r="K70" s="22">
        <f t="shared" si="16"/>
        <v>3.1618785484610064E-2</v>
      </c>
      <c r="L70" s="22">
        <f t="shared" si="18"/>
        <v>3.1446916354757493E-2</v>
      </c>
      <c r="M70" s="22">
        <f t="shared" si="18"/>
        <v>3.1461022839745605E-2</v>
      </c>
      <c r="N70" s="22">
        <f t="shared" si="18"/>
        <v>3.1172186541537569E-2</v>
      </c>
      <c r="O70" s="22">
        <f t="shared" si="18"/>
        <v>3.0700450247237818E-2</v>
      </c>
      <c r="P70" s="22">
        <f t="shared" si="18"/>
        <v>3.0053355161673637E-2</v>
      </c>
      <c r="Q70" s="22">
        <f t="shared" si="18"/>
        <v>2.9583492368545926E-2</v>
      </c>
      <c r="R70" s="22">
        <f t="shared" si="18"/>
        <v>2.9155206131309685E-2</v>
      </c>
      <c r="S70" s="22">
        <f t="shared" si="18"/>
        <v>2.6190698176732228E-2</v>
      </c>
      <c r="T70" s="22">
        <f t="shared" si="18"/>
        <v>2.7374224338819714E-2</v>
      </c>
      <c r="U70" s="22">
        <f t="shared" si="18"/>
        <v>2.773203988242751E-2</v>
      </c>
      <c r="V70" s="22">
        <f t="shared" si="18"/>
        <v>2.7458351571751329E-2</v>
      </c>
      <c r="W70" s="22">
        <f t="shared" si="18"/>
        <v>2.7217644157783535E-2</v>
      </c>
      <c r="X70" s="22">
        <f t="shared" si="18"/>
        <v>2.7143253432569785E-2</v>
      </c>
      <c r="Y70" s="22">
        <f t="shared" si="18"/>
        <v>2.7228715681440727E-2</v>
      </c>
      <c r="Z70" s="22">
        <f t="shared" si="18"/>
        <v>2.7387897559273622E-2</v>
      </c>
      <c r="AA70" s="22">
        <f t="shared" si="18"/>
        <v>2.7638959595724485E-2</v>
      </c>
      <c r="AB70" s="22">
        <f t="shared" si="18"/>
        <v>2.8042266081967953E-2</v>
      </c>
      <c r="AC70" s="22">
        <f t="shared" si="18"/>
        <v>2.8583735957869796E-2</v>
      </c>
      <c r="AD70" s="22">
        <f t="shared" si="18"/>
        <v>2.9200010135285986E-2</v>
      </c>
      <c r="AE70" s="22">
        <f t="shared" si="18"/>
        <v>2.988497084164626E-2</v>
      </c>
      <c r="AF70" s="22">
        <f t="shared" si="18"/>
        <v>3.0604356063699028E-2</v>
      </c>
      <c r="AG70" s="22">
        <f t="shared" si="18"/>
        <v>3.1370520569878685E-2</v>
      </c>
      <c r="AH70" s="22">
        <f t="shared" si="18"/>
        <v>3.2166950531742462E-2</v>
      </c>
      <c r="AI70" s="22">
        <f t="shared" si="18"/>
        <v>3.2939829604257814E-2</v>
      </c>
      <c r="AJ70" s="22">
        <f t="shared" si="18"/>
        <v>3.376382515752635E-2</v>
      </c>
      <c r="AK70" s="22">
        <f t="shared" si="18"/>
        <v>3.4589464226499819E-2</v>
      </c>
      <c r="AL70" s="22">
        <f t="shared" si="18"/>
        <v>3.5412411951792733E-2</v>
      </c>
      <c r="AM70" s="22">
        <f t="shared" si="18"/>
        <v>3.625396228734637E-2</v>
      </c>
      <c r="AN70" s="22">
        <f t="shared" si="18"/>
        <v>3.705969376925726E-2</v>
      </c>
      <c r="AO70" s="22">
        <f t="shared" si="18"/>
        <v>3.7902844742003665E-2</v>
      </c>
      <c r="AP70" s="22">
        <f t="shared" si="18"/>
        <v>3.8807720812407763E-2</v>
      </c>
      <c r="AQ70" s="22">
        <f t="shared" si="18"/>
        <v>3.9728410777909444E-2</v>
      </c>
      <c r="AR70" s="22">
        <f t="shared" si="18"/>
        <v>4.0666607258278795E-2</v>
      </c>
      <c r="AS70" s="22">
        <f t="shared" si="18"/>
        <v>4.1668670030178073E-2</v>
      </c>
      <c r="AT70" s="22">
        <f t="shared" si="18"/>
        <v>4.2717154372673226E-2</v>
      </c>
      <c r="AU70" s="22">
        <f t="shared" si="18"/>
        <v>4.380010896889619E-2</v>
      </c>
      <c r="AV70" s="22">
        <f t="shared" si="18"/>
        <v>4.4945626240250815E-2</v>
      </c>
      <c r="AW70" s="22">
        <f t="shared" si="18"/>
        <v>4.5982526730028013E-2</v>
      </c>
      <c r="AY70" s="79"/>
    </row>
    <row r="71" spans="1:51" x14ac:dyDescent="0.25">
      <c r="A71" s="95" t="str">
        <f t="shared" si="0"/>
        <v>FS Organic</v>
      </c>
      <c r="B71" s="95" t="s">
        <v>1003</v>
      </c>
      <c r="C71" s="95" t="s">
        <v>1126</v>
      </c>
      <c r="D71" t="s">
        <v>369</v>
      </c>
      <c r="E71" t="s">
        <v>55</v>
      </c>
      <c r="F71" t="s">
        <v>421</v>
      </c>
      <c r="G71" t="s">
        <v>1179</v>
      </c>
      <c r="H71" t="s">
        <v>1180</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0.17531753251219057</v>
      </c>
      <c r="S71" s="22">
        <f t="shared" si="18"/>
        <v>0.16826815584544114</v>
      </c>
      <c r="T71" s="22">
        <f t="shared" si="18"/>
        <v>0.17529364111541346</v>
      </c>
      <c r="U71" s="22">
        <f t="shared" si="18"/>
        <v>0.179468936116296</v>
      </c>
      <c r="V71" s="22">
        <f t="shared" si="18"/>
        <v>0.18146185289572461</v>
      </c>
      <c r="W71" s="22">
        <f t="shared" si="18"/>
        <v>0.18367206757119967</v>
      </c>
      <c r="X71" s="22">
        <f t="shared" si="18"/>
        <v>0.18655442341123246</v>
      </c>
      <c r="Y71" s="22">
        <f t="shared" si="18"/>
        <v>0.19002403855752484</v>
      </c>
      <c r="Z71" s="22">
        <f t="shared" si="18"/>
        <v>0.19378713542621159</v>
      </c>
      <c r="AA71" s="22">
        <f t="shared" si="18"/>
        <v>0.19793608752558689</v>
      </c>
      <c r="AB71" s="22">
        <f t="shared" si="18"/>
        <v>0.20274560727871463</v>
      </c>
      <c r="AC71" s="22">
        <f t="shared" si="18"/>
        <v>0.2082010892393113</v>
      </c>
      <c r="AD71" s="22">
        <f t="shared" si="18"/>
        <v>0.21407047800501874</v>
      </c>
      <c r="AE71" s="22">
        <f t="shared" si="18"/>
        <v>0.22035285326760637</v>
      </c>
      <c r="AF71" s="22">
        <f t="shared" si="18"/>
        <v>0.22691830683757538</v>
      </c>
      <c r="AG71" s="22">
        <f t="shared" si="18"/>
        <v>0.23383349407065357</v>
      </c>
      <c r="AH71" s="22">
        <f t="shared" si="18"/>
        <v>0.24104032281254165</v>
      </c>
      <c r="AI71" s="22">
        <f t="shared" si="18"/>
        <v>0.24830078825991211</v>
      </c>
      <c r="AJ71" s="22">
        <f t="shared" si="18"/>
        <v>0.25596851329364728</v>
      </c>
      <c r="AK71" s="22">
        <f t="shared" si="18"/>
        <v>0.26381659798331969</v>
      </c>
      <c r="AL71" s="22">
        <f t="shared" si="18"/>
        <v>0.27182892851236273</v>
      </c>
      <c r="AM71" s="22">
        <f t="shared" si="18"/>
        <v>0.28011873521820613</v>
      </c>
      <c r="AN71" s="22">
        <f t="shared" si="18"/>
        <v>0.28841666797515925</v>
      </c>
      <c r="AO71" s="22">
        <f t="shared" si="18"/>
        <v>0.29710042873684378</v>
      </c>
      <c r="AP71" s="22">
        <f t="shared" si="18"/>
        <v>0.30631512135319056</v>
      </c>
      <c r="AQ71" s="22">
        <f t="shared" si="18"/>
        <v>0.31583438977210859</v>
      </c>
      <c r="AR71" s="22">
        <f t="shared" si="18"/>
        <v>0.32567682367490652</v>
      </c>
      <c r="AS71" s="22">
        <f t="shared" si="18"/>
        <v>0.33611496479516756</v>
      </c>
      <c r="AT71" s="22">
        <f t="shared" si="18"/>
        <v>0.34707529344515536</v>
      </c>
      <c r="AU71" s="22">
        <f t="shared" si="18"/>
        <v>0.35851078392222901</v>
      </c>
      <c r="AV71" s="22">
        <f t="shared" si="18"/>
        <v>0.37060965152650638</v>
      </c>
      <c r="AW71" s="22">
        <f t="shared" si="18"/>
        <v>0.38235584366830411</v>
      </c>
      <c r="AY71" s="79"/>
    </row>
    <row r="72" spans="1:51" x14ac:dyDescent="0.25">
      <c r="A72" s="95" t="str">
        <f t="shared" si="0"/>
        <v>FS Organic</v>
      </c>
      <c r="B72" s="95" t="s">
        <v>1003</v>
      </c>
      <c r="C72" s="95" t="s">
        <v>1126</v>
      </c>
      <c r="D72" t="s">
        <v>369</v>
      </c>
      <c r="E72" t="s">
        <v>55</v>
      </c>
      <c r="F72" t="s">
        <v>421</v>
      </c>
      <c r="G72" t="s">
        <v>1181</v>
      </c>
      <c r="H72" t="s">
        <v>1182</v>
      </c>
      <c r="I72" t="s">
        <v>139</v>
      </c>
      <c r="J72" t="s">
        <v>287</v>
      </c>
      <c r="K72" s="22">
        <f t="shared" si="16"/>
        <v>0.78620275218739033</v>
      </c>
      <c r="L72" s="22">
        <f t="shared" si="18"/>
        <v>0.79655563720176326</v>
      </c>
      <c r="M72" s="22">
        <f t="shared" si="18"/>
        <v>0.81318534024672107</v>
      </c>
      <c r="N72" s="22">
        <f t="shared" si="18"/>
        <v>0.81796021384654038</v>
      </c>
      <c r="O72" s="22">
        <f t="shared" si="18"/>
        <v>0.81503229757580586</v>
      </c>
      <c r="P72" s="22">
        <f t="shared" si="18"/>
        <v>0.80443274266431908</v>
      </c>
      <c r="Q72" s="22">
        <f t="shared" si="18"/>
        <v>0.79997057217510736</v>
      </c>
      <c r="R72" s="22">
        <f t="shared" si="18"/>
        <v>0.79652072541357855</v>
      </c>
      <c r="S72" s="22">
        <f t="shared" si="18"/>
        <v>0.6929945167812448</v>
      </c>
      <c r="T72" s="22">
        <f t="shared" si="18"/>
        <v>0.75569325830504319</v>
      </c>
      <c r="U72" s="22">
        <f t="shared" si="18"/>
        <v>0.78586192008020839</v>
      </c>
      <c r="V72" s="22">
        <f t="shared" si="18"/>
        <v>0.78963673487778696</v>
      </c>
      <c r="W72" s="22">
        <f t="shared" si="18"/>
        <v>0.79398832301737687</v>
      </c>
      <c r="X72" s="22">
        <f t="shared" si="18"/>
        <v>0.80502399258159163</v>
      </c>
      <c r="Y72" s="22">
        <f t="shared" si="18"/>
        <v>0.82319477266803398</v>
      </c>
      <c r="Z72" s="22">
        <f t="shared" si="18"/>
        <v>0.84493550271536799</v>
      </c>
      <c r="AA72" s="22">
        <f t="shared" si="18"/>
        <v>0.87120575605676209</v>
      </c>
      <c r="AB72" s="22">
        <f t="shared" si="18"/>
        <v>0.90492220164986781</v>
      </c>
      <c r="AC72" s="22">
        <f t="shared" si="18"/>
        <v>0.94570019320131005</v>
      </c>
      <c r="AD72" s="22">
        <f t="shared" si="18"/>
        <v>0.9908342510405731</v>
      </c>
      <c r="AE72" s="22">
        <f t="shared" si="18"/>
        <v>1.0401746402938727</v>
      </c>
      <c r="AF72" s="22">
        <f t="shared" si="18"/>
        <v>1.0922195176686915</v>
      </c>
      <c r="AG72" s="22">
        <f t="shared" si="18"/>
        <v>1.1476653338002605</v>
      </c>
      <c r="AH72" s="22">
        <f t="shared" si="18"/>
        <v>1.2058049098103554</v>
      </c>
      <c r="AI72" s="22">
        <f t="shared" si="18"/>
        <v>1.2640288398876942</v>
      </c>
      <c r="AJ72" s="22">
        <f t="shared" si="18"/>
        <v>1.3261031190213208</v>
      </c>
      <c r="AK72" s="22">
        <f t="shared" si="18"/>
        <v>1.3896418297181288</v>
      </c>
      <c r="AL72" s="22">
        <f t="shared" si="18"/>
        <v>1.4544565281623518</v>
      </c>
      <c r="AM72" s="22">
        <f t="shared" si="18"/>
        <v>1.521690334823528</v>
      </c>
      <c r="AN72" s="22">
        <f t="shared" si="18"/>
        <v>1.5885204638072115</v>
      </c>
      <c r="AO72" s="22">
        <f t="shared" si="18"/>
        <v>1.6588648682392355</v>
      </c>
      <c r="AP72" s="22">
        <f t="shared" si="18"/>
        <v>1.7341718158890906</v>
      </c>
      <c r="AQ72" s="22">
        <f t="shared" si="18"/>
        <v>1.812078309357211</v>
      </c>
      <c r="AR72" s="22">
        <f t="shared" si="18"/>
        <v>1.8927662707454833</v>
      </c>
      <c r="AS72" s="22">
        <f t="shared" si="18"/>
        <v>1.9789566108434027</v>
      </c>
      <c r="AT72" s="22">
        <f t="shared" si="18"/>
        <v>2.0698402438653445</v>
      </c>
      <c r="AU72" s="22">
        <f t="shared" si="18"/>
        <v>2.1648797356645511</v>
      </c>
      <c r="AV72" s="22">
        <f t="shared" si="18"/>
        <v>2.2658660016789853</v>
      </c>
      <c r="AW72" s="22">
        <f t="shared" si="18"/>
        <v>2.3628024258404521</v>
      </c>
      <c r="AY72" s="79"/>
    </row>
    <row r="73" spans="1:51" x14ac:dyDescent="0.25">
      <c r="A73" s="95" t="str">
        <f t="shared" si="0"/>
        <v>FS U&amp;D</v>
      </c>
      <c r="B73" s="95" t="s">
        <v>1003</v>
      </c>
      <c r="C73" s="95" t="s">
        <v>1335</v>
      </c>
      <c r="D73" t="s">
        <v>369</v>
      </c>
      <c r="E73" t="s">
        <v>55</v>
      </c>
      <c r="F73" t="s">
        <v>422</v>
      </c>
      <c r="G73" t="s">
        <v>1151</v>
      </c>
      <c r="H73" t="s">
        <v>1239</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5">
      <c r="A74" s="95" t="str">
        <f t="shared" si="0"/>
        <v>FS U&amp;D</v>
      </c>
      <c r="B74" s="95" t="s">
        <v>1003</v>
      </c>
      <c r="C74" s="95" t="s">
        <v>1335</v>
      </c>
      <c r="D74" t="s">
        <v>369</v>
      </c>
      <c r="E74" t="s">
        <v>55</v>
      </c>
      <c r="F74" t="s">
        <v>422</v>
      </c>
      <c r="G74" t="s">
        <v>1153</v>
      </c>
      <c r="H74" t="s">
        <v>1240</v>
      </c>
      <c r="I74" t="s">
        <v>139</v>
      </c>
      <c r="J74" t="s">
        <v>287</v>
      </c>
      <c r="K74" s="22">
        <f t="shared" si="16"/>
        <v>1.0775797812462991</v>
      </c>
      <c r="L74" s="22">
        <f t="shared" si="18"/>
        <v>1.0836040032789309</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1.1114672588381174</v>
      </c>
      <c r="S74" s="22">
        <f t="shared" si="18"/>
        <v>1.0793644035028189</v>
      </c>
      <c r="T74" s="22">
        <f t="shared" si="18"/>
        <v>1.1011309234167481</v>
      </c>
      <c r="U74" s="22">
        <f t="shared" si="18"/>
        <v>1.1119360252245196</v>
      </c>
      <c r="V74" s="22">
        <f t="shared" si="18"/>
        <v>1.1147578792291293</v>
      </c>
      <c r="W74" s="22">
        <f t="shared" si="18"/>
        <v>1.1187702241985282</v>
      </c>
      <c r="X74" s="22">
        <f t="shared" si="18"/>
        <v>1.1255029693063063</v>
      </c>
      <c r="Y74" s="22">
        <f t="shared" si="18"/>
        <v>1.1343971625372145</v>
      </c>
      <c r="Z74" s="22">
        <f t="shared" si="18"/>
        <v>1.1443552033124911</v>
      </c>
      <c r="AA74" s="22">
        <f t="shared" si="18"/>
        <v>1.1556907140958508</v>
      </c>
      <c r="AB74" s="22">
        <f t="shared" si="18"/>
        <v>1.1693756036758489</v>
      </c>
      <c r="AC74" s="22">
        <f t="shared" si="18"/>
        <v>1.1853303744222352</v>
      </c>
      <c r="AD74" s="22">
        <f t="shared" si="18"/>
        <v>1.202695771968407</v>
      </c>
      <c r="AE74" s="22">
        <f t="shared" si="18"/>
        <v>1.2214561017242225</v>
      </c>
      <c r="AF74" s="22">
        <f t="shared" ref="L74:AW81" si="19">AF1483</f>
        <v>1.2411353009439861</v>
      </c>
      <c r="AG74" s="22">
        <f t="shared" si="19"/>
        <v>1.2619534777795529</v>
      </c>
      <c r="AH74" s="22">
        <f t="shared" si="19"/>
        <v>1.2836965756368759</v>
      </c>
      <c r="AI74" s="22">
        <f t="shared" si="19"/>
        <v>1.3055267417806069</v>
      </c>
      <c r="AJ74" s="22">
        <f t="shared" si="19"/>
        <v>1.3286718687824415</v>
      </c>
      <c r="AK74" s="22">
        <f t="shared" si="19"/>
        <v>1.3523228735789439</v>
      </c>
      <c r="AL74" s="22">
        <f t="shared" si="19"/>
        <v>1.3764196040319214</v>
      </c>
      <c r="AM74" s="22">
        <f t="shared" si="19"/>
        <v>1.4013502875110349</v>
      </c>
      <c r="AN74" s="22">
        <f t="shared" si="19"/>
        <v>1.4261842268183196</v>
      </c>
      <c r="AO74" s="22">
        <f t="shared" si="19"/>
        <v>1.4522110683153209</v>
      </c>
      <c r="AP74" s="22">
        <f t="shared" si="19"/>
        <v>1.4799113366388263</v>
      </c>
      <c r="AQ74" s="22">
        <f t="shared" si="19"/>
        <v>1.5084997172355739</v>
      </c>
      <c r="AR74" s="22">
        <f t="shared" si="19"/>
        <v>1.538027931051154</v>
      </c>
      <c r="AS74" s="22">
        <f t="shared" si="19"/>
        <v>1.5694046317393286</v>
      </c>
      <c r="AT74" s="22">
        <f t="shared" si="19"/>
        <v>1.602365939528593</v>
      </c>
      <c r="AU74" s="22">
        <f t="shared" si="19"/>
        <v>1.6367417968061735</v>
      </c>
      <c r="AV74" s="22">
        <f t="shared" si="19"/>
        <v>1.673151630600247</v>
      </c>
      <c r="AW74" s="22">
        <f t="shared" si="19"/>
        <v>1.7081846028232541</v>
      </c>
      <c r="AY74" s="79"/>
    </row>
    <row r="75" spans="1:51" x14ac:dyDescent="0.25">
      <c r="A75" s="95" t="str">
        <f t="shared" si="0"/>
        <v>FS U&amp;D</v>
      </c>
      <c r="B75" s="95" t="s">
        <v>1003</v>
      </c>
      <c r="C75" s="95" t="s">
        <v>1335</v>
      </c>
      <c r="D75" t="s">
        <v>369</v>
      </c>
      <c r="E75" t="s">
        <v>55</v>
      </c>
      <c r="F75" t="s">
        <v>422</v>
      </c>
      <c r="G75" t="s">
        <v>1155</v>
      </c>
      <c r="H75" t="s">
        <v>1241</v>
      </c>
      <c r="I75" t="s">
        <v>139</v>
      </c>
      <c r="J75" t="s">
        <v>287</v>
      </c>
      <c r="K75" s="22">
        <f t="shared" si="16"/>
        <v>0.73383920392416069</v>
      </c>
      <c r="L75" s="22">
        <f t="shared" si="19"/>
        <v>0.73794174034663862</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0.75691680802528449</v>
      </c>
      <c r="S75" s="22">
        <f t="shared" si="19"/>
        <v>0.73505454389139269</v>
      </c>
      <c r="T75" s="22">
        <f t="shared" si="19"/>
        <v>0.74987769288121808</v>
      </c>
      <c r="U75" s="22">
        <f t="shared" si="19"/>
        <v>0.75723604114176524</v>
      </c>
      <c r="V75" s="22">
        <f t="shared" si="19"/>
        <v>0.75915774302627725</v>
      </c>
      <c r="W75" s="22">
        <f t="shared" si="19"/>
        <v>0.76189017740325427</v>
      </c>
      <c r="X75" s="22">
        <f t="shared" si="19"/>
        <v>0.7664752228876841</v>
      </c>
      <c r="Y75" s="22">
        <f t="shared" si="19"/>
        <v>0.77253222933278298</v>
      </c>
      <c r="Z75" s="22">
        <f t="shared" si="19"/>
        <v>0.77931372323453529</v>
      </c>
      <c r="AA75" s="22">
        <f t="shared" si="19"/>
        <v>0.78703328363656277</v>
      </c>
      <c r="AB75" s="22">
        <f t="shared" si="19"/>
        <v>0.79635278707375712</v>
      </c>
      <c r="AC75" s="22">
        <f t="shared" si="19"/>
        <v>0.80721809511598763</v>
      </c>
      <c r="AD75" s="22">
        <f t="shared" si="19"/>
        <v>0.81904404966050492</v>
      </c>
      <c r="AE75" s="22">
        <f t="shared" si="19"/>
        <v>0.83181996258403779</v>
      </c>
      <c r="AF75" s="22">
        <f t="shared" si="19"/>
        <v>0.8452216318995045</v>
      </c>
      <c r="AG75" s="22">
        <f t="shared" si="19"/>
        <v>0.85939895276431877</v>
      </c>
      <c r="AH75" s="22">
        <f t="shared" si="19"/>
        <v>0.87420615117333955</v>
      </c>
      <c r="AI75" s="22">
        <f t="shared" si="19"/>
        <v>0.88907264368113259</v>
      </c>
      <c r="AJ75" s="22">
        <f t="shared" si="19"/>
        <v>0.90483463353037208</v>
      </c>
      <c r="AK75" s="22">
        <f t="shared" si="19"/>
        <v>0.92094112961904073</v>
      </c>
      <c r="AL75" s="22">
        <f t="shared" si="19"/>
        <v>0.93735116792946294</v>
      </c>
      <c r="AM75" s="22">
        <f t="shared" si="19"/>
        <v>0.9543291339566633</v>
      </c>
      <c r="AN75" s="22">
        <f t="shared" si="19"/>
        <v>0.97124121654091655</v>
      </c>
      <c r="AO75" s="22">
        <f t="shared" si="19"/>
        <v>0.98896567367830823</v>
      </c>
      <c r="AP75" s="22">
        <f t="shared" si="19"/>
        <v>1.0078297459342822</v>
      </c>
      <c r="AQ75" s="22">
        <f t="shared" si="19"/>
        <v>1.0272986287248762</v>
      </c>
      <c r="AR75" s="22">
        <f t="shared" si="19"/>
        <v>1.0474075443679165</v>
      </c>
      <c r="AS75" s="22">
        <f t="shared" si="19"/>
        <v>1.068775292218703</v>
      </c>
      <c r="AT75" s="22">
        <f t="shared" si="19"/>
        <v>1.0912221683473529</v>
      </c>
      <c r="AU75" s="22">
        <f t="shared" si="19"/>
        <v>1.1146323623560173</v>
      </c>
      <c r="AV75" s="22">
        <f t="shared" si="19"/>
        <v>1.1394277082890591</v>
      </c>
      <c r="AW75" s="22">
        <f t="shared" si="19"/>
        <v>1.1632854020715975</v>
      </c>
      <c r="AY75" s="79"/>
    </row>
    <row r="76" spans="1:51" x14ac:dyDescent="0.25">
      <c r="A76" s="95" t="str">
        <f t="shared" si="0"/>
        <v>FS U&amp;D</v>
      </c>
      <c r="B76" s="95" t="s">
        <v>1003</v>
      </c>
      <c r="C76" s="95" t="s">
        <v>1335</v>
      </c>
      <c r="D76" t="s">
        <v>369</v>
      </c>
      <c r="E76" t="s">
        <v>55</v>
      </c>
      <c r="F76" t="s">
        <v>422</v>
      </c>
      <c r="G76" t="s">
        <v>1157</v>
      </c>
      <c r="H76" t="s">
        <v>1242</v>
      </c>
      <c r="I76" t="s">
        <v>139</v>
      </c>
      <c r="J76" t="s">
        <v>287</v>
      </c>
      <c r="K76" s="22">
        <f t="shared" si="16"/>
        <v>15.353527292296837</v>
      </c>
      <c r="L76" s="22">
        <f t="shared" si="19"/>
        <v>15.220371053361486</v>
      </c>
      <c r="M76" s="22">
        <f t="shared" si="19"/>
        <v>15.169682504177882</v>
      </c>
      <c r="N76" s="22">
        <f t="shared" si="19"/>
        <v>14.967111251021189</v>
      </c>
      <c r="O76" s="22">
        <f t="shared" si="19"/>
        <v>14.673074129931946</v>
      </c>
      <c r="P76" s="22">
        <f t="shared" si="19"/>
        <v>14.293651368256896</v>
      </c>
      <c r="Q76" s="22">
        <f t="shared" si="19"/>
        <v>13.994389539168758</v>
      </c>
      <c r="R76" s="22">
        <f t="shared" si="19"/>
        <v>13.711253827544139</v>
      </c>
      <c r="S76" s="22">
        <f t="shared" si="19"/>
        <v>12.243525743929849</v>
      </c>
      <c r="T76" s="22">
        <f t="shared" si="19"/>
        <v>12.828892404772391</v>
      </c>
      <c r="U76" s="22">
        <f t="shared" si="19"/>
        <v>13.031546455407888</v>
      </c>
      <c r="V76" s="22">
        <f t="shared" si="19"/>
        <v>12.943540859671467</v>
      </c>
      <c r="W76" s="22">
        <f t="shared" si="19"/>
        <v>12.871954504278984</v>
      </c>
      <c r="X76" s="22">
        <f t="shared" si="19"/>
        <v>12.876656938031642</v>
      </c>
      <c r="Y76" s="22">
        <f t="shared" si="19"/>
        <v>12.952269652428015</v>
      </c>
      <c r="Z76" s="22">
        <f t="shared" si="19"/>
        <v>13.059558904717129</v>
      </c>
      <c r="AA76" s="22">
        <f t="shared" si="19"/>
        <v>13.207166717271191</v>
      </c>
      <c r="AB76" s="22">
        <f t="shared" si="19"/>
        <v>13.423383196860698</v>
      </c>
      <c r="AC76" s="22">
        <f t="shared" si="19"/>
        <v>13.702101889701561</v>
      </c>
      <c r="AD76" s="22">
        <f t="shared" si="19"/>
        <v>13.896423189138504</v>
      </c>
      <c r="AE76" s="22">
        <f t="shared" si="19"/>
        <v>14.113699365030318</v>
      </c>
      <c r="AF76" s="22">
        <f t="shared" si="19"/>
        <v>14.337556202398742</v>
      </c>
      <c r="AG76" s="22">
        <f t="shared" si="19"/>
        <v>14.572966422289987</v>
      </c>
      <c r="AH76" s="22">
        <f t="shared" si="19"/>
        <v>14.811902600863377</v>
      </c>
      <c r="AI76" s="22">
        <f t="shared" si="19"/>
        <v>15.030093790009266</v>
      </c>
      <c r="AJ76" s="22">
        <f t="shared" si="19"/>
        <v>15.260245449721568</v>
      </c>
      <c r="AK76" s="22">
        <f t="shared" si="19"/>
        <v>15.479975870373321</v>
      </c>
      <c r="AL76" s="22">
        <f t="shared" si="19"/>
        <v>15.687168192029855</v>
      </c>
      <c r="AM76" s="22">
        <f t="shared" si="19"/>
        <v>15.890679126882141</v>
      </c>
      <c r="AN76" s="22">
        <f t="shared" si="19"/>
        <v>16.149107215315812</v>
      </c>
      <c r="AO76" s="22">
        <f t="shared" si="19"/>
        <v>16.416401953220753</v>
      </c>
      <c r="AP76" s="22">
        <f t="shared" si="19"/>
        <v>16.702277130443278</v>
      </c>
      <c r="AQ76" s="22">
        <f t="shared" si="19"/>
        <v>16.98704006145238</v>
      </c>
      <c r="AR76" s="22">
        <f t="shared" si="19"/>
        <v>17.271060351529361</v>
      </c>
      <c r="AS76" s="22">
        <f t="shared" si="19"/>
        <v>17.573003837482712</v>
      </c>
      <c r="AT76" s="22">
        <f t="shared" si="19"/>
        <v>17.88505244077637</v>
      </c>
      <c r="AU76" s="22">
        <f t="shared" si="19"/>
        <v>18.201780897575926</v>
      </c>
      <c r="AV76" s="22">
        <f t="shared" si="19"/>
        <v>18.533967675320017</v>
      </c>
      <c r="AW76" s="22">
        <f t="shared" si="19"/>
        <v>18.812464966150909</v>
      </c>
      <c r="AY76" s="79"/>
    </row>
    <row r="77" spans="1:51" x14ac:dyDescent="0.25">
      <c r="A77" s="95" t="str">
        <f t="shared" si="0"/>
        <v>FS U&amp;D</v>
      </c>
      <c r="B77" s="95" t="s">
        <v>1003</v>
      </c>
      <c r="C77" s="95" t="s">
        <v>1335</v>
      </c>
      <c r="D77" t="s">
        <v>369</v>
      </c>
      <c r="E77" t="s">
        <v>55</v>
      </c>
      <c r="F77" t="s">
        <v>422</v>
      </c>
      <c r="G77" t="s">
        <v>1159</v>
      </c>
      <c r="H77" t="s">
        <v>1243</v>
      </c>
      <c r="I77" t="s">
        <v>139</v>
      </c>
      <c r="J77" t="s">
        <v>287</v>
      </c>
      <c r="K77" s="22">
        <f t="shared" si="16"/>
        <v>9.6543103644621411</v>
      </c>
      <c r="L77" s="22">
        <f t="shared" si="19"/>
        <v>9.570581613851763</v>
      </c>
      <c r="M77" s="22">
        <f t="shared" si="19"/>
        <v>9.5387086131772989</v>
      </c>
      <c r="N77" s="22">
        <f t="shared" si="19"/>
        <v>9.4113316455488931</v>
      </c>
      <c r="O77" s="22">
        <f t="shared" si="19"/>
        <v>9.2264408662754729</v>
      </c>
      <c r="P77" s="22">
        <f t="shared" si="19"/>
        <v>8.9878595272244652</v>
      </c>
      <c r="Q77" s="22">
        <f t="shared" si="19"/>
        <v>8.7996834473406587</v>
      </c>
      <c r="R77" s="22">
        <f t="shared" si="19"/>
        <v>8.6216474831450967</v>
      </c>
      <c r="S77" s="22">
        <f t="shared" si="19"/>
        <v>7.6987388784911763</v>
      </c>
      <c r="T77" s="22">
        <f t="shared" si="19"/>
        <v>8.0668179077067048</v>
      </c>
      <c r="U77" s="22">
        <f t="shared" si="19"/>
        <v>8.1942469384566685</v>
      </c>
      <c r="V77" s="22">
        <f t="shared" si="19"/>
        <v>8.1389089487638984</v>
      </c>
      <c r="W77" s="22">
        <f t="shared" si="19"/>
        <v>8.0938953906633806</v>
      </c>
      <c r="X77" s="22">
        <f t="shared" si="19"/>
        <v>8.0968522848058253</v>
      </c>
      <c r="Y77" s="22">
        <f t="shared" si="19"/>
        <v>8.1443976207006106</v>
      </c>
      <c r="Z77" s="22">
        <f t="shared" si="19"/>
        <v>8.2118611892116604</v>
      </c>
      <c r="AA77" s="22">
        <f t="shared" si="19"/>
        <v>8.304677100987929</v>
      </c>
      <c r="AB77" s="22">
        <f t="shared" si="19"/>
        <v>8.4406341980203354</v>
      </c>
      <c r="AC77" s="22">
        <f t="shared" si="19"/>
        <v>8.6158927372364591</v>
      </c>
      <c r="AD77" s="22">
        <f t="shared" si="19"/>
        <v>8.738082127301313</v>
      </c>
      <c r="AE77" s="22">
        <f t="shared" si="19"/>
        <v>8.8747055622246656</v>
      </c>
      <c r="AF77" s="22">
        <f t="shared" si="19"/>
        <v>9.015466922400579</v>
      </c>
      <c r="AG77" s="22">
        <f t="shared" si="19"/>
        <v>9.1634930588400287</v>
      </c>
      <c r="AH77" s="22">
        <f t="shared" si="19"/>
        <v>9.3137363209471946</v>
      </c>
      <c r="AI77" s="22">
        <f t="shared" si="19"/>
        <v>9.4509351169438833</v>
      </c>
      <c r="AJ77" s="22">
        <f t="shared" si="19"/>
        <v>9.5956546664947826</v>
      </c>
      <c r="AK77" s="22">
        <f t="shared" si="19"/>
        <v>9.7338213325058032</v>
      </c>
      <c r="AL77" s="22">
        <f t="shared" si="19"/>
        <v>9.8641040317399575</v>
      </c>
      <c r="AM77" s="22">
        <f t="shared" si="19"/>
        <v>9.9920718719776573</v>
      </c>
      <c r="AN77" s="22">
        <f t="shared" si="19"/>
        <v>10.154571662751145</v>
      </c>
      <c r="AO77" s="22">
        <f t="shared" si="19"/>
        <v>10.322646809874932</v>
      </c>
      <c r="AP77" s="22">
        <f t="shared" si="19"/>
        <v>10.502405352251484</v>
      </c>
      <c r="AQ77" s="22">
        <f t="shared" si="19"/>
        <v>10.681464513310528</v>
      </c>
      <c r="AR77" s="22">
        <f t="shared" si="19"/>
        <v>10.860056701151523</v>
      </c>
      <c r="AS77" s="22">
        <f t="shared" si="19"/>
        <v>11.049919009038504</v>
      </c>
      <c r="AT77" s="22">
        <f t="shared" si="19"/>
        <v>11.246135422872308</v>
      </c>
      <c r="AU77" s="22">
        <f t="shared" si="19"/>
        <v>11.445294532371156</v>
      </c>
      <c r="AV77" s="22">
        <f t="shared" si="19"/>
        <v>11.654173846567643</v>
      </c>
      <c r="AW77" s="22">
        <f t="shared" si="19"/>
        <v>11.829293168021046</v>
      </c>
      <c r="AY77" s="79"/>
    </row>
    <row r="78" spans="1:51" x14ac:dyDescent="0.25">
      <c r="A78" s="95" t="str">
        <f t="shared" si="0"/>
        <v>FS U&amp;D</v>
      </c>
      <c r="B78" s="95" t="s">
        <v>1003</v>
      </c>
      <c r="C78" s="95" t="s">
        <v>1335</v>
      </c>
      <c r="D78" t="s">
        <v>369</v>
      </c>
      <c r="E78" t="s">
        <v>55</v>
      </c>
      <c r="F78" t="s">
        <v>422</v>
      </c>
      <c r="G78" t="s">
        <v>1161</v>
      </c>
      <c r="H78" t="s">
        <v>1244</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5">
      <c r="A79" s="95" t="str">
        <f t="shared" si="0"/>
        <v>FS U&amp;D</v>
      </c>
      <c r="B79" s="95" t="s">
        <v>1003</v>
      </c>
      <c r="C79" s="95" t="s">
        <v>1335</v>
      </c>
      <c r="D79" t="s">
        <v>369</v>
      </c>
      <c r="E79" t="s">
        <v>55</v>
      </c>
      <c r="F79" t="s">
        <v>422</v>
      </c>
      <c r="G79" t="s">
        <v>1163</v>
      </c>
      <c r="H79" t="s">
        <v>1245</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5.8849979697860864</v>
      </c>
      <c r="T79" s="22">
        <f t="shared" si="19"/>
        <v>5.8892338696185709</v>
      </c>
      <c r="U79" s="22">
        <f t="shared" si="19"/>
        <v>5.8877446174554535</v>
      </c>
      <c r="V79" s="22">
        <f t="shared" si="19"/>
        <v>5.8876374031780276</v>
      </c>
      <c r="W79" s="22">
        <f t="shared" si="19"/>
        <v>5.8938824759040038</v>
      </c>
      <c r="X79" s="22">
        <f t="shared" si="19"/>
        <v>5.9041031128445773</v>
      </c>
      <c r="Y79" s="22">
        <f t="shared" si="19"/>
        <v>5.9139099273818276</v>
      </c>
      <c r="Z79" s="22">
        <f t="shared" si="19"/>
        <v>5.9233345583346297</v>
      </c>
      <c r="AA79" s="22">
        <f t="shared" si="19"/>
        <v>5.9323641435098171</v>
      </c>
      <c r="AB79" s="22">
        <f t="shared" si="19"/>
        <v>5.9411868573928839</v>
      </c>
      <c r="AC79" s="22">
        <f t="shared" si="19"/>
        <v>5.9499315766894556</v>
      </c>
      <c r="AD79" s="22">
        <f t="shared" si="19"/>
        <v>5.9585105593958936</v>
      </c>
      <c r="AE79" s="22">
        <f t="shared" si="19"/>
        <v>5.9670471572884827</v>
      </c>
      <c r="AF79" s="22">
        <f t="shared" si="19"/>
        <v>5.9755144784339187</v>
      </c>
      <c r="AG79" s="22">
        <f t="shared" si="19"/>
        <v>5.9838446773332894</v>
      </c>
      <c r="AH79" s="22">
        <f t="shared" si="19"/>
        <v>5.992074429551792</v>
      </c>
      <c r="AI79" s="22">
        <f t="shared" si="19"/>
        <v>6.0002125174101231</v>
      </c>
      <c r="AJ79" s="22">
        <f t="shared" si="19"/>
        <v>6.0082865692474714</v>
      </c>
      <c r="AK79" s="22">
        <f t="shared" si="19"/>
        <v>6.0160495351454939</v>
      </c>
      <c r="AL79" s="22">
        <f t="shared" si="19"/>
        <v>6.0234923325896075</v>
      </c>
      <c r="AM79" s="22">
        <f t="shared" si="19"/>
        <v>6.0306845225857399</v>
      </c>
      <c r="AN79" s="22">
        <f t="shared" si="19"/>
        <v>6.0375707245080381</v>
      </c>
      <c r="AO79" s="22">
        <f t="shared" si="19"/>
        <v>6.0441634304657859</v>
      </c>
      <c r="AP79" s="22">
        <f t="shared" si="19"/>
        <v>6.0504329467907079</v>
      </c>
      <c r="AQ79" s="22">
        <f t="shared" si="19"/>
        <v>6.0562895562131533</v>
      </c>
      <c r="AR79" s="22">
        <f t="shared" si="19"/>
        <v>6.0616501197093573</v>
      </c>
      <c r="AS79" s="22">
        <f t="shared" si="19"/>
        <v>6.0665092216069407</v>
      </c>
      <c r="AT79" s="22">
        <f t="shared" si="19"/>
        <v>6.0708296779310995</v>
      </c>
      <c r="AU79" s="22">
        <f t="shared" si="19"/>
        <v>6.0746094049856261</v>
      </c>
      <c r="AV79" s="22">
        <f t="shared" si="19"/>
        <v>6.0779207352179032</v>
      </c>
      <c r="AW79" s="22">
        <f t="shared" si="19"/>
        <v>6.0803335706264781</v>
      </c>
      <c r="AY79" s="79"/>
    </row>
    <row r="80" spans="1:51" x14ac:dyDescent="0.25">
      <c r="A80" s="95" t="str">
        <f t="shared" si="0"/>
        <v>FS U&amp;D</v>
      </c>
      <c r="B80" s="95" t="s">
        <v>1003</v>
      </c>
      <c r="C80" s="95" t="s">
        <v>1335</v>
      </c>
      <c r="D80" t="s">
        <v>369</v>
      </c>
      <c r="E80" t="s">
        <v>55</v>
      </c>
      <c r="F80" t="s">
        <v>422</v>
      </c>
      <c r="G80" t="s">
        <v>1165</v>
      </c>
      <c r="H80" t="s">
        <v>1246</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0.65693953925961401</v>
      </c>
      <c r="T80" s="22">
        <f t="shared" si="19"/>
        <v>0.65741239075397129</v>
      </c>
      <c r="U80" s="22">
        <f t="shared" si="19"/>
        <v>0.65724614623954603</v>
      </c>
      <c r="V80" s="22">
        <f t="shared" si="19"/>
        <v>0.65723417796047845</v>
      </c>
      <c r="W80" s="22">
        <f t="shared" si="19"/>
        <v>0.65793131247442549</v>
      </c>
      <c r="X80" s="22">
        <f t="shared" si="19"/>
        <v>0.65907223734086595</v>
      </c>
      <c r="Y80" s="22">
        <f t="shared" si="19"/>
        <v>0.66016696740819658</v>
      </c>
      <c r="Z80" s="22">
        <f t="shared" si="19"/>
        <v>0.66121903450280095</v>
      </c>
      <c r="AA80" s="22">
        <f t="shared" si="19"/>
        <v>0.66222700282414093</v>
      </c>
      <c r="AB80" s="22">
        <f t="shared" si="19"/>
        <v>0.66321187820100891</v>
      </c>
      <c r="AC80" s="22">
        <f t="shared" si="19"/>
        <v>0.66418804707908485</v>
      </c>
      <c r="AD80" s="22">
        <f t="shared" si="19"/>
        <v>0.66514571486001184</v>
      </c>
      <c r="AE80" s="22">
        <f t="shared" si="19"/>
        <v>0.66609865124422019</v>
      </c>
      <c r="AF80" s="22">
        <f t="shared" si="19"/>
        <v>0.6670438542979179</v>
      </c>
      <c r="AG80" s="22">
        <f t="shared" si="19"/>
        <v>0.6679737504601575</v>
      </c>
      <c r="AH80" s="22">
        <f t="shared" si="19"/>
        <v>0.66889243380693197</v>
      </c>
      <c r="AI80" s="22">
        <f t="shared" si="19"/>
        <v>0.66980088470454557</v>
      </c>
      <c r="AJ80" s="22">
        <f t="shared" si="19"/>
        <v>0.67070218729143127</v>
      </c>
      <c r="AK80" s="22">
        <f t="shared" si="19"/>
        <v>0.6715687635020805</v>
      </c>
      <c r="AL80" s="22">
        <f t="shared" si="19"/>
        <v>0.67239959945968686</v>
      </c>
      <c r="AM80" s="22">
        <f t="shared" si="19"/>
        <v>0.67320246022643382</v>
      </c>
      <c r="AN80" s="22">
        <f t="shared" si="19"/>
        <v>0.67397116368925725</v>
      </c>
      <c r="AO80" s="22">
        <f t="shared" si="19"/>
        <v>0.67470710433640646</v>
      </c>
      <c r="AP80" s="22">
        <f t="shared" si="19"/>
        <v>0.67540696747773998</v>
      </c>
      <c r="AQ80" s="22">
        <f t="shared" si="19"/>
        <v>0.67606073801688993</v>
      </c>
      <c r="AR80" s="22">
        <f t="shared" si="19"/>
        <v>0.67665913518396625</v>
      </c>
      <c r="AS80" s="22">
        <f t="shared" si="19"/>
        <v>0.67720155443002239</v>
      </c>
      <c r="AT80" s="22">
        <f t="shared" si="19"/>
        <v>0.67768384492554279</v>
      </c>
      <c r="AU80" s="22">
        <f t="shared" si="19"/>
        <v>0.67810577406850514</v>
      </c>
      <c r="AV80" s="22">
        <f t="shared" si="19"/>
        <v>0.67847541629579156</v>
      </c>
      <c r="AW80" s="22">
        <f t="shared" si="19"/>
        <v>0.67874475997097328</v>
      </c>
      <c r="AY80" s="79"/>
    </row>
    <row r="81" spans="1:51" x14ac:dyDescent="0.25">
      <c r="A81" s="95" t="str">
        <f t="shared" si="0"/>
        <v>FS U&amp;D</v>
      </c>
      <c r="B81" s="95" t="s">
        <v>1003</v>
      </c>
      <c r="C81" s="95" t="s">
        <v>1335</v>
      </c>
      <c r="D81" t="s">
        <v>369</v>
      </c>
      <c r="E81" t="s">
        <v>55</v>
      </c>
      <c r="F81" t="s">
        <v>422</v>
      </c>
      <c r="G81" t="s">
        <v>1167</v>
      </c>
      <c r="H81" t="s">
        <v>1247</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0.73708994755228407</v>
      </c>
      <c r="R81" s="22">
        <f t="shared" si="19"/>
        <v>0.74193942345928476</v>
      </c>
      <c r="S81" s="22">
        <f t="shared" si="19"/>
        <v>0.74012019902027282</v>
      </c>
      <c r="T81" s="22">
        <f t="shared" si="19"/>
        <v>0.74139246635166289</v>
      </c>
      <c r="U81" s="22">
        <f t="shared" ref="L81:AW87" si="20">U1490</f>
        <v>0.74151592530175092</v>
      </c>
      <c r="V81" s="22">
        <f t="shared" si="20"/>
        <v>0.74185535866328745</v>
      </c>
      <c r="W81" s="22">
        <f t="shared" si="20"/>
        <v>0.74335608585495871</v>
      </c>
      <c r="X81" s="22">
        <f t="shared" si="20"/>
        <v>0.74556357164156939</v>
      </c>
      <c r="Y81" s="22">
        <f t="shared" si="20"/>
        <v>0.74764732173100068</v>
      </c>
      <c r="Z81" s="22">
        <f t="shared" si="20"/>
        <v>0.74961713361766258</v>
      </c>
      <c r="AA81" s="22">
        <f t="shared" si="20"/>
        <v>0.75147401556229898</v>
      </c>
      <c r="AB81" s="22">
        <f t="shared" si="20"/>
        <v>0.75325638993383137</v>
      </c>
      <c r="AC81" s="22">
        <f t="shared" si="20"/>
        <v>0.75499099939868619</v>
      </c>
      <c r="AD81" s="22">
        <f t="shared" si="20"/>
        <v>0.75666368217952507</v>
      </c>
      <c r="AE81" s="22">
        <f t="shared" si="20"/>
        <v>0.75829956195489012</v>
      </c>
      <c r="AF81" s="22">
        <f t="shared" si="20"/>
        <v>0.75989544125855291</v>
      </c>
      <c r="AG81" s="22">
        <f t="shared" si="20"/>
        <v>0.76144040021050008</v>
      </c>
      <c r="AH81" s="22">
        <f t="shared" si="20"/>
        <v>0.76294284733285755</v>
      </c>
      <c r="AI81" s="22">
        <f t="shared" si="20"/>
        <v>0.76440585179872644</v>
      </c>
      <c r="AJ81" s="22">
        <f t="shared" si="20"/>
        <v>0.76583583721390103</v>
      </c>
      <c r="AK81" s="22">
        <f t="shared" si="20"/>
        <v>0.76718846615565761</v>
      </c>
      <c r="AL81" s="22">
        <f t="shared" si="20"/>
        <v>0.76846341889719361</v>
      </c>
      <c r="AM81" s="22">
        <f t="shared" si="20"/>
        <v>0.769674739992807</v>
      </c>
      <c r="AN81" s="22">
        <f t="shared" si="20"/>
        <v>0.77081339983246644</v>
      </c>
      <c r="AO81" s="22">
        <f t="shared" si="20"/>
        <v>0.77188278784323794</v>
      </c>
      <c r="AP81" s="22">
        <f t="shared" si="20"/>
        <v>0.77287850467741359</v>
      </c>
      <c r="AQ81" s="22">
        <f t="shared" si="20"/>
        <v>0.77378518098285765</v>
      </c>
      <c r="AR81" s="22">
        <f t="shared" si="20"/>
        <v>0.77458869841791256</v>
      </c>
      <c r="AS81" s="22">
        <f t="shared" si="20"/>
        <v>0.77528911180488913</v>
      </c>
      <c r="AT81" s="22">
        <f t="shared" si="20"/>
        <v>0.77588066613277407</v>
      </c>
      <c r="AU81" s="22">
        <f t="shared" si="20"/>
        <v>0.77636396136599817</v>
      </c>
      <c r="AV81" s="22">
        <f t="shared" si="20"/>
        <v>0.77675301530412866</v>
      </c>
      <c r="AW81" s="22">
        <f t="shared" si="20"/>
        <v>0.77697098593778646</v>
      </c>
      <c r="AY81" s="79"/>
    </row>
    <row r="82" spans="1:51" x14ac:dyDescent="0.25">
      <c r="A82" s="95" t="str">
        <f t="shared" si="0"/>
        <v>FS U&amp;D</v>
      </c>
      <c r="B82" s="95" t="s">
        <v>1003</v>
      </c>
      <c r="C82" s="95" t="s">
        <v>1335</v>
      </c>
      <c r="D82" t="s">
        <v>369</v>
      </c>
      <c r="E82" t="s">
        <v>55</v>
      </c>
      <c r="F82" t="s">
        <v>422</v>
      </c>
      <c r="G82" t="s">
        <v>1169</v>
      </c>
      <c r="H82" t="s">
        <v>1248</v>
      </c>
      <c r="I82" t="s">
        <v>139</v>
      </c>
      <c r="J82" t="s">
        <v>287</v>
      </c>
      <c r="K82" s="22">
        <f t="shared" si="16"/>
        <v>1.1867254191644501</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1.2198688909683482</v>
      </c>
      <c r="R82" s="22">
        <f t="shared" si="20"/>
        <v>1.2278946750888551</v>
      </c>
      <c r="S82" s="22">
        <f t="shared" si="20"/>
        <v>1.2248838955955119</v>
      </c>
      <c r="T82" s="22">
        <f t="shared" si="20"/>
        <v>1.2269894721858747</v>
      </c>
      <c r="U82" s="22">
        <f t="shared" si="20"/>
        <v>1.2271937942404954</v>
      </c>
      <c r="V82" s="22">
        <f t="shared" si="20"/>
        <v>1.2277555495590562</v>
      </c>
      <c r="W82" s="22">
        <f t="shared" si="20"/>
        <v>1.2302392225775656</v>
      </c>
      <c r="X82" s="22">
        <f t="shared" si="20"/>
        <v>1.2338925667145779</v>
      </c>
      <c r="Y82" s="22">
        <f t="shared" si="20"/>
        <v>1.2373411307861553</v>
      </c>
      <c r="Z82" s="22">
        <f t="shared" si="20"/>
        <v>1.2406011294465342</v>
      </c>
      <c r="AA82" s="22">
        <f t="shared" si="20"/>
        <v>1.2436742313467632</v>
      </c>
      <c r="AB82" s="22">
        <f t="shared" si="20"/>
        <v>1.2466240247269491</v>
      </c>
      <c r="AC82" s="22">
        <f t="shared" si="20"/>
        <v>1.2494947681568149</v>
      </c>
      <c r="AD82" s="22">
        <f t="shared" si="20"/>
        <v>1.2522630241825274</v>
      </c>
      <c r="AE82" s="22">
        <f t="shared" si="20"/>
        <v>1.2549703719817464</v>
      </c>
      <c r="AF82" s="22">
        <f t="shared" si="20"/>
        <v>1.2576115198128128</v>
      </c>
      <c r="AG82" s="22">
        <f t="shared" si="20"/>
        <v>1.2601683954961149</v>
      </c>
      <c r="AH82" s="22">
        <f t="shared" si="20"/>
        <v>1.2626549149649742</v>
      </c>
      <c r="AI82" s="22">
        <f t="shared" si="20"/>
        <v>1.2650761576385281</v>
      </c>
      <c r="AJ82" s="22">
        <f t="shared" si="20"/>
        <v>1.2674427544538867</v>
      </c>
      <c r="AK82" s="22">
        <f t="shared" si="20"/>
        <v>1.2696813278770511</v>
      </c>
      <c r="AL82" s="22">
        <f t="shared" si="20"/>
        <v>1.2717913487666579</v>
      </c>
      <c r="AM82" s="22">
        <f t="shared" si="20"/>
        <v>1.2737960605747884</v>
      </c>
      <c r="AN82" s="22">
        <f t="shared" si="20"/>
        <v>1.2756805194802561</v>
      </c>
      <c r="AO82" s="22">
        <f t="shared" si="20"/>
        <v>1.2774503349160069</v>
      </c>
      <c r="AP82" s="22">
        <f t="shared" si="20"/>
        <v>1.2790982260509465</v>
      </c>
      <c r="AQ82" s="22">
        <f t="shared" si="20"/>
        <v>1.2805987569194814</v>
      </c>
      <c r="AR82" s="22">
        <f t="shared" si="20"/>
        <v>1.2819285619529504</v>
      </c>
      <c r="AS82" s="22">
        <f t="shared" si="20"/>
        <v>1.2830877318811631</v>
      </c>
      <c r="AT82" s="22">
        <f t="shared" si="20"/>
        <v>1.2840667422777918</v>
      </c>
      <c r="AU82" s="22">
        <f t="shared" si="20"/>
        <v>1.2848665860717841</v>
      </c>
      <c r="AV82" s="22">
        <f t="shared" si="20"/>
        <v>1.2855104624366835</v>
      </c>
      <c r="AW82" s="22">
        <f t="shared" si="20"/>
        <v>1.2858711994078322</v>
      </c>
      <c r="AY82" s="79"/>
    </row>
    <row r="83" spans="1:51" x14ac:dyDescent="0.25">
      <c r="A83" s="95" t="str">
        <f t="shared" si="0"/>
        <v>FS U&amp;D</v>
      </c>
      <c r="B83" s="95" t="s">
        <v>1003</v>
      </c>
      <c r="C83" s="95" t="s">
        <v>1335</v>
      </c>
      <c r="D83" t="s">
        <v>369</v>
      </c>
      <c r="E83" t="s">
        <v>55</v>
      </c>
      <c r="F83" t="s">
        <v>422</v>
      </c>
      <c r="G83" t="s">
        <v>1171</v>
      </c>
      <c r="H83" t="s">
        <v>1249</v>
      </c>
      <c r="I83" t="s">
        <v>139</v>
      </c>
      <c r="J83" t="s">
        <v>287</v>
      </c>
      <c r="K83" s="22">
        <f t="shared" si="16"/>
        <v>0.19147730421375916</v>
      </c>
      <c r="L83" s="22">
        <f t="shared" si="20"/>
        <v>0.19240499933397132</v>
      </c>
      <c r="M83" s="22">
        <f t="shared" si="20"/>
        <v>0.19381280191845884</v>
      </c>
      <c r="N83" s="22">
        <f t="shared" si="20"/>
        <v>0.19411375969056655</v>
      </c>
      <c r="O83" s="22">
        <f t="shared" si="20"/>
        <v>0.19368291106027893</v>
      </c>
      <c r="P83" s="22">
        <f t="shared" si="20"/>
        <v>0.19253602379697463</v>
      </c>
      <c r="Q83" s="22">
        <f t="shared" si="20"/>
        <v>0.19190012409058904</v>
      </c>
      <c r="R83" s="22">
        <f t="shared" si="20"/>
        <v>0.19132863754616411</v>
      </c>
      <c r="S83" s="22">
        <f t="shared" si="20"/>
        <v>0.18266880885015579</v>
      </c>
      <c r="T83" s="22">
        <f t="shared" si="20"/>
        <v>0.18809378134692423</v>
      </c>
      <c r="U83" s="22">
        <f t="shared" si="20"/>
        <v>0.19079942650123977</v>
      </c>
      <c r="V83" s="22">
        <f t="shared" si="20"/>
        <v>0.19120805768125793</v>
      </c>
      <c r="W83" s="22">
        <f t="shared" si="20"/>
        <v>0.191567581973451</v>
      </c>
      <c r="X83" s="22">
        <f t="shared" si="20"/>
        <v>0.19243995083448096</v>
      </c>
      <c r="Y83" s="22">
        <f t="shared" si="20"/>
        <v>0.1939290152815269</v>
      </c>
      <c r="Z83" s="22">
        <f t="shared" si="20"/>
        <v>0.19572566733105584</v>
      </c>
      <c r="AA83" s="22">
        <f t="shared" si="20"/>
        <v>0.19791142753361757</v>
      </c>
      <c r="AB83" s="22">
        <f t="shared" si="20"/>
        <v>0.20073163120248141</v>
      </c>
      <c r="AC83" s="22">
        <f t="shared" si="20"/>
        <v>0.20414944143031946</v>
      </c>
      <c r="AD83" s="22">
        <f t="shared" si="20"/>
        <v>0.2079342142091529</v>
      </c>
      <c r="AE83" s="22">
        <f t="shared" si="20"/>
        <v>0.2120704701686861</v>
      </c>
      <c r="AF83" s="22">
        <f t="shared" si="20"/>
        <v>0.21643036681214611</v>
      </c>
      <c r="AG83" s="22">
        <f t="shared" si="20"/>
        <v>0.22107481526755876</v>
      </c>
      <c r="AH83" s="22">
        <f t="shared" si="20"/>
        <v>0.22594299924319575</v>
      </c>
      <c r="AI83" s="22">
        <f t="shared" si="20"/>
        <v>0.23081287404445633</v>
      </c>
      <c r="AJ83" s="22">
        <f t="shared" si="20"/>
        <v>0.23600481014510816</v>
      </c>
      <c r="AK83" s="22">
        <f t="shared" si="20"/>
        <v>0.24132262653826006</v>
      </c>
      <c r="AL83" s="22">
        <f t="shared" si="20"/>
        <v>0.24675186109010536</v>
      </c>
      <c r="AM83" s="22">
        <f t="shared" si="20"/>
        <v>0.25238913765935056</v>
      </c>
      <c r="AN83" s="22">
        <f t="shared" si="20"/>
        <v>0.25799715238539928</v>
      </c>
      <c r="AO83" s="22">
        <f t="shared" si="20"/>
        <v>0.26391035530015045</v>
      </c>
      <c r="AP83" s="22">
        <f t="shared" si="20"/>
        <v>0.27025468976471112</v>
      </c>
      <c r="AQ83" s="22">
        <f t="shared" si="20"/>
        <v>0.27683409216202315</v>
      </c>
      <c r="AR83" s="22">
        <f t="shared" si="20"/>
        <v>0.28366954305937575</v>
      </c>
      <c r="AS83" s="22">
        <f t="shared" si="20"/>
        <v>0.29099654328717883</v>
      </c>
      <c r="AT83" s="22">
        <f t="shared" si="20"/>
        <v>0.29875152246319292</v>
      </c>
      <c r="AU83" s="22">
        <f t="shared" si="20"/>
        <v>0.30689307002053717</v>
      </c>
      <c r="AV83" s="22">
        <f t="shared" si="20"/>
        <v>0.31557625829716562</v>
      </c>
      <c r="AW83" s="22">
        <f t="shared" si="20"/>
        <v>0.32396777623584005</v>
      </c>
      <c r="AY83" s="79"/>
    </row>
    <row r="84" spans="1:51" x14ac:dyDescent="0.25">
      <c r="A84" s="95" t="str">
        <f t="shared" si="0"/>
        <v>FS U&amp;D</v>
      </c>
      <c r="B84" s="95" t="s">
        <v>1003</v>
      </c>
      <c r="C84" s="95" t="s">
        <v>1335</v>
      </c>
      <c r="D84" t="s">
        <v>369</v>
      </c>
      <c r="E84" t="s">
        <v>55</v>
      </c>
      <c r="F84" t="s">
        <v>422</v>
      </c>
      <c r="G84" t="s">
        <v>1173</v>
      </c>
      <c r="H84" t="s">
        <v>1250</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5">
      <c r="A85" s="95" t="str">
        <f t="shared" si="0"/>
        <v>FS U&amp;D</v>
      </c>
      <c r="B85" s="95" t="s">
        <v>1003</v>
      </c>
      <c r="C85" s="95" t="s">
        <v>1335</v>
      </c>
      <c r="D85" t="s">
        <v>369</v>
      </c>
      <c r="E85" t="s">
        <v>55</v>
      </c>
      <c r="F85" t="s">
        <v>422</v>
      </c>
      <c r="G85" t="s">
        <v>1175</v>
      </c>
      <c r="H85" t="s">
        <v>1251</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5">
      <c r="A86" s="95" t="str">
        <f t="shared" si="0"/>
        <v>FS U&amp;D</v>
      </c>
      <c r="B86" s="95" t="s">
        <v>1003</v>
      </c>
      <c r="C86" s="95" t="s">
        <v>1335</v>
      </c>
      <c r="D86" t="s">
        <v>369</v>
      </c>
      <c r="E86" t="s">
        <v>55</v>
      </c>
      <c r="F86" t="s">
        <v>422</v>
      </c>
      <c r="G86" t="s">
        <v>1177</v>
      </c>
      <c r="H86" t="s">
        <v>1252</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5">
      <c r="A87" s="95" t="str">
        <f t="shared" si="0"/>
        <v>FS U&amp;D</v>
      </c>
      <c r="B87" s="95" t="s">
        <v>1003</v>
      </c>
      <c r="C87" s="95" t="s">
        <v>1335</v>
      </c>
      <c r="D87" t="s">
        <v>369</v>
      </c>
      <c r="E87" t="s">
        <v>55</v>
      </c>
      <c r="F87" t="s">
        <v>422</v>
      </c>
      <c r="G87" t="s">
        <v>1179</v>
      </c>
      <c r="H87" t="s">
        <v>1253</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5">
      <c r="A88" s="95" t="str">
        <f t="shared" si="0"/>
        <v>FS U&amp;D</v>
      </c>
      <c r="B88" s="95" t="s">
        <v>1003</v>
      </c>
      <c r="C88" s="95" t="s">
        <v>1335</v>
      </c>
      <c r="D88" t="s">
        <v>369</v>
      </c>
      <c r="E88" t="s">
        <v>55</v>
      </c>
      <c r="F88" t="s">
        <v>422</v>
      </c>
      <c r="G88" t="s">
        <v>1181</v>
      </c>
      <c r="H88" t="s">
        <v>1254</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5">
      <c r="A89" s="95" t="str">
        <f t="shared" si="0"/>
        <v>FS FSOM</v>
      </c>
      <c r="B89" s="95" t="s">
        <v>1003</v>
      </c>
      <c r="C89" s="95" t="s">
        <v>60</v>
      </c>
      <c r="D89" t="s">
        <v>369</v>
      </c>
      <c r="E89" t="s">
        <v>55</v>
      </c>
      <c r="F89" t="s">
        <v>60</v>
      </c>
      <c r="G89" t="s">
        <v>1265</v>
      </c>
      <c r="H89" t="s">
        <v>1266</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5">
      <c r="A90" s="95" t="str">
        <f t="shared" si="0"/>
        <v>FS FSOM</v>
      </c>
      <c r="B90" s="95" t="s">
        <v>1003</v>
      </c>
      <c r="C90" s="95" t="s">
        <v>60</v>
      </c>
      <c r="D90" t="s">
        <v>369</v>
      </c>
      <c r="E90" t="s">
        <v>55</v>
      </c>
      <c r="F90" t="s">
        <v>60</v>
      </c>
      <c r="G90" t="s">
        <v>1267</v>
      </c>
      <c r="H90" t="s">
        <v>1268</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5">
      <c r="A91" s="95" t="str">
        <f t="shared" si="0"/>
        <v>FS FSOM</v>
      </c>
      <c r="B91" s="95" t="s">
        <v>1003</v>
      </c>
      <c r="C91" s="95" t="s">
        <v>60</v>
      </c>
      <c r="D91" t="s">
        <v>369</v>
      </c>
      <c r="E91" t="s">
        <v>55</v>
      </c>
      <c r="F91" t="s">
        <v>60</v>
      </c>
      <c r="G91" t="s">
        <v>1269</v>
      </c>
      <c r="H91" t="s">
        <v>1270</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5">
      <c r="A92" s="95" t="str">
        <f t="shared" si="0"/>
        <v>FS FSOM</v>
      </c>
      <c r="B92" s="95" t="s">
        <v>1003</v>
      </c>
      <c r="C92" s="95" t="s">
        <v>60</v>
      </c>
      <c r="D92" t="s">
        <v>369</v>
      </c>
      <c r="E92" t="s">
        <v>55</v>
      </c>
      <c r="F92" t="s">
        <v>60</v>
      </c>
      <c r="G92" t="s">
        <v>1271</v>
      </c>
      <c r="H92" t="s">
        <v>1272</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5">
      <c r="A93" s="95" t="str">
        <f t="shared" si="0"/>
        <v>FS FSOM</v>
      </c>
      <c r="B93" s="95" t="s">
        <v>1003</v>
      </c>
      <c r="C93" s="95" t="s">
        <v>60</v>
      </c>
      <c r="D93" t="s">
        <v>369</v>
      </c>
      <c r="E93" t="s">
        <v>55</v>
      </c>
      <c r="F93" t="s">
        <v>60</v>
      </c>
      <c r="G93" t="s">
        <v>1273</v>
      </c>
      <c r="H93" t="s">
        <v>1274</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5">
      <c r="A94" s="95" t="str">
        <f t="shared" si="0"/>
        <v>FS FSOM</v>
      </c>
      <c r="B94" s="95" t="s">
        <v>1003</v>
      </c>
      <c r="C94" s="95" t="s">
        <v>60</v>
      </c>
      <c r="D94" t="s">
        <v>369</v>
      </c>
      <c r="E94" t="s">
        <v>55</v>
      </c>
      <c r="F94" t="s">
        <v>60</v>
      </c>
      <c r="G94" t="s">
        <v>1275</v>
      </c>
      <c r="H94" t="s">
        <v>1276</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5">
      <c r="A95" s="95" t="str">
        <f t="shared" si="0"/>
        <v>FS FSOM</v>
      </c>
      <c r="B95" s="95" t="s">
        <v>1003</v>
      </c>
      <c r="C95" s="95" t="s">
        <v>60</v>
      </c>
      <c r="D95" t="s">
        <v>369</v>
      </c>
      <c r="E95" t="s">
        <v>55</v>
      </c>
      <c r="F95" t="s">
        <v>60</v>
      </c>
      <c r="G95" t="s">
        <v>1277</v>
      </c>
      <c r="H95" t="s">
        <v>1278</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5">
      <c r="A96" s="95" t="str">
        <f t="shared" si="0"/>
        <v>FS FSOM</v>
      </c>
      <c r="B96" s="95" t="s">
        <v>1003</v>
      </c>
      <c r="C96" s="95" t="s">
        <v>60</v>
      </c>
      <c r="D96" t="s">
        <v>369</v>
      </c>
      <c r="E96" t="s">
        <v>55</v>
      </c>
      <c r="F96" t="s">
        <v>60</v>
      </c>
      <c r="G96" t="s">
        <v>1279</v>
      </c>
      <c r="H96" t="s">
        <v>1280</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5">
      <c r="A97" s="95" t="str">
        <f t="shared" si="0"/>
        <v>FS FSOM</v>
      </c>
      <c r="B97" s="95" t="s">
        <v>1003</v>
      </c>
      <c r="C97" s="95" t="s">
        <v>60</v>
      </c>
      <c r="D97" t="s">
        <v>369</v>
      </c>
      <c r="E97" t="s">
        <v>55</v>
      </c>
      <c r="F97" t="s">
        <v>60</v>
      </c>
      <c r="G97" t="s">
        <v>1281</v>
      </c>
      <c r="H97" t="s">
        <v>1282</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5">
      <c r="A98" s="95" t="str">
        <f t="shared" si="0"/>
        <v>FS FSOM</v>
      </c>
      <c r="B98" s="95" t="s">
        <v>1003</v>
      </c>
      <c r="C98" s="95" t="s">
        <v>60</v>
      </c>
      <c r="D98" t="s">
        <v>369</v>
      </c>
      <c r="E98" t="s">
        <v>55</v>
      </c>
      <c r="F98" t="s">
        <v>60</v>
      </c>
      <c r="G98" t="s">
        <v>1283</v>
      </c>
      <c r="H98" t="s">
        <v>1284</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5">
      <c r="A99" s="95" t="str">
        <f t="shared" si="0"/>
        <v>FS FSOM</v>
      </c>
      <c r="B99" s="95" t="s">
        <v>1003</v>
      </c>
      <c r="C99" s="95" t="s">
        <v>60</v>
      </c>
      <c r="D99" t="s">
        <v>369</v>
      </c>
      <c r="E99" t="s">
        <v>55</v>
      </c>
      <c r="F99" t="s">
        <v>60</v>
      </c>
      <c r="G99" t="s">
        <v>1285</v>
      </c>
      <c r="H99" t="s">
        <v>1286</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5">
      <c r="A100" s="95" t="str">
        <f t="shared" si="0"/>
        <v>FS FSOM</v>
      </c>
      <c r="B100" s="95" t="s">
        <v>1003</v>
      </c>
      <c r="C100" s="95" t="s">
        <v>60</v>
      </c>
      <c r="D100" t="s">
        <v>369</v>
      </c>
      <c r="E100" t="s">
        <v>55</v>
      </c>
      <c r="F100" t="s">
        <v>60</v>
      </c>
      <c r="G100" t="s">
        <v>1287</v>
      </c>
      <c r="H100" t="s">
        <v>1288</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5">
      <c r="A101" s="95" t="str">
        <f t="shared" si="0"/>
        <v>FS Volatilisation</v>
      </c>
      <c r="B101" s="95" t="s">
        <v>1003</v>
      </c>
      <c r="C101" s="95" t="s">
        <v>62</v>
      </c>
      <c r="D101" t="s">
        <v>369</v>
      </c>
      <c r="E101" t="s">
        <v>61</v>
      </c>
      <c r="F101" t="s">
        <v>62</v>
      </c>
      <c r="G101" t="s">
        <v>435</v>
      </c>
      <c r="H101" t="s">
        <v>1183</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0.66036342435905737</v>
      </c>
      <c r="U101" s="22">
        <f t="shared" si="22"/>
        <v>0.66004971859529549</v>
      </c>
      <c r="V101" s="22">
        <f t="shared" si="22"/>
        <v>0.65987679285209155</v>
      </c>
      <c r="W101" s="22">
        <f t="shared" si="22"/>
        <v>0.65980968039636112</v>
      </c>
      <c r="X101" s="22">
        <f t="shared" si="22"/>
        <v>0.65973729403354264</v>
      </c>
      <c r="Y101" s="22">
        <f t="shared" si="22"/>
        <v>0.6596371673513507</v>
      </c>
      <c r="Z101" s="22">
        <f t="shared" ref="L101:AW108" si="23">Z1510</f>
        <v>0.65951092743964945</v>
      </c>
      <c r="AA101" s="22">
        <f t="shared" si="23"/>
        <v>0.65937292152761395</v>
      </c>
      <c r="AB101" s="22">
        <f t="shared" si="23"/>
        <v>0.65921980493186427</v>
      </c>
      <c r="AC101" s="22">
        <f t="shared" si="23"/>
        <v>0.65904099002136718</v>
      </c>
      <c r="AD101" s="22">
        <f t="shared" si="23"/>
        <v>0.6588390077412124</v>
      </c>
      <c r="AE101" s="22">
        <f t="shared" si="23"/>
        <v>0.65862502813307378</v>
      </c>
      <c r="AF101" s="22">
        <f t="shared" si="23"/>
        <v>0.65840030111280701</v>
      </c>
      <c r="AG101" s="22">
        <f t="shared" si="23"/>
        <v>0.65817083248767305</v>
      </c>
      <c r="AH101" s="22">
        <f t="shared" si="23"/>
        <v>0.65793473576190653</v>
      </c>
      <c r="AI101" s="22">
        <f t="shared" si="23"/>
        <v>0.65769490947439302</v>
      </c>
      <c r="AJ101" s="22">
        <f t="shared" si="23"/>
        <v>0.65746015679174796</v>
      </c>
      <c r="AK101" s="22">
        <f t="shared" si="23"/>
        <v>0.65721839556094175</v>
      </c>
      <c r="AL101" s="22">
        <f t="shared" si="23"/>
        <v>0.65697772026100598</v>
      </c>
      <c r="AM101" s="22">
        <f t="shared" si="23"/>
        <v>0.65673876647835383</v>
      </c>
      <c r="AN101" s="22">
        <f t="shared" si="23"/>
        <v>0.65649818227366441</v>
      </c>
      <c r="AO101" s="22">
        <f t="shared" si="23"/>
        <v>0.65626429517048157</v>
      </c>
      <c r="AP101" s="22">
        <f t="shared" si="23"/>
        <v>0.65602587146144697</v>
      </c>
      <c r="AQ101" s="22">
        <f t="shared" si="23"/>
        <v>0.65577947514353263</v>
      </c>
      <c r="AR101" s="22">
        <f t="shared" si="23"/>
        <v>0.65553213474499905</v>
      </c>
      <c r="AS101" s="22">
        <f t="shared" si="23"/>
        <v>0.65528365550023426</v>
      </c>
      <c r="AT101" s="22">
        <f t="shared" si="23"/>
        <v>0.65502749591835585</v>
      </c>
      <c r="AU101" s="22">
        <f t="shared" si="23"/>
        <v>0.65476643110027843</v>
      </c>
      <c r="AV101" s="22">
        <f t="shared" si="23"/>
        <v>0.65450232737774761</v>
      </c>
      <c r="AW101" s="22">
        <f t="shared" si="23"/>
        <v>0.65423151331477958</v>
      </c>
      <c r="AY101" s="79"/>
    </row>
    <row r="102" spans="1:51" x14ac:dyDescent="0.25">
      <c r="A102" s="95" t="str">
        <f t="shared" si="0"/>
        <v>FS Volatilisation</v>
      </c>
      <c r="B102" s="95" t="s">
        <v>1003</v>
      </c>
      <c r="C102" s="95" t="s">
        <v>62</v>
      </c>
      <c r="D102" t="s">
        <v>369</v>
      </c>
      <c r="E102" t="s">
        <v>61</v>
      </c>
      <c r="F102" t="s">
        <v>62</v>
      </c>
      <c r="G102" t="s">
        <v>436</v>
      </c>
      <c r="H102" t="s">
        <v>1184</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8.7167972015395577E-3</v>
      </c>
      <c r="U102" s="22">
        <f t="shared" si="23"/>
        <v>8.7126562854578996E-3</v>
      </c>
      <c r="V102" s="22">
        <f t="shared" si="23"/>
        <v>8.7103736656476104E-3</v>
      </c>
      <c r="W102" s="22">
        <f t="shared" si="23"/>
        <v>8.7094877812319699E-3</v>
      </c>
      <c r="X102" s="22">
        <f t="shared" si="23"/>
        <v>8.7085322812427632E-3</v>
      </c>
      <c r="Y102" s="22">
        <f t="shared" si="23"/>
        <v>8.7072106090378288E-3</v>
      </c>
      <c r="Z102" s="22">
        <f t="shared" si="23"/>
        <v>8.7055442422033745E-3</v>
      </c>
      <c r="AA102" s="22">
        <f t="shared" si="23"/>
        <v>8.7037225641645056E-3</v>
      </c>
      <c r="AB102" s="22">
        <f t="shared" si="23"/>
        <v>8.7017014251006084E-3</v>
      </c>
      <c r="AC102" s="22">
        <f t="shared" si="23"/>
        <v>8.699341068282046E-3</v>
      </c>
      <c r="AD102" s="22">
        <f t="shared" si="23"/>
        <v>8.6966749021840043E-3</v>
      </c>
      <c r="AE102" s="22">
        <f t="shared" si="23"/>
        <v>8.6938503713565752E-3</v>
      </c>
      <c r="AF102" s="22">
        <f t="shared" si="23"/>
        <v>8.6908839746890534E-3</v>
      </c>
      <c r="AG102" s="22">
        <f t="shared" si="23"/>
        <v>8.687854988837283E-3</v>
      </c>
      <c r="AH102" s="22">
        <f t="shared" si="23"/>
        <v>8.6847385120571701E-3</v>
      </c>
      <c r="AI102" s="22">
        <f t="shared" si="23"/>
        <v>8.6815728050619895E-3</v>
      </c>
      <c r="AJ102" s="22">
        <f t="shared" si="23"/>
        <v>8.6784740696510734E-3</v>
      </c>
      <c r="AK102" s="22">
        <f t="shared" si="23"/>
        <v>8.6752828214044318E-3</v>
      </c>
      <c r="AL102" s="22">
        <f t="shared" si="23"/>
        <v>8.672105907445278E-3</v>
      </c>
      <c r="AM102" s="22">
        <f t="shared" si="23"/>
        <v>8.6689517175142713E-3</v>
      </c>
      <c r="AN102" s="22">
        <f t="shared" si="23"/>
        <v>8.6657760060123695E-3</v>
      </c>
      <c r="AO102" s="22">
        <f t="shared" si="23"/>
        <v>8.6626886962503594E-3</v>
      </c>
      <c r="AP102" s="22">
        <f t="shared" si="23"/>
        <v>8.6595415032911013E-3</v>
      </c>
      <c r="AQ102" s="22">
        <f t="shared" si="23"/>
        <v>8.6562890718946302E-3</v>
      </c>
      <c r="AR102" s="22">
        <f t="shared" si="23"/>
        <v>8.65302417863399E-3</v>
      </c>
      <c r="AS102" s="22">
        <f t="shared" si="23"/>
        <v>8.6497442526030921E-3</v>
      </c>
      <c r="AT102" s="22">
        <f t="shared" si="23"/>
        <v>8.6463629461222963E-3</v>
      </c>
      <c r="AU102" s="22">
        <f t="shared" si="23"/>
        <v>8.6429168905236796E-3</v>
      </c>
      <c r="AV102" s="22">
        <f t="shared" si="23"/>
        <v>8.6394307213862702E-3</v>
      </c>
      <c r="AW102" s="22">
        <f t="shared" si="23"/>
        <v>8.6358559757550891E-3</v>
      </c>
      <c r="AY102" s="79"/>
    </row>
    <row r="103" spans="1:51" x14ac:dyDescent="0.25">
      <c r="A103" s="95" t="str">
        <f t="shared" si="0"/>
        <v>FS Volatilisation</v>
      </c>
      <c r="B103" s="95" t="s">
        <v>1003</v>
      </c>
      <c r="C103" s="95" t="s">
        <v>62</v>
      </c>
      <c r="D103" t="s">
        <v>369</v>
      </c>
      <c r="E103" t="s">
        <v>61</v>
      </c>
      <c r="F103" t="s">
        <v>62</v>
      </c>
      <c r="G103" t="s">
        <v>437</v>
      </c>
      <c r="H103" t="s">
        <v>1185</v>
      </c>
      <c r="I103" t="s">
        <v>139</v>
      </c>
      <c r="J103" t="s">
        <v>287</v>
      </c>
      <c r="K103" s="22">
        <f t="shared" si="16"/>
        <v>1.2008407282256133</v>
      </c>
      <c r="L103" s="22">
        <f t="shared" si="23"/>
        <v>1.2019035107607592</v>
      </c>
      <c r="M103" s="22">
        <f t="shared" si="23"/>
        <v>1.2088775122881088</v>
      </c>
      <c r="N103" s="22">
        <f t="shared" si="23"/>
        <v>1.2055442230548152</v>
      </c>
      <c r="O103" s="22">
        <f t="shared" si="23"/>
        <v>1.1958435838326273</v>
      </c>
      <c r="P103" s="22">
        <f t="shared" si="23"/>
        <v>1.1799964998501222</v>
      </c>
      <c r="Q103" s="22">
        <f t="shared" si="23"/>
        <v>1.169776622170569</v>
      </c>
      <c r="R103" s="22">
        <f t="shared" si="23"/>
        <v>1.1606871439933113</v>
      </c>
      <c r="S103" s="22">
        <f t="shared" si="23"/>
        <v>1.0635026929062164</v>
      </c>
      <c r="T103" s="22">
        <f t="shared" si="23"/>
        <v>1.1127914653577025</v>
      </c>
      <c r="U103" s="22">
        <f t="shared" si="23"/>
        <v>1.1339456607288676</v>
      </c>
      <c r="V103" s="22">
        <f t="shared" si="23"/>
        <v>1.1334093263464944</v>
      </c>
      <c r="W103" s="22">
        <f t="shared" si="23"/>
        <v>1.1341671660422112</v>
      </c>
      <c r="X103" s="22">
        <f t="shared" si="23"/>
        <v>1.1408235439735572</v>
      </c>
      <c r="Y103" s="22">
        <f t="shared" si="23"/>
        <v>1.1530569851412431</v>
      </c>
      <c r="Z103" s="22">
        <f t="shared" si="23"/>
        <v>1.1679322279348805</v>
      </c>
      <c r="AA103" s="22">
        <f t="shared" si="23"/>
        <v>1.1861792833479095</v>
      </c>
      <c r="AB103" s="22">
        <f t="shared" si="23"/>
        <v>1.2100969940218784</v>
      </c>
      <c r="AC103" s="22">
        <f t="shared" si="23"/>
        <v>1.2393194864291859</v>
      </c>
      <c r="AD103" s="22">
        <f t="shared" si="23"/>
        <v>1.2672278032377093</v>
      </c>
      <c r="AE103" s="22">
        <f t="shared" si="23"/>
        <v>1.2977962214580763</v>
      </c>
      <c r="AF103" s="22">
        <f t="shared" si="23"/>
        <v>1.329788063562543</v>
      </c>
      <c r="AG103" s="22">
        <f t="shared" si="23"/>
        <v>1.3636827815165269</v>
      </c>
      <c r="AH103" s="22">
        <f t="shared" si="23"/>
        <v>1.3988919386644247</v>
      </c>
      <c r="AI103" s="22">
        <f t="shared" si="23"/>
        <v>1.4334139363721508</v>
      </c>
      <c r="AJ103" s="22">
        <f t="shared" si="23"/>
        <v>1.4700649477851668</v>
      </c>
      <c r="AK103" s="22">
        <f t="shared" si="23"/>
        <v>1.5069886120645011</v>
      </c>
      <c r="AL103" s="22">
        <f t="shared" si="23"/>
        <v>1.5440287360100955</v>
      </c>
      <c r="AM103" s="22">
        <f t="shared" si="23"/>
        <v>1.5820093604594603</v>
      </c>
      <c r="AN103" s="22">
        <f t="shared" si="23"/>
        <v>1.6219033183214897</v>
      </c>
      <c r="AO103" s="22">
        <f t="shared" si="23"/>
        <v>1.6636708318066389</v>
      </c>
      <c r="AP103" s="22">
        <f t="shared" si="23"/>
        <v>1.7082959626143681</v>
      </c>
      <c r="AQ103" s="22">
        <f t="shared" si="23"/>
        <v>1.7540375132373072</v>
      </c>
      <c r="AR103" s="22">
        <f t="shared" si="23"/>
        <v>1.8009857640186506</v>
      </c>
      <c r="AS103" s="22">
        <f t="shared" si="23"/>
        <v>1.8510064312178449</v>
      </c>
      <c r="AT103" s="22">
        <f t="shared" si="23"/>
        <v>1.9034681141674186</v>
      </c>
      <c r="AU103" s="22">
        <f t="shared" si="23"/>
        <v>1.9579460640600546</v>
      </c>
      <c r="AV103" s="22">
        <f t="shared" si="23"/>
        <v>2.0156248390942006</v>
      </c>
      <c r="AW103" s="22">
        <f t="shared" si="23"/>
        <v>2.0696024098416643</v>
      </c>
      <c r="AY103" s="79"/>
    </row>
    <row r="104" spans="1:51" x14ac:dyDescent="0.25">
      <c r="A104" s="95" t="str">
        <f t="shared" si="0"/>
        <v>FS Volatilisation</v>
      </c>
      <c r="B104" s="95" t="s">
        <v>1003</v>
      </c>
      <c r="C104" s="95" t="s">
        <v>62</v>
      </c>
      <c r="D104" t="s">
        <v>369</v>
      </c>
      <c r="E104" t="s">
        <v>61</v>
      </c>
      <c r="F104" t="s">
        <v>62</v>
      </c>
      <c r="G104" t="s">
        <v>438</v>
      </c>
      <c r="H104" t="s">
        <v>1264</v>
      </c>
      <c r="I104" t="s">
        <v>139</v>
      </c>
      <c r="J104" t="s">
        <v>287</v>
      </c>
      <c r="K104" s="22">
        <f t="shared" si="16"/>
        <v>4.3975799639737021</v>
      </c>
      <c r="L104" s="22">
        <f t="shared" si="23"/>
        <v>4.3787767883653972</v>
      </c>
      <c r="M104" s="22">
        <f t="shared" si="23"/>
        <v>4.3752716537638934</v>
      </c>
      <c r="N104" s="22">
        <f t="shared" si="23"/>
        <v>4.3473821211305586</v>
      </c>
      <c r="O104" s="22">
        <f t="shared" si="23"/>
        <v>4.3052096453824591</v>
      </c>
      <c r="P104" s="22">
        <f t="shared" si="23"/>
        <v>4.2496956169043703</v>
      </c>
      <c r="Q104" s="22">
        <f t="shared" si="23"/>
        <v>4.2083609134426787</v>
      </c>
      <c r="R104" s="22">
        <f t="shared" si="23"/>
        <v>4.1703852155628214</v>
      </c>
      <c r="S104" s="22">
        <f t="shared" si="23"/>
        <v>3.920518553769567</v>
      </c>
      <c r="T104" s="22">
        <f t="shared" si="23"/>
        <v>4.022224403214822</v>
      </c>
      <c r="U104" s="22">
        <f t="shared" si="23"/>
        <v>4.0573246422564955</v>
      </c>
      <c r="V104" s="22">
        <f t="shared" si="23"/>
        <v>4.0437027667632135</v>
      </c>
      <c r="W104" s="22">
        <f t="shared" si="23"/>
        <v>4.0349744796970102</v>
      </c>
      <c r="X104" s="22">
        <f t="shared" si="23"/>
        <v>4.0404911436640738</v>
      </c>
      <c r="Y104" s="22">
        <f t="shared" si="23"/>
        <v>4.0578866533033189</v>
      </c>
      <c r="Z104" s="22">
        <f t="shared" si="23"/>
        <v>4.0805365209798321</v>
      </c>
      <c r="AA104" s="22">
        <f t="shared" si="23"/>
        <v>4.109915060040195</v>
      </c>
      <c r="AB104" s="22">
        <f t="shared" si="23"/>
        <v>4.1509048491402085</v>
      </c>
      <c r="AC104" s="22">
        <f t="shared" si="23"/>
        <v>4.202533390484211</v>
      </c>
      <c r="AD104" s="22">
        <f t="shared" si="23"/>
        <v>4.2406560670580085</v>
      </c>
      <c r="AE104" s="22">
        <f t="shared" si="23"/>
        <v>4.2827934559696441</v>
      </c>
      <c r="AF104" s="22">
        <f t="shared" si="23"/>
        <v>4.3261652521730651</v>
      </c>
      <c r="AG104" s="22">
        <f t="shared" si="23"/>
        <v>4.3716097132066274</v>
      </c>
      <c r="AH104" s="22">
        <f t="shared" si="23"/>
        <v>4.417783804127744</v>
      </c>
      <c r="AI104" s="22">
        <f t="shared" si="23"/>
        <v>4.46055260064648</v>
      </c>
      <c r="AJ104" s="22">
        <f t="shared" si="23"/>
        <v>4.5055232078089906</v>
      </c>
      <c r="AK104" s="22">
        <f t="shared" si="23"/>
        <v>4.5487963787371326</v>
      </c>
      <c r="AL104" s="22">
        <f t="shared" si="23"/>
        <v>4.5900121260194853</v>
      </c>
      <c r="AM104" s="22">
        <f t="shared" si="23"/>
        <v>4.6307205405262888</v>
      </c>
      <c r="AN104" s="22">
        <f t="shared" si="23"/>
        <v>4.6802451384074173</v>
      </c>
      <c r="AO104" s="22">
        <f t="shared" si="23"/>
        <v>4.7313734673669652</v>
      </c>
      <c r="AP104" s="22">
        <f t="shared" si="23"/>
        <v>4.7857847377648062</v>
      </c>
      <c r="AQ104" s="22">
        <f t="shared" si="23"/>
        <v>4.8400720712169321</v>
      </c>
      <c r="AR104" s="22">
        <f t="shared" si="23"/>
        <v>4.8942825787604232</v>
      </c>
      <c r="AS104" s="22">
        <f t="shared" si="23"/>
        <v>4.9516552239356777</v>
      </c>
      <c r="AT104" s="22">
        <f t="shared" si="23"/>
        <v>5.010848202184258</v>
      </c>
      <c r="AU104" s="22">
        <f t="shared" si="23"/>
        <v>5.070940832499133</v>
      </c>
      <c r="AV104" s="22">
        <f t="shared" si="23"/>
        <v>5.1338473778737468</v>
      </c>
      <c r="AW104" s="22">
        <f t="shared" si="23"/>
        <v>5.1874285866281769</v>
      </c>
      <c r="AY104" s="79"/>
    </row>
    <row r="105" spans="1:51" x14ac:dyDescent="0.25">
      <c r="A105" s="95" t="str">
        <f t="shared" si="0"/>
        <v>FS Leaching</v>
      </c>
      <c r="B105" s="95" t="s">
        <v>1003</v>
      </c>
      <c r="C105" s="95" t="s">
        <v>1189</v>
      </c>
      <c r="D105" t="s">
        <v>369</v>
      </c>
      <c r="E105" t="s">
        <v>61</v>
      </c>
      <c r="F105" t="s">
        <v>63</v>
      </c>
      <c r="G105" t="s">
        <v>435</v>
      </c>
      <c r="H105" t="s">
        <v>1186</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2.2782538140387479E-4</v>
      </c>
      <c r="U105" s="22">
        <f t="shared" si="23"/>
        <v>2.2771715291537687E-4</v>
      </c>
      <c r="V105" s="22">
        <f t="shared" si="23"/>
        <v>2.2765749353397156E-4</v>
      </c>
      <c r="W105" s="22">
        <f t="shared" si="23"/>
        <v>2.2763433973674462E-4</v>
      </c>
      <c r="X105" s="22">
        <f t="shared" si="23"/>
        <v>2.2760936644157216E-4</v>
      </c>
      <c r="Y105" s="22">
        <f t="shared" si="23"/>
        <v>2.2757482273621599E-4</v>
      </c>
      <c r="Z105" s="22">
        <f t="shared" si="23"/>
        <v>2.27531269966679E-4</v>
      </c>
      <c r="AA105" s="22">
        <f t="shared" si="23"/>
        <v>2.2748365792702683E-4</v>
      </c>
      <c r="AB105" s="22">
        <f t="shared" si="23"/>
        <v>2.2743083270149308E-4</v>
      </c>
      <c r="AC105" s="22">
        <f t="shared" si="23"/>
        <v>2.2736914155737162E-4</v>
      </c>
      <c r="AD105" s="22">
        <f t="shared" si="23"/>
        <v>2.272994576707182E-4</v>
      </c>
      <c r="AE105" s="22">
        <f t="shared" si="23"/>
        <v>2.2722563470591042E-4</v>
      </c>
      <c r="AF105" s="22">
        <f t="shared" si="23"/>
        <v>2.2714810388391836E-4</v>
      </c>
      <c r="AG105" s="22">
        <f t="shared" si="23"/>
        <v>2.2706893720824713E-4</v>
      </c>
      <c r="AH105" s="22">
        <f t="shared" si="23"/>
        <v>2.2698748383785777E-4</v>
      </c>
      <c r="AI105" s="22">
        <f t="shared" si="23"/>
        <v>2.2690474376866552E-4</v>
      </c>
      <c r="AJ105" s="22">
        <f t="shared" si="23"/>
        <v>2.2682375409315307E-4</v>
      </c>
      <c r="AK105" s="22">
        <f t="shared" si="23"/>
        <v>2.2674034646852486E-4</v>
      </c>
      <c r="AL105" s="22">
        <f t="shared" si="23"/>
        <v>2.26657313490047E-4</v>
      </c>
      <c r="AM105" s="22">
        <f t="shared" si="23"/>
        <v>2.2657487443503212E-4</v>
      </c>
      <c r="AN105" s="22">
        <f t="shared" si="23"/>
        <v>2.2649187288441419E-4</v>
      </c>
      <c r="AO105" s="22">
        <f t="shared" si="23"/>
        <v>2.2641118183381611E-4</v>
      </c>
      <c r="AP105" s="22">
        <f t="shared" si="23"/>
        <v>2.2632892565419918E-4</v>
      </c>
      <c r="AQ105" s="22">
        <f t="shared" si="23"/>
        <v>2.2624391892451869E-4</v>
      </c>
      <c r="AR105" s="22">
        <f t="shared" si="23"/>
        <v>2.2615858648702465E-4</v>
      </c>
      <c r="AS105" s="22">
        <f t="shared" si="23"/>
        <v>2.2607286114758075E-4</v>
      </c>
      <c r="AT105" s="22">
        <f t="shared" si="23"/>
        <v>2.2598448609183276E-4</v>
      </c>
      <c r="AU105" s="22">
        <f t="shared" si="23"/>
        <v>2.2589441872959606E-4</v>
      </c>
      <c r="AV105" s="22">
        <f t="shared" si="23"/>
        <v>2.2580330294532294E-4</v>
      </c>
      <c r="AW105" s="22">
        <f t="shared" si="23"/>
        <v>2.2570987209359888E-4</v>
      </c>
      <c r="AY105" s="79"/>
    </row>
    <row r="106" spans="1:51" x14ac:dyDescent="0.25">
      <c r="A106" s="95" t="str">
        <f t="shared" si="0"/>
        <v>FS Leaching</v>
      </c>
      <c r="B106" s="95" t="s">
        <v>1003</v>
      </c>
      <c r="C106" s="95" t="s">
        <v>1189</v>
      </c>
      <c r="D106" t="s">
        <v>369</v>
      </c>
      <c r="E106" t="s">
        <v>61</v>
      </c>
      <c r="F106" t="s">
        <v>63</v>
      </c>
      <c r="G106" t="s">
        <v>436</v>
      </c>
      <c r="H106" t="s">
        <v>1187</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1.5036475172655738E-6</v>
      </c>
      <c r="U106" s="22">
        <f t="shared" si="23"/>
        <v>1.5029332092414877E-6</v>
      </c>
      <c r="V106" s="22">
        <f t="shared" si="23"/>
        <v>1.5025394573242125E-6</v>
      </c>
      <c r="W106" s="22">
        <f t="shared" si="23"/>
        <v>1.5023866422625144E-6</v>
      </c>
      <c r="X106" s="22">
        <f t="shared" si="23"/>
        <v>1.5022218185143764E-6</v>
      </c>
      <c r="Y106" s="22">
        <f t="shared" si="23"/>
        <v>1.5019938300590255E-6</v>
      </c>
      <c r="Z106" s="22">
        <f t="shared" si="23"/>
        <v>1.5017063817800821E-6</v>
      </c>
      <c r="AA106" s="22">
        <f t="shared" si="23"/>
        <v>1.5013921423183768E-6</v>
      </c>
      <c r="AB106" s="22">
        <f t="shared" si="23"/>
        <v>1.5010434958298549E-6</v>
      </c>
      <c r="AC106" s="22">
        <f t="shared" si="23"/>
        <v>1.5006363342786528E-6</v>
      </c>
      <c r="AD106" s="22">
        <f t="shared" si="23"/>
        <v>1.5001764206267405E-6</v>
      </c>
      <c r="AE106" s="22">
        <f t="shared" si="23"/>
        <v>1.4996891890590088E-6</v>
      </c>
      <c r="AF106" s="22">
        <f t="shared" si="23"/>
        <v>1.4991774856338616E-6</v>
      </c>
      <c r="AG106" s="22">
        <f t="shared" si="23"/>
        <v>1.4986549855744315E-6</v>
      </c>
      <c r="AH106" s="22">
        <f t="shared" si="23"/>
        <v>1.4981173933298619E-6</v>
      </c>
      <c r="AI106" s="22">
        <f t="shared" si="23"/>
        <v>1.4975713088731927E-6</v>
      </c>
      <c r="AJ106" s="22">
        <f t="shared" si="23"/>
        <v>1.4970367770148105E-6</v>
      </c>
      <c r="AK106" s="22">
        <f t="shared" si="23"/>
        <v>1.4964862866922644E-6</v>
      </c>
      <c r="AL106" s="22">
        <f t="shared" si="23"/>
        <v>1.4959382690343105E-6</v>
      </c>
      <c r="AM106" s="22">
        <f t="shared" si="23"/>
        <v>1.4953941712712119E-6</v>
      </c>
      <c r="AN106" s="22">
        <f t="shared" si="23"/>
        <v>1.4948463610371335E-6</v>
      </c>
      <c r="AO106" s="22">
        <f t="shared" si="23"/>
        <v>1.4943138001031867E-6</v>
      </c>
      <c r="AP106" s="22">
        <f t="shared" si="23"/>
        <v>1.4937709093177149E-6</v>
      </c>
      <c r="AQ106" s="22">
        <f t="shared" si="23"/>
        <v>1.4932098649018236E-6</v>
      </c>
      <c r="AR106" s="22">
        <f t="shared" si="23"/>
        <v>1.4926466708143633E-6</v>
      </c>
      <c r="AS106" s="22">
        <f t="shared" si="23"/>
        <v>1.4920808835740333E-6</v>
      </c>
      <c r="AT106" s="22">
        <f t="shared" si="23"/>
        <v>1.4914976082060963E-6</v>
      </c>
      <c r="AU106" s="22">
        <f t="shared" si="23"/>
        <v>1.4909031636153342E-6</v>
      </c>
      <c r="AV106" s="22">
        <f t="shared" si="23"/>
        <v>1.4903017994391313E-6</v>
      </c>
      <c r="AW106" s="22">
        <f t="shared" si="23"/>
        <v>1.4896851558177531E-6</v>
      </c>
      <c r="AY106" s="79"/>
    </row>
    <row r="107" spans="1:51" x14ac:dyDescent="0.25">
      <c r="A107" s="95" t="str">
        <f t="shared" si="0"/>
        <v>FS Leaching</v>
      </c>
      <c r="B107" s="95" t="s">
        <v>1003</v>
      </c>
      <c r="C107" s="95" t="s">
        <v>1189</v>
      </c>
      <c r="D107" t="s">
        <v>369</v>
      </c>
      <c r="E107" t="s">
        <v>61</v>
      </c>
      <c r="F107" t="s">
        <v>63</v>
      </c>
      <c r="G107" t="s">
        <v>437</v>
      </c>
      <c r="H107" t="s">
        <v>1188</v>
      </c>
      <c r="I107" t="s">
        <v>139</v>
      </c>
      <c r="J107" t="s">
        <v>287</v>
      </c>
      <c r="K107" s="22">
        <f t="shared" si="16"/>
        <v>0.20714502561891826</v>
      </c>
      <c r="L107" s="22">
        <f t="shared" si="23"/>
        <v>0.20732835560623097</v>
      </c>
      <c r="M107" s="22">
        <f t="shared" si="23"/>
        <v>0.20853137086969875</v>
      </c>
      <c r="N107" s="22">
        <f t="shared" si="23"/>
        <v>0.20795637847695561</v>
      </c>
      <c r="O107" s="22">
        <f t="shared" si="23"/>
        <v>0.20628301821112818</v>
      </c>
      <c r="P107" s="22">
        <f t="shared" si="23"/>
        <v>0.20354939622414608</v>
      </c>
      <c r="Q107" s="22">
        <f t="shared" si="23"/>
        <v>0.20178646732442315</v>
      </c>
      <c r="R107" s="22">
        <f t="shared" si="23"/>
        <v>0.20021853233884618</v>
      </c>
      <c r="S107" s="22">
        <f t="shared" si="23"/>
        <v>0.18345421452632232</v>
      </c>
      <c r="T107" s="22">
        <f t="shared" si="23"/>
        <v>0.19195652777420363</v>
      </c>
      <c r="U107" s="22">
        <f t="shared" si="23"/>
        <v>0.19560562647572965</v>
      </c>
      <c r="V107" s="22">
        <f t="shared" si="23"/>
        <v>0.19551310879477027</v>
      </c>
      <c r="W107" s="22">
        <f t="shared" si="23"/>
        <v>0.19564383614228145</v>
      </c>
      <c r="X107" s="22">
        <f t="shared" si="23"/>
        <v>0.19679206133543856</v>
      </c>
      <c r="Y107" s="22">
        <f t="shared" si="23"/>
        <v>0.19890232993686438</v>
      </c>
      <c r="Z107" s="22">
        <f t="shared" si="23"/>
        <v>0.20146830931876691</v>
      </c>
      <c r="AA107" s="22">
        <f t="shared" si="23"/>
        <v>0.20461592637751433</v>
      </c>
      <c r="AB107" s="22">
        <f t="shared" si="23"/>
        <v>0.20874173146877406</v>
      </c>
      <c r="AC107" s="22">
        <f t="shared" si="23"/>
        <v>0.21378261140903454</v>
      </c>
      <c r="AD107" s="22">
        <f t="shared" si="23"/>
        <v>0.21859679605850485</v>
      </c>
      <c r="AE107" s="22">
        <f t="shared" si="23"/>
        <v>0.22386984820151812</v>
      </c>
      <c r="AF107" s="22">
        <f t="shared" si="23"/>
        <v>0.22938844096453867</v>
      </c>
      <c r="AG107" s="22">
        <f t="shared" si="23"/>
        <v>0.23523527981160089</v>
      </c>
      <c r="AH107" s="22">
        <f t="shared" si="23"/>
        <v>0.24130885941961319</v>
      </c>
      <c r="AI107" s="22">
        <f t="shared" si="23"/>
        <v>0.2472639040241959</v>
      </c>
      <c r="AJ107" s="22">
        <f t="shared" si="23"/>
        <v>0.2535862034929412</v>
      </c>
      <c r="AK107" s="22">
        <f t="shared" si="23"/>
        <v>0.25995553558112644</v>
      </c>
      <c r="AL107" s="22">
        <f t="shared" si="23"/>
        <v>0.26634495696174137</v>
      </c>
      <c r="AM107" s="22">
        <f t="shared" si="23"/>
        <v>0.27289661467925691</v>
      </c>
      <c r="AN107" s="22">
        <f t="shared" si="23"/>
        <v>0.27977832241045703</v>
      </c>
      <c r="AO107" s="22">
        <f t="shared" si="23"/>
        <v>0.28698321848664521</v>
      </c>
      <c r="AP107" s="22">
        <f t="shared" si="23"/>
        <v>0.29468105355097846</v>
      </c>
      <c r="AQ107" s="22">
        <f t="shared" si="23"/>
        <v>0.3025714710334354</v>
      </c>
      <c r="AR107" s="22">
        <f t="shared" si="23"/>
        <v>0.31067004429321721</v>
      </c>
      <c r="AS107" s="22">
        <f t="shared" si="23"/>
        <v>0.31929860938507826</v>
      </c>
      <c r="AT107" s="22">
        <f t="shared" si="23"/>
        <v>0.32834824969387966</v>
      </c>
      <c r="AU107" s="22">
        <f t="shared" si="23"/>
        <v>0.33774569605035937</v>
      </c>
      <c r="AV107" s="22">
        <f t="shared" si="23"/>
        <v>0.34769528474374956</v>
      </c>
      <c r="AW107" s="22">
        <f t="shared" si="23"/>
        <v>0.3570064156976871</v>
      </c>
      <c r="AY107" s="79"/>
    </row>
    <row r="108" spans="1:51" x14ac:dyDescent="0.25">
      <c r="A108" s="95" t="str">
        <f t="shared" si="0"/>
        <v>FS Leaching</v>
      </c>
      <c r="B108" s="95" t="s">
        <v>1003</v>
      </c>
      <c r="C108" s="95" t="s">
        <v>1189</v>
      </c>
      <c r="D108" t="s">
        <v>369</v>
      </c>
      <c r="E108" t="s">
        <v>61</v>
      </c>
      <c r="F108" t="s">
        <v>63</v>
      </c>
      <c r="G108" t="s">
        <v>438</v>
      </c>
      <c r="H108" t="s">
        <v>1190</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5">
      <c r="A109" s="95" t="str">
        <f t="shared" si="0"/>
        <v>FS Leaching</v>
      </c>
      <c r="B109" s="95" t="s">
        <v>1003</v>
      </c>
      <c r="C109" s="95" t="s">
        <v>1189</v>
      </c>
      <c r="D109" t="s">
        <v>369</v>
      </c>
      <c r="E109" t="s">
        <v>61</v>
      </c>
      <c r="F109" t="s">
        <v>63</v>
      </c>
      <c r="G109" t="s">
        <v>439</v>
      </c>
      <c r="H109" t="s">
        <v>1191</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0.10248443536314014</v>
      </c>
      <c r="U109" s="22">
        <f t="shared" si="24"/>
        <v>0.10329242458615623</v>
      </c>
      <c r="V109" s="22">
        <f t="shared" si="24"/>
        <v>0.1037378169028777</v>
      </c>
      <c r="W109" s="22">
        <f t="shared" si="24"/>
        <v>0.10391067359607317</v>
      </c>
      <c r="X109" s="22">
        <f t="shared" si="24"/>
        <v>0.10409711390991817</v>
      </c>
      <c r="Y109" s="22">
        <f t="shared" si="24"/>
        <v>0.10435500295593778</v>
      </c>
      <c r="Z109" s="22">
        <f t="shared" si="24"/>
        <v>0.10468014995657268</v>
      </c>
      <c r="AA109" s="22">
        <f t="shared" si="24"/>
        <v>0.10503560179239499</v>
      </c>
      <c r="AB109" s="22">
        <f t="shared" si="24"/>
        <v>0.10542997312222666</v>
      </c>
      <c r="AC109" s="22">
        <f t="shared" si="24"/>
        <v>0.10589053374076159</v>
      </c>
      <c r="AD109" s="22">
        <f t="shared" si="24"/>
        <v>0.10641076487597649</v>
      </c>
      <c r="AE109" s="22">
        <f t="shared" si="24"/>
        <v>0.10696189666025695</v>
      </c>
      <c r="AF109" s="22">
        <f t="shared" si="24"/>
        <v>0.10754070977582914</v>
      </c>
      <c r="AG109" s="22">
        <f t="shared" si="24"/>
        <v>0.10813173549975955</v>
      </c>
      <c r="AH109" s="22">
        <f t="shared" si="24"/>
        <v>0.10873983274260557</v>
      </c>
      <c r="AI109" s="22">
        <f t="shared" si="24"/>
        <v>0.10935753594761956</v>
      </c>
      <c r="AJ109" s="22">
        <f t="shared" si="24"/>
        <v>0.10996217143590806</v>
      </c>
      <c r="AK109" s="22">
        <f t="shared" si="24"/>
        <v>0.11058485833426822</v>
      </c>
      <c r="AL109" s="22">
        <f t="shared" si="24"/>
        <v>0.11120474827910765</v>
      </c>
      <c r="AM109" s="22">
        <f t="shared" si="24"/>
        <v>0.11182020423651956</v>
      </c>
      <c r="AN109" s="22">
        <f t="shared" si="24"/>
        <v>0.11243985955392911</v>
      </c>
      <c r="AO109" s="22">
        <f t="shared" si="24"/>
        <v>0.11304226563186594</v>
      </c>
      <c r="AP109" s="22">
        <f t="shared" si="24"/>
        <v>0.1136563563170396</v>
      </c>
      <c r="AQ109" s="22">
        <f t="shared" si="24"/>
        <v>0.1142909814736776</v>
      </c>
      <c r="AR109" s="22">
        <f t="shared" si="24"/>
        <v>0.11492803823041334</v>
      </c>
      <c r="AS109" s="22">
        <f t="shared" si="24"/>
        <v>0.11556802823093357</v>
      </c>
      <c r="AT109" s="22">
        <f t="shared" si="24"/>
        <v>0.11622779991969046</v>
      </c>
      <c r="AU109" s="22">
        <f t="shared" si="24"/>
        <v>0.11690020567017985</v>
      </c>
      <c r="AV109" s="22">
        <f t="shared" si="24"/>
        <v>0.11758043850684917</v>
      </c>
      <c r="AW109" s="22">
        <f t="shared" si="24"/>
        <v>0.11827795468154553</v>
      </c>
      <c r="AY109" s="79"/>
    </row>
    <row r="110" spans="1:51" x14ac:dyDescent="0.25">
      <c r="A110" s="95" t="str">
        <f t="shared" si="0"/>
        <v>FS Leaching</v>
      </c>
      <c r="B110" s="95" t="s">
        <v>1003</v>
      </c>
      <c r="C110" s="95" t="s">
        <v>1189</v>
      </c>
      <c r="D110" t="s">
        <v>369</v>
      </c>
      <c r="E110" t="s">
        <v>61</v>
      </c>
      <c r="F110" t="s">
        <v>63</v>
      </c>
      <c r="G110" t="s">
        <v>1192</v>
      </c>
      <c r="H110" t="s">
        <v>1193</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5">
      <c r="A111" s="95" t="str">
        <f t="shared" si="0"/>
        <v>FS Leaching</v>
      </c>
      <c r="B111" s="95" t="s">
        <v>1003</v>
      </c>
      <c r="C111" s="95" t="s">
        <v>1189</v>
      </c>
      <c r="D111" t="s">
        <v>369</v>
      </c>
      <c r="E111" t="s">
        <v>61</v>
      </c>
      <c r="F111" t="s">
        <v>63</v>
      </c>
      <c r="G111" t="s">
        <v>1194</v>
      </c>
      <c r="H111" t="s">
        <v>1195</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5">
      <c r="A112" s="95" t="str">
        <f t="shared" si="0"/>
        <v>FS Leaching</v>
      </c>
      <c r="B112" s="95" t="s">
        <v>1003</v>
      </c>
      <c r="C112" s="95" t="s">
        <v>1189</v>
      </c>
      <c r="D112" t="s">
        <v>369</v>
      </c>
      <c r="E112" t="s">
        <v>61</v>
      </c>
      <c r="F112" t="s">
        <v>63</v>
      </c>
      <c r="G112" t="s">
        <v>1196</v>
      </c>
      <c r="H112" t="s">
        <v>1197</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5">
      <c r="A113" s="95" t="str">
        <f t="shared" si="0"/>
        <v>FS Leaching</v>
      </c>
      <c r="B113" s="95" t="s">
        <v>1003</v>
      </c>
      <c r="C113" s="95" t="s">
        <v>1189</v>
      </c>
      <c r="D113" t="s">
        <v>369</v>
      </c>
      <c r="E113" t="s">
        <v>61</v>
      </c>
      <c r="F113" t="s">
        <v>63</v>
      </c>
      <c r="G113" t="s">
        <v>1198</v>
      </c>
      <c r="H113" t="s">
        <v>1199</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5">
      <c r="A114" s="95" t="str">
        <f t="shared" si="0"/>
        <v>FS Leaching</v>
      </c>
      <c r="B114" s="95" t="s">
        <v>1003</v>
      </c>
      <c r="C114" s="95" t="s">
        <v>1189</v>
      </c>
      <c r="D114" t="s">
        <v>369</v>
      </c>
      <c r="E114" t="s">
        <v>61</v>
      </c>
      <c r="F114" t="s">
        <v>63</v>
      </c>
      <c r="G114" t="s">
        <v>1200</v>
      </c>
      <c r="H114" t="s">
        <v>1201</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5">
      <c r="A115" s="95" t="str">
        <f t="shared" si="0"/>
        <v>FS Leaching</v>
      </c>
      <c r="B115" s="95" t="s">
        <v>1003</v>
      </c>
      <c r="C115" s="95" t="s">
        <v>1189</v>
      </c>
      <c r="D115" t="s">
        <v>369</v>
      </c>
      <c r="E115" t="s">
        <v>61</v>
      </c>
      <c r="F115" t="s">
        <v>63</v>
      </c>
      <c r="G115" t="s">
        <v>1202</v>
      </c>
      <c r="H115" t="s">
        <v>1203</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5">
      <c r="A116" s="95" t="str">
        <f t="shared" si="0"/>
        <v>FS Leaching</v>
      </c>
      <c r="B116" s="95" t="s">
        <v>1003</v>
      </c>
      <c r="C116" s="95" t="s">
        <v>1189</v>
      </c>
      <c r="D116" t="s">
        <v>369</v>
      </c>
      <c r="E116" t="s">
        <v>61</v>
      </c>
      <c r="F116" t="s">
        <v>63</v>
      </c>
      <c r="G116" t="s">
        <v>1204</v>
      </c>
      <c r="H116" t="s">
        <v>1205</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5">
      <c r="A117" s="95" t="str">
        <f t="shared" si="0"/>
        <v>FS Leaching</v>
      </c>
      <c r="B117" s="95" t="s">
        <v>1003</v>
      </c>
      <c r="C117" s="95" t="s">
        <v>1189</v>
      </c>
      <c r="D117" t="s">
        <v>369</v>
      </c>
      <c r="E117" t="s">
        <v>61</v>
      </c>
      <c r="F117" t="s">
        <v>63</v>
      </c>
      <c r="G117" t="s">
        <v>1206</v>
      </c>
      <c r="H117" t="s">
        <v>1207</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5">
      <c r="A118" s="95" t="str">
        <f t="shared" si="0"/>
        <v>FS Leaching</v>
      </c>
      <c r="B118" s="95" t="s">
        <v>1003</v>
      </c>
      <c r="C118" s="95" t="s">
        <v>1189</v>
      </c>
      <c r="D118" t="s">
        <v>369</v>
      </c>
      <c r="E118" t="s">
        <v>61</v>
      </c>
      <c r="F118" t="s">
        <v>63</v>
      </c>
      <c r="G118" t="s">
        <v>1208</v>
      </c>
      <c r="H118" t="s">
        <v>1209</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5">
      <c r="A119" s="95" t="str">
        <f t="shared" si="0"/>
        <v>FS Leaching</v>
      </c>
      <c r="B119" s="95" t="s">
        <v>1003</v>
      </c>
      <c r="C119" s="95" t="s">
        <v>1189</v>
      </c>
      <c r="D119" t="s">
        <v>369</v>
      </c>
      <c r="E119" t="s">
        <v>61</v>
      </c>
      <c r="F119" t="s">
        <v>63</v>
      </c>
      <c r="G119" t="s">
        <v>1210</v>
      </c>
      <c r="H119" t="s">
        <v>1211</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5">
      <c r="A120" s="95" t="str">
        <f t="shared" si="0"/>
        <v>FS Leaching</v>
      </c>
      <c r="B120" s="95" t="s">
        <v>1003</v>
      </c>
      <c r="C120" s="95" t="s">
        <v>1189</v>
      </c>
      <c r="D120" t="s">
        <v>369</v>
      </c>
      <c r="E120" t="s">
        <v>61</v>
      </c>
      <c r="F120" t="s">
        <v>63</v>
      </c>
      <c r="G120" t="s">
        <v>1212</v>
      </c>
      <c r="H120" t="s">
        <v>1213</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5">
      <c r="A121" s="95" t="str">
        <f t="shared" si="0"/>
        <v xml:space="preserve">FS </v>
      </c>
      <c r="B121" s="95" t="s">
        <v>1003</v>
      </c>
      <c r="C121" s="95"/>
      <c r="D121" t="s">
        <v>369</v>
      </c>
      <c r="E121" t="s">
        <v>61</v>
      </c>
      <c r="F121" t="s">
        <v>63</v>
      </c>
      <c r="G121" t="s">
        <v>1214</v>
      </c>
      <c r="H121" t="s">
        <v>1215</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5">
      <c r="A122" s="95" t="str">
        <f t="shared" si="0"/>
        <v>FS MM Volatilisation</v>
      </c>
      <c r="B122" s="95" t="s">
        <v>1003</v>
      </c>
      <c r="C122" s="95" t="s">
        <v>1331</v>
      </c>
      <c r="D122" t="s">
        <v>369</v>
      </c>
      <c r="E122" t="s">
        <v>64</v>
      </c>
      <c r="F122" t="s">
        <v>62</v>
      </c>
      <c r="G122" t="s">
        <v>1151</v>
      </c>
      <c r="H122" t="s">
        <v>1289</v>
      </c>
      <c r="I122" t="s">
        <v>139</v>
      </c>
      <c r="J122" t="s">
        <v>287</v>
      </c>
      <c r="K122" s="22">
        <f t="shared" si="26"/>
        <v>0.39609736661915962</v>
      </c>
      <c r="L122" s="22">
        <f t="shared" si="27"/>
        <v>0.39831175345583053</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0.40855374420631202</v>
      </c>
      <c r="S122" s="22">
        <f t="shared" si="27"/>
        <v>0.39675335904637443</v>
      </c>
      <c r="T122" s="22">
        <f t="shared" si="27"/>
        <v>0.40475430836671095</v>
      </c>
      <c r="U122" s="22">
        <f t="shared" si="27"/>
        <v>0.40872605361155973</v>
      </c>
      <c r="V122" s="22">
        <f t="shared" si="27"/>
        <v>0.40976331225325113</v>
      </c>
      <c r="W122" s="22">
        <f t="shared" si="27"/>
        <v>0.41123817221629572</v>
      </c>
      <c r="X122" s="22">
        <f t="shared" si="27"/>
        <v>0.41371299835327524</v>
      </c>
      <c r="Y122" s="22">
        <f t="shared" si="27"/>
        <v>0.41698233077605895</v>
      </c>
      <c r="Z122" s="22">
        <f t="shared" si="27"/>
        <v>0.42064271286230337</v>
      </c>
      <c r="AA122" s="22">
        <f t="shared" si="27"/>
        <v>0.42480942612911948</v>
      </c>
      <c r="AB122" s="22">
        <f t="shared" si="27"/>
        <v>0.42983972534171444</v>
      </c>
      <c r="AC122" s="22">
        <f t="shared" si="27"/>
        <v>0.43570438871758699</v>
      </c>
      <c r="AD122" s="22">
        <f t="shared" si="27"/>
        <v>0.44208757106569879</v>
      </c>
      <c r="AE122" s="22">
        <f t="shared" si="27"/>
        <v>0.44898350336000287</v>
      </c>
      <c r="AF122" s="22">
        <f t="shared" si="27"/>
        <v>0.45621719419550344</v>
      </c>
      <c r="AG122" s="22">
        <f t="shared" si="27"/>
        <v>0.46386955104730232</v>
      </c>
      <c r="AH122" s="22">
        <f t="shared" si="27"/>
        <v>0.47186189087523389</v>
      </c>
      <c r="AI122" s="22">
        <f t="shared" si="27"/>
        <v>0.47988623531160551</v>
      </c>
      <c r="AJ122" s="22">
        <f t="shared" si="27"/>
        <v>0.48839393378093798</v>
      </c>
      <c r="AK122" s="22">
        <f t="shared" si="27"/>
        <v>0.49708758308730938</v>
      </c>
      <c r="AL122" s="22">
        <f t="shared" si="27"/>
        <v>0.50594507247479314</v>
      </c>
      <c r="AM122" s="22">
        <f t="shared" si="27"/>
        <v>0.51510910677271904</v>
      </c>
      <c r="AN122" s="22">
        <f t="shared" si="27"/>
        <v>0.52423757979493812</v>
      </c>
      <c r="AO122" s="22">
        <f t="shared" si="27"/>
        <v>0.53380454045789072</v>
      </c>
      <c r="AP122" s="22">
        <f t="shared" si="27"/>
        <v>0.54398662027094624</v>
      </c>
      <c r="AQ122" s="22">
        <f t="shared" si="27"/>
        <v>0.55449515288018025</v>
      </c>
      <c r="AR122" s="22">
        <f t="shared" si="27"/>
        <v>0.56534914989912133</v>
      </c>
      <c r="AS122" s="22">
        <f t="shared" si="27"/>
        <v>0.57688261473585911</v>
      </c>
      <c r="AT122" s="22">
        <f t="shared" si="27"/>
        <v>0.58899855031934889</v>
      </c>
      <c r="AU122" s="22">
        <f t="shared" si="27"/>
        <v>0.60163444677907796</v>
      </c>
      <c r="AV122" s="22">
        <f t="shared" si="27"/>
        <v>0.61501799344157537</v>
      </c>
      <c r="AW122" s="22">
        <f t="shared" si="27"/>
        <v>0.62789543257311353</v>
      </c>
      <c r="AY122" s="79"/>
    </row>
    <row r="123" spans="1:51" x14ac:dyDescent="0.25">
      <c r="A123" s="95" t="str">
        <f t="shared" si="0"/>
        <v>FS MM Volatilisation</v>
      </c>
      <c r="B123" s="95" t="s">
        <v>1003</v>
      </c>
      <c r="C123" s="95" t="s">
        <v>1331</v>
      </c>
      <c r="D123" t="s">
        <v>369</v>
      </c>
      <c r="E123" t="s">
        <v>64</v>
      </c>
      <c r="F123" t="s">
        <v>62</v>
      </c>
      <c r="G123" t="s">
        <v>1153</v>
      </c>
      <c r="H123" t="s">
        <v>1290</v>
      </c>
      <c r="I123" t="s">
        <v>139</v>
      </c>
      <c r="J123" t="s">
        <v>287</v>
      </c>
      <c r="K123" s="22">
        <f t="shared" si="26"/>
        <v>3.1249813656142676E-2</v>
      </c>
      <c r="L123" s="22">
        <f t="shared" si="27"/>
        <v>3.1424516095088999E-2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3.2232550506305399E-2</v>
      </c>
      <c r="S123" s="22">
        <f t="shared" si="27"/>
        <v>3.1301567701581753E-2</v>
      </c>
      <c r="T123" s="22">
        <f t="shared" si="27"/>
        <v>3.1932796779085698E-2</v>
      </c>
      <c r="U123" s="22">
        <f t="shared" si="27"/>
        <v>3.2246144731511071E-2</v>
      </c>
      <c r="V123" s="22">
        <f t="shared" si="27"/>
        <v>3.2327978497644752E-2</v>
      </c>
      <c r="W123" s="22">
        <f t="shared" si="27"/>
        <v>3.2444336501757327E-2</v>
      </c>
      <c r="X123" s="22">
        <f t="shared" si="27"/>
        <v>3.2639586109882893E-2</v>
      </c>
      <c r="Y123" s="22">
        <f t="shared" si="27"/>
        <v>3.2897517713579225E-2</v>
      </c>
      <c r="Z123" s="22">
        <f t="shared" si="27"/>
        <v>3.318630089606224E-2</v>
      </c>
      <c r="AA123" s="22">
        <f t="shared" si="27"/>
        <v>3.3515030708779675E-2</v>
      </c>
      <c r="AB123" s="22">
        <f t="shared" si="27"/>
        <v>3.3911892506599629E-2</v>
      </c>
      <c r="AC123" s="22">
        <f t="shared" si="27"/>
        <v>3.4374580858244831E-2</v>
      </c>
      <c r="AD123" s="22">
        <f t="shared" si="27"/>
        <v>3.4878177387083813E-2</v>
      </c>
      <c r="AE123" s="22">
        <f t="shared" si="27"/>
        <v>3.5422226950002453E-2</v>
      </c>
      <c r="AF123" s="22">
        <f t="shared" si="27"/>
        <v>3.5992923727375593E-2</v>
      </c>
      <c r="AG123" s="22">
        <f t="shared" si="27"/>
        <v>3.6596650855607031E-2</v>
      </c>
      <c r="AH123" s="22">
        <f t="shared" si="27"/>
        <v>3.7227200693469409E-2</v>
      </c>
      <c r="AI123" s="22">
        <f t="shared" si="27"/>
        <v>3.7860275511637599E-2</v>
      </c>
      <c r="AJ123" s="22">
        <f t="shared" si="27"/>
        <v>3.8531484194690796E-2</v>
      </c>
      <c r="AK123" s="22">
        <f t="shared" si="27"/>
        <v>3.9217363333789369E-2</v>
      </c>
      <c r="AL123" s="22">
        <f t="shared" si="27"/>
        <v>3.9916168516925726E-2</v>
      </c>
      <c r="AM123" s="22">
        <f t="shared" si="27"/>
        <v>4.0639158337820017E-2</v>
      </c>
      <c r="AN123" s="22">
        <f t="shared" si="27"/>
        <v>4.1359342577731273E-2</v>
      </c>
      <c r="AO123" s="22">
        <f t="shared" si="27"/>
        <v>4.211412098114431E-2</v>
      </c>
      <c r="AP123" s="22">
        <f t="shared" si="27"/>
        <v>4.2917428762525973E-2</v>
      </c>
      <c r="AQ123" s="22">
        <f t="shared" si="27"/>
        <v>4.3746491799831644E-2</v>
      </c>
      <c r="AR123" s="22">
        <f t="shared" si="27"/>
        <v>4.4602810000483467E-2</v>
      </c>
      <c r="AS123" s="22">
        <f t="shared" si="27"/>
        <v>4.5512734320440534E-2</v>
      </c>
      <c r="AT123" s="22">
        <f t="shared" si="27"/>
        <v>4.64686122463292E-2</v>
      </c>
      <c r="AU123" s="22">
        <f t="shared" si="27"/>
        <v>4.7465512107379045E-2</v>
      </c>
      <c r="AV123" s="22">
        <f t="shared" si="27"/>
        <v>4.8521397287407161E-2</v>
      </c>
      <c r="AW123" s="22">
        <f t="shared" si="27"/>
        <v>4.953735348187438E-2</v>
      </c>
      <c r="AY123" s="79"/>
    </row>
    <row r="124" spans="1:51" x14ac:dyDescent="0.25">
      <c r="A124" s="95" t="str">
        <f t="shared" si="0"/>
        <v>FS MM Volatilisation</v>
      </c>
      <c r="B124" s="95" t="s">
        <v>1003</v>
      </c>
      <c r="C124" s="95" t="s">
        <v>1331</v>
      </c>
      <c r="D124" t="s">
        <v>369</v>
      </c>
      <c r="E124" t="s">
        <v>64</v>
      </c>
      <c r="F124" t="s">
        <v>62</v>
      </c>
      <c r="G124" t="s">
        <v>1155</v>
      </c>
      <c r="H124" t="s">
        <v>1291</v>
      </c>
      <c r="I124" t="s">
        <v>139</v>
      </c>
      <c r="J124" t="s">
        <v>287</v>
      </c>
      <c r="K124" s="22">
        <f t="shared" si="26"/>
        <v>2.8967336997006343E-4</v>
      </c>
      <c r="L124" s="22">
        <f t="shared" si="27"/>
        <v>2.9129279224209421E-4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2.9878295053629658E-4</v>
      </c>
      <c r="S124" s="22">
        <f t="shared" si="27"/>
        <v>2.9015310943081291E-4</v>
      </c>
      <c r="T124" s="22">
        <f t="shared" si="27"/>
        <v>2.9600435245311237E-4</v>
      </c>
      <c r="U124" s="22">
        <f t="shared" si="27"/>
        <v>2.9890896360859154E-4</v>
      </c>
      <c r="V124" s="22">
        <f t="shared" si="27"/>
        <v>2.9966753014195159E-4</v>
      </c>
      <c r="W124" s="22">
        <f t="shared" si="27"/>
        <v>3.0074612265917932E-4</v>
      </c>
      <c r="X124" s="22">
        <f t="shared" si="27"/>
        <v>3.0255600903461219E-4</v>
      </c>
      <c r="Y124" s="22">
        <f t="shared" si="27"/>
        <v>3.0494693263136179E-4</v>
      </c>
      <c r="Z124" s="22">
        <f t="shared" si="27"/>
        <v>3.0762383811889561E-4</v>
      </c>
      <c r="AA124" s="22">
        <f t="shared" si="27"/>
        <v>3.1067103301443271E-4</v>
      </c>
      <c r="AB124" s="22">
        <f t="shared" si="27"/>
        <v>3.1434978437121989E-4</v>
      </c>
      <c r="AC124" s="22">
        <f t="shared" si="27"/>
        <v>3.1863872175631096E-4</v>
      </c>
      <c r="AD124" s="22">
        <f t="shared" si="27"/>
        <v>3.2330686170809402E-4</v>
      </c>
      <c r="AE124" s="22">
        <f t="shared" si="27"/>
        <v>3.2834998523054116E-4</v>
      </c>
      <c r="AF124" s="22">
        <f t="shared" si="27"/>
        <v>3.3364011785506768E-4</v>
      </c>
      <c r="AG124" s="22">
        <f t="shared" si="27"/>
        <v>3.3923642872275747E-4</v>
      </c>
      <c r="AH124" s="22">
        <f t="shared" si="27"/>
        <v>3.4508137546316036E-4</v>
      </c>
      <c r="AI124" s="22">
        <f t="shared" si="27"/>
        <v>3.5094972776886815E-4</v>
      </c>
      <c r="AJ124" s="22">
        <f t="shared" si="27"/>
        <v>3.5717156586725218E-4</v>
      </c>
      <c r="AK124" s="22">
        <f t="shared" si="27"/>
        <v>3.6352939327067397E-4</v>
      </c>
      <c r="AL124" s="22">
        <f t="shared" si="27"/>
        <v>3.7000703997215649E-4</v>
      </c>
      <c r="AM124" s="22">
        <f t="shared" si="27"/>
        <v>3.7670886866710392E-4</v>
      </c>
      <c r="AN124" s="22">
        <f t="shared" si="27"/>
        <v>3.8338469073983557E-4</v>
      </c>
      <c r="AO124" s="22">
        <f t="shared" si="27"/>
        <v>3.9038118697827962E-4</v>
      </c>
      <c r="AP124" s="22">
        <f t="shared" si="27"/>
        <v>3.9782753128984823E-4</v>
      </c>
      <c r="AQ124" s="22">
        <f t="shared" si="27"/>
        <v>4.0551261660192481E-4</v>
      </c>
      <c r="AR124" s="22">
        <f t="shared" si="27"/>
        <v>4.134503464610197E-4</v>
      </c>
      <c r="AS124" s="22">
        <f t="shared" si="27"/>
        <v>4.218849837705407E-4</v>
      </c>
      <c r="AT124" s="22">
        <f t="shared" si="27"/>
        <v>4.3074559276869194E-4</v>
      </c>
      <c r="AU124" s="22">
        <f t="shared" si="27"/>
        <v>4.3998645882474367E-4</v>
      </c>
      <c r="AV124" s="22">
        <f t="shared" si="27"/>
        <v>4.4977409537726024E-4</v>
      </c>
      <c r="AW124" s="22">
        <f t="shared" si="27"/>
        <v>4.5919160608089382E-4</v>
      </c>
      <c r="AY124" s="79"/>
    </row>
    <row r="125" spans="1:51" x14ac:dyDescent="0.25">
      <c r="A125" s="95" t="str">
        <f t="shared" si="0"/>
        <v>FS MM Volatilisation</v>
      </c>
      <c r="B125" s="95" t="s">
        <v>1003</v>
      </c>
      <c r="C125" s="95" t="s">
        <v>1331</v>
      </c>
      <c r="D125" t="s">
        <v>369</v>
      </c>
      <c r="E125" t="s">
        <v>64</v>
      </c>
      <c r="F125" t="s">
        <v>62</v>
      </c>
      <c r="G125" t="s">
        <v>1157</v>
      </c>
      <c r="H125" t="s">
        <v>1292</v>
      </c>
      <c r="I125" t="s">
        <v>139</v>
      </c>
      <c r="J125" t="s">
        <v>287</v>
      </c>
      <c r="K125" s="22">
        <f t="shared" si="26"/>
        <v>3.2323215352203869E-3</v>
      </c>
      <c r="L125" s="22">
        <f t="shared" si="27"/>
        <v>3.2042886428129448E-3</v>
      </c>
      <c r="M125" s="22">
        <f t="shared" si="27"/>
        <v>3.1936173693006072E-3</v>
      </c>
      <c r="N125" s="22">
        <f t="shared" si="27"/>
        <v>3.150970789688672E-3</v>
      </c>
      <c r="O125" s="22">
        <f t="shared" si="27"/>
        <v>3.0890682378804098E-3</v>
      </c>
      <c r="P125" s="22">
        <f t="shared" si="27"/>
        <v>3.0091897617382942E-3</v>
      </c>
      <c r="Q125" s="22">
        <f t="shared" si="27"/>
        <v>2.9461872714039495E-3</v>
      </c>
      <c r="R125" s="22">
        <f t="shared" si="27"/>
        <v>2.8865797531671877E-3</v>
      </c>
      <c r="S125" s="22">
        <f t="shared" si="27"/>
        <v>2.5775843671431266E-3</v>
      </c>
      <c r="T125" s="22">
        <f t="shared" si="27"/>
        <v>2.7008194536362932E-3</v>
      </c>
      <c r="U125" s="22">
        <f t="shared" si="27"/>
        <v>2.7434834642963983E-3</v>
      </c>
      <c r="V125" s="22">
        <f t="shared" si="27"/>
        <v>2.7249559704571515E-3</v>
      </c>
      <c r="W125" s="22">
        <f t="shared" si="27"/>
        <v>2.7098851587955765E-3</v>
      </c>
      <c r="X125" s="22">
        <f t="shared" si="27"/>
        <v>2.7108751448487677E-3</v>
      </c>
      <c r="Y125" s="22">
        <f t="shared" si="27"/>
        <v>2.7267936110374771E-3</v>
      </c>
      <c r="Z125" s="22">
        <f t="shared" si="27"/>
        <v>2.7493808220457119E-3</v>
      </c>
      <c r="AA125" s="22">
        <f t="shared" si="27"/>
        <v>2.7804561510044621E-3</v>
      </c>
      <c r="AB125" s="22">
        <f t="shared" si="27"/>
        <v>2.8259754098654112E-3</v>
      </c>
      <c r="AC125" s="22">
        <f t="shared" si="27"/>
        <v>2.8846530294108553E-3</v>
      </c>
      <c r="AD125" s="22">
        <f t="shared" si="27"/>
        <v>2.9255627766607379E-3</v>
      </c>
      <c r="AE125" s="22">
        <f t="shared" si="27"/>
        <v>2.9713051294800673E-3</v>
      </c>
      <c r="AF125" s="22">
        <f t="shared" si="27"/>
        <v>3.0184328847155249E-3</v>
      </c>
      <c r="AG125" s="22">
        <f t="shared" si="27"/>
        <v>3.0679929310084191E-3</v>
      </c>
      <c r="AH125" s="22">
        <f t="shared" si="27"/>
        <v>3.1182952843922906E-3</v>
      </c>
      <c r="AI125" s="22">
        <f t="shared" si="27"/>
        <v>3.1642302715808976E-3</v>
      </c>
      <c r="AJ125" s="22">
        <f t="shared" si="27"/>
        <v>3.2126832525729617E-3</v>
      </c>
      <c r="AK125" s="22">
        <f t="shared" si="27"/>
        <v>3.2589422884996468E-3</v>
      </c>
      <c r="AL125" s="22">
        <f t="shared" si="27"/>
        <v>3.3025617246378643E-3</v>
      </c>
      <c r="AM125" s="22">
        <f t="shared" si="27"/>
        <v>3.3454061319751881E-3</v>
      </c>
      <c r="AN125" s="22">
        <f t="shared" si="27"/>
        <v>3.3998120453296449E-3</v>
      </c>
      <c r="AO125" s="22">
        <f t="shared" si="27"/>
        <v>3.4560846217306851E-3</v>
      </c>
      <c r="AP125" s="22">
        <f t="shared" si="27"/>
        <v>3.5162688695670069E-3</v>
      </c>
      <c r="AQ125" s="22">
        <f t="shared" si="27"/>
        <v>3.576218960305765E-3</v>
      </c>
      <c r="AR125" s="22">
        <f t="shared" si="27"/>
        <v>3.6360127055851286E-3</v>
      </c>
      <c r="AS125" s="22">
        <f t="shared" si="27"/>
        <v>3.6995797552595183E-3</v>
      </c>
      <c r="AT125" s="22">
        <f t="shared" si="27"/>
        <v>3.7652741980581834E-3</v>
      </c>
      <c r="AU125" s="22">
        <f t="shared" si="27"/>
        <v>3.831953873173879E-3</v>
      </c>
      <c r="AV125" s="22">
        <f t="shared" si="27"/>
        <v>3.9018879316463188E-3</v>
      </c>
      <c r="AW125" s="22">
        <f t="shared" si="27"/>
        <v>3.9605189402422969E-3</v>
      </c>
      <c r="AY125" s="79"/>
    </row>
    <row r="126" spans="1:51" x14ac:dyDescent="0.25">
      <c r="A126" s="95" t="str">
        <f t="shared" si="0"/>
        <v>FS MM Volatilisation</v>
      </c>
      <c r="B126" s="95" t="s">
        <v>1003</v>
      </c>
      <c r="C126" s="95" t="s">
        <v>1331</v>
      </c>
      <c r="D126" t="s">
        <v>369</v>
      </c>
      <c r="E126" t="s">
        <v>64</v>
      </c>
      <c r="F126" t="s">
        <v>62</v>
      </c>
      <c r="G126" t="s">
        <v>1159</v>
      </c>
      <c r="H126" t="s">
        <v>1293</v>
      </c>
      <c r="I126" t="s">
        <v>139</v>
      </c>
      <c r="J126" t="s">
        <v>287</v>
      </c>
      <c r="K126" s="22">
        <f t="shared" si="26"/>
        <v>1.6090517274103568E-2</v>
      </c>
      <c r="L126" s="22">
        <f t="shared" si="27"/>
        <v>1.5950969356419605E-2</v>
      </c>
      <c r="M126" s="22">
        <f t="shared" si="27"/>
        <v>1.5897847688628834E-2</v>
      </c>
      <c r="N126" s="22">
        <f t="shared" si="27"/>
        <v>1.5685552742581484E-2</v>
      </c>
      <c r="O126" s="22">
        <f t="shared" si="27"/>
        <v>1.5377401443792453E-2</v>
      </c>
      <c r="P126" s="22">
        <f t="shared" si="27"/>
        <v>1.4979765878707444E-2</v>
      </c>
      <c r="Q126" s="22">
        <f t="shared" si="27"/>
        <v>1.4666139078901097E-2</v>
      </c>
      <c r="R126" s="22">
        <f t="shared" si="27"/>
        <v>1.4369412471908495E-2</v>
      </c>
      <c r="S126" s="22">
        <f t="shared" si="27"/>
        <v>1.283123146415196E-2</v>
      </c>
      <c r="T126" s="22">
        <f t="shared" si="27"/>
        <v>1.3444696512844507E-2</v>
      </c>
      <c r="U126" s="22">
        <f t="shared" si="27"/>
        <v>1.3657078230761113E-2</v>
      </c>
      <c r="V126" s="22">
        <f t="shared" si="27"/>
        <v>1.3564848247939834E-2</v>
      </c>
      <c r="W126" s="22">
        <f t="shared" si="27"/>
        <v>1.3489825651105632E-2</v>
      </c>
      <c r="X126" s="22">
        <f t="shared" si="27"/>
        <v>1.3494753808009711E-2</v>
      </c>
      <c r="Y126" s="22">
        <f t="shared" si="27"/>
        <v>1.3573996034501018E-2</v>
      </c>
      <c r="Z126" s="22">
        <f t="shared" si="27"/>
        <v>1.3686435315352767E-2</v>
      </c>
      <c r="AA126" s="22">
        <f t="shared" si="27"/>
        <v>1.3841128501646547E-2</v>
      </c>
      <c r="AB126" s="22">
        <f t="shared" si="27"/>
        <v>1.4067723663367223E-2</v>
      </c>
      <c r="AC126" s="22">
        <f t="shared" si="27"/>
        <v>1.4359821228727431E-2</v>
      </c>
      <c r="AD126" s="22">
        <f t="shared" si="27"/>
        <v>1.4563470212168856E-2</v>
      </c>
      <c r="AE126" s="22">
        <f t="shared" si="27"/>
        <v>1.4791175937041108E-2</v>
      </c>
      <c r="AF126" s="22">
        <f t="shared" si="27"/>
        <v>1.5025778204000962E-2</v>
      </c>
      <c r="AG126" s="22">
        <f t="shared" si="27"/>
        <v>1.5272488431400047E-2</v>
      </c>
      <c r="AH126" s="22">
        <f t="shared" si="27"/>
        <v>1.5522893868245321E-2</v>
      </c>
      <c r="AI126" s="22">
        <f t="shared" si="27"/>
        <v>1.5751558528239808E-2</v>
      </c>
      <c r="AJ126" s="22">
        <f t="shared" si="27"/>
        <v>1.5992757777491307E-2</v>
      </c>
      <c r="AK126" s="22">
        <f t="shared" si="27"/>
        <v>1.622303555417634E-2</v>
      </c>
      <c r="AL126" s="22">
        <f t="shared" si="27"/>
        <v>1.6440173386233263E-2</v>
      </c>
      <c r="AM126" s="22">
        <f t="shared" si="27"/>
        <v>1.6653453119962761E-2</v>
      </c>
      <c r="AN126" s="22">
        <f t="shared" si="27"/>
        <v>1.6924286104585243E-2</v>
      </c>
      <c r="AO126" s="22">
        <f t="shared" si="27"/>
        <v>1.7204411349791553E-2</v>
      </c>
      <c r="AP126" s="22">
        <f t="shared" si="27"/>
        <v>1.7504008920419142E-2</v>
      </c>
      <c r="AQ126" s="22">
        <f t="shared" si="27"/>
        <v>1.7802440855517548E-2</v>
      </c>
      <c r="AR126" s="22">
        <f t="shared" si="27"/>
        <v>1.8100094501919208E-2</v>
      </c>
      <c r="AS126" s="22">
        <f t="shared" si="27"/>
        <v>1.8416531681730838E-2</v>
      </c>
      <c r="AT126" s="22">
        <f t="shared" si="27"/>
        <v>1.874355903812051E-2</v>
      </c>
      <c r="AU126" s="22">
        <f t="shared" si="27"/>
        <v>1.9075490887285256E-2</v>
      </c>
      <c r="AV126" s="22">
        <f t="shared" si="27"/>
        <v>1.9423623077612737E-2</v>
      </c>
      <c r="AW126" s="22">
        <f t="shared" si="27"/>
        <v>1.9715488613368411E-2</v>
      </c>
      <c r="AY126" s="79"/>
    </row>
    <row r="127" spans="1:51" x14ac:dyDescent="0.25">
      <c r="A127" s="95" t="str">
        <f t="shared" si="0"/>
        <v>FS MM Volatilisation</v>
      </c>
      <c r="B127" s="95" t="s">
        <v>1003</v>
      </c>
      <c r="C127" s="95" t="s">
        <v>1331</v>
      </c>
      <c r="D127" t="s">
        <v>369</v>
      </c>
      <c r="E127" t="s">
        <v>64</v>
      </c>
      <c r="F127" t="s">
        <v>62</v>
      </c>
      <c r="G127" t="s">
        <v>1161</v>
      </c>
      <c r="H127" t="s">
        <v>1294</v>
      </c>
      <c r="I127" t="s">
        <v>139</v>
      </c>
      <c r="J127" t="s">
        <v>287</v>
      </c>
      <c r="K127" s="22">
        <f t="shared" si="26"/>
        <v>0.15836052531214867</v>
      </c>
      <c r="L127" s="22">
        <f t="shared" si="27"/>
        <v>0.16370016056893633</v>
      </c>
      <c r="M127" s="22">
        <f t="shared" si="27"/>
        <v>0.17003774892948584</v>
      </c>
      <c r="N127" s="22">
        <f t="shared" si="27"/>
        <v>0.17476418316081965</v>
      </c>
      <c r="O127" s="22">
        <f t="shared" si="27"/>
        <v>0.17840915017095652</v>
      </c>
      <c r="P127" s="22">
        <f t="shared" si="27"/>
        <v>0.18092055691117107</v>
      </c>
      <c r="Q127" s="22">
        <f t="shared" si="27"/>
        <v>0.18434967364231716</v>
      </c>
      <c r="R127" s="22">
        <f t="shared" si="27"/>
        <v>0.18794438918293385</v>
      </c>
      <c r="S127" s="22">
        <f t="shared" si="27"/>
        <v>0.17460856438309952</v>
      </c>
      <c r="T127" s="22">
        <f t="shared" si="27"/>
        <v>0.1873645711352227</v>
      </c>
      <c r="U127" s="22">
        <f t="shared" si="27"/>
        <v>0.19484677000767164</v>
      </c>
      <c r="V127" s="22">
        <f t="shared" si="27"/>
        <v>0.19807112255457257</v>
      </c>
      <c r="W127" s="22">
        <f t="shared" si="27"/>
        <v>0.20154228480865111</v>
      </c>
      <c r="X127" s="22">
        <f t="shared" si="27"/>
        <v>0.20623914667732615</v>
      </c>
      <c r="Y127" s="22">
        <f t="shared" si="27"/>
        <v>0.21215915392676254</v>
      </c>
      <c r="Z127" s="22">
        <f t="shared" si="27"/>
        <v>0.21872684602749243</v>
      </c>
      <c r="AA127" s="22">
        <f t="shared" si="27"/>
        <v>0.22612997396880463</v>
      </c>
      <c r="AB127" s="22">
        <f t="shared" si="27"/>
        <v>0.23491426249732866</v>
      </c>
      <c r="AC127" s="22">
        <f t="shared" si="27"/>
        <v>0.24505515121890351</v>
      </c>
      <c r="AD127" s="22">
        <f t="shared" si="27"/>
        <v>0.25677243358478996</v>
      </c>
      <c r="AE127" s="22">
        <f t="shared" si="27"/>
        <v>0.26945216276183381</v>
      </c>
      <c r="AF127" s="22">
        <f t="shared" si="27"/>
        <v>0.2828440567855407</v>
      </c>
      <c r="AG127" s="22">
        <f t="shared" si="27"/>
        <v>0.29709510424120422</v>
      </c>
      <c r="AH127" s="22">
        <f t="shared" si="27"/>
        <v>0.31209530848649036</v>
      </c>
      <c r="AI127" s="22">
        <f t="shared" si="27"/>
        <v>0.32736251218808471</v>
      </c>
      <c r="AJ127" s="22">
        <f t="shared" si="27"/>
        <v>0.34362947600093458</v>
      </c>
      <c r="AK127" s="22">
        <f t="shared" si="27"/>
        <v>0.36044618553686847</v>
      </c>
      <c r="AL127" s="22">
        <f t="shared" si="27"/>
        <v>0.37778487893593249</v>
      </c>
      <c r="AM127" s="22">
        <f t="shared" si="27"/>
        <v>0.3958859410797253</v>
      </c>
      <c r="AN127" s="22">
        <f t="shared" si="27"/>
        <v>0.41367585516143429</v>
      </c>
      <c r="AO127" s="22">
        <f t="shared" si="27"/>
        <v>0.43242905153599548</v>
      </c>
      <c r="AP127" s="22">
        <f t="shared" si="27"/>
        <v>0.45246435767624088</v>
      </c>
      <c r="AQ127" s="22">
        <f t="shared" si="27"/>
        <v>0.47331488964480717</v>
      </c>
      <c r="AR127" s="22">
        <f t="shared" si="27"/>
        <v>0.49503125359509215</v>
      </c>
      <c r="AS127" s="22">
        <f t="shared" si="27"/>
        <v>0.51820746125670647</v>
      </c>
      <c r="AT127" s="22">
        <f t="shared" si="27"/>
        <v>0.54270067079521189</v>
      </c>
      <c r="AU127" s="22">
        <f t="shared" si="27"/>
        <v>0.56842164327333022</v>
      </c>
      <c r="AV127" s="22">
        <f t="shared" si="27"/>
        <v>0.59578776955032364</v>
      </c>
      <c r="AW127" s="22">
        <f t="shared" si="27"/>
        <v>0.6226172294628034</v>
      </c>
      <c r="AY127" s="79"/>
    </row>
    <row r="128" spans="1:51" x14ac:dyDescent="0.25">
      <c r="A128" s="95" t="str">
        <f t="shared" si="0"/>
        <v>FS MM Volatilisation</v>
      </c>
      <c r="B128" s="95" t="s">
        <v>1003</v>
      </c>
      <c r="C128" s="95" t="s">
        <v>1331</v>
      </c>
      <c r="D128" t="s">
        <v>369</v>
      </c>
      <c r="E128" t="s">
        <v>64</v>
      </c>
      <c r="F128" t="s">
        <v>62</v>
      </c>
      <c r="G128" t="s">
        <v>1163</v>
      </c>
      <c r="H128" t="s">
        <v>1295</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1.1888884787446641E-4</v>
      </c>
      <c r="T128" s="22">
        <f t="shared" si="27"/>
        <v>1.18974421608456E-4</v>
      </c>
      <c r="U128" s="22">
        <f t="shared" si="27"/>
        <v>1.1894433570617077E-4</v>
      </c>
      <c r="V128" s="22">
        <f t="shared" si="27"/>
        <v>1.1894216976117226E-4</v>
      </c>
      <c r="W128" s="22">
        <f t="shared" si="27"/>
        <v>1.1906833284654552E-4</v>
      </c>
      <c r="X128" s="22">
        <f t="shared" si="27"/>
        <v>1.1927481036049653E-4</v>
      </c>
      <c r="Y128" s="22">
        <f t="shared" si="27"/>
        <v>1.1947292782589552E-4</v>
      </c>
      <c r="Z128" s="22">
        <f t="shared" si="27"/>
        <v>1.1966332441080059E-4</v>
      </c>
      <c r="AA128" s="22">
        <f t="shared" si="27"/>
        <v>1.198457402729256E-4</v>
      </c>
      <c r="AB128" s="22">
        <f t="shared" si="27"/>
        <v>1.2002397691702796E-4</v>
      </c>
      <c r="AC128" s="22">
        <f t="shared" si="27"/>
        <v>1.2020063791291827E-4</v>
      </c>
      <c r="AD128" s="22">
        <f t="shared" si="27"/>
        <v>1.2037395069486653E-4</v>
      </c>
      <c r="AE128" s="22">
        <f t="shared" si="27"/>
        <v>1.2054640721794917E-4</v>
      </c>
      <c r="AF128" s="22">
        <f t="shared" si="27"/>
        <v>1.2071746421078628E-4</v>
      </c>
      <c r="AG128" s="22">
        <f t="shared" si="27"/>
        <v>1.2088575105723818E-4</v>
      </c>
      <c r="AH128" s="22">
        <f t="shared" si="27"/>
        <v>1.2105200867781398E-4</v>
      </c>
      <c r="AI128" s="22">
        <f t="shared" ref="L128:AW135" si="28">AI1537</f>
        <v>1.2121641449313381E-4</v>
      </c>
      <c r="AJ128" s="22">
        <f t="shared" si="28"/>
        <v>1.2137952665146409E-4</v>
      </c>
      <c r="AK128" s="22">
        <f t="shared" si="28"/>
        <v>1.2153635424536354E-4</v>
      </c>
      <c r="AL128" s="22">
        <f t="shared" si="28"/>
        <v>1.2168671378968904E-4</v>
      </c>
      <c r="AM128" s="22">
        <f t="shared" si="28"/>
        <v>1.2183201055728766E-4</v>
      </c>
      <c r="AN128" s="22">
        <f t="shared" si="28"/>
        <v>1.2197112574763714E-4</v>
      </c>
      <c r="AO128" s="22">
        <f t="shared" si="28"/>
        <v>1.2210431172658153E-4</v>
      </c>
      <c r="AP128" s="22">
        <f t="shared" si="28"/>
        <v>1.2223096862203452E-4</v>
      </c>
      <c r="AQ128" s="22">
        <f t="shared" si="28"/>
        <v>1.2234928396390209E-4</v>
      </c>
      <c r="AR128" s="22">
        <f t="shared" si="28"/>
        <v>1.2245757817594662E-4</v>
      </c>
      <c r="AS128" s="22">
        <f t="shared" si="28"/>
        <v>1.2255574185064525E-4</v>
      </c>
      <c r="AT128" s="22">
        <f t="shared" si="28"/>
        <v>1.2264302379658788E-4</v>
      </c>
      <c r="AU128" s="22">
        <f t="shared" si="28"/>
        <v>1.2271938191890156E-4</v>
      </c>
      <c r="AV128" s="22">
        <f t="shared" si="28"/>
        <v>1.2278627747914955E-4</v>
      </c>
      <c r="AW128" s="22">
        <f t="shared" si="28"/>
        <v>1.2283502162881773E-4</v>
      </c>
      <c r="AY128" s="79"/>
    </row>
    <row r="129" spans="1:51" x14ac:dyDescent="0.25">
      <c r="A129" s="95" t="str">
        <f t="shared" si="0"/>
        <v>FS MM Volatilisation</v>
      </c>
      <c r="B129" s="95" t="s">
        <v>1003</v>
      </c>
      <c r="C129" s="95" t="s">
        <v>1331</v>
      </c>
      <c r="D129" t="s">
        <v>369</v>
      </c>
      <c r="E129" t="s">
        <v>64</v>
      </c>
      <c r="F129" t="s">
        <v>62</v>
      </c>
      <c r="G129" t="s">
        <v>1165</v>
      </c>
      <c r="H129" t="s">
        <v>1296</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8.158765245643595E-4</v>
      </c>
      <c r="T129" s="22">
        <f t="shared" si="28"/>
        <v>8.1646377561380335E-4</v>
      </c>
      <c r="U129" s="22">
        <f t="shared" si="28"/>
        <v>8.1625731065233949E-4</v>
      </c>
      <c r="V129" s="22">
        <f t="shared" si="28"/>
        <v>8.1624244682188473E-4</v>
      </c>
      <c r="W129" s="22">
        <f t="shared" si="28"/>
        <v>8.1710824291178659E-4</v>
      </c>
      <c r="X129" s="22">
        <f t="shared" si="28"/>
        <v>8.1852519798784992E-4</v>
      </c>
      <c r="Y129" s="22">
        <f t="shared" si="28"/>
        <v>8.1988478210372824E-4</v>
      </c>
      <c r="Z129" s="22">
        <f t="shared" si="28"/>
        <v>8.2119138155993044E-4</v>
      </c>
      <c r="AA129" s="22">
        <f t="shared" si="28"/>
        <v>8.2244321318482034E-4</v>
      </c>
      <c r="AB129" s="22">
        <f t="shared" si="28"/>
        <v>8.2366636486254352E-4</v>
      </c>
      <c r="AC129" s="22">
        <f t="shared" si="28"/>
        <v>8.2487870363047661E-4</v>
      </c>
      <c r="AD129" s="22">
        <f t="shared" si="28"/>
        <v>8.2606806522936944E-4</v>
      </c>
      <c r="AE129" s="22">
        <f t="shared" si="28"/>
        <v>8.2725155073878963E-4</v>
      </c>
      <c r="AF129" s="22">
        <f t="shared" si="28"/>
        <v>8.2842543195064012E-4</v>
      </c>
      <c r="AG129" s="22">
        <f t="shared" si="28"/>
        <v>8.2958030299084108E-4</v>
      </c>
      <c r="AH129" s="22">
        <f t="shared" si="28"/>
        <v>8.3072124843764142E-4</v>
      </c>
      <c r="AI129" s="22">
        <f t="shared" si="28"/>
        <v>8.3184948584274219E-4</v>
      </c>
      <c r="AJ129" s="22">
        <f t="shared" si="28"/>
        <v>8.3296884550710043E-4</v>
      </c>
      <c r="AK129" s="22">
        <f t="shared" si="28"/>
        <v>8.3404507725258427E-4</v>
      </c>
      <c r="AL129" s="22">
        <f t="shared" si="28"/>
        <v>8.3507692190961139E-4</v>
      </c>
      <c r="AM129" s="22">
        <f t="shared" si="28"/>
        <v>8.3607402318444201E-4</v>
      </c>
      <c r="AN129" s="22">
        <f t="shared" si="28"/>
        <v>8.3702870329149695E-4</v>
      </c>
      <c r="AO129" s="22">
        <f t="shared" si="28"/>
        <v>8.3794269409521473E-4</v>
      </c>
      <c r="AP129" s="22">
        <f t="shared" si="28"/>
        <v>8.3881187896429009E-4</v>
      </c>
      <c r="AQ129" s="22">
        <f t="shared" si="28"/>
        <v>8.3962381979516996E-4</v>
      </c>
      <c r="AR129" s="22">
        <f t="shared" si="28"/>
        <v>8.4036699047040963E-4</v>
      </c>
      <c r="AS129" s="22">
        <f t="shared" si="28"/>
        <v>8.4104064017922141E-4</v>
      </c>
      <c r="AT129" s="22">
        <f t="shared" si="28"/>
        <v>8.4163961385914194E-4</v>
      </c>
      <c r="AU129" s="22">
        <f t="shared" si="28"/>
        <v>8.4216362263346621E-4</v>
      </c>
      <c r="AV129" s="22">
        <f t="shared" si="28"/>
        <v>8.4262269443187052E-4</v>
      </c>
      <c r="AW129" s="22">
        <f t="shared" si="28"/>
        <v>8.4295720189943475E-4</v>
      </c>
      <c r="AY129" s="79"/>
    </row>
    <row r="130" spans="1:51" x14ac:dyDescent="0.25">
      <c r="A130" s="95" t="str">
        <f t="shared" si="0"/>
        <v>FS MM Volatilisation</v>
      </c>
      <c r="B130" s="95" t="s">
        <v>1003</v>
      </c>
      <c r="C130" s="95" t="s">
        <v>1331</v>
      </c>
      <c r="D130" t="s">
        <v>369</v>
      </c>
      <c r="E130" t="s">
        <v>64</v>
      </c>
      <c r="F130" t="s">
        <v>62</v>
      </c>
      <c r="G130" t="s">
        <v>1167</v>
      </c>
      <c r="H130" t="s">
        <v>1297</v>
      </c>
      <c r="I130" t="s">
        <v>139</v>
      </c>
      <c r="J130" t="s">
        <v>287</v>
      </c>
      <c r="K130" s="22">
        <f t="shared" si="26"/>
        <v>1.4486129996083081E-5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1.4890706011157255E-5</v>
      </c>
      <c r="R130" s="22">
        <f t="shared" si="28"/>
        <v>1.4988675221399694E-5</v>
      </c>
      <c r="S130" s="22">
        <f t="shared" si="28"/>
        <v>1.4951923212530766E-5</v>
      </c>
      <c r="T130" s="22">
        <f t="shared" si="28"/>
        <v>1.4977625582861877E-5</v>
      </c>
      <c r="U130" s="22">
        <f t="shared" si="28"/>
        <v>1.4980119703065675E-5</v>
      </c>
      <c r="V130" s="22">
        <f t="shared" si="28"/>
        <v>1.4986976942692676E-5</v>
      </c>
      <c r="W130" s="22">
        <f t="shared" si="28"/>
        <v>1.5017294663736538E-5</v>
      </c>
      <c r="X130" s="22">
        <f t="shared" si="28"/>
        <v>1.5061890336193319E-5</v>
      </c>
      <c r="Y130" s="22">
        <f t="shared" si="28"/>
        <v>1.5103986297595971E-5</v>
      </c>
      <c r="Z130" s="22">
        <f t="shared" si="28"/>
        <v>1.5143780477124499E-5</v>
      </c>
      <c r="AA130" s="22">
        <f t="shared" si="28"/>
        <v>1.5181293243682811E-5</v>
      </c>
      <c r="AB130" s="22">
        <f t="shared" si="28"/>
        <v>1.5217300806744068E-5</v>
      </c>
      <c r="AC130" s="22">
        <f t="shared" si="28"/>
        <v>1.5252343422195684E-5</v>
      </c>
      <c r="AD130" s="22">
        <f t="shared" si="28"/>
        <v>1.5286134993525756E-5</v>
      </c>
      <c r="AE130" s="22">
        <f t="shared" si="28"/>
        <v>1.531918306979576E-5</v>
      </c>
      <c r="AF130" s="22">
        <f t="shared" si="28"/>
        <v>1.5351423055728344E-5</v>
      </c>
      <c r="AG130" s="22">
        <f t="shared" si="28"/>
        <v>1.5382634347686873E-5</v>
      </c>
      <c r="AH130" s="22">
        <f t="shared" si="28"/>
        <v>1.5412986814805202E-5</v>
      </c>
      <c r="AI130" s="22">
        <f t="shared" si="28"/>
        <v>1.5442542460580333E-5</v>
      </c>
      <c r="AJ130" s="22">
        <f t="shared" si="28"/>
        <v>1.5471431054826288E-5</v>
      </c>
      <c r="AK130" s="22">
        <f t="shared" si="28"/>
        <v>1.5498756892033488E-5</v>
      </c>
      <c r="AL130" s="22">
        <f t="shared" si="28"/>
        <v>1.5524513513074621E-5</v>
      </c>
      <c r="AM130" s="22">
        <f t="shared" si="28"/>
        <v>1.5548984646319332E-5</v>
      </c>
      <c r="AN130" s="22">
        <f t="shared" si="28"/>
        <v>1.5571987875403361E-5</v>
      </c>
      <c r="AO130" s="22">
        <f t="shared" si="28"/>
        <v>1.5593591673600764E-5</v>
      </c>
      <c r="AP130" s="22">
        <f t="shared" si="28"/>
        <v>1.5613707165200276E-5</v>
      </c>
      <c r="AQ130" s="22">
        <f t="shared" si="28"/>
        <v>1.5632023858239551E-5</v>
      </c>
      <c r="AR130" s="22">
        <f t="shared" si="28"/>
        <v>1.5648256533695206E-5</v>
      </c>
      <c r="AS130" s="22">
        <f t="shared" si="28"/>
        <v>1.5662406299088669E-5</v>
      </c>
      <c r="AT130" s="22">
        <f t="shared" si="28"/>
        <v>1.5674356891571193E-5</v>
      </c>
      <c r="AU130" s="22">
        <f t="shared" si="28"/>
        <v>1.5684120431636331E-5</v>
      </c>
      <c r="AV130" s="22">
        <f t="shared" si="28"/>
        <v>1.5691980107154113E-5</v>
      </c>
      <c r="AW130" s="22">
        <f t="shared" si="28"/>
        <v>1.5696383554298718E-5</v>
      </c>
      <c r="AY130" s="79"/>
    </row>
    <row r="131" spans="1:51" x14ac:dyDescent="0.25">
      <c r="A131" s="95" t="str">
        <f t="shared" si="0"/>
        <v>FS MM Volatilisation</v>
      </c>
      <c r="B131" s="95" t="s">
        <v>1003</v>
      </c>
      <c r="C131" s="95" t="s">
        <v>1331</v>
      </c>
      <c r="D131" t="s">
        <v>369</v>
      </c>
      <c r="E131" t="s">
        <v>64</v>
      </c>
      <c r="F131" t="s">
        <v>62</v>
      </c>
      <c r="G131" t="s">
        <v>1169</v>
      </c>
      <c r="H131" t="s">
        <v>1298</v>
      </c>
      <c r="I131" t="s">
        <v>139</v>
      </c>
      <c r="J131" t="s">
        <v>287</v>
      </c>
      <c r="K131" s="22">
        <f t="shared" si="26"/>
        <v>1.4738364076719785E-3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1.5149984613639165E-3</v>
      </c>
      <c r="R131" s="22">
        <f t="shared" si="28"/>
        <v>1.5249659674490626E-3</v>
      </c>
      <c r="S131" s="22">
        <f t="shared" si="28"/>
        <v>1.5212267735621682E-3</v>
      </c>
      <c r="T131" s="22">
        <f t="shared" si="28"/>
        <v>1.523841763843748E-3</v>
      </c>
      <c r="U131" s="22">
        <f t="shared" si="28"/>
        <v>1.5240955186535188E-3</v>
      </c>
      <c r="V131" s="22">
        <f t="shared" si="28"/>
        <v>1.5247931825168926E-3</v>
      </c>
      <c r="W131" s="22">
        <f t="shared" si="28"/>
        <v>1.5278777441689124E-3</v>
      </c>
      <c r="X131" s="22">
        <f t="shared" si="28"/>
        <v>1.53241496188746E-3</v>
      </c>
      <c r="Y131" s="22">
        <f t="shared" si="28"/>
        <v>1.536697855976355E-3</v>
      </c>
      <c r="Z131" s="22">
        <f t="shared" si="28"/>
        <v>1.5407465639900506E-3</v>
      </c>
      <c r="AA131" s="22">
        <f t="shared" si="28"/>
        <v>1.5445631582854966E-3</v>
      </c>
      <c r="AB131" s="22">
        <f t="shared" si="28"/>
        <v>1.5482266113544371E-3</v>
      </c>
      <c r="AC131" s="22">
        <f t="shared" si="28"/>
        <v>1.551791889485077E-3</v>
      </c>
      <c r="AD131" s="22">
        <f t="shared" si="28"/>
        <v>1.555229884871849E-3</v>
      </c>
      <c r="AE131" s="22">
        <f t="shared" si="28"/>
        <v>1.5585922361708792E-3</v>
      </c>
      <c r="AF131" s="22">
        <f t="shared" si="28"/>
        <v>1.561872371380429E-3</v>
      </c>
      <c r="AG131" s="22">
        <f t="shared" si="28"/>
        <v>1.5650478460193693E-3</v>
      </c>
      <c r="AH131" s="22">
        <f t="shared" si="28"/>
        <v>1.5681359427790809E-3</v>
      </c>
      <c r="AI131" s="22">
        <f t="shared" si="28"/>
        <v>1.5711429699704306E-3</v>
      </c>
      <c r="AJ131" s="22">
        <f t="shared" si="28"/>
        <v>1.5740821305314401E-3</v>
      </c>
      <c r="AK131" s="22">
        <f t="shared" si="28"/>
        <v>1.5768622942989184E-3</v>
      </c>
      <c r="AL131" s="22">
        <f t="shared" si="28"/>
        <v>1.5794828041134305E-3</v>
      </c>
      <c r="AM131" s="22">
        <f t="shared" si="28"/>
        <v>1.5819725268428828E-3</v>
      </c>
      <c r="AN131" s="22">
        <f t="shared" si="28"/>
        <v>1.5843129032254801E-3</v>
      </c>
      <c r="AO131" s="22">
        <f t="shared" si="28"/>
        <v>1.586510899815041E-3</v>
      </c>
      <c r="AP131" s="22">
        <f t="shared" si="28"/>
        <v>1.5885574742890791E-3</v>
      </c>
      <c r="AQ131" s="22">
        <f t="shared" si="28"/>
        <v>1.5904210368193567E-3</v>
      </c>
      <c r="AR131" s="22">
        <f t="shared" si="28"/>
        <v>1.592072568877052E-3</v>
      </c>
      <c r="AS131" s="22">
        <f t="shared" si="28"/>
        <v>1.5935121831427352E-3</v>
      </c>
      <c r="AT131" s="22">
        <f t="shared" si="28"/>
        <v>1.5947280508933873E-3</v>
      </c>
      <c r="AU131" s="22">
        <f t="shared" si="28"/>
        <v>1.5957214052826996E-3</v>
      </c>
      <c r="AV131" s="22">
        <f t="shared" si="28"/>
        <v>1.5965210581874944E-3</v>
      </c>
      <c r="AW131" s="22">
        <f t="shared" si="28"/>
        <v>1.596969070232308E-3</v>
      </c>
      <c r="AY131" s="79"/>
    </row>
    <row r="132" spans="1:51" x14ac:dyDescent="0.25">
      <c r="A132" s="95" t="str">
        <f t="shared" si="0"/>
        <v>FS MM Volatilisation</v>
      </c>
      <c r="B132" s="95" t="s">
        <v>1003</v>
      </c>
      <c r="C132" s="95" t="s">
        <v>1331</v>
      </c>
      <c r="D132" t="s">
        <v>369</v>
      </c>
      <c r="E132" t="s">
        <v>64</v>
      </c>
      <c r="F132" t="s">
        <v>62</v>
      </c>
      <c r="G132" t="s">
        <v>1171</v>
      </c>
      <c r="H132" t="s">
        <v>1299</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5">
      <c r="A133" s="95" t="str">
        <f t="shared" si="0"/>
        <v>FS MM Volatilisation</v>
      </c>
      <c r="B133" s="95" t="s">
        <v>1003</v>
      </c>
      <c r="C133" s="95" t="s">
        <v>1331</v>
      </c>
      <c r="D133" t="s">
        <v>369</v>
      </c>
      <c r="E133" t="s">
        <v>64</v>
      </c>
      <c r="F133" t="s">
        <v>62</v>
      </c>
      <c r="G133" t="s">
        <v>1173</v>
      </c>
      <c r="H133" t="s">
        <v>1300</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5">
      <c r="A134" s="95" t="str">
        <f t="shared" si="0"/>
        <v>FS MM Volatilisation</v>
      </c>
      <c r="B134" s="95" t="s">
        <v>1003</v>
      </c>
      <c r="C134" s="95" t="s">
        <v>1331</v>
      </c>
      <c r="D134" t="s">
        <v>369</v>
      </c>
      <c r="E134" t="s">
        <v>64</v>
      </c>
      <c r="F134" t="s">
        <v>62</v>
      </c>
      <c r="G134" t="s">
        <v>1175</v>
      </c>
      <c r="H134" t="s">
        <v>1301</v>
      </c>
      <c r="I134" t="s">
        <v>139</v>
      </c>
      <c r="J134" t="s">
        <v>287</v>
      </c>
      <c r="K134" s="22">
        <f t="shared" si="26"/>
        <v>0.13075625264316332</v>
      </c>
      <c r="L134" s="22">
        <f t="shared" si="28"/>
        <v>0.13004550543955865</v>
      </c>
      <c r="M134" s="22">
        <f t="shared" si="28"/>
        <v>0.13010384136507705</v>
      </c>
      <c r="N134" s="22">
        <f t="shared" si="28"/>
        <v>0.12890938840294827</v>
      </c>
      <c r="O134" s="22">
        <f t="shared" si="28"/>
        <v>0.12695857121838466</v>
      </c>
      <c r="P134" s="22">
        <f t="shared" si="28"/>
        <v>0.12428257569245393</v>
      </c>
      <c r="Q134" s="22">
        <f t="shared" si="28"/>
        <v>0.12233950618032063</v>
      </c>
      <c r="R134" s="22">
        <f t="shared" si="28"/>
        <v>0.12056837226162823</v>
      </c>
      <c r="S134" s="22">
        <f t="shared" si="28"/>
        <v>0.10830895289651481</v>
      </c>
      <c r="T134" s="22">
        <f t="shared" si="28"/>
        <v>0.11320330426035914</v>
      </c>
      <c r="U134" s="22">
        <f t="shared" si="28"/>
        <v>0.11468301383498544</v>
      </c>
      <c r="V134" s="22">
        <f t="shared" si="28"/>
        <v>0.11355120382559489</v>
      </c>
      <c r="W134" s="22">
        <f t="shared" si="28"/>
        <v>0.11255578294046394</v>
      </c>
      <c r="X134" s="22">
        <f t="shared" si="28"/>
        <v>0.11224814770681171</v>
      </c>
      <c r="Y134" s="22">
        <f t="shared" si="28"/>
        <v>0.11260156809388705</v>
      </c>
      <c r="Z134" s="22">
        <f t="shared" si="28"/>
        <v>0.11325984846472106</v>
      </c>
      <c r="AA134" s="22">
        <f t="shared" si="28"/>
        <v>0.11429808983181136</v>
      </c>
      <c r="AB134" s="22">
        <f t="shared" si="28"/>
        <v>0.11596592254580176</v>
      </c>
      <c r="AC134" s="22">
        <f t="shared" si="28"/>
        <v>0.11820511582305605</v>
      </c>
      <c r="AD134" s="22">
        <f t="shared" si="28"/>
        <v>0.12075365463644311</v>
      </c>
      <c r="AE134" s="22">
        <f t="shared" si="28"/>
        <v>0.12358623956337132</v>
      </c>
      <c r="AF134" s="22">
        <f t="shared" si="28"/>
        <v>0.12656118355318</v>
      </c>
      <c r="AG134" s="22">
        <f t="shared" si="28"/>
        <v>0.12972957848678721</v>
      </c>
      <c r="AH134" s="22">
        <f t="shared" si="28"/>
        <v>0.13302313311609873</v>
      </c>
      <c r="AI134" s="22">
        <f t="shared" si="28"/>
        <v>0.13621929545186015</v>
      </c>
      <c r="AJ134" s="22">
        <f t="shared" si="28"/>
        <v>0.13962684476435561</v>
      </c>
      <c r="AK134" s="22">
        <f t="shared" si="28"/>
        <v>0.14304119066791054</v>
      </c>
      <c r="AL134" s="22">
        <f t="shared" si="28"/>
        <v>0.14644440679500975</v>
      </c>
      <c r="AM134" s="22">
        <f t="shared" si="28"/>
        <v>0.14992455211372072</v>
      </c>
      <c r="AN134" s="22">
        <f t="shared" si="28"/>
        <v>0.15325657222760428</v>
      </c>
      <c r="AO134" s="22">
        <f t="shared" si="28"/>
        <v>0.15674333681767427</v>
      </c>
      <c r="AP134" s="22">
        <f t="shared" si="28"/>
        <v>0.16048535923438295</v>
      </c>
      <c r="AQ134" s="22">
        <f t="shared" si="28"/>
        <v>0.16429277839644263</v>
      </c>
      <c r="AR134" s="22">
        <f t="shared" si="28"/>
        <v>0.16817259395975112</v>
      </c>
      <c r="AS134" s="22">
        <f t="shared" si="28"/>
        <v>0.17231652203790412</v>
      </c>
      <c r="AT134" s="22">
        <f t="shared" si="28"/>
        <v>0.17665242177214358</v>
      </c>
      <c r="AU134" s="22">
        <f t="shared" si="28"/>
        <v>0.18113086971422945</v>
      </c>
      <c r="AV134" s="22">
        <f t="shared" si="28"/>
        <v>0.18586803919890985</v>
      </c>
      <c r="AW134" s="22">
        <f t="shared" si="28"/>
        <v>0.19015603509530893</v>
      </c>
      <c r="AY134" s="79"/>
    </row>
    <row r="135" spans="1:51" x14ac:dyDescent="0.25">
      <c r="A135" s="95" t="str">
        <f t="shared" si="0"/>
        <v>FS MM Volatilisation</v>
      </c>
      <c r="B135" s="95" t="s">
        <v>1003</v>
      </c>
      <c r="C135" s="95" t="s">
        <v>1331</v>
      </c>
      <c r="D135" t="s">
        <v>369</v>
      </c>
      <c r="E135" t="s">
        <v>64</v>
      </c>
      <c r="F135" t="s">
        <v>62</v>
      </c>
      <c r="G135" t="s">
        <v>1177</v>
      </c>
      <c r="H135" t="s">
        <v>1302</v>
      </c>
      <c r="I135" t="s">
        <v>139</v>
      </c>
      <c r="J135" t="s">
        <v>287</v>
      </c>
      <c r="K135" s="22">
        <f t="shared" si="26"/>
        <v>1.2724633182830876E-2</v>
      </c>
      <c r="L135" s="22">
        <f t="shared" si="28"/>
        <v>1.2655466337890211E-2</v>
      </c>
      <c r="M135" s="22">
        <f t="shared" si="28"/>
        <v>1.2661143337946403E-2</v>
      </c>
      <c r="N135" s="22">
        <f t="shared" si="28"/>
        <v>1.2544904339887072E-2</v>
      </c>
      <c r="O135" s="22">
        <f t="shared" si="28"/>
        <v>1.2355059245839609E-2</v>
      </c>
      <c r="P135" s="22">
        <f t="shared" si="28"/>
        <v>1.2094642930917438E-2</v>
      </c>
      <c r="Q135" s="22">
        <f t="shared" si="28"/>
        <v>1.1905551806853848E-2</v>
      </c>
      <c r="R135" s="22">
        <f t="shared" si="28"/>
        <v>1.1733192711380727E-2</v>
      </c>
      <c r="S135" s="22">
        <f t="shared" si="28"/>
        <v>1.0540159022343456E-2</v>
      </c>
      <c r="T135" s="22">
        <f t="shared" si="28"/>
        <v>1.1016456136354276E-2</v>
      </c>
      <c r="U135" s="22">
        <f t="shared" si="28"/>
        <v>1.1160455074635459E-2</v>
      </c>
      <c r="V135" s="22">
        <f t="shared" si="28"/>
        <v>1.1050312217899923E-2</v>
      </c>
      <c r="W135" s="22">
        <f t="shared" si="28"/>
        <v>1.0953442161059227E-2</v>
      </c>
      <c r="X135" s="22">
        <f t="shared" ref="L135:AW142" si="29">X1544</f>
        <v>1.092350443018052E-2</v>
      </c>
      <c r="Y135" s="22">
        <f t="shared" si="29"/>
        <v>1.0957897774238343E-2</v>
      </c>
      <c r="Z135" s="22">
        <f t="shared" si="29"/>
        <v>1.1021958773854017E-2</v>
      </c>
      <c r="AA135" s="22">
        <f t="shared" si="29"/>
        <v>1.1122995934864729E-2</v>
      </c>
      <c r="AB135" s="22">
        <f t="shared" si="29"/>
        <v>1.1285302203718813E-2</v>
      </c>
      <c r="AC135" s="22">
        <f t="shared" si="29"/>
        <v>1.1503210812313454E-2</v>
      </c>
      <c r="AD135" s="22">
        <f t="shared" si="29"/>
        <v>1.1751223591029727E-2</v>
      </c>
      <c r="AE135" s="22">
        <f t="shared" si="29"/>
        <v>1.2026878509443005E-2</v>
      </c>
      <c r="AF135" s="22">
        <f t="shared" si="29"/>
        <v>1.231638719636668E-2</v>
      </c>
      <c r="AG135" s="22">
        <f t="shared" si="29"/>
        <v>1.2624721692756056E-2</v>
      </c>
      <c r="AH135" s="22">
        <f t="shared" si="29"/>
        <v>1.2945236189603672E-2</v>
      </c>
      <c r="AI135" s="22">
        <f t="shared" si="29"/>
        <v>1.3256272889518386E-2</v>
      </c>
      <c r="AJ135" s="22">
        <f t="shared" si="29"/>
        <v>1.3587880856077676E-2</v>
      </c>
      <c r="AK135" s="22">
        <f t="shared" si="29"/>
        <v>1.3920150237493829E-2</v>
      </c>
      <c r="AL135" s="22">
        <f t="shared" si="29"/>
        <v>1.4251336517184878E-2</v>
      </c>
      <c r="AM135" s="22">
        <f t="shared" si="29"/>
        <v>1.459000921320037E-2</v>
      </c>
      <c r="AN135" s="22">
        <f t="shared" si="29"/>
        <v>1.4914267004701089E-2</v>
      </c>
      <c r="AO135" s="22">
        <f t="shared" si="29"/>
        <v>1.5253583859586839E-2</v>
      </c>
      <c r="AP135" s="22">
        <f t="shared" si="29"/>
        <v>1.5617741302554344E-2</v>
      </c>
      <c r="AQ135" s="22">
        <f t="shared" si="29"/>
        <v>1.5988262874036725E-2</v>
      </c>
      <c r="AR135" s="22">
        <f t="shared" si="29"/>
        <v>1.6365829750282931E-2</v>
      </c>
      <c r="AS135" s="22">
        <f t="shared" si="29"/>
        <v>1.676909891458386E-2</v>
      </c>
      <c r="AT135" s="22">
        <f t="shared" si="29"/>
        <v>1.7191049930466051E-2</v>
      </c>
      <c r="AU135" s="22">
        <f t="shared" si="29"/>
        <v>1.7626873121628955E-2</v>
      </c>
      <c r="AV135" s="22">
        <f t="shared" si="29"/>
        <v>1.8087873974735078E-2</v>
      </c>
      <c r="AW135" s="22">
        <f t="shared" si="29"/>
        <v>1.8505163196230787E-2</v>
      </c>
      <c r="AY135" s="79"/>
    </row>
    <row r="136" spans="1:51" x14ac:dyDescent="0.25">
      <c r="A136" s="95" t="str">
        <f t="shared" si="0"/>
        <v>FS MM Volatilisation</v>
      </c>
      <c r="B136" s="95" t="s">
        <v>1003</v>
      </c>
      <c r="C136" s="95" t="s">
        <v>1331</v>
      </c>
      <c r="D136" t="s">
        <v>369</v>
      </c>
      <c r="E136" t="s">
        <v>64</v>
      </c>
      <c r="F136" t="s">
        <v>62</v>
      </c>
      <c r="G136" t="s">
        <v>1179</v>
      </c>
      <c r="H136" t="s">
        <v>1303</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7.1969839340941866E-2</v>
      </c>
      <c r="S136" s="22">
        <f t="shared" si="29"/>
        <v>6.9075990112688196E-2</v>
      </c>
      <c r="T136" s="22">
        <f t="shared" si="29"/>
        <v>7.1960031651071718E-2</v>
      </c>
      <c r="U136" s="22">
        <f t="shared" si="29"/>
        <v>7.3674037695468111E-2</v>
      </c>
      <c r="V136" s="22">
        <f t="shared" si="29"/>
        <v>7.4492152680205134E-2</v>
      </c>
      <c r="W136" s="22">
        <f t="shared" si="29"/>
        <v>7.5399470920563483E-2</v>
      </c>
      <c r="X136" s="22">
        <f t="shared" si="29"/>
        <v>7.6582710746940591E-2</v>
      </c>
      <c r="Y136" s="22">
        <f t="shared" si="29"/>
        <v>7.8007027191938444E-2</v>
      </c>
      <c r="Z136" s="22">
        <f t="shared" si="29"/>
        <v>7.95518212189988E-2</v>
      </c>
      <c r="AA136" s="22">
        <f t="shared" si="29"/>
        <v>8.125501320297529E-2</v>
      </c>
      <c r="AB136" s="22">
        <f t="shared" si="29"/>
        <v>8.3229375715267798E-2</v>
      </c>
      <c r="AC136" s="22">
        <f t="shared" si="29"/>
        <v>8.5468913054205911E-2</v>
      </c>
      <c r="AD136" s="22">
        <f t="shared" si="29"/>
        <v>8.7878363840128426E-2</v>
      </c>
      <c r="AE136" s="22">
        <f t="shared" si="29"/>
        <v>9.0457350276048634E-2</v>
      </c>
      <c r="AF136" s="22">
        <f t="shared" si="29"/>
        <v>9.3152543573947852E-2</v>
      </c>
      <c r="AG136" s="22">
        <f t="shared" si="29"/>
        <v>9.5991306514799535E-2</v>
      </c>
      <c r="AH136" s="22">
        <f t="shared" si="29"/>
        <v>9.8949791609125759E-2</v>
      </c>
      <c r="AI136" s="22">
        <f t="shared" si="29"/>
        <v>0.10193029518056052</v>
      </c>
      <c r="AJ136" s="22">
        <f t="shared" si="29"/>
        <v>0.10507798344014782</v>
      </c>
      <c r="AK136" s="22">
        <f t="shared" si="29"/>
        <v>0.10829971138803891</v>
      </c>
      <c r="AL136" s="22">
        <f t="shared" si="29"/>
        <v>0.11158886411942164</v>
      </c>
      <c r="AM136" s="22">
        <f t="shared" si="29"/>
        <v>0.11499192397451925</v>
      </c>
      <c r="AN136" s="22">
        <f t="shared" si="29"/>
        <v>0.11839831966593896</v>
      </c>
      <c r="AO136" s="22">
        <f t="shared" si="29"/>
        <v>0.12196310213771001</v>
      </c>
      <c r="AP136" s="22">
        <f t="shared" si="29"/>
        <v>0.12574583816913645</v>
      </c>
      <c r="AQ136" s="22">
        <f t="shared" si="29"/>
        <v>0.12965360602860704</v>
      </c>
      <c r="AR136" s="22">
        <f t="shared" si="29"/>
        <v>0.13369403699154539</v>
      </c>
      <c r="AS136" s="22">
        <f t="shared" si="29"/>
        <v>0.1379790125366526</v>
      </c>
      <c r="AT136" s="22">
        <f t="shared" si="29"/>
        <v>0.14247835199666176</v>
      </c>
      <c r="AU136" s="22">
        <f t="shared" si="29"/>
        <v>0.14717275078625591</v>
      </c>
      <c r="AV136" s="22">
        <f t="shared" si="29"/>
        <v>0.15213947342494369</v>
      </c>
      <c r="AW136" s="22">
        <f t="shared" si="29"/>
        <v>0.15696141877860778</v>
      </c>
      <c r="AY136" s="79"/>
    </row>
    <row r="137" spans="1:51" x14ac:dyDescent="0.25">
      <c r="A137" s="95" t="str">
        <f t="shared" si="0"/>
        <v>FS MM Volatilisation</v>
      </c>
      <c r="B137" s="95" t="s">
        <v>1003</v>
      </c>
      <c r="C137" s="95" t="s">
        <v>1331</v>
      </c>
      <c r="D137" t="s">
        <v>369</v>
      </c>
      <c r="E137" t="s">
        <v>64</v>
      </c>
      <c r="F137" t="s">
        <v>62</v>
      </c>
      <c r="G137" t="s">
        <v>1181</v>
      </c>
      <c r="H137" t="s">
        <v>1304</v>
      </c>
      <c r="I137" t="s">
        <v>139</v>
      </c>
      <c r="J137" t="s">
        <v>287</v>
      </c>
      <c r="K137" s="22">
        <f t="shared" si="26"/>
        <v>0.31034319165291718</v>
      </c>
      <c r="L137" s="22">
        <f t="shared" si="29"/>
        <v>0.31442985679016972</v>
      </c>
      <c r="M137" s="22">
        <f t="shared" si="29"/>
        <v>0.3209942132552846</v>
      </c>
      <c r="N137" s="22">
        <f t="shared" si="29"/>
        <v>0.3228790317815291</v>
      </c>
      <c r="O137" s="22">
        <f t="shared" si="29"/>
        <v>0.3217232753588708</v>
      </c>
      <c r="P137" s="22">
        <f t="shared" si="29"/>
        <v>0.31753924052538912</v>
      </c>
      <c r="Q137" s="22">
        <f t="shared" si="29"/>
        <v>0.31577785743754239</v>
      </c>
      <c r="R137" s="22">
        <f t="shared" si="29"/>
        <v>0.31441607582114939</v>
      </c>
      <c r="S137" s="22">
        <f t="shared" si="29"/>
        <v>0.27355046715049131</v>
      </c>
      <c r="T137" s="22">
        <f t="shared" si="29"/>
        <v>0.2982999703835697</v>
      </c>
      <c r="U137" s="22">
        <f t="shared" si="29"/>
        <v>0.31020865266324016</v>
      </c>
      <c r="V137" s="22">
        <f t="shared" si="29"/>
        <v>0.31169871113596848</v>
      </c>
      <c r="W137" s="22">
        <f t="shared" si="29"/>
        <v>0.313416443296333</v>
      </c>
      <c r="X137" s="22">
        <f t="shared" si="29"/>
        <v>0.31777262865062833</v>
      </c>
      <c r="Y137" s="22">
        <f t="shared" si="29"/>
        <v>0.32494530500053975</v>
      </c>
      <c r="Z137" s="22">
        <f t="shared" si="29"/>
        <v>0.33352717212448735</v>
      </c>
      <c r="AA137" s="22">
        <f t="shared" si="29"/>
        <v>0.34389700896977449</v>
      </c>
      <c r="AB137" s="22">
        <f t="shared" si="29"/>
        <v>0.35720613223021092</v>
      </c>
      <c r="AC137" s="22">
        <f t="shared" si="29"/>
        <v>0.37330270784262232</v>
      </c>
      <c r="AD137" s="22">
        <f t="shared" si="29"/>
        <v>0.39111878330548938</v>
      </c>
      <c r="AE137" s="22">
        <f t="shared" si="29"/>
        <v>0.41059525274758124</v>
      </c>
      <c r="AF137" s="22">
        <f t="shared" si="29"/>
        <v>0.4311392832902729</v>
      </c>
      <c r="AG137" s="22">
        <f t="shared" si="29"/>
        <v>0.45302578965799745</v>
      </c>
      <c r="AH137" s="22">
        <f t="shared" si="29"/>
        <v>0.47597562229356133</v>
      </c>
      <c r="AI137" s="22">
        <f t="shared" si="29"/>
        <v>0.49895875258724764</v>
      </c>
      <c r="AJ137" s="22">
        <f t="shared" si="29"/>
        <v>0.52346175750841617</v>
      </c>
      <c r="AK137" s="22">
        <f t="shared" si="29"/>
        <v>0.54854282752031391</v>
      </c>
      <c r="AL137" s="22">
        <f t="shared" si="29"/>
        <v>0.57412757690619154</v>
      </c>
      <c r="AM137" s="22">
        <f t="shared" si="29"/>
        <v>0.60066723743034001</v>
      </c>
      <c r="AN137" s="22">
        <f t="shared" si="29"/>
        <v>0.62704755150284652</v>
      </c>
      <c r="AO137" s="22">
        <f t="shared" si="29"/>
        <v>0.65481507956811935</v>
      </c>
      <c r="AP137" s="22">
        <f t="shared" si="29"/>
        <v>0.68454150627200949</v>
      </c>
      <c r="AQ137" s="22">
        <f t="shared" si="29"/>
        <v>0.71529406948310958</v>
      </c>
      <c r="AR137" s="22">
        <f t="shared" si="29"/>
        <v>0.74714458055742761</v>
      </c>
      <c r="AS137" s="22">
        <f t="shared" si="29"/>
        <v>0.78116708322765893</v>
      </c>
      <c r="AT137" s="22">
        <f t="shared" si="29"/>
        <v>0.81704220152579388</v>
      </c>
      <c r="AU137" s="22">
        <f t="shared" si="29"/>
        <v>0.85455779039390145</v>
      </c>
      <c r="AV137" s="22">
        <f t="shared" si="29"/>
        <v>0.8944207901364416</v>
      </c>
      <c r="AW137" s="22">
        <f t="shared" si="29"/>
        <v>0.93268516809491542</v>
      </c>
      <c r="AY137" s="79"/>
    </row>
    <row r="138" spans="1:51" x14ac:dyDescent="0.25">
      <c r="A138" s="95" t="str">
        <f t="shared" si="0"/>
        <v>FS MM Leaching</v>
      </c>
      <c r="B138" s="95" t="s">
        <v>1003</v>
      </c>
      <c r="C138" s="95" t="s">
        <v>1332</v>
      </c>
      <c r="D138" t="s">
        <v>369</v>
      </c>
      <c r="E138" t="s">
        <v>64</v>
      </c>
      <c r="F138" t="s">
        <v>63</v>
      </c>
      <c r="G138" t="s">
        <v>1151</v>
      </c>
      <c r="H138" t="s">
        <v>1305</v>
      </c>
      <c r="I138" t="s">
        <v>139</v>
      </c>
      <c r="J138" t="s">
        <v>287</v>
      </c>
      <c r="K138" s="22">
        <f t="shared" si="26"/>
        <v>8.9211118607918846E-2</v>
      </c>
      <c r="L138" s="22">
        <f t="shared" si="29"/>
        <v>8.9709854381943815E-2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9.2016609055475665E-2</v>
      </c>
      <c r="S138" s="22">
        <f t="shared" si="29"/>
        <v>8.9358864650084344E-2</v>
      </c>
      <c r="T138" s="22">
        <f t="shared" si="29"/>
        <v>9.1160880262772734E-2</v>
      </c>
      <c r="U138" s="22">
        <f t="shared" si="29"/>
        <v>9.2055417480081031E-2</v>
      </c>
      <c r="V138" s="22">
        <f t="shared" si="29"/>
        <v>9.2289034291272776E-2</v>
      </c>
      <c r="W138" s="22">
        <f t="shared" si="29"/>
        <v>9.2621209958625161E-2</v>
      </c>
      <c r="X138" s="22">
        <f t="shared" si="29"/>
        <v>9.3178603232719648E-2</v>
      </c>
      <c r="Y138" s="22">
        <f t="shared" si="29"/>
        <v>9.3914939363977226E-2</v>
      </c>
      <c r="Z138" s="22">
        <f t="shared" si="29"/>
        <v>9.4739349743762011E-2</v>
      </c>
      <c r="AA138" s="22">
        <f t="shared" si="29"/>
        <v>9.5677798677729631E-2</v>
      </c>
      <c r="AB138" s="22">
        <f t="shared" si="29"/>
        <v>9.6810748950836578E-2</v>
      </c>
      <c r="AC138" s="22">
        <f t="shared" si="29"/>
        <v>9.8131619080537594E-2</v>
      </c>
      <c r="AD138" s="22">
        <f t="shared" si="29"/>
        <v>9.956927276254475E-2</v>
      </c>
      <c r="AE138" s="22">
        <f t="shared" si="29"/>
        <v>0.10112241066666731</v>
      </c>
      <c r="AF138" s="22">
        <f t="shared" si="29"/>
        <v>0.10275162031430257</v>
      </c>
      <c r="AG138" s="22">
        <f t="shared" si="29"/>
        <v>0.10447512410975278</v>
      </c>
      <c r="AH138" s="22">
        <f t="shared" si="29"/>
        <v>0.10627520064757517</v>
      </c>
      <c r="AI138" s="22">
        <f t="shared" si="29"/>
        <v>0.10808248543054177</v>
      </c>
      <c r="AJ138" s="22">
        <f t="shared" si="29"/>
        <v>0.10999863373444546</v>
      </c>
      <c r="AK138" s="22">
        <f t="shared" si="29"/>
        <v>0.11195666285750208</v>
      </c>
      <c r="AL138" s="22">
        <f t="shared" si="29"/>
        <v>0.11395159289972816</v>
      </c>
      <c r="AM138" s="22">
        <f t="shared" si="29"/>
        <v>0.11601556458845022</v>
      </c>
      <c r="AN138" s="22">
        <f t="shared" si="29"/>
        <v>0.1180715269808419</v>
      </c>
      <c r="AO138" s="22">
        <f t="shared" si="29"/>
        <v>0.12022624785087629</v>
      </c>
      <c r="AP138" s="22">
        <f t="shared" si="29"/>
        <v>0.12251950907003291</v>
      </c>
      <c r="AQ138" s="22">
        <f t="shared" si="29"/>
        <v>0.12488629569373427</v>
      </c>
      <c r="AR138" s="22">
        <f t="shared" si="29"/>
        <v>0.12733088961691924</v>
      </c>
      <c r="AS138" s="22">
        <f t="shared" si="29"/>
        <v>0.1299285168324007</v>
      </c>
      <c r="AT138" s="22">
        <f t="shared" si="29"/>
        <v>0.13265733115300649</v>
      </c>
      <c r="AU138" s="22">
        <f t="shared" si="29"/>
        <v>0.1355032537790716</v>
      </c>
      <c r="AV138" s="22">
        <f t="shared" si="29"/>
        <v>0.13851756609044491</v>
      </c>
      <c r="AW138" s="22">
        <f t="shared" si="29"/>
        <v>0.1414178902191697</v>
      </c>
      <c r="AY138" s="79"/>
    </row>
    <row r="139" spans="1:51" x14ac:dyDescent="0.25">
      <c r="A139" s="95" t="str">
        <f t="shared" si="0"/>
        <v>FS MM Leaching</v>
      </c>
      <c r="B139" s="95" t="s">
        <v>1003</v>
      </c>
      <c r="C139" s="95" t="s">
        <v>1332</v>
      </c>
      <c r="D139" t="s">
        <v>369</v>
      </c>
      <c r="E139" t="s">
        <v>64</v>
      </c>
      <c r="F139" t="s">
        <v>63</v>
      </c>
      <c r="G139" t="s">
        <v>1153</v>
      </c>
      <c r="H139" t="s">
        <v>1306</v>
      </c>
      <c r="I139" t="s">
        <v>139</v>
      </c>
      <c r="J139" t="s">
        <v>287</v>
      </c>
      <c r="K139" s="22">
        <f t="shared" si="26"/>
        <v>2.6939494531157477E-2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2.7786681470952937E-2</v>
      </c>
      <c r="S139" s="22">
        <f t="shared" si="29"/>
        <v>2.6984110087570477E-2</v>
      </c>
      <c r="T139" s="22">
        <f t="shared" si="29"/>
        <v>2.7528273085418706E-2</v>
      </c>
      <c r="U139" s="22">
        <f t="shared" si="29"/>
        <v>2.7798400630612993E-2</v>
      </c>
      <c r="V139" s="22">
        <f t="shared" si="29"/>
        <v>2.786894698072824E-2</v>
      </c>
      <c r="W139" s="22">
        <f t="shared" si="29"/>
        <v>2.7969255604963213E-2</v>
      </c>
      <c r="X139" s="22">
        <f t="shared" si="29"/>
        <v>2.8137574232657669E-2</v>
      </c>
      <c r="Y139" s="22">
        <f t="shared" si="29"/>
        <v>2.8359929063430364E-2</v>
      </c>
      <c r="Z139" s="22">
        <f t="shared" si="29"/>
        <v>2.8608880082812278E-2</v>
      </c>
      <c r="AA139" s="22">
        <f t="shared" si="29"/>
        <v>2.8892267852396274E-2</v>
      </c>
      <c r="AB139" s="22">
        <f t="shared" si="29"/>
        <v>2.9234390091896226E-2</v>
      </c>
      <c r="AC139" s="22">
        <f t="shared" si="29"/>
        <v>2.9633259360555886E-2</v>
      </c>
      <c r="AD139" s="22">
        <f t="shared" si="29"/>
        <v>3.0067394299210185E-2</v>
      </c>
      <c r="AE139" s="22">
        <f t="shared" si="29"/>
        <v>3.0536402543105565E-2</v>
      </c>
      <c r="AF139" s="22">
        <f t="shared" si="29"/>
        <v>3.102838252359965E-2</v>
      </c>
      <c r="AG139" s="22">
        <f t="shared" si="29"/>
        <v>3.1548836944488824E-2</v>
      </c>
      <c r="AH139" s="22">
        <f t="shared" si="29"/>
        <v>3.2092414390921906E-2</v>
      </c>
      <c r="AI139" s="22">
        <f t="shared" si="29"/>
        <v>3.2638168544515178E-2</v>
      </c>
      <c r="AJ139" s="22">
        <f t="shared" si="29"/>
        <v>3.3216796719561036E-2</v>
      </c>
      <c r="AK139" s="22">
        <f t="shared" si="29"/>
        <v>3.3808071839473604E-2</v>
      </c>
      <c r="AL139" s="22">
        <f t="shared" si="29"/>
        <v>3.4410490100798045E-2</v>
      </c>
      <c r="AM139" s="22">
        <f t="shared" si="29"/>
        <v>3.5033757187775863E-2</v>
      </c>
      <c r="AN139" s="22">
        <f t="shared" si="29"/>
        <v>3.5654605670458001E-2</v>
      </c>
      <c r="AO139" s="22">
        <f t="shared" si="29"/>
        <v>3.6305276707883034E-2</v>
      </c>
      <c r="AP139" s="22">
        <f t="shared" si="29"/>
        <v>3.699778341597066E-2</v>
      </c>
      <c r="AQ139" s="22">
        <f t="shared" si="29"/>
        <v>3.7712492930889352E-2</v>
      </c>
      <c r="AR139" s="22">
        <f t="shared" si="29"/>
        <v>3.8450698276278859E-2</v>
      </c>
      <c r="AS139" s="22">
        <f t="shared" si="29"/>
        <v>3.9235115793483218E-2</v>
      </c>
      <c r="AT139" s="22">
        <f t="shared" si="29"/>
        <v>4.0059148488214832E-2</v>
      </c>
      <c r="AU139" s="22">
        <f t="shared" si="29"/>
        <v>4.0918544920154343E-2</v>
      </c>
      <c r="AV139" s="22">
        <f t="shared" si="29"/>
        <v>4.1828790765006174E-2</v>
      </c>
      <c r="AW139" s="22">
        <f t="shared" si="29"/>
        <v>4.2704615070581362E-2</v>
      </c>
      <c r="AY139" s="79"/>
    </row>
    <row r="140" spans="1:51" x14ac:dyDescent="0.25">
      <c r="A140" s="95" t="str">
        <f t="shared" si="0"/>
        <v>FS MM Leaching</v>
      </c>
      <c r="B140" s="95" t="s">
        <v>1003</v>
      </c>
      <c r="C140" s="95" t="s">
        <v>1332</v>
      </c>
      <c r="D140" t="s">
        <v>369</v>
      </c>
      <c r="E140" t="s">
        <v>64</v>
      </c>
      <c r="F140" t="s">
        <v>63</v>
      </c>
      <c r="G140" t="s">
        <v>1155</v>
      </c>
      <c r="H140" t="s">
        <v>1307</v>
      </c>
      <c r="I140" t="s">
        <v>139</v>
      </c>
      <c r="J140" t="s">
        <v>287</v>
      </c>
      <c r="K140" s="22">
        <f t="shared" si="26"/>
        <v>1.4483668498503175E-3</v>
      </c>
      <c r="L140" s="22">
        <f t="shared" si="29"/>
        <v>1.4564639612104711E-3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1.4939147526814829E-3</v>
      </c>
      <c r="S140" s="22">
        <f t="shared" si="29"/>
        <v>1.4507655471540646E-3</v>
      </c>
      <c r="T140" s="22">
        <f t="shared" si="29"/>
        <v>1.4800217622655623E-3</v>
      </c>
      <c r="U140" s="22">
        <f t="shared" si="29"/>
        <v>1.4945448180429578E-3</v>
      </c>
      <c r="V140" s="22">
        <f t="shared" si="29"/>
        <v>1.4983376507097578E-3</v>
      </c>
      <c r="W140" s="22">
        <f t="shared" si="29"/>
        <v>1.5037306132958967E-3</v>
      </c>
      <c r="X140" s="22">
        <f t="shared" si="29"/>
        <v>1.5127800451730611E-3</v>
      </c>
      <c r="Y140" s="22">
        <f t="shared" si="29"/>
        <v>1.5247346631568088E-3</v>
      </c>
      <c r="Z140" s="22">
        <f t="shared" si="29"/>
        <v>1.5381191905944778E-3</v>
      </c>
      <c r="AA140" s="22">
        <f t="shared" si="29"/>
        <v>1.5533551650721636E-3</v>
      </c>
      <c r="AB140" s="22">
        <f t="shared" si="29"/>
        <v>1.5717489218560997E-3</v>
      </c>
      <c r="AC140" s="22">
        <f t="shared" si="29"/>
        <v>1.5931936087815548E-3</v>
      </c>
      <c r="AD140" s="22">
        <f t="shared" si="29"/>
        <v>1.6165343085404703E-3</v>
      </c>
      <c r="AE140" s="22">
        <f t="shared" si="29"/>
        <v>1.641749926152706E-3</v>
      </c>
      <c r="AF140" s="22">
        <f t="shared" si="29"/>
        <v>1.6682005892753381E-3</v>
      </c>
      <c r="AG140" s="22">
        <f t="shared" si="29"/>
        <v>1.6961821436137869E-3</v>
      </c>
      <c r="AH140" s="22">
        <f t="shared" si="29"/>
        <v>1.7254068773158021E-3</v>
      </c>
      <c r="AI140" s="22">
        <f t="shared" si="29"/>
        <v>1.7547486388443409E-3</v>
      </c>
      <c r="AJ140" s="22">
        <f t="shared" si="29"/>
        <v>1.785857829336261E-3</v>
      </c>
      <c r="AK140" s="22">
        <f t="shared" si="29"/>
        <v>1.81764696635337E-3</v>
      </c>
      <c r="AL140" s="22">
        <f t="shared" si="29"/>
        <v>1.8500351998607825E-3</v>
      </c>
      <c r="AM140" s="22">
        <f t="shared" si="29"/>
        <v>1.88354434333552E-3</v>
      </c>
      <c r="AN140" s="22">
        <f t="shared" si="29"/>
        <v>1.9169234536991781E-3</v>
      </c>
      <c r="AO140" s="22">
        <f t="shared" si="29"/>
        <v>1.9519059348913977E-3</v>
      </c>
      <c r="AP140" s="22">
        <f t="shared" si="29"/>
        <v>1.9891376564492419E-3</v>
      </c>
      <c r="AQ140" s="22">
        <f t="shared" si="29"/>
        <v>2.0275630830096244E-3</v>
      </c>
      <c r="AR140" s="22">
        <f t="shared" si="29"/>
        <v>2.0672517323050989E-3</v>
      </c>
      <c r="AS140" s="22">
        <f t="shared" si="29"/>
        <v>2.1094249188527039E-3</v>
      </c>
      <c r="AT140" s="22">
        <f t="shared" si="29"/>
        <v>2.1537279638434597E-3</v>
      </c>
      <c r="AU140" s="22">
        <f t="shared" si="29"/>
        <v>2.1999322941237188E-3</v>
      </c>
      <c r="AV140" s="22">
        <f t="shared" si="29"/>
        <v>2.2488704768863013E-3</v>
      </c>
      <c r="AW140" s="22">
        <f t="shared" si="29"/>
        <v>2.2959580304044692E-3</v>
      </c>
      <c r="AY140" s="79"/>
    </row>
    <row r="141" spans="1:51" x14ac:dyDescent="0.25">
      <c r="A141" s="95" t="str">
        <f t="shared" si="0"/>
        <v>FS MM Leaching</v>
      </c>
      <c r="B141" s="95" t="s">
        <v>1003</v>
      </c>
      <c r="C141" s="95" t="s">
        <v>1332</v>
      </c>
      <c r="D141" t="s">
        <v>369</v>
      </c>
      <c r="E141" t="s">
        <v>64</v>
      </c>
      <c r="F141" t="s">
        <v>63</v>
      </c>
      <c r="G141" t="s">
        <v>1157</v>
      </c>
      <c r="H141" t="s">
        <v>1308</v>
      </c>
      <c r="I141" t="s">
        <v>139</v>
      </c>
      <c r="J141" t="s">
        <v>287</v>
      </c>
      <c r="K141" s="22">
        <f t="shared" si="26"/>
        <v>3.0303014392691133E-2</v>
      </c>
      <c r="L141" s="22">
        <f t="shared" si="29"/>
        <v>3.0040206026371356E-2</v>
      </c>
      <c r="M141" s="22">
        <f t="shared" si="29"/>
        <v>2.9940162837193186E-2</v>
      </c>
      <c r="N141" s="22">
        <f t="shared" si="29"/>
        <v>2.9540351153331298E-2</v>
      </c>
      <c r="O141" s="22">
        <f t="shared" si="29"/>
        <v>2.8960014730128842E-2</v>
      </c>
      <c r="P141" s="22">
        <f t="shared" si="29"/>
        <v>2.8211154016296501E-2</v>
      </c>
      <c r="Q141" s="22">
        <f t="shared" si="29"/>
        <v>2.7620505669412022E-2</v>
      </c>
      <c r="R141" s="22">
        <f t="shared" si="29"/>
        <v>2.7061685185942385E-2</v>
      </c>
      <c r="S141" s="22">
        <f t="shared" si="29"/>
        <v>2.416485344196681E-2</v>
      </c>
      <c r="T141" s="22">
        <f t="shared" si="29"/>
        <v>2.5320182377840249E-2</v>
      </c>
      <c r="U141" s="22">
        <f t="shared" si="29"/>
        <v>2.5720157477778727E-2</v>
      </c>
      <c r="V141" s="22">
        <f t="shared" si="29"/>
        <v>2.5546462223035794E-2</v>
      </c>
      <c r="W141" s="22">
        <f t="shared" si="29"/>
        <v>2.5405173363708521E-2</v>
      </c>
      <c r="X141" s="22">
        <f t="shared" si="29"/>
        <v>2.5414454482957191E-2</v>
      </c>
      <c r="Y141" s="22">
        <f t="shared" si="29"/>
        <v>2.5563690103476349E-2</v>
      </c>
      <c r="Z141" s="22">
        <f t="shared" si="29"/>
        <v>2.5775445206678543E-2</v>
      </c>
      <c r="AA141" s="22">
        <f t="shared" si="29"/>
        <v>2.6066776415666827E-2</v>
      </c>
      <c r="AB141" s="22">
        <f t="shared" si="29"/>
        <v>2.6493519467488225E-2</v>
      </c>
      <c r="AC141" s="22">
        <f t="shared" si="29"/>
        <v>2.7043622150726768E-2</v>
      </c>
      <c r="AD141" s="22">
        <f t="shared" si="29"/>
        <v>2.7427151031194422E-2</v>
      </c>
      <c r="AE141" s="22">
        <f t="shared" si="29"/>
        <v>2.7855985588875625E-2</v>
      </c>
      <c r="AF141" s="22">
        <f t="shared" si="29"/>
        <v>2.8297808294208047E-2</v>
      </c>
      <c r="AG141" s="22">
        <f t="shared" si="29"/>
        <v>2.8762433728203925E-2</v>
      </c>
      <c r="AH141" s="22">
        <f t="shared" si="29"/>
        <v>2.9234018291177721E-2</v>
      </c>
      <c r="AI141" s="22">
        <f t="shared" si="29"/>
        <v>2.9664658796070921E-2</v>
      </c>
      <c r="AJ141" s="22">
        <f t="shared" si="29"/>
        <v>3.0118905492871519E-2</v>
      </c>
      <c r="AK141" s="22">
        <f t="shared" si="29"/>
        <v>3.0552583954684191E-2</v>
      </c>
      <c r="AL141" s="22">
        <f t="shared" si="29"/>
        <v>3.0961516168479985E-2</v>
      </c>
      <c r="AM141" s="22">
        <f t="shared" si="29"/>
        <v>3.1363182487267389E-2</v>
      </c>
      <c r="AN141" s="22">
        <f t="shared" si="29"/>
        <v>3.1873237924965422E-2</v>
      </c>
      <c r="AO141" s="22">
        <f t="shared" si="29"/>
        <v>3.2400793328725176E-2</v>
      </c>
      <c r="AP141" s="22">
        <f t="shared" si="29"/>
        <v>3.2965020652190688E-2</v>
      </c>
      <c r="AQ141" s="22">
        <f t="shared" si="29"/>
        <v>3.3527052752866549E-2</v>
      </c>
      <c r="AR141" s="22">
        <f t="shared" si="29"/>
        <v>3.4087619114860586E-2</v>
      </c>
      <c r="AS141" s="22">
        <f t="shared" si="29"/>
        <v>3.4683560205557983E-2</v>
      </c>
      <c r="AT141" s="22">
        <f t="shared" si="29"/>
        <v>3.5299445606795467E-2</v>
      </c>
      <c r="AU141" s="22">
        <f t="shared" si="29"/>
        <v>3.5924567561005115E-2</v>
      </c>
      <c r="AV141" s="22">
        <f t="shared" si="29"/>
        <v>3.6580199359184239E-2</v>
      </c>
      <c r="AW141" s="22">
        <f t="shared" si="29"/>
        <v>3.712986506477154E-2</v>
      </c>
      <c r="AY141" s="79"/>
    </row>
    <row r="142" spans="1:51" x14ac:dyDescent="0.25">
      <c r="A142" s="95" t="str">
        <f t="shared" si="0"/>
        <v>FS MM Leaching</v>
      </c>
      <c r="B142" s="95" t="s">
        <v>1003</v>
      </c>
      <c r="C142" s="95" t="s">
        <v>1332</v>
      </c>
      <c r="D142" t="s">
        <v>369</v>
      </c>
      <c r="E142" t="s">
        <v>64</v>
      </c>
      <c r="F142" t="s">
        <v>63</v>
      </c>
      <c r="G142" t="s">
        <v>1159</v>
      </c>
      <c r="H142" t="s">
        <v>1309</v>
      </c>
      <c r="I142" t="s">
        <v>139</v>
      </c>
      <c r="J142" t="s">
        <v>287</v>
      </c>
      <c r="K142" s="22">
        <f t="shared" si="26"/>
        <v>4.0226293185258916E-2</v>
      </c>
      <c r="L142" s="22">
        <f t="shared" si="29"/>
        <v>3.9877423391049015E-2</v>
      </c>
      <c r="M142" s="22">
        <f t="shared" ref="L142:AW148" si="30">M1551</f>
        <v>3.9744619221572089E-2</v>
      </c>
      <c r="N142" s="22">
        <f t="shared" si="30"/>
        <v>3.9213881856453713E-2</v>
      </c>
      <c r="O142" s="22">
        <f t="shared" si="30"/>
        <v>3.8443503609481136E-2</v>
      </c>
      <c r="P142" s="22">
        <f t="shared" si="30"/>
        <v>3.7449414696768608E-2</v>
      </c>
      <c r="Q142" s="22">
        <f t="shared" si="30"/>
        <v>3.666534769725275E-2</v>
      </c>
      <c r="R142" s="22">
        <f t="shared" si="30"/>
        <v>3.5923531179771241E-2</v>
      </c>
      <c r="S142" s="22">
        <f t="shared" si="30"/>
        <v>3.20780786603799E-2</v>
      </c>
      <c r="T142" s="22">
        <f t="shared" si="30"/>
        <v>3.3611741282111272E-2</v>
      </c>
      <c r="U142" s="22">
        <f t="shared" si="30"/>
        <v>3.414269557690279E-2</v>
      </c>
      <c r="V142" s="22">
        <f t="shared" si="30"/>
        <v>3.3912120619849585E-2</v>
      </c>
      <c r="W142" s="22">
        <f t="shared" si="30"/>
        <v>3.372456412776409E-2</v>
      </c>
      <c r="X142" s="22">
        <f t="shared" si="30"/>
        <v>3.3736884520024282E-2</v>
      </c>
      <c r="Y142" s="22">
        <f t="shared" si="30"/>
        <v>3.3934990086252545E-2</v>
      </c>
      <c r="Z142" s="22">
        <f t="shared" si="30"/>
        <v>3.4216088288381921E-2</v>
      </c>
      <c r="AA142" s="22">
        <f t="shared" si="30"/>
        <v>3.4602821254116366E-2</v>
      </c>
      <c r="AB142" s="22">
        <f t="shared" si="30"/>
        <v>3.5169309158418066E-2</v>
      </c>
      <c r="AC142" s="22">
        <f t="shared" si="30"/>
        <v>3.589955307181858E-2</v>
      </c>
      <c r="AD142" s="22">
        <f t="shared" si="30"/>
        <v>3.6408675530422145E-2</v>
      </c>
      <c r="AE142" s="22">
        <f t="shared" si="30"/>
        <v>3.6977939842602774E-2</v>
      </c>
      <c r="AF142" s="22">
        <f t="shared" si="30"/>
        <v>3.7564445510002403E-2</v>
      </c>
      <c r="AG142" s="22">
        <f t="shared" si="30"/>
        <v>3.8181221078500117E-2</v>
      </c>
      <c r="AH142" s="22">
        <f t="shared" si="30"/>
        <v>3.8807234670613311E-2</v>
      </c>
      <c r="AI142" s="22">
        <f t="shared" si="30"/>
        <v>3.9378896320599516E-2</v>
      </c>
      <c r="AJ142" s="22">
        <f t="shared" si="30"/>
        <v>3.9981894443728266E-2</v>
      </c>
      <c r="AK142" s="22">
        <f t="shared" si="30"/>
        <v>4.0557588885440844E-2</v>
      </c>
      <c r="AL142" s="22">
        <f t="shared" si="30"/>
        <v>4.1100433465583154E-2</v>
      </c>
      <c r="AM142" s="22">
        <f t="shared" si="30"/>
        <v>4.1633632799906894E-2</v>
      </c>
      <c r="AN142" s="22">
        <f t="shared" si="30"/>
        <v>4.23107152614631E-2</v>
      </c>
      <c r="AO142" s="22">
        <f t="shared" si="30"/>
        <v>4.3011028374478885E-2</v>
      </c>
      <c r="AP142" s="22">
        <f t="shared" si="30"/>
        <v>4.3760022301047856E-2</v>
      </c>
      <c r="AQ142" s="22">
        <f t="shared" si="30"/>
        <v>4.4506102138793871E-2</v>
      </c>
      <c r="AR142" s="22">
        <f t="shared" si="30"/>
        <v>4.5250236254798015E-2</v>
      </c>
      <c r="AS142" s="22">
        <f t="shared" si="30"/>
        <v>4.6041329204327096E-2</v>
      </c>
      <c r="AT142" s="22">
        <f t="shared" si="30"/>
        <v>4.6858897595301277E-2</v>
      </c>
      <c r="AU142" s="22">
        <f t="shared" si="30"/>
        <v>4.7688727218213149E-2</v>
      </c>
      <c r="AV142" s="22">
        <f t="shared" si="30"/>
        <v>4.8559057694031842E-2</v>
      </c>
      <c r="AW142" s="22">
        <f t="shared" si="30"/>
        <v>4.928872153342103E-2</v>
      </c>
      <c r="AY142" s="79"/>
    </row>
    <row r="143" spans="1:51" x14ac:dyDescent="0.25">
      <c r="A143" s="95" t="str">
        <f t="shared" si="0"/>
        <v>FS MM Leaching</v>
      </c>
      <c r="B143" s="95" t="s">
        <v>1003</v>
      </c>
      <c r="C143" s="95" t="s">
        <v>1332</v>
      </c>
      <c r="D143" t="s">
        <v>369</v>
      </c>
      <c r="E143" t="s">
        <v>64</v>
      </c>
      <c r="F143" t="s">
        <v>63</v>
      </c>
      <c r="G143" t="s">
        <v>1161</v>
      </c>
      <c r="H143" t="s">
        <v>1310</v>
      </c>
      <c r="I143" t="s">
        <v>139</v>
      </c>
      <c r="J143" t="s">
        <v>287</v>
      </c>
      <c r="K143" s="22">
        <f t="shared" si="26"/>
        <v>4.1968337096859189E-2</v>
      </c>
      <c r="L143" s="22">
        <f t="shared" si="30"/>
        <v>4.3383434779753448E-2</v>
      </c>
      <c r="M143" s="22">
        <f t="shared" si="30"/>
        <v>4.5063007666824861E-2</v>
      </c>
      <c r="N143" s="22">
        <f t="shared" si="30"/>
        <v>4.6315596244033488E-2</v>
      </c>
      <c r="O143" s="22">
        <f t="shared" si="30"/>
        <v>4.7281576900430174E-2</v>
      </c>
      <c r="P143" s="22">
        <f t="shared" si="30"/>
        <v>4.7947144057730852E-2</v>
      </c>
      <c r="Q143" s="22">
        <f t="shared" si="30"/>
        <v>4.8855920576585825E-2</v>
      </c>
      <c r="R143" s="22">
        <f t="shared" si="30"/>
        <v>4.9808583705724517E-2</v>
      </c>
      <c r="S143" s="22">
        <f t="shared" si="30"/>
        <v>4.6274354518489276E-2</v>
      </c>
      <c r="T143" s="22">
        <f t="shared" si="30"/>
        <v>4.9654921678945953E-2</v>
      </c>
      <c r="U143" s="22">
        <f t="shared" si="30"/>
        <v>5.1637836574471289E-2</v>
      </c>
      <c r="V143" s="22">
        <f t="shared" si="30"/>
        <v>5.2492346966759522E-2</v>
      </c>
      <c r="W143" s="22">
        <f t="shared" si="30"/>
        <v>5.3412266292045346E-2</v>
      </c>
      <c r="X143" s="22">
        <f t="shared" si="30"/>
        <v>5.4657017670669474E-2</v>
      </c>
      <c r="Y143" s="22">
        <f t="shared" si="30"/>
        <v>5.6225924185537776E-2</v>
      </c>
      <c r="Z143" s="22">
        <f t="shared" si="30"/>
        <v>5.7966478629194101E-2</v>
      </c>
      <c r="AA143" s="22">
        <f t="shared" si="30"/>
        <v>5.9928438330955298E-2</v>
      </c>
      <c r="AB143" s="22">
        <f t="shared" si="30"/>
        <v>6.2256429990458134E-2</v>
      </c>
      <c r="AC143" s="22">
        <f t="shared" si="30"/>
        <v>6.4943944669320713E-2</v>
      </c>
      <c r="AD143" s="22">
        <f t="shared" si="30"/>
        <v>6.8049231515403694E-2</v>
      </c>
      <c r="AE143" s="22">
        <f t="shared" si="30"/>
        <v>7.140958377080403E-2</v>
      </c>
      <c r="AF143" s="22">
        <f t="shared" si="30"/>
        <v>7.4958672292987819E-2</v>
      </c>
      <c r="AG143" s="22">
        <f t="shared" si="30"/>
        <v>7.8735451654029412E-2</v>
      </c>
      <c r="AH143" s="22">
        <f t="shared" si="30"/>
        <v>8.2710770800306643E-2</v>
      </c>
      <c r="AI143" s="22">
        <f t="shared" si="30"/>
        <v>8.6756849519810442E-2</v>
      </c>
      <c r="AJ143" s="22">
        <f t="shared" si="30"/>
        <v>9.1067882332403163E-2</v>
      </c>
      <c r="AK143" s="22">
        <f t="shared" si="30"/>
        <v>9.5524607474435114E-2</v>
      </c>
      <c r="AL143" s="22">
        <f t="shared" si="30"/>
        <v>0.10011966756252628</v>
      </c>
      <c r="AM143" s="22">
        <f t="shared" si="30"/>
        <v>0.10491676883738305</v>
      </c>
      <c r="AN143" s="22">
        <f t="shared" si="30"/>
        <v>0.10963141037847199</v>
      </c>
      <c r="AO143" s="22">
        <f t="shared" si="30"/>
        <v>0.11460133874628856</v>
      </c>
      <c r="AP143" s="22">
        <f t="shared" si="30"/>
        <v>0.11991104885412743</v>
      </c>
      <c r="AQ143" s="22">
        <f t="shared" si="30"/>
        <v>0.12543680820975456</v>
      </c>
      <c r="AR143" s="22">
        <f t="shared" si="30"/>
        <v>0.13119202833792193</v>
      </c>
      <c r="AS143" s="22">
        <f t="shared" si="30"/>
        <v>0.13733413284188337</v>
      </c>
      <c r="AT143" s="22">
        <f t="shared" si="30"/>
        <v>0.14382526611180527</v>
      </c>
      <c r="AU143" s="22">
        <f t="shared" si="30"/>
        <v>0.15064177825264938</v>
      </c>
      <c r="AV143" s="22">
        <f t="shared" si="30"/>
        <v>0.15789428521651691</v>
      </c>
      <c r="AW143" s="22">
        <f t="shared" si="30"/>
        <v>0.16500456611205044</v>
      </c>
      <c r="AY143" s="79"/>
    </row>
    <row r="144" spans="1:51" x14ac:dyDescent="0.25">
      <c r="A144" s="95" t="str">
        <f t="shared" si="0"/>
        <v>FS MM Leaching</v>
      </c>
      <c r="B144" s="95" t="s">
        <v>1003</v>
      </c>
      <c r="C144" s="95" t="s">
        <v>1332</v>
      </c>
      <c r="D144" t="s">
        <v>369</v>
      </c>
      <c r="E144" t="s">
        <v>64</v>
      </c>
      <c r="F144" t="s">
        <v>63</v>
      </c>
      <c r="G144" t="s">
        <v>1163</v>
      </c>
      <c r="H144" t="s">
        <v>1311</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4.4583317952924901E-3</v>
      </c>
      <c r="T144" s="22">
        <f t="shared" si="30"/>
        <v>4.461540810317099E-3</v>
      </c>
      <c r="U144" s="22">
        <f t="shared" si="30"/>
        <v>4.460412588981404E-3</v>
      </c>
      <c r="V144" s="22">
        <f t="shared" si="30"/>
        <v>4.4603313660439596E-3</v>
      </c>
      <c r="W144" s="22">
        <f t="shared" si="30"/>
        <v>4.4650624817454574E-3</v>
      </c>
      <c r="X144" s="22">
        <f t="shared" si="30"/>
        <v>4.472805388518619E-3</v>
      </c>
      <c r="Y144" s="22">
        <f t="shared" si="30"/>
        <v>4.480234793471081E-3</v>
      </c>
      <c r="Z144" s="22">
        <f t="shared" si="30"/>
        <v>4.4873746654050216E-3</v>
      </c>
      <c r="AA144" s="22">
        <f t="shared" si="30"/>
        <v>4.494215260234709E-3</v>
      </c>
      <c r="AB144" s="22">
        <f t="shared" si="30"/>
        <v>4.5008991343885481E-3</v>
      </c>
      <c r="AC144" s="22">
        <f t="shared" si="30"/>
        <v>4.5075239217344356E-3</v>
      </c>
      <c r="AD144" s="22">
        <f t="shared" si="30"/>
        <v>4.5140231510574953E-3</v>
      </c>
      <c r="AE144" s="22">
        <f t="shared" si="30"/>
        <v>4.5204902706730936E-3</v>
      </c>
      <c r="AF144" s="22">
        <f t="shared" si="30"/>
        <v>4.5269049079044851E-3</v>
      </c>
      <c r="AG144" s="22">
        <f t="shared" si="30"/>
        <v>4.5332156646464309E-3</v>
      </c>
      <c r="AH144" s="22">
        <f t="shared" si="30"/>
        <v>4.5394503254180246E-3</v>
      </c>
      <c r="AI144" s="22">
        <f t="shared" si="30"/>
        <v>4.5456155434925177E-3</v>
      </c>
      <c r="AJ144" s="22">
        <f t="shared" si="30"/>
        <v>4.5517322494299031E-3</v>
      </c>
      <c r="AK144" s="22">
        <f t="shared" si="30"/>
        <v>4.5576132842011325E-3</v>
      </c>
      <c r="AL144" s="22">
        <f t="shared" si="30"/>
        <v>4.5632517671133398E-3</v>
      </c>
      <c r="AM144" s="22">
        <f t="shared" si="30"/>
        <v>4.5687003958982874E-3</v>
      </c>
      <c r="AN144" s="22">
        <f t="shared" si="30"/>
        <v>4.5739172155363928E-3</v>
      </c>
      <c r="AO144" s="22">
        <f t="shared" si="30"/>
        <v>4.5789116897468072E-3</v>
      </c>
      <c r="AP144" s="22">
        <f t="shared" si="30"/>
        <v>4.5836613233262938E-3</v>
      </c>
      <c r="AQ144" s="22">
        <f t="shared" si="30"/>
        <v>4.5880981486463275E-3</v>
      </c>
      <c r="AR144" s="22">
        <f t="shared" si="30"/>
        <v>4.592159181597999E-3</v>
      </c>
      <c r="AS144" s="22">
        <f t="shared" si="30"/>
        <v>4.5958403193991975E-3</v>
      </c>
      <c r="AT144" s="22">
        <f t="shared" si="30"/>
        <v>4.5991133923720465E-3</v>
      </c>
      <c r="AU144" s="22">
        <f t="shared" si="30"/>
        <v>4.6019768219588081E-3</v>
      </c>
      <c r="AV144" s="22">
        <f t="shared" si="30"/>
        <v>4.6044854054681089E-3</v>
      </c>
      <c r="AW144" s="22">
        <f t="shared" si="30"/>
        <v>4.6063133110806655E-3</v>
      </c>
      <c r="AY144" s="79"/>
    </row>
    <row r="145" spans="1:51" x14ac:dyDescent="0.25">
      <c r="A145" s="95" t="str">
        <f t="shared" si="0"/>
        <v>FS MM Leaching</v>
      </c>
      <c r="B145" s="95" t="s">
        <v>1003</v>
      </c>
      <c r="C145" s="95" t="s">
        <v>1332</v>
      </c>
      <c r="D145" t="s">
        <v>369</v>
      </c>
      <c r="E145" t="s">
        <v>64</v>
      </c>
      <c r="F145" t="s">
        <v>63</v>
      </c>
      <c r="G145" t="s">
        <v>1165</v>
      </c>
      <c r="H145" t="s">
        <v>1312</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3.7085296571107255E-3</v>
      </c>
      <c r="T145" s="22">
        <f t="shared" si="30"/>
        <v>3.7111989800627421E-3</v>
      </c>
      <c r="U145" s="22">
        <f t="shared" si="30"/>
        <v>3.7102605029651799E-3</v>
      </c>
      <c r="V145" s="22">
        <f t="shared" si="30"/>
        <v>3.7101929400994759E-3</v>
      </c>
      <c r="W145" s="22">
        <f t="shared" si="30"/>
        <v>3.7141283768717579E-3</v>
      </c>
      <c r="X145" s="22">
        <f t="shared" si="30"/>
        <v>3.7205690817629544E-3</v>
      </c>
      <c r="Y145" s="22">
        <f t="shared" si="30"/>
        <v>3.7267490095624013E-3</v>
      </c>
      <c r="Z145" s="22">
        <f t="shared" si="30"/>
        <v>3.732688097999684E-3</v>
      </c>
      <c r="AA145" s="22">
        <f t="shared" si="30"/>
        <v>3.7383782417491837E-3</v>
      </c>
      <c r="AB145" s="22">
        <f t="shared" si="30"/>
        <v>3.7439380221024701E-3</v>
      </c>
      <c r="AC145" s="22">
        <f t="shared" si="30"/>
        <v>3.7494486528658025E-3</v>
      </c>
      <c r="AD145" s="22">
        <f t="shared" si="30"/>
        <v>3.7548548419516796E-3</v>
      </c>
      <c r="AE145" s="22">
        <f t="shared" si="30"/>
        <v>3.7602343215399525E-3</v>
      </c>
      <c r="AF145" s="22">
        <f t="shared" si="30"/>
        <v>3.7655701452301818E-3</v>
      </c>
      <c r="AG145" s="22">
        <f t="shared" si="30"/>
        <v>3.7708195590492773E-3</v>
      </c>
      <c r="AH145" s="22">
        <f t="shared" si="30"/>
        <v>3.7760056747165515E-3</v>
      </c>
      <c r="AI145" s="22">
        <f t="shared" si="30"/>
        <v>3.7811340265579189E-3</v>
      </c>
      <c r="AJ145" s="22">
        <f t="shared" si="30"/>
        <v>3.7862220250322745E-3</v>
      </c>
      <c r="AK145" s="22">
        <f t="shared" si="30"/>
        <v>3.791113987511746E-3</v>
      </c>
      <c r="AL145" s="22">
        <f t="shared" si="30"/>
        <v>3.7958041904982334E-3</v>
      </c>
      <c r="AM145" s="22">
        <f t="shared" si="30"/>
        <v>3.8003364690201913E-3</v>
      </c>
      <c r="AN145" s="22">
        <f t="shared" si="30"/>
        <v>3.8046759240522587E-3</v>
      </c>
      <c r="AO145" s="22">
        <f t="shared" si="30"/>
        <v>3.8088304277055216E-3</v>
      </c>
      <c r="AP145" s="22">
        <f t="shared" si="30"/>
        <v>3.8127812680195002E-3</v>
      </c>
      <c r="AQ145" s="22">
        <f t="shared" si="30"/>
        <v>3.8164719081598638E-3</v>
      </c>
      <c r="AR145" s="22">
        <f t="shared" si="30"/>
        <v>3.8198499566836808E-3</v>
      </c>
      <c r="AS145" s="22">
        <f t="shared" si="30"/>
        <v>3.822912000814643E-3</v>
      </c>
      <c r="AT145" s="22">
        <f t="shared" si="30"/>
        <v>3.8256346084506454E-3</v>
      </c>
      <c r="AU145" s="22">
        <f t="shared" si="30"/>
        <v>3.8280164665157558E-3</v>
      </c>
      <c r="AV145" s="22">
        <f t="shared" si="30"/>
        <v>3.830103156508502E-3</v>
      </c>
      <c r="AW145" s="22">
        <f t="shared" si="30"/>
        <v>3.831623644997431E-3</v>
      </c>
      <c r="AY145" s="79"/>
    </row>
    <row r="146" spans="1:51" x14ac:dyDescent="0.25">
      <c r="A146" s="95" t="str">
        <f t="shared" si="0"/>
        <v>FS MM Leaching</v>
      </c>
      <c r="B146" s="95" t="s">
        <v>1003</v>
      </c>
      <c r="C146" s="95" t="s">
        <v>1332</v>
      </c>
      <c r="D146" t="s">
        <v>369</v>
      </c>
      <c r="E146" t="s">
        <v>64</v>
      </c>
      <c r="F146" t="s">
        <v>63</v>
      </c>
      <c r="G146" t="s">
        <v>1167</v>
      </c>
      <c r="H146" t="s">
        <v>1313</v>
      </c>
      <c r="I146" t="s">
        <v>139</v>
      </c>
      <c r="J146" t="s">
        <v>287</v>
      </c>
      <c r="K146" s="22">
        <f t="shared" si="26"/>
        <v>5.4322987485311551E-4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5.5840147541839707E-4</v>
      </c>
      <c r="R146" s="22">
        <f t="shared" si="30"/>
        <v>5.620753208024884E-4</v>
      </c>
      <c r="S146" s="22">
        <f t="shared" si="30"/>
        <v>5.6069712046990367E-4</v>
      </c>
      <c r="T146" s="22">
        <f t="shared" si="30"/>
        <v>5.6166095935732032E-4</v>
      </c>
      <c r="U146" s="22">
        <f t="shared" si="30"/>
        <v>5.6175448886496286E-4</v>
      </c>
      <c r="V146" s="22">
        <f t="shared" si="30"/>
        <v>5.6201163535097535E-4</v>
      </c>
      <c r="W146" s="22">
        <f t="shared" si="30"/>
        <v>5.6314854989012028E-4</v>
      </c>
      <c r="X146" s="22">
        <f t="shared" si="30"/>
        <v>5.6482088760724937E-4</v>
      </c>
      <c r="Y146" s="22">
        <f t="shared" si="30"/>
        <v>5.6639948615984891E-4</v>
      </c>
      <c r="Z146" s="22">
        <f t="shared" si="30"/>
        <v>5.6789176789216864E-4</v>
      </c>
      <c r="AA146" s="22">
        <f t="shared" si="30"/>
        <v>5.692984966381053E-4</v>
      </c>
      <c r="AB146" s="22">
        <f t="shared" si="30"/>
        <v>5.7064878025290242E-4</v>
      </c>
      <c r="AC146" s="22">
        <f t="shared" si="30"/>
        <v>5.7196287833233815E-4</v>
      </c>
      <c r="AD146" s="22">
        <f t="shared" si="30"/>
        <v>5.7323006225721597E-4</v>
      </c>
      <c r="AE146" s="22">
        <f t="shared" si="30"/>
        <v>5.7446936511734096E-4</v>
      </c>
      <c r="AF146" s="22">
        <f t="shared" si="30"/>
        <v>5.7567836458981281E-4</v>
      </c>
      <c r="AG146" s="22">
        <f t="shared" si="30"/>
        <v>5.7684878803825762E-4</v>
      </c>
      <c r="AH146" s="22">
        <f t="shared" si="30"/>
        <v>5.7798700555519505E-4</v>
      </c>
      <c r="AI146" s="22">
        <f t="shared" si="30"/>
        <v>5.7909534227176243E-4</v>
      </c>
      <c r="AJ146" s="22">
        <f t="shared" si="30"/>
        <v>5.8017866455598575E-4</v>
      </c>
      <c r="AK146" s="22">
        <f t="shared" si="30"/>
        <v>5.8120338345125585E-4</v>
      </c>
      <c r="AL146" s="22">
        <f t="shared" si="30"/>
        <v>5.8216925674029819E-4</v>
      </c>
      <c r="AM146" s="22">
        <f t="shared" si="30"/>
        <v>5.8308692423697495E-4</v>
      </c>
      <c r="AN146" s="22">
        <f t="shared" si="30"/>
        <v>5.839495453276261E-4</v>
      </c>
      <c r="AO146" s="22">
        <f t="shared" si="30"/>
        <v>5.8475968776002874E-4</v>
      </c>
      <c r="AP146" s="22">
        <f t="shared" si="30"/>
        <v>5.8551401869501036E-4</v>
      </c>
      <c r="AQ146" s="22">
        <f t="shared" si="30"/>
        <v>5.8620089468398309E-4</v>
      </c>
      <c r="AR146" s="22">
        <f t="shared" si="30"/>
        <v>5.868096200135702E-4</v>
      </c>
      <c r="AS146" s="22">
        <f t="shared" si="30"/>
        <v>5.87340236215825E-4</v>
      </c>
      <c r="AT146" s="22">
        <f t="shared" si="30"/>
        <v>5.8778838343391971E-4</v>
      </c>
      <c r="AU146" s="22">
        <f t="shared" si="30"/>
        <v>5.8815451618636234E-4</v>
      </c>
      <c r="AV146" s="22">
        <f t="shared" si="30"/>
        <v>5.8844925401827929E-4</v>
      </c>
      <c r="AW146" s="22">
        <f t="shared" si="30"/>
        <v>5.8861438328620193E-4</v>
      </c>
      <c r="AY146" s="79"/>
    </row>
    <row r="147" spans="1:51" x14ac:dyDescent="0.25">
      <c r="A147" s="95" t="str">
        <f t="shared" si="0"/>
        <v>FS MM Leaching</v>
      </c>
      <c r="B147" s="95" t="s">
        <v>1003</v>
      </c>
      <c r="C147" s="95" t="s">
        <v>1332</v>
      </c>
      <c r="D147" t="s">
        <v>369</v>
      </c>
      <c r="E147" t="s">
        <v>64</v>
      </c>
      <c r="F147" t="s">
        <v>63</v>
      </c>
      <c r="G147" t="s">
        <v>1169</v>
      </c>
      <c r="H147" t="s">
        <v>1314</v>
      </c>
      <c r="I147" t="s">
        <v>139</v>
      </c>
      <c r="J147" t="s">
        <v>287</v>
      </c>
      <c r="K147" s="22">
        <f t="shared" si="26"/>
        <v>6.6992563985089938E-3</v>
      </c>
      <c r="L147" s="22">
        <f t="shared" si="30"/>
        <v>6.716671231449923E-3</v>
      </c>
      <c r="M147" s="22">
        <f t="shared" si="30"/>
        <v>6.7406943780734313E-3</v>
      </c>
      <c r="N147" s="22">
        <f t="shared" si="30"/>
        <v>6.769960915195136E-3</v>
      </c>
      <c r="O147" s="22">
        <f t="shared" si="30"/>
        <v>6.8044291009834836E-3</v>
      </c>
      <c r="P147" s="22">
        <f t="shared" si="30"/>
        <v>6.8438891439814974E-3</v>
      </c>
      <c r="Q147" s="22">
        <f t="shared" si="30"/>
        <v>6.8863566425632549E-3</v>
      </c>
      <c r="R147" s="22">
        <f t="shared" si="30"/>
        <v>6.9316634884048298E-3</v>
      </c>
      <c r="S147" s="22">
        <f t="shared" si="30"/>
        <v>6.9146671525553097E-3</v>
      </c>
      <c r="T147" s="22">
        <f t="shared" si="30"/>
        <v>6.9265534720170359E-3</v>
      </c>
      <c r="U147" s="22">
        <f t="shared" si="30"/>
        <v>6.92770690297054E-3</v>
      </c>
      <c r="V147" s="22">
        <f t="shared" si="30"/>
        <v>6.9308781023495105E-3</v>
      </c>
      <c r="W147" s="22">
        <f t="shared" si="30"/>
        <v>6.9448988371314212E-3</v>
      </c>
      <c r="X147" s="22">
        <f t="shared" si="30"/>
        <v>6.9655225540339091E-3</v>
      </c>
      <c r="Y147" s="22">
        <f t="shared" si="30"/>
        <v>6.9849902544379758E-3</v>
      </c>
      <c r="Z147" s="22">
        <f t="shared" si="30"/>
        <v>7.0033934726820464E-3</v>
      </c>
      <c r="AA147" s="22">
        <f t="shared" si="30"/>
        <v>7.0207416285704375E-3</v>
      </c>
      <c r="AB147" s="22">
        <f t="shared" si="30"/>
        <v>7.0373936879747148E-3</v>
      </c>
      <c r="AC147" s="22">
        <f t="shared" si="30"/>
        <v>7.0535994976594404E-3</v>
      </c>
      <c r="AD147" s="22">
        <f t="shared" si="30"/>
        <v>7.0692267494174947E-3</v>
      </c>
      <c r="AE147" s="22">
        <f t="shared" si="30"/>
        <v>7.0845101644130852E-3</v>
      </c>
      <c r="AF147" s="22">
        <f t="shared" si="30"/>
        <v>7.0994198699110417E-3</v>
      </c>
      <c r="AG147" s="22">
        <f t="shared" si="30"/>
        <v>7.113853845542588E-3</v>
      </c>
      <c r="AH147" s="22">
        <f t="shared" si="30"/>
        <v>7.1278906489958219E-3</v>
      </c>
      <c r="AI147" s="22">
        <f t="shared" si="30"/>
        <v>7.1415589544110468E-3</v>
      </c>
      <c r="AJ147" s="22">
        <f t="shared" si="30"/>
        <v>7.1549187751429096E-3</v>
      </c>
      <c r="AK147" s="22">
        <f t="shared" si="30"/>
        <v>7.1675558831769013E-3</v>
      </c>
      <c r="AL147" s="22">
        <f t="shared" si="30"/>
        <v>7.179467291424684E-3</v>
      </c>
      <c r="AM147" s="22">
        <f t="shared" si="30"/>
        <v>7.1907842129221942E-3</v>
      </c>
      <c r="AN147" s="22">
        <f t="shared" si="30"/>
        <v>7.2014222873885451E-3</v>
      </c>
      <c r="AO147" s="22">
        <f t="shared" si="30"/>
        <v>7.2114131809774594E-3</v>
      </c>
      <c r="AP147" s="22">
        <f t="shared" si="30"/>
        <v>7.2207157922230866E-3</v>
      </c>
      <c r="AQ147" s="22">
        <f t="shared" si="30"/>
        <v>7.2291865309970747E-3</v>
      </c>
      <c r="AR147" s="22">
        <f t="shared" si="30"/>
        <v>7.2366934948956893E-3</v>
      </c>
      <c r="AS147" s="22">
        <f t="shared" si="30"/>
        <v>7.2432371961033398E-3</v>
      </c>
      <c r="AT147" s="22">
        <f t="shared" si="30"/>
        <v>7.2487638676972145E-3</v>
      </c>
      <c r="AU147" s="22">
        <f t="shared" si="30"/>
        <v>7.2532791149213611E-3</v>
      </c>
      <c r="AV147" s="22">
        <f t="shared" si="30"/>
        <v>7.2569139008522455E-3</v>
      </c>
      <c r="AW147" s="22">
        <f t="shared" si="30"/>
        <v>7.258950319237764E-3</v>
      </c>
      <c r="AY147" s="79"/>
    </row>
    <row r="148" spans="1:51" x14ac:dyDescent="0.25">
      <c r="A148" s="95" t="str">
        <f t="shared" si="0"/>
        <v>FS MM Leaching</v>
      </c>
      <c r="B148" s="95" t="s">
        <v>1003</v>
      </c>
      <c r="C148" s="95" t="s">
        <v>1332</v>
      </c>
      <c r="D148" t="s">
        <v>369</v>
      </c>
      <c r="E148" t="s">
        <v>64</v>
      </c>
      <c r="F148" t="s">
        <v>63</v>
      </c>
      <c r="G148" t="s">
        <v>1171</v>
      </c>
      <c r="H148" t="s">
        <v>1315</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5">
      <c r="A149" s="95" t="str">
        <f t="shared" si="0"/>
        <v>FS MM Leaching</v>
      </c>
      <c r="B149" s="95" t="s">
        <v>1003</v>
      </c>
      <c r="C149" s="95" t="s">
        <v>1332</v>
      </c>
      <c r="D149" t="s">
        <v>369</v>
      </c>
      <c r="E149" t="s">
        <v>64</v>
      </c>
      <c r="F149" t="s">
        <v>63</v>
      </c>
      <c r="G149" t="s">
        <v>1173</v>
      </c>
      <c r="H149" t="s">
        <v>1316</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5">
      <c r="A150" s="95" t="str">
        <f t="shared" si="0"/>
        <v>FS MM Leaching</v>
      </c>
      <c r="B150" s="95" t="s">
        <v>1003</v>
      </c>
      <c r="C150" s="95" t="s">
        <v>1332</v>
      </c>
      <c r="D150" t="s">
        <v>369</v>
      </c>
      <c r="E150" t="s">
        <v>64</v>
      </c>
      <c r="F150" t="s">
        <v>63</v>
      </c>
      <c r="G150" t="s">
        <v>1175</v>
      </c>
      <c r="H150" t="s">
        <v>1317</v>
      </c>
      <c r="I150" t="s">
        <v>139</v>
      </c>
      <c r="J150" t="s">
        <v>287</v>
      </c>
      <c r="K150" s="22">
        <f t="shared" si="26"/>
        <v>2.6875086183165937E-2</v>
      </c>
      <c r="L150" s="22">
        <f t="shared" si="31"/>
        <v>2.6729002214214575E-2</v>
      </c>
      <c r="M150" s="22">
        <f t="shared" si="31"/>
        <v>2.6740992333189311E-2</v>
      </c>
      <c r="N150" s="22">
        <f t="shared" si="31"/>
        <v>2.6495489531984436E-2</v>
      </c>
      <c r="O150" s="22">
        <f t="shared" si="31"/>
        <v>2.6094526833046999E-2</v>
      </c>
      <c r="P150" s="22">
        <f t="shared" si="31"/>
        <v>2.5544514050244028E-2</v>
      </c>
      <c r="Q150" s="22">
        <f t="shared" si="31"/>
        <v>2.5145143775072754E-2</v>
      </c>
      <c r="R150" s="22">
        <f t="shared" si="31"/>
        <v>2.4781112413324518E-2</v>
      </c>
      <c r="S150" s="22">
        <f t="shared" si="31"/>
        <v>2.2261363297447542E-2</v>
      </c>
      <c r="T150" s="22">
        <f t="shared" si="31"/>
        <v>2.326732754049585E-2</v>
      </c>
      <c r="U150" s="22">
        <f t="shared" si="31"/>
        <v>2.3571460777264748E-2</v>
      </c>
      <c r="V150" s="22">
        <f t="shared" si="31"/>
        <v>2.3338833343161457E-2</v>
      </c>
      <c r="W150" s="22">
        <f t="shared" si="31"/>
        <v>2.3134238751808155E-2</v>
      </c>
      <c r="X150" s="22">
        <f t="shared" si="31"/>
        <v>2.3071008709265216E-2</v>
      </c>
      <c r="Y150" s="22">
        <f t="shared" si="31"/>
        <v>2.3143649238261243E-2</v>
      </c>
      <c r="Z150" s="22">
        <f t="shared" si="31"/>
        <v>2.3278949396695201E-2</v>
      </c>
      <c r="AA150" s="22">
        <f t="shared" si="31"/>
        <v>2.3492345128489588E-2</v>
      </c>
      <c r="AB150" s="22">
        <f t="shared" si="31"/>
        <v>2.3835144398287569E-2</v>
      </c>
      <c r="AC150" s="22">
        <f t="shared" si="31"/>
        <v>2.4295378697531386E-2</v>
      </c>
      <c r="AD150" s="22">
        <f t="shared" si="31"/>
        <v>2.4819194567643824E-2</v>
      </c>
      <c r="AE150" s="22">
        <f t="shared" si="31"/>
        <v>2.5401392072493423E-2</v>
      </c>
      <c r="AF150" s="22">
        <f t="shared" si="31"/>
        <v>2.6012849455983828E-2</v>
      </c>
      <c r="AG150" s="22">
        <f t="shared" si="31"/>
        <v>2.6664067926854041E-2</v>
      </c>
      <c r="AH150" s="22">
        <f t="shared" si="31"/>
        <v>2.734101119130557E-2</v>
      </c>
      <c r="AI150" s="22">
        <f t="shared" si="31"/>
        <v>2.7997936856370267E-2</v>
      </c>
      <c r="AJ150" s="22">
        <f t="shared" si="31"/>
        <v>2.8698310105033351E-2</v>
      </c>
      <c r="AK150" s="22">
        <f t="shared" si="31"/>
        <v>2.9400080296227163E-2</v>
      </c>
      <c r="AL150" s="22">
        <f t="shared" si="31"/>
        <v>3.0099562920322648E-2</v>
      </c>
      <c r="AM150" s="22">
        <f t="shared" si="31"/>
        <v>3.0814857244530154E-2</v>
      </c>
      <c r="AN150" s="22">
        <f t="shared" si="31"/>
        <v>3.1499706541710935E-2</v>
      </c>
      <c r="AO150" s="22">
        <f t="shared" si="31"/>
        <v>3.2216361362909209E-2</v>
      </c>
      <c r="AP150" s="22">
        <f t="shared" si="31"/>
        <v>3.2985480796324254E-2</v>
      </c>
      <c r="AQ150" s="22">
        <f t="shared" si="31"/>
        <v>3.376804159970731E-2</v>
      </c>
      <c r="AR150" s="22">
        <f t="shared" si="31"/>
        <v>3.4565482452675621E-2</v>
      </c>
      <c r="AS150" s="22">
        <f t="shared" si="31"/>
        <v>3.5417207872959197E-2</v>
      </c>
      <c r="AT150" s="22">
        <f t="shared" si="31"/>
        <v>3.6308390334093638E-2</v>
      </c>
      <c r="AU150" s="22">
        <f t="shared" si="31"/>
        <v>3.7228871549923839E-2</v>
      </c>
      <c r="AV150" s="22">
        <f t="shared" si="31"/>
        <v>3.8202529295473395E-2</v>
      </c>
      <c r="AW150" s="22">
        <f t="shared" si="31"/>
        <v>3.9083865804736009E-2</v>
      </c>
      <c r="AY150" s="79"/>
    </row>
    <row r="151" spans="1:51" x14ac:dyDescent="0.25">
      <c r="A151" s="95" t="str">
        <f t="shared" si="0"/>
        <v>FS MM Leaching</v>
      </c>
      <c r="B151" s="95" t="s">
        <v>1003</v>
      </c>
      <c r="C151" s="95" t="s">
        <v>1332</v>
      </c>
      <c r="D151" t="s">
        <v>369</v>
      </c>
      <c r="E151" t="s">
        <v>64</v>
      </c>
      <c r="F151" t="s">
        <v>63</v>
      </c>
      <c r="G151" t="s">
        <v>1177</v>
      </c>
      <c r="H151" t="s">
        <v>1318</v>
      </c>
      <c r="I151" t="s">
        <v>139</v>
      </c>
      <c r="J151" t="s">
        <v>287</v>
      </c>
      <c r="K151" s="22">
        <f t="shared" si="26"/>
        <v>4.0166140097319695E-3</v>
      </c>
      <c r="L151" s="22">
        <f t="shared" si="31"/>
        <v>3.9947810410006978E-3</v>
      </c>
      <c r="M151" s="22">
        <f t="shared" si="31"/>
        <v>3.9965730233416669E-3</v>
      </c>
      <c r="N151" s="22">
        <f t="shared" si="31"/>
        <v>3.9598814204188986E-3</v>
      </c>
      <c r="O151" s="22">
        <f t="shared" si="31"/>
        <v>3.8999555700251287E-3</v>
      </c>
      <c r="P151" s="22">
        <f t="shared" si="31"/>
        <v>3.8177534504158584E-3</v>
      </c>
      <c r="Q151" s="22">
        <f t="shared" si="31"/>
        <v>3.7580655955978051E-3</v>
      </c>
      <c r="R151" s="22">
        <f t="shared" si="31"/>
        <v>3.7036593154610876E-3</v>
      </c>
      <c r="S151" s="22">
        <f t="shared" si="31"/>
        <v>3.3270703984670008E-3</v>
      </c>
      <c r="T151" s="22">
        <f t="shared" si="31"/>
        <v>3.4774167097077883E-3</v>
      </c>
      <c r="U151" s="22">
        <f t="shared" si="31"/>
        <v>3.5228709200238193E-3</v>
      </c>
      <c r="V151" s="22">
        <f t="shared" si="31"/>
        <v>3.4881036041350764E-3</v>
      </c>
      <c r="W151" s="22">
        <f t="shared" si="31"/>
        <v>3.4575259346777865E-3</v>
      </c>
      <c r="X151" s="22">
        <f t="shared" si="31"/>
        <v>3.448075893365063E-3</v>
      </c>
      <c r="Y151" s="22">
        <f t="shared" si="31"/>
        <v>3.4589323782318001E-3</v>
      </c>
      <c r="Z151" s="22">
        <f t="shared" si="31"/>
        <v>3.4791536533630104E-3</v>
      </c>
      <c r="AA151" s="22">
        <f t="shared" si="31"/>
        <v>3.5110466966113414E-3</v>
      </c>
      <c r="AB151" s="22">
        <f t="shared" si="31"/>
        <v>3.5622797360223518E-3</v>
      </c>
      <c r="AC151" s="22">
        <f t="shared" si="31"/>
        <v>3.6310640190383376E-3</v>
      </c>
      <c r="AD151" s="22">
        <f t="shared" si="31"/>
        <v>3.7093508810068579E-3</v>
      </c>
      <c r="AE151" s="22">
        <f t="shared" si="31"/>
        <v>3.7963631658595345E-3</v>
      </c>
      <c r="AF151" s="22">
        <f t="shared" si="31"/>
        <v>3.8877484837016034E-3</v>
      </c>
      <c r="AG151" s="22">
        <f t="shared" si="31"/>
        <v>3.98507629190532E-3</v>
      </c>
      <c r="AH151" s="22">
        <f t="shared" si="31"/>
        <v>4.0862487972233809E-3</v>
      </c>
      <c r="AI151" s="22">
        <f t="shared" si="31"/>
        <v>4.1844295737116129E-3</v>
      </c>
      <c r="AJ151" s="22">
        <f t="shared" si="31"/>
        <v>4.2891038055800747E-3</v>
      </c>
      <c r="AK151" s="22">
        <f t="shared" si="31"/>
        <v>4.3939868173907288E-3</v>
      </c>
      <c r="AL151" s="22">
        <f t="shared" si="31"/>
        <v>4.4985279410305803E-3</v>
      </c>
      <c r="AM151" s="22">
        <f t="shared" si="31"/>
        <v>4.6054322011364794E-3</v>
      </c>
      <c r="AN151" s="22">
        <f t="shared" si="31"/>
        <v>4.707786301988981E-3</v>
      </c>
      <c r="AO151" s="22">
        <f t="shared" si="31"/>
        <v>4.8148938950716034E-3</v>
      </c>
      <c r="AP151" s="22">
        <f t="shared" si="31"/>
        <v>4.929842582877003E-3</v>
      </c>
      <c r="AQ151" s="22">
        <f t="shared" si="31"/>
        <v>5.046800149632805E-3</v>
      </c>
      <c r="AR151" s="22">
        <f t="shared" si="31"/>
        <v>5.1659816130943592E-3</v>
      </c>
      <c r="AS151" s="22">
        <f t="shared" si="31"/>
        <v>5.2932761725327836E-3</v>
      </c>
      <c r="AT151" s="22">
        <f t="shared" si="31"/>
        <v>5.4264677810814564E-3</v>
      </c>
      <c r="AU151" s="22">
        <f t="shared" si="31"/>
        <v>5.5640382328374224E-3</v>
      </c>
      <c r="AV151" s="22">
        <f t="shared" si="31"/>
        <v>5.7095561788936492E-3</v>
      </c>
      <c r="AW151" s="22">
        <f t="shared" si="31"/>
        <v>5.8412762614364865E-3</v>
      </c>
      <c r="AY151" s="79"/>
    </row>
    <row r="152" spans="1:51" x14ac:dyDescent="0.25">
      <c r="A152" s="95" t="str">
        <f t="shared" si="0"/>
        <v>FS MM Leaching</v>
      </c>
      <c r="B152" s="95" t="s">
        <v>1003</v>
      </c>
      <c r="C152" s="95" t="s">
        <v>1332</v>
      </c>
      <c r="D152" t="s">
        <v>369</v>
      </c>
      <c r="E152" t="s">
        <v>64</v>
      </c>
      <c r="F152" t="s">
        <v>63</v>
      </c>
      <c r="G152" t="s">
        <v>1179</v>
      </c>
      <c r="H152" t="s">
        <v>1319</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1.8677293946611211E-2</v>
      </c>
      <c r="S152" s="22">
        <f t="shared" si="31"/>
        <v>1.7926295011943302E-2</v>
      </c>
      <c r="T152" s="22">
        <f t="shared" si="31"/>
        <v>1.8674748698375012E-2</v>
      </c>
      <c r="U152" s="22">
        <f t="shared" si="31"/>
        <v>1.9119559955571311E-2</v>
      </c>
      <c r="V152" s="22">
        <f t="shared" si="31"/>
        <v>1.933187353292521E-2</v>
      </c>
      <c r="W152" s="22">
        <f t="shared" si="31"/>
        <v>1.9567336744090873E-2</v>
      </c>
      <c r="X152" s="22">
        <f t="shared" si="31"/>
        <v>1.9874405903185278E-2</v>
      </c>
      <c r="Y152" s="22">
        <f t="shared" si="31"/>
        <v>2.0244038198599948E-2</v>
      </c>
      <c r="Z152" s="22">
        <f t="shared" si="31"/>
        <v>2.064493630250834E-2</v>
      </c>
      <c r="AA152" s="22">
        <f t="shared" si="31"/>
        <v>2.1086941142640651E-2</v>
      </c>
      <c r="AB152" s="22">
        <f t="shared" si="31"/>
        <v>2.1599318957249428E-2</v>
      </c>
      <c r="AC152" s="22">
        <f t="shared" si="31"/>
        <v>2.2180513768392543E-2</v>
      </c>
      <c r="AD152" s="22">
        <f t="shared" si="31"/>
        <v>2.2805803764739216E-2</v>
      </c>
      <c r="AE152" s="22">
        <f t="shared" si="31"/>
        <v>2.3475090902088748E-2</v>
      </c>
      <c r="AF152" s="22">
        <f t="shared" si="31"/>
        <v>2.4174535529571241E-2</v>
      </c>
      <c r="AG152" s="22">
        <f t="shared" si="31"/>
        <v>2.4911238714913377E-2</v>
      </c>
      <c r="AH152" s="22">
        <f t="shared" si="31"/>
        <v>2.5679011663267932E-2</v>
      </c>
      <c r="AI152" s="22">
        <f t="shared" si="31"/>
        <v>2.645249874928041E-2</v>
      </c>
      <c r="AJ152" s="22">
        <f t="shared" si="31"/>
        <v>2.7269372865090267E-2</v>
      </c>
      <c r="AK152" s="22">
        <f t="shared" si="31"/>
        <v>2.8105461432882069E-2</v>
      </c>
      <c r="AL152" s="22">
        <f t="shared" si="31"/>
        <v>2.8959047781856831E-2</v>
      </c>
      <c r="AM152" s="22">
        <f t="shared" si="31"/>
        <v>2.9842194803075938E-2</v>
      </c>
      <c r="AN152" s="22">
        <f t="shared" si="31"/>
        <v>3.0726207525762706E-2</v>
      </c>
      <c r="AO152" s="22">
        <f t="shared" si="31"/>
        <v>3.1651324084180803E-2</v>
      </c>
      <c r="AP152" s="22">
        <f t="shared" si="31"/>
        <v>3.263300298507002E-2</v>
      </c>
      <c r="AQ152" s="22">
        <f t="shared" si="31"/>
        <v>3.3647129592199072E-2</v>
      </c>
      <c r="AR152" s="22">
        <f t="shared" si="31"/>
        <v>3.4695684340366462E-2</v>
      </c>
      <c r="AS152" s="22">
        <f t="shared" si="31"/>
        <v>3.5807702215394269E-2</v>
      </c>
      <c r="AT152" s="22">
        <f t="shared" si="31"/>
        <v>3.6975350864185588E-2</v>
      </c>
      <c r="AU152" s="22">
        <f t="shared" si="31"/>
        <v>3.8193620446260186E-2</v>
      </c>
      <c r="AV152" s="22">
        <f t="shared" si="31"/>
        <v>3.9482562307511335E-2</v>
      </c>
      <c r="AW152" s="22">
        <f t="shared" si="31"/>
        <v>4.0733932208981263E-2</v>
      </c>
      <c r="AY152" s="79"/>
    </row>
    <row r="153" spans="1:51" x14ac:dyDescent="0.25">
      <c r="A153" s="95" t="str">
        <f t="shared" si="0"/>
        <v>FS MM Leaching</v>
      </c>
      <c r="B153" s="95" t="s">
        <v>1003</v>
      </c>
      <c r="C153" s="95" t="s">
        <v>1332</v>
      </c>
      <c r="D153" t="s">
        <v>369</v>
      </c>
      <c r="E153" t="s">
        <v>64</v>
      </c>
      <c r="F153" t="s">
        <v>63</v>
      </c>
      <c r="G153" t="s">
        <v>1181</v>
      </c>
      <c r="H153" t="s">
        <v>1320</v>
      </c>
      <c r="I153" t="s">
        <v>139</v>
      </c>
      <c r="J153" t="s">
        <v>287</v>
      </c>
      <c r="K153" s="22">
        <f t="shared" si="26"/>
        <v>7.758579791322931E-2</v>
      </c>
      <c r="L153" s="22">
        <f t="shared" si="31"/>
        <v>7.8607464197542429E-2</v>
      </c>
      <c r="M153" s="22">
        <f t="shared" si="31"/>
        <v>8.024855331382115E-2</v>
      </c>
      <c r="N153" s="22">
        <f t="shared" si="31"/>
        <v>8.0719757945382262E-2</v>
      </c>
      <c r="O153" s="22">
        <f t="shared" si="31"/>
        <v>8.0430818839717685E-2</v>
      </c>
      <c r="P153" s="22">
        <f t="shared" si="31"/>
        <v>7.938481013134728E-2</v>
      </c>
      <c r="Q153" s="22">
        <f t="shared" si="31"/>
        <v>7.8944464359385597E-2</v>
      </c>
      <c r="R153" s="22">
        <f t="shared" si="31"/>
        <v>7.8604018955287347E-2</v>
      </c>
      <c r="S153" s="22">
        <f t="shared" si="31"/>
        <v>6.838761678762284E-2</v>
      </c>
      <c r="T153" s="22">
        <f t="shared" si="31"/>
        <v>7.4574992595892425E-2</v>
      </c>
      <c r="U153" s="22">
        <f t="shared" si="31"/>
        <v>7.755216316581004E-2</v>
      </c>
      <c r="V153" s="22">
        <f t="shared" si="31"/>
        <v>7.7924677783992133E-2</v>
      </c>
      <c r="W153" s="22">
        <f t="shared" si="31"/>
        <v>7.8354110824083251E-2</v>
      </c>
      <c r="X153" s="22">
        <f t="shared" si="31"/>
        <v>7.9443157162657083E-2</v>
      </c>
      <c r="Y153" s="22">
        <f t="shared" si="31"/>
        <v>8.1236326250134938E-2</v>
      </c>
      <c r="Z153" s="22">
        <f t="shared" si="31"/>
        <v>8.3381793031121837E-2</v>
      </c>
      <c r="AA153" s="22">
        <f t="shared" si="31"/>
        <v>8.5974252242443622E-2</v>
      </c>
      <c r="AB153" s="22">
        <f t="shared" si="31"/>
        <v>8.9301533057552729E-2</v>
      </c>
      <c r="AC153" s="22">
        <f t="shared" si="31"/>
        <v>9.3325676960655579E-2</v>
      </c>
      <c r="AD153" s="22">
        <f t="shared" si="31"/>
        <v>9.7779695826372345E-2</v>
      </c>
      <c r="AE153" s="22">
        <f t="shared" si="31"/>
        <v>0.10264881318689535</v>
      </c>
      <c r="AF153" s="22">
        <f t="shared" si="31"/>
        <v>0.1077848208225682</v>
      </c>
      <c r="AG153" s="22">
        <f t="shared" si="31"/>
        <v>0.11325644741449936</v>
      </c>
      <c r="AH153" s="22">
        <f t="shared" si="31"/>
        <v>0.11899390557339033</v>
      </c>
      <c r="AI153" s="22">
        <f t="shared" si="31"/>
        <v>0.12473968814681194</v>
      </c>
      <c r="AJ153" s="22">
        <f t="shared" si="31"/>
        <v>0.13086543937710404</v>
      </c>
      <c r="AK153" s="22">
        <f t="shared" si="31"/>
        <v>0.13713570688007848</v>
      </c>
      <c r="AL153" s="22">
        <f t="shared" si="31"/>
        <v>0.14353189422654788</v>
      </c>
      <c r="AM153" s="22">
        <f t="shared" si="31"/>
        <v>0.15016680935758497</v>
      </c>
      <c r="AN153" s="22">
        <f t="shared" si="31"/>
        <v>0.15676188787571166</v>
      </c>
      <c r="AO153" s="22">
        <f t="shared" si="31"/>
        <v>0.16370376989202984</v>
      </c>
      <c r="AP153" s="22">
        <f t="shared" si="31"/>
        <v>0.17113537656800237</v>
      </c>
      <c r="AQ153" s="22">
        <f t="shared" si="31"/>
        <v>0.17882351737077742</v>
      </c>
      <c r="AR153" s="22">
        <f t="shared" si="31"/>
        <v>0.18678614513935693</v>
      </c>
      <c r="AS153" s="22">
        <f t="shared" si="31"/>
        <v>0.19529177080691471</v>
      </c>
      <c r="AT153" s="22">
        <f t="shared" si="31"/>
        <v>0.20426055038144844</v>
      </c>
      <c r="AU153" s="22">
        <f t="shared" si="31"/>
        <v>0.21363944759847542</v>
      </c>
      <c r="AV153" s="22">
        <f t="shared" si="31"/>
        <v>0.2236051975341104</v>
      </c>
      <c r="AW153" s="22">
        <f t="shared" si="31"/>
        <v>0.23317129202372885</v>
      </c>
      <c r="AY153" s="79"/>
    </row>
    <row r="154" spans="1:51" x14ac:dyDescent="0.25">
      <c r="A154" s="95"/>
      <c r="B154" s="95"/>
      <c r="C154" s="95"/>
    </row>
    <row r="155" spans="1:51" x14ac:dyDescent="0.25">
      <c r="A155" s="95"/>
      <c r="B155" s="95"/>
      <c r="C155" s="95"/>
    </row>
    <row r="156" spans="1:51" x14ac:dyDescent="0.25">
      <c r="A156" s="95"/>
      <c r="B156" s="95"/>
      <c r="C156" s="95"/>
    </row>
    <row r="157" spans="1:51" x14ac:dyDescent="0.25">
      <c r="A157" s="95" t="str">
        <f t="shared" si="0"/>
        <v>FA Cattle</v>
      </c>
      <c r="B157" s="95" t="s">
        <v>961</v>
      </c>
      <c r="C157" s="95" t="s">
        <v>1107</v>
      </c>
      <c r="D157" t="str">
        <f>D8</f>
        <v>3A Livestock</v>
      </c>
      <c r="E157" t="str">
        <f>E8</f>
        <v>3A1 Enteric fermentation (CH4)</v>
      </c>
      <c r="F157" t="s">
        <v>6</v>
      </c>
      <c r="G157" t="s">
        <v>136</v>
      </c>
      <c r="H157" t="s">
        <v>1019</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72.365714675231743</v>
      </c>
      <c r="T157" s="93">
        <f>IF('Net zero activities &amp; levers'!$C$6="Off",('Activity data'!AM5*EF!$H4)*kgtoGg,IF('Net zero activities &amp; levers'!$C$6="On",(('Net zero supporting data'!K40*EF!$H4)+('Net zero supporting data'!K38*'Net zero supporting data'!K42))*kgtoGg,"ERROR"))</f>
        <v>73.825045522582627</v>
      </c>
      <c r="U157" s="93">
        <f>IF('Net zero activities &amp; levers'!$C$6="Off",('Activity data'!AN5*EF!$H4)*kgtoGg,IF('Net zero activities &amp; levers'!$C$6="On",(('Net zero supporting data'!L40*EF!$H4)+('Net zero supporting data'!L38*'Net zero supporting data'!L42))*kgtoGg,"ERROR"))</f>
        <v>74.549470852823731</v>
      </c>
      <c r="V157" s="93">
        <f>IF('Net zero activities &amp; levers'!$C$6="Off",('Activity data'!AO5*EF!$H4)*kgtoGg,IF('Net zero activities &amp; levers'!$C$6="On",(('Net zero supporting data'!M40*EF!$H4)+('Net zero supporting data'!M38*'Net zero supporting data'!M42))*kgtoGg,"ERROR"))</f>
        <v>74.73866134408884</v>
      </c>
      <c r="W157" s="93">
        <f>IF('Net zero activities &amp; levers'!$C$6="Off",('Activity data'!AP5*EF!$H4)*kgtoGg,IF('Net zero activities &amp; levers'!$C$6="On",(('Net zero supporting data'!N40*EF!$H4)+('Net zero supporting data'!N38*'Net zero supporting data'!N42))*kgtoGg,"ERROR"))</f>
        <v>75.00766800235165</v>
      </c>
      <c r="X157" s="93">
        <f>IF('Net zero activities &amp; levers'!$C$6="Off",('Activity data'!AQ5*EF!$H4)*kgtoGg,IF('Net zero activities &amp; levers'!$C$6="On",(('Net zero supporting data'!O40*EF!$H4)+('Net zero supporting data'!O38*'Net zero supporting data'!O42))*kgtoGg,"ERROR"))</f>
        <v>75.45906320296173</v>
      </c>
      <c r="Y157" s="93">
        <f>IF('Net zero activities &amp; levers'!$C$6="Off",('Activity data'!AR5*EF!$H4)*kgtoGg,IF('Net zero activities &amp; levers'!$C$6="On",(('Net zero supporting data'!P40*EF!$H4)+('Net zero supporting data'!P38*'Net zero supporting data'!P42))*kgtoGg,"ERROR"))</f>
        <v>76.055372148787171</v>
      </c>
      <c r="Z157" s="93">
        <f>IF('Net zero activities &amp; levers'!$C$6="Off",('Activity data'!AS5*EF!$H4)*kgtoGg,IF('Net zero activities &amp; levers'!$C$6="On",(('Net zero supporting data'!Q40*EF!$H4)+('Net zero supporting data'!Q38*'Net zero supporting data'!Q42))*kgtoGg,"ERROR"))</f>
        <v>76.723006485373944</v>
      </c>
      <c r="AA157" s="93">
        <f>IF('Net zero activities &amp; levers'!$C$6="Off",('Activity data'!AT5*EF!$H4)*kgtoGg,IF('Net zero activities &amp; levers'!$C$6="On",(('Net zero supporting data'!R40*EF!$H4)+('Net zero supporting data'!R38*'Net zero supporting data'!R42))*kgtoGg,"ERROR"))</f>
        <v>77.482992951839307</v>
      </c>
      <c r="AB157" s="93">
        <f>IF('Net zero activities &amp; levers'!$C$6="Off",('Activity data'!AU5*EF!$H4)*kgtoGg,IF('Net zero activities &amp; levers'!$C$6="On",(('Net zero supporting data'!S40*EF!$H4)+('Net zero supporting data'!S38*'Net zero supporting data'!S42))*kgtoGg,"ERROR"))</f>
        <v>78.40049292820909</v>
      </c>
      <c r="AC157" s="93">
        <f>IF('Net zero activities &amp; levers'!$C$6="Off",('Activity data'!AV5*EF!$H4)*kgtoGg,IF('Net zero activities &amp; levers'!$C$6="On",(('Net zero supporting data'!T40*EF!$H4)+('Net zero supporting data'!T38*'Net zero supporting data'!T42))*kgtoGg,"ERROR"))</f>
        <v>79.470176515878649</v>
      </c>
      <c r="AD157" s="93">
        <f>IF('Net zero activities &amp; levers'!$C$6="Off",('Activity data'!AW5*EF!$H4)*kgtoGg,IF('Net zero activities &amp; levers'!$C$6="On",(('Net zero supporting data'!U40*EF!$H4)+('Net zero supporting data'!U38*'Net zero supporting data'!U42))*kgtoGg,"ERROR"))</f>
        <v>80.634435222178453</v>
      </c>
      <c r="AE157" s="93">
        <f>IF('Net zero activities &amp; levers'!$C$6="Off",('Activity data'!AX5*EF!$H4)*kgtoGg,IF('Net zero activities &amp; levers'!$C$6="On",(('Net zero supporting data'!V40*EF!$H4)+('Net zero supporting data'!V38*'Net zero supporting data'!V42))*kgtoGg,"ERROR"))</f>
        <v>81.892216807263921</v>
      </c>
      <c r="AF157" s="93">
        <f>IF('Net zero activities &amp; levers'!$C$6="Off",('Activity data'!AY5*EF!$H4)*kgtoGg,IF('Net zero activities &amp; levers'!$C$6="On",(('Net zero supporting data'!W40*EF!$H4)+('Net zero supporting data'!W38*'Net zero supporting data'!W42))*kgtoGg,"ERROR"))</f>
        <v>83.211603764210864</v>
      </c>
      <c r="AG157" s="93">
        <f>IF('Net zero activities &amp; levers'!$C$6="Off",('Activity data'!AZ5*EF!$H4)*kgtoGg,IF('Net zero activities &amp; levers'!$C$6="On",(('Net zero supporting data'!X40*EF!$H4)+('Net zero supporting data'!X38*'Net zero supporting data'!X42))*kgtoGg,"ERROR"))</f>
        <v>84.607353188642591</v>
      </c>
      <c r="AH157" s="93">
        <f>IF('Net zero activities &amp; levers'!$C$6="Off",('Activity data'!BA5*EF!$H4)*kgtoGg,IF('Net zero activities &amp; levers'!$C$6="On",(('Net zero supporting data'!Y40*EF!$H4)+('Net zero supporting data'!Y38*'Net zero supporting data'!Y42))*kgtoGg,"ERROR"))</f>
        <v>86.06511371010545</v>
      </c>
      <c r="AI157" s="93">
        <f>IF('Net zero activities &amp; levers'!$C$6="Off",('Activity data'!BB5*EF!$H4)*kgtoGg,IF('Net zero activities &amp; levers'!$C$6="On",(('Net zero supporting data'!Z40*EF!$H4)+('Net zero supporting data'!Z38*'Net zero supporting data'!Z42))*kgtoGg,"ERROR"))</f>
        <v>87.52871170290878</v>
      </c>
      <c r="AJ157" s="93">
        <f>IF('Net zero activities &amp; levers'!$C$6="Off",('Activity data'!BC5*EF!$H4)*kgtoGg,IF('Net zero activities &amp; levers'!$C$6="On",(('Net zero supporting data'!AA40*EF!$H4)+('Net zero supporting data'!AA38*'Net zero supporting data'!AA42))*kgtoGg,"ERROR"))</f>
        <v>89.080470915368679</v>
      </c>
      <c r="AK157" s="93">
        <f>IF('Net zero activities &amp; levers'!$C$6="Off",('Activity data'!BD5*EF!$H4)*kgtoGg,IF('Net zero activities &amp; levers'!$C$6="On",(('Net zero supporting data'!AB40*EF!$H4)+('Net zero supporting data'!AB38*'Net zero supporting data'!AB42))*kgtoGg,"ERROR"))</f>
        <v>90.666146577204373</v>
      </c>
      <c r="AL157" s="93">
        <f>IF('Net zero activities &amp; levers'!$C$6="Off",('Activity data'!BE5*EF!$H4)*kgtoGg,IF('Net zero activities &amp; levers'!$C$6="On",(('Net zero supporting data'!AC40*EF!$H4)+('Net zero supporting data'!AC38*'Net zero supporting data'!AC42))*kgtoGg,"ERROR"))</f>
        <v>92.281705803455623</v>
      </c>
      <c r="AM157" s="93">
        <f>IF('Net zero activities &amp; levers'!$C$6="Off",('Activity data'!BF5*EF!$H4)*kgtoGg,IF('Net zero activities &amp; levers'!$C$6="On",(('Net zero supporting data'!AD40*EF!$H4)+('Net zero supporting data'!AD38*'Net zero supporting data'!AD42))*kgtoGg,"ERROR"))</f>
        <v>93.953177200375109</v>
      </c>
      <c r="AN157" s="93">
        <f>IF('Net zero activities &amp; levers'!$C$6="Off",('Activity data'!BG5*EF!$H4)*kgtoGg,IF('Net zero activities &amp; levers'!$C$6="On",(('Net zero supporting data'!AE40*EF!$H4)+('Net zero supporting data'!AE38*'Net zero supporting data'!AE42))*kgtoGg,"ERROR"))</f>
        <v>95.618162408652182</v>
      </c>
      <c r="AO157" s="93">
        <f>IF('Net zero activities &amp; levers'!$C$6="Off",('Activity data'!BH5*EF!$H4)*kgtoGg,IF('Net zero activities &amp; levers'!$C$6="On",(('Net zero supporting data'!AF40*EF!$H4)+('Net zero supporting data'!AF38*'Net zero supporting data'!AF42))*kgtoGg,"ERROR"))</f>
        <v>97.363125443895129</v>
      </c>
      <c r="AP157" s="93">
        <f>IF('Net zero activities &amp; levers'!$C$6="Off",('Activity data'!BI5*EF!$H4)*kgtoGg,IF('Net zero activities &amp; levers'!$C$6="On",(('Net zero supporting data'!AG40*EF!$H4)+('Net zero supporting data'!AG38*'Net zero supporting data'!AG42))*kgtoGg,"ERROR"))</f>
        <v>99.220282959393018</v>
      </c>
      <c r="AQ157" s="93">
        <f>IF('Net zero activities &amp; levers'!$C$6="Off",('Activity data'!BJ5*EF!$H4)*kgtoGg,IF('Net zero activities &amp; levers'!$C$6="On",(('Net zero supporting data'!AH40*EF!$H4)+('Net zero supporting data'!AH38*'Net zero supporting data'!AH42))*kgtoGg,"ERROR"))</f>
        <v>101.13698373864543</v>
      </c>
      <c r="AR157" s="93">
        <f>IF('Net zero activities &amp; levers'!$C$6="Off",('Activity data'!BK5*EF!$H4)*kgtoGg,IF('Net zero activities &amp; levers'!$C$6="On",(('Net zero supporting data'!AI40*EF!$H4)+('Net zero supporting data'!AI38*'Net zero supporting data'!AI42))*kgtoGg,"ERROR"))</f>
        <v>103.1166953994274</v>
      </c>
      <c r="AS157" s="93">
        <f>IF('Net zero activities &amp; levers'!$C$6="Off",('Activity data'!BL5*EF!$H4)*kgtoGg,IF('Net zero activities &amp; levers'!$C$6="On",(('Net zero supporting data'!AJ40*EF!$H4)+('Net zero supporting data'!AJ38*'Net zero supporting data'!AJ42))*kgtoGg,"ERROR"))</f>
        <v>105.22033839717858</v>
      </c>
      <c r="AT157" s="93">
        <f>IF('Net zero activities &amp; levers'!$C$6="Off",('Activity data'!BM5*EF!$H4)*kgtoGg,IF('Net zero activities &amp; levers'!$C$6="On",(('Net zero supporting data'!AK40*EF!$H4)+('Net zero supporting data'!AK38*'Net zero supporting data'!AK42))*kgtoGg,"ERROR"))</f>
        <v>107.43022097905694</v>
      </c>
      <c r="AU157" s="93">
        <f>IF('Net zero activities &amp; levers'!$C$6="Off",('Activity data'!BN5*EF!$H4)*kgtoGg,IF('Net zero activities &amp; levers'!$C$6="On",(('Net zero supporting data'!AL40*EF!$H4)+('Net zero supporting data'!AL38*'Net zero supporting data'!AL42))*kgtoGg,"ERROR"))</f>
        <v>109.73494167523042</v>
      </c>
      <c r="AV157" s="93">
        <f>IF('Net zero activities &amp; levers'!$C$6="Off",('Activity data'!BO5*EF!$H4)*kgtoGg,IF('Net zero activities &amp; levers'!$C$6="On",(('Net zero supporting data'!AM40*EF!$H4)+('Net zero supporting data'!AM38*'Net zero supporting data'!AM42))*kgtoGg,"ERROR"))</f>
        <v>112.1760298148465</v>
      </c>
      <c r="AW157" s="93">
        <f>IF('Net zero activities &amp; levers'!$C$6="Off",('Activity data'!BP5*EF!$H4)*kgtoGg,IF('Net zero activities &amp; levers'!$C$6="On",(('Net zero supporting data'!AN40*EF!$H4)+('Net zero supporting data'!AN38*'Net zero supporting data'!AN42))*kgtoGg,"ERROR"))</f>
        <v>114.52480661709059</v>
      </c>
      <c r="AY157" s="79"/>
    </row>
    <row r="158" spans="1:51" x14ac:dyDescent="0.25">
      <c r="A158" s="95" t="str">
        <f t="shared" si="0"/>
        <v>FA Cattle</v>
      </c>
      <c r="B158" s="95" t="s">
        <v>961</v>
      </c>
      <c r="C158" s="95" t="s">
        <v>1107</v>
      </c>
      <c r="D158" t="str">
        <f>D9</f>
        <v>3A Livestock</v>
      </c>
      <c r="E158" t="str">
        <f>E9</f>
        <v>3A1 Enteric fermentation (CH4)</v>
      </c>
      <c r="F158" t="s">
        <v>6</v>
      </c>
      <c r="G158" t="s">
        <v>137</v>
      </c>
      <c r="H158" t="s">
        <v>1019</v>
      </c>
      <c r="I158" t="str">
        <f t="shared" ref="I158:J158" si="32">I157</f>
        <v>CH4</v>
      </c>
      <c r="J158" t="str">
        <f t="shared" si="32"/>
        <v>Gg CH4</v>
      </c>
      <c r="K158" s="27">
        <f t="shared" ref="K158:Z161" si="33">K1380</f>
        <v>57.783598896292567</v>
      </c>
      <c r="L158" s="27">
        <f t="shared" si="33"/>
        <v>58.1066387636453</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59.600764035107616</v>
      </c>
      <c r="S158" s="27">
        <f t="shared" si="33"/>
        <v>57.879296587031398</v>
      </c>
      <c r="T158" s="27">
        <f t="shared" si="33"/>
        <v>59.046493557468224</v>
      </c>
      <c r="U158" s="27">
        <f t="shared" si="33"/>
        <v>59.625900929209891</v>
      </c>
      <c r="V158" s="27">
        <f t="shared" si="33"/>
        <v>59.777218616107909</v>
      </c>
      <c r="W158" s="27">
        <f t="shared" si="33"/>
        <v>59.992374594700195</v>
      </c>
      <c r="X158" s="27">
        <f t="shared" si="33"/>
        <v>60.353407948842083</v>
      </c>
      <c r="Y158" s="27">
        <f t="shared" si="33"/>
        <v>60.830345715404938</v>
      </c>
      <c r="Z158" s="27">
        <f t="shared" si="33"/>
        <v>61.364330710266294</v>
      </c>
      <c r="AA158" s="27">
        <f t="shared" ref="L158:AW161" si="34">AA1380</f>
        <v>61.97218046746265</v>
      </c>
      <c r="AB158" s="27">
        <f t="shared" si="34"/>
        <v>62.706012137463084</v>
      </c>
      <c r="AC158" s="27">
        <f t="shared" si="34"/>
        <v>63.561562779128991</v>
      </c>
      <c r="AD158" s="27">
        <f t="shared" si="34"/>
        <v>64.49275616633426</v>
      </c>
      <c r="AE158" s="27">
        <f t="shared" si="34"/>
        <v>65.498750700231739</v>
      </c>
      <c r="AF158" s="27">
        <f t="shared" si="34"/>
        <v>66.554018230400004</v>
      </c>
      <c r="AG158" s="27">
        <f t="shared" si="34"/>
        <v>67.670361726217266</v>
      </c>
      <c r="AH158" s="27">
        <f t="shared" si="34"/>
        <v>68.836302724012626</v>
      </c>
      <c r="AI158" s="27">
        <f t="shared" si="34"/>
        <v>70.006912628023471</v>
      </c>
      <c r="AJ158" s="27">
        <f t="shared" si="34"/>
        <v>71.248035334994583</v>
      </c>
      <c r="AK158" s="27">
        <f t="shared" si="34"/>
        <v>72.516284979651772</v>
      </c>
      <c r="AL158" s="27">
        <f t="shared" si="34"/>
        <v>73.808435993840746</v>
      </c>
      <c r="AM158" s="27">
        <f t="shared" si="34"/>
        <v>75.145306487737145</v>
      </c>
      <c r="AN158" s="27">
        <f t="shared" si="34"/>
        <v>76.476989220580691</v>
      </c>
      <c r="AO158" s="27">
        <f t="shared" si="34"/>
        <v>77.872639543437259</v>
      </c>
      <c r="AP158" s="27">
        <f t="shared" si="34"/>
        <v>79.358024868943161</v>
      </c>
      <c r="AQ158" s="27">
        <f t="shared" si="34"/>
        <v>80.891033882518414</v>
      </c>
      <c r="AR158" s="27">
        <f t="shared" si="34"/>
        <v>82.474440042264703</v>
      </c>
      <c r="AS158" s="27">
        <f t="shared" si="34"/>
        <v>84.156968536960065</v>
      </c>
      <c r="AT158" s="27">
        <f t="shared" si="34"/>
        <v>85.924469209800506</v>
      </c>
      <c r="AU158" s="27">
        <f t="shared" si="34"/>
        <v>87.767822976466917</v>
      </c>
      <c r="AV158" s="27">
        <f t="shared" si="34"/>
        <v>89.72024568191533</v>
      </c>
      <c r="AW158" s="27">
        <f t="shared" si="34"/>
        <v>91.59883625155085</v>
      </c>
      <c r="AY158" s="79"/>
    </row>
    <row r="159" spans="1:51" x14ac:dyDescent="0.25">
      <c r="A159" s="95" t="str">
        <f t="shared" si="0"/>
        <v>FA Cattle</v>
      </c>
      <c r="B159" s="95" t="s">
        <v>961</v>
      </c>
      <c r="C159" s="95" t="s">
        <v>1107</v>
      </c>
      <c r="D159" t="str">
        <f t="shared" ref="D159:E159" si="35">D157</f>
        <v>3A Livestock</v>
      </c>
      <c r="E159" t="str">
        <f t="shared" si="35"/>
        <v>3A1 Enteric fermentation (CH4)</v>
      </c>
      <c r="F159" t="s">
        <v>67</v>
      </c>
      <c r="G159" t="s">
        <v>307</v>
      </c>
      <c r="H159" t="s">
        <v>1019</v>
      </c>
      <c r="I159" t="str">
        <f t="shared" ref="I159:J160" si="36">I158</f>
        <v>CH4</v>
      </c>
      <c r="J159" t="str">
        <f t="shared" si="36"/>
        <v>Gg CH4</v>
      </c>
      <c r="K159" s="27">
        <f t="shared" si="33"/>
        <v>26.126191807126649</v>
      </c>
      <c r="L159" s="27">
        <f t="shared" si="34"/>
        <v>26.272250579806308</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26.947802192577253</v>
      </c>
      <c r="S159" s="27">
        <f t="shared" si="34"/>
        <v>26.169460420911491</v>
      </c>
      <c r="T159" s="27">
        <f t="shared" si="34"/>
        <v>26.697195150294817</v>
      </c>
      <c r="U159" s="27">
        <f t="shared" si="34"/>
        <v>26.959167551075083</v>
      </c>
      <c r="V159" s="27">
        <f t="shared" si="34"/>
        <v>27.027584108493112</v>
      </c>
      <c r="W159" s="27">
        <f t="shared" si="34"/>
        <v>27.124864417655591</v>
      </c>
      <c r="X159" s="27">
        <f t="shared" si="34"/>
        <v>27.288101509827889</v>
      </c>
      <c r="Y159" s="27">
        <f t="shared" si="34"/>
        <v>27.503743453342821</v>
      </c>
      <c r="Z159" s="27">
        <f t="shared" si="34"/>
        <v>27.745178647140875</v>
      </c>
      <c r="AA159" s="27">
        <f t="shared" si="34"/>
        <v>28.020010946439662</v>
      </c>
      <c r="AB159" s="27">
        <f t="shared" si="34"/>
        <v>28.351804523350385</v>
      </c>
      <c r="AC159" s="27">
        <f t="shared" si="34"/>
        <v>28.738631937907769</v>
      </c>
      <c r="AD159" s="27">
        <f t="shared" si="34"/>
        <v>29.159660352688871</v>
      </c>
      <c r="AE159" s="27">
        <f t="shared" si="34"/>
        <v>29.614509248423072</v>
      </c>
      <c r="AF159" s="27">
        <f t="shared" si="34"/>
        <v>30.09163636455321</v>
      </c>
      <c r="AG159" s="27">
        <f t="shared" si="34"/>
        <v>30.596378278373869</v>
      </c>
      <c r="AH159" s="27">
        <f t="shared" si="34"/>
        <v>31.123545134125884</v>
      </c>
      <c r="AI159" s="27">
        <f t="shared" si="34"/>
        <v>31.652822982298673</v>
      </c>
      <c r="AJ159" s="27">
        <f t="shared" si="34"/>
        <v>32.213982385967945</v>
      </c>
      <c r="AK159" s="27">
        <f t="shared" si="34"/>
        <v>32.787406923527513</v>
      </c>
      <c r="AL159" s="27">
        <f t="shared" si="34"/>
        <v>33.371638191314474</v>
      </c>
      <c r="AM159" s="27">
        <f t="shared" si="34"/>
        <v>33.976088859184969</v>
      </c>
      <c r="AN159" s="27">
        <f t="shared" si="34"/>
        <v>34.578193940368166</v>
      </c>
      <c r="AO159" s="27">
        <f t="shared" si="34"/>
        <v>35.209221234048357</v>
      </c>
      <c r="AP159" s="27">
        <f t="shared" si="34"/>
        <v>35.880821180450241</v>
      </c>
      <c r="AQ159" s="27">
        <f t="shared" si="34"/>
        <v>36.573953631452547</v>
      </c>
      <c r="AR159" s="27">
        <f t="shared" si="34"/>
        <v>37.289872574340869</v>
      </c>
      <c r="AS159" s="27">
        <f t="shared" si="34"/>
        <v>38.050608544633441</v>
      </c>
      <c r="AT159" s="27">
        <f t="shared" si="34"/>
        <v>38.849763711149343</v>
      </c>
      <c r="AU159" s="27">
        <f t="shared" si="34"/>
        <v>39.683214984455297</v>
      </c>
      <c r="AV159" s="27">
        <f t="shared" si="34"/>
        <v>40.565980528060209</v>
      </c>
      <c r="AW159" s="27">
        <f t="shared" si="34"/>
        <v>41.415363717872332</v>
      </c>
      <c r="AY159" s="79"/>
    </row>
    <row r="160" spans="1:51" x14ac:dyDescent="0.25">
      <c r="A160" s="95" t="str">
        <f t="shared" si="0"/>
        <v>FA Cattle</v>
      </c>
      <c r="B160" s="95" t="s">
        <v>961</v>
      </c>
      <c r="C160" s="95" t="s">
        <v>1107</v>
      </c>
      <c r="D160" t="str">
        <f t="shared" ref="D160:E160" si="37">D158</f>
        <v>3A Livestock</v>
      </c>
      <c r="E160" t="str">
        <f t="shared" si="37"/>
        <v>3A1 Enteric fermentation (CH4)</v>
      </c>
      <c r="F160" t="s">
        <v>67</v>
      </c>
      <c r="G160" t="s">
        <v>122</v>
      </c>
      <c r="H160" t="s">
        <v>1019</v>
      </c>
      <c r="I160" t="str">
        <f t="shared" si="36"/>
        <v>CH4</v>
      </c>
      <c r="J160" t="str">
        <f t="shared" si="36"/>
        <v>Gg CH4</v>
      </c>
      <c r="K160" s="27">
        <f t="shared" si="33"/>
        <v>463.23498593143171</v>
      </c>
      <c r="L160" s="27">
        <f t="shared" si="34"/>
        <v>459.2174968362159</v>
      </c>
      <c r="M160" s="27">
        <f t="shared" si="34"/>
        <v>457.68816035731231</v>
      </c>
      <c r="N160" s="27">
        <f t="shared" si="34"/>
        <v>451.57633407663525</v>
      </c>
      <c r="O160" s="27">
        <f t="shared" si="34"/>
        <v>442.704868969107</v>
      </c>
      <c r="P160" s="27">
        <f t="shared" si="34"/>
        <v>431.25721304480408</v>
      </c>
      <c r="Q160" s="27">
        <f t="shared" si="34"/>
        <v>422.22811200839215</v>
      </c>
      <c r="R160" s="27">
        <f t="shared" si="34"/>
        <v>413.68555596285586</v>
      </c>
      <c r="S160" s="27">
        <f t="shared" si="34"/>
        <v>369.40237691087651</v>
      </c>
      <c r="T160" s="27">
        <f t="shared" si="34"/>
        <v>387.06361603448636</v>
      </c>
      <c r="U160" s="27">
        <f t="shared" si="34"/>
        <v>393.17794041792496</v>
      </c>
      <c r="V160" s="27">
        <f t="shared" si="34"/>
        <v>390.52270230053807</v>
      </c>
      <c r="W160" s="27">
        <f t="shared" si="34"/>
        <v>388.36285305535796</v>
      </c>
      <c r="X160" s="27">
        <f t="shared" si="34"/>
        <v>388.50473132162119</v>
      </c>
      <c r="Y160" s="27">
        <f t="shared" si="34"/>
        <v>390.78606081827786</v>
      </c>
      <c r="Z160" s="27">
        <f t="shared" si="34"/>
        <v>394.02311080220409</v>
      </c>
      <c r="AA160" s="27">
        <f t="shared" si="34"/>
        <v>398.47662182088436</v>
      </c>
      <c r="AB160" s="27">
        <f t="shared" si="34"/>
        <v>405.00014152902594</v>
      </c>
      <c r="AC160" s="27">
        <f t="shared" si="34"/>
        <v>413.40943063236716</v>
      </c>
      <c r="AD160" s="27">
        <f t="shared" si="34"/>
        <v>419.27234556371411</v>
      </c>
      <c r="AE160" s="27">
        <f t="shared" si="34"/>
        <v>425.8278376253316</v>
      </c>
      <c r="AF160" s="27">
        <f t="shared" si="34"/>
        <v>432.58187641621225</v>
      </c>
      <c r="AG160" s="27">
        <f t="shared" si="34"/>
        <v>439.68449510593507</v>
      </c>
      <c r="AH160" s="27">
        <f t="shared" si="34"/>
        <v>446.893496347981</v>
      </c>
      <c r="AI160" s="27">
        <f t="shared" si="34"/>
        <v>453.4765954958275</v>
      </c>
      <c r="AJ160" s="27">
        <f t="shared" si="34"/>
        <v>460.42055689435347</v>
      </c>
      <c r="AK160" s="27">
        <f t="shared" si="34"/>
        <v>467.05009656830129</v>
      </c>
      <c r="AL160" s="27">
        <f t="shared" si="34"/>
        <v>473.30134622451675</v>
      </c>
      <c r="AM160" s="27">
        <f t="shared" si="34"/>
        <v>479.44152386893921</v>
      </c>
      <c r="AN160" s="27">
        <f t="shared" si="34"/>
        <v>487.2386202384439</v>
      </c>
      <c r="AO160" s="27">
        <f t="shared" si="34"/>
        <v>495.30323443397566</v>
      </c>
      <c r="AP160" s="27">
        <f t="shared" si="34"/>
        <v>503.92844355873905</v>
      </c>
      <c r="AQ160" s="27">
        <f t="shared" si="34"/>
        <v>512.52009483394647</v>
      </c>
      <c r="AR160" s="27">
        <f t="shared" si="34"/>
        <v>521.08933970994713</v>
      </c>
      <c r="AS160" s="27">
        <f t="shared" si="34"/>
        <v>530.19934966432822</v>
      </c>
      <c r="AT160" s="27">
        <f t="shared" si="34"/>
        <v>539.61424355839688</v>
      </c>
      <c r="AU160" s="27">
        <f t="shared" si="34"/>
        <v>549.17033444464153</v>
      </c>
      <c r="AV160" s="27">
        <f t="shared" si="34"/>
        <v>559.19282207144863</v>
      </c>
      <c r="AW160" s="27">
        <f t="shared" si="34"/>
        <v>567.59543120119042</v>
      </c>
      <c r="AY160" s="79"/>
    </row>
    <row r="161" spans="1:51" x14ac:dyDescent="0.25">
      <c r="A161" s="95" t="str">
        <f t="shared" si="0"/>
        <v>FA Cattle</v>
      </c>
      <c r="B161" s="95" t="s">
        <v>961</v>
      </c>
      <c r="C161" s="95" t="s">
        <v>1107</v>
      </c>
      <c r="D161" t="str">
        <f t="shared" ref="D161:E161" si="38">D159</f>
        <v>3A Livestock</v>
      </c>
      <c r="E161" t="str">
        <f t="shared" si="38"/>
        <v>3A1 Enteric fermentation (CH4)</v>
      </c>
      <c r="F161" t="s">
        <v>67</v>
      </c>
      <c r="G161" t="s">
        <v>123</v>
      </c>
      <c r="H161" t="s">
        <v>1019</v>
      </c>
      <c r="I161" t="str">
        <f t="shared" ref="I161:J161" si="39">I160</f>
        <v>CH4</v>
      </c>
      <c r="J161" t="str">
        <f t="shared" si="39"/>
        <v>Gg CH4</v>
      </c>
      <c r="K161" s="27">
        <f t="shared" si="33"/>
        <v>326.20040935577725</v>
      </c>
      <c r="L161" s="27">
        <f t="shared" si="34"/>
        <v>323.37137738012308</v>
      </c>
      <c r="M161" s="27">
        <f t="shared" si="34"/>
        <v>322.29445054900742</v>
      </c>
      <c r="N161" s="27">
        <f t="shared" si="34"/>
        <v>317.99063003627219</v>
      </c>
      <c r="O161" s="27">
        <f t="shared" si="34"/>
        <v>311.74352945546775</v>
      </c>
      <c r="P161" s="27">
        <f t="shared" si="34"/>
        <v>303.68232906672063</v>
      </c>
      <c r="Q161" s="27">
        <f t="shared" si="34"/>
        <v>297.32422455466599</v>
      </c>
      <c r="R161" s="27">
        <f t="shared" si="34"/>
        <v>291.30873487096773</v>
      </c>
      <c r="S161" s="27">
        <f t="shared" si="34"/>
        <v>260.12544437470751</v>
      </c>
      <c r="T161" s="27">
        <f t="shared" si="34"/>
        <v>272.56212037461688</v>
      </c>
      <c r="U161" s="27">
        <f t="shared" si="34"/>
        <v>276.86769999918118</v>
      </c>
      <c r="V161" s="27">
        <f t="shared" si="34"/>
        <v>274.99793673186855</v>
      </c>
      <c r="W161" s="27">
        <f t="shared" si="34"/>
        <v>273.47701596957364</v>
      </c>
      <c r="X161" s="27">
        <f t="shared" si="34"/>
        <v>273.5769236836698</v>
      </c>
      <c r="Y161" s="27">
        <f t="shared" si="34"/>
        <v>275.18338830375563</v>
      </c>
      <c r="Z161" s="27">
        <f t="shared" si="34"/>
        <v>277.46285134504268</v>
      </c>
      <c r="AA161" s="27">
        <f t="shared" si="34"/>
        <v>280.59892085940152</v>
      </c>
      <c r="AB161" s="27">
        <f t="shared" si="34"/>
        <v>285.19264729169487</v>
      </c>
      <c r="AC161" s="27">
        <f t="shared" si="34"/>
        <v>291.11429317598692</v>
      </c>
      <c r="AD161" s="27">
        <f t="shared" si="34"/>
        <v>295.24283551131606</v>
      </c>
      <c r="AE161" s="27">
        <f t="shared" si="34"/>
        <v>299.85907620766255</v>
      </c>
      <c r="AF161" s="27">
        <f t="shared" si="34"/>
        <v>304.61512936707601</v>
      </c>
      <c r="AG161" s="27">
        <f t="shared" si="34"/>
        <v>309.61664521637437</v>
      </c>
      <c r="AH161" s="27">
        <f t="shared" si="34"/>
        <v>314.69307343880962</v>
      </c>
      <c r="AI161" s="27">
        <f t="shared" si="34"/>
        <v>319.32875446911731</v>
      </c>
      <c r="AJ161" s="27">
        <f t="shared" si="34"/>
        <v>324.21854716514042</v>
      </c>
      <c r="AK161" s="27">
        <f t="shared" si="34"/>
        <v>328.88693064471261</v>
      </c>
      <c r="AL161" s="27">
        <f t="shared" si="34"/>
        <v>333.28893018872913</v>
      </c>
      <c r="AM161" s="27">
        <f t="shared" si="34"/>
        <v>337.61271514011941</v>
      </c>
      <c r="AN161" s="27">
        <f t="shared" si="34"/>
        <v>343.10326767773648</v>
      </c>
      <c r="AO161" s="27">
        <f t="shared" si="34"/>
        <v>348.78220068533165</v>
      </c>
      <c r="AP161" s="27">
        <f t="shared" si="34"/>
        <v>354.85589294244767</v>
      </c>
      <c r="AQ161" s="27">
        <f t="shared" si="34"/>
        <v>360.90595446226047</v>
      </c>
      <c r="AR161" s="27">
        <f t="shared" si="34"/>
        <v>366.94023786337442</v>
      </c>
      <c r="AS161" s="27">
        <f t="shared" si="34"/>
        <v>373.35531674688991</v>
      </c>
      <c r="AT161" s="27">
        <f t="shared" si="34"/>
        <v>379.98508853779043</v>
      </c>
      <c r="AU161" s="27">
        <f t="shared" si="34"/>
        <v>386.71428830379313</v>
      </c>
      <c r="AV161" s="27">
        <f t="shared" si="34"/>
        <v>393.77191492077668</v>
      </c>
      <c r="AW161" s="27">
        <f t="shared" si="34"/>
        <v>399.6888569070714</v>
      </c>
      <c r="AY161" s="79"/>
    </row>
    <row r="162" spans="1:51" x14ac:dyDescent="0.25">
      <c r="A162" s="95" t="str">
        <f t="shared" si="0"/>
        <v>FA Cattle</v>
      </c>
      <c r="B162" s="95" t="s">
        <v>961</v>
      </c>
      <c r="C162" s="95" t="s">
        <v>1107</v>
      </c>
      <c r="D162" t="str">
        <f t="shared" ref="D162:E162" si="40">D160</f>
        <v>3A Livestock</v>
      </c>
      <c r="E162" t="str">
        <f t="shared" si="40"/>
        <v>3A1 Enteric fermentation (CH4)</v>
      </c>
      <c r="F162" t="s">
        <v>67</v>
      </c>
      <c r="G162" t="s">
        <v>135</v>
      </c>
      <c r="H162" t="s">
        <v>1019</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31.891995988947254</v>
      </c>
      <c r="L162" s="93">
        <f>IF('Net zero activities &amp; levers'!$C$6="Off",('Activity data'!AE10*EF!$H9)*kgtoGg,IF('Net zero activities &amp; levers'!$C$6="On",(('Net zero supporting data'!C41*EF!$H9)+('Net zero supporting data'!C39*'Net zero supporting data'!C43))*kgtoGg,"ERROR"))</f>
        <v>32.967337371253521</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35.195504797614646</v>
      </c>
      <c r="O162" s="93">
        <f>IF('Net zero activities &amp; levers'!$C$6="Off",('Activity data'!AH10*EF!$H9)*kgtoGg,IF('Net zero activities &amp; levers'!$C$6="On",(('Net zero supporting data'!F41*EF!$H9)+('Net zero supporting data'!F39*'Net zero supporting data'!F43))*kgtoGg,"ERROR"))</f>
        <v>35.929559405213325</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35.164164958187662</v>
      </c>
      <c r="T162" s="93">
        <f>IF('Net zero activities &amp; levers'!$C$6="Off",('Activity data'!AM10*EF!$H9)*kgtoGg,IF('Net zero activities &amp; levers'!$C$6="On",(('Net zero supporting data'!K41*EF!$H9)+('Net zero supporting data'!K39*'Net zero supporting data'!K43))*kgtoGg,"ERROR"))</f>
        <v>37.733078614995847</v>
      </c>
      <c r="U162" s="93">
        <f>IF('Net zero activities &amp; levers'!$C$6="Off",('Activity data'!AN10*EF!$H9)*kgtoGg,IF('Net zero activities &amp; levers'!$C$6="On",(('Net zero supporting data'!L41*EF!$H9)+('Net zero supporting data'!L39*'Net zero supporting data'!L43))*kgtoGg,"ERROR"))</f>
        <v>39.239907769283455</v>
      </c>
      <c r="V162" s="93">
        <f>IF('Net zero activities &amp; levers'!$C$6="Off",('Activity data'!AO10*EF!$H9)*kgtoGg,IF('Net zero activities &amp; levers'!$C$6="On",(('Net zero supporting data'!M41*EF!$H9)+('Net zero supporting data'!M39*'Net zero supporting data'!M43))*kgtoGg,"ERROR"))</f>
        <v>39.889255441564949</v>
      </c>
      <c r="W162" s="93">
        <f>IF('Net zero activities &amp; levers'!$C$6="Off",('Activity data'!AP10*EF!$H9)*kgtoGg,IF('Net zero activities &amp; levers'!$C$6="On",(('Net zero supporting data'!N41*EF!$H9)+('Net zero supporting data'!N39*'Net zero supporting data'!N43))*kgtoGg,"ERROR"))</f>
        <v>40.588307761995488</v>
      </c>
      <c r="X162" s="93">
        <f>IF('Net zero activities &amp; levers'!$C$6="Off",('Activity data'!AQ10*EF!$H9)*kgtoGg,IF('Net zero activities &amp; levers'!$C$6="On",(('Net zero supporting data'!O41*EF!$H9)+('Net zero supporting data'!O39*'Net zero supporting data'!O43))*kgtoGg,"ERROR"))</f>
        <v>41.534201946049016</v>
      </c>
      <c r="Y162" s="93">
        <f>IF('Net zero activities &amp; levers'!$C$6="Off",('Activity data'!AR10*EF!$H9)*kgtoGg,IF('Net zero activities &amp; levers'!$C$6="On",(('Net zero supporting data'!P41*EF!$H9)+('Net zero supporting data'!P39*'Net zero supporting data'!P43))*kgtoGg,"ERROR"))</f>
        <v>42.726423600286481</v>
      </c>
      <c r="Z162" s="93">
        <f>IF('Net zero activities &amp; levers'!$C$6="Off",('Activity data'!AS10*EF!$H9)*kgtoGg,IF('Net zero activities &amp; levers'!$C$6="On",(('Net zero supporting data'!Q41*EF!$H9)+('Net zero supporting data'!Q39*'Net zero supporting data'!Q43))*kgtoGg,"ERROR"))</f>
        <v>44.049081565207047</v>
      </c>
      <c r="AA162" s="93">
        <f>IF('Net zero activities &amp; levers'!$C$6="Off",('Activity data'!AT10*EF!$H9)*kgtoGg,IF('Net zero activities &amp; levers'!$C$6="On",(('Net zero supporting data'!R41*EF!$H9)+('Net zero supporting data'!R39*'Net zero supporting data'!R43))*kgtoGg,"ERROR"))</f>
        <v>45.539986739615941</v>
      </c>
      <c r="AB162" s="93">
        <f>IF('Net zero activities &amp; levers'!$C$6="Off",('Activity data'!AU10*EF!$H9)*kgtoGg,IF('Net zero activities &amp; levers'!$C$6="On",(('Net zero supporting data'!S41*EF!$H9)+('Net zero supporting data'!S39*'Net zero supporting data'!S43))*kgtoGg,"ERROR"))</f>
        <v>47.309041836934135</v>
      </c>
      <c r="AC162" s="93">
        <f>IF('Net zero activities &amp; levers'!$C$6="Off",('Activity data'!AV10*EF!$H9)*kgtoGg,IF('Net zero activities &amp; levers'!$C$6="On",(('Net zero supporting data'!T41*EF!$H9)+('Net zero supporting data'!T39*'Net zero supporting data'!T43))*kgtoGg,"ERROR"))</f>
        <v>49.351300675084218</v>
      </c>
      <c r="AD162" s="93">
        <f>IF('Net zero activities &amp; levers'!$C$6="Off",('Activity data'!AW10*EF!$H9)*kgtoGg,IF('Net zero activities &amp; levers'!$C$6="On",(('Net zero supporting data'!U41*EF!$H9)+('Net zero supporting data'!U39*'Net zero supporting data'!U43))*kgtoGg,"ERROR"))</f>
        <v>51.711027137708825</v>
      </c>
      <c r="AE162" s="93">
        <f>IF('Net zero activities &amp; levers'!$C$6="Off",('Activity data'!AX10*EF!$H9)*kgtoGg,IF('Net zero activities &amp; levers'!$C$6="On",(('Net zero supporting data'!V41*EF!$H9)+('Net zero supporting data'!V39*'Net zero supporting data'!V43))*kgtoGg,"ERROR"))</f>
        <v>54.264579364554088</v>
      </c>
      <c r="AF162" s="93">
        <f>IF('Net zero activities &amp; levers'!$C$6="Off",('Activity data'!AY10*EF!$H9)*kgtoGg,IF('Net zero activities &amp; levers'!$C$6="On",(('Net zero supporting data'!W41*EF!$H9)+('Net zero supporting data'!W39*'Net zero supporting data'!W43))*kgtoGg,"ERROR"))</f>
        <v>56.961553434617372</v>
      </c>
      <c r="AG162" s="93">
        <f>IF('Net zero activities &amp; levers'!$C$6="Off",('Activity data'!AZ10*EF!$H9)*kgtoGg,IF('Net zero activities &amp; levers'!$C$6="On",(('Net zero supporting data'!X41*EF!$H9)+('Net zero supporting data'!X39*'Net zero supporting data'!X43))*kgtoGg,"ERROR"))</f>
        <v>59.831551165418354</v>
      </c>
      <c r="AH162" s="93">
        <f>IF('Net zero activities &amp; levers'!$C$6="Off",('Activity data'!BA10*EF!$H9)*kgtoGg,IF('Net zero activities &amp; levers'!$C$6="On",(('Net zero supporting data'!Y41*EF!$H9)+('Net zero supporting data'!Y39*'Net zero supporting data'!Y43))*kgtoGg,"ERROR"))</f>
        <v>62.852420493056009</v>
      </c>
      <c r="AI162" s="93">
        <f>IF('Net zero activities &amp; levers'!$C$6="Off",('Activity data'!BB10*EF!$H9)*kgtoGg,IF('Net zero activities &amp; levers'!$C$6="On",(('Net zero supporting data'!Z41*EF!$H9)+('Net zero supporting data'!Z39*'Net zero supporting data'!Z43))*kgtoGg,"ERROR"))</f>
        <v>65.927060453070922</v>
      </c>
      <c r="AJ162" s="93">
        <f>IF('Net zero activities &amp; levers'!$C$6="Off",('Activity data'!BC10*EF!$H9)*kgtoGg,IF('Net zero activities &amp; levers'!$C$6="On",(('Net zero supporting data'!AA41*EF!$H9)+('Net zero supporting data'!AA39*'Net zero supporting data'!AA43))*kgtoGg,"ERROR"))</f>
        <v>69.203040648572085</v>
      </c>
      <c r="AK162" s="93">
        <f>IF('Net zero activities &amp; levers'!$C$6="Off",('Activity data'!BD10*EF!$H9)*kgtoGg,IF('Net zero activities &amp; levers'!$C$6="On",(('Net zero supporting data'!AB41*EF!$H9)+('Net zero supporting data'!AB39*'Net zero supporting data'!AB43))*kgtoGg,"ERROR"))</f>
        <v>72.58973333609724</v>
      </c>
      <c r="AL162" s="93">
        <f>IF('Net zero activities &amp; levers'!$C$6="Off",('Activity data'!BE10*EF!$H9)*kgtoGg,IF('Net zero activities &amp; levers'!$C$6="On",(('Net zero supporting data'!AC41*EF!$H9)+('Net zero supporting data'!AC39*'Net zero supporting data'!AC43))*kgtoGg,"ERROR"))</f>
        <v>76.081547595026791</v>
      </c>
      <c r="AM162" s="93">
        <f>IF('Net zero activities &amp; levers'!$C$6="Off",('Activity data'!BF10*EF!$H9)*kgtoGg,IF('Net zero activities &amp; levers'!$C$6="On",(('Net zero supporting data'!AD41*EF!$H9)+('Net zero supporting data'!AD39*'Net zero supporting data'!AD43))*kgtoGg,"ERROR"))</f>
        <v>79.726894187226051</v>
      </c>
      <c r="AN162" s="93">
        <f>IF('Net zero activities &amp; levers'!$C$6="Off",('Activity data'!BG10*EF!$H9)*kgtoGg,IF('Net zero activities &amp; levers'!$C$6="On",(('Net zero supporting data'!AE41*EF!$H9)+('Net zero supporting data'!AE39*'Net zero supporting data'!AE43))*kgtoGg,"ERROR"))</f>
        <v>83.3095791235083</v>
      </c>
      <c r="AO162" s="93">
        <f>IF('Net zero activities &amp; levers'!$C$6="Off",('Activity data'!BH10*EF!$H9)*kgtoGg,IF('Net zero activities &amp; levers'!$C$6="On",(('Net zero supporting data'!AF41*EF!$H9)+('Net zero supporting data'!AF39*'Net zero supporting data'!AF43))*kgtoGg,"ERROR"))</f>
        <v>87.086258080455181</v>
      </c>
      <c r="AP162" s="93">
        <f>IF('Net zero activities &amp; levers'!$C$6="Off",('Activity data'!BI10*EF!$H9)*kgtoGg,IF('Net zero activities &amp; levers'!$C$6="On",(('Net zero supporting data'!AG41*EF!$H9)+('Net zero supporting data'!AG39*'Net zero supporting data'!AG43))*kgtoGg,"ERROR"))</f>
        <v>91.121139259350954</v>
      </c>
      <c r="AQ162" s="93">
        <f>IF('Net zero activities &amp; levers'!$C$6="Off",('Activity data'!BJ10*EF!$H9)*kgtoGg,IF('Net zero activities &amp; levers'!$C$6="On",(('Net zero supporting data'!AH41*EF!$H9)+('Net zero supporting data'!AH39*'Net zero supporting data'!AH43))*kgtoGg,"ERROR"))</f>
        <v>95.32019758274437</v>
      </c>
      <c r="AR162" s="93">
        <f>IF('Net zero activities &amp; levers'!$C$6="Off",('Activity data'!BK10*EF!$H9)*kgtoGg,IF('Net zero activities &amp; levers'!$C$6="On",(('Net zero supporting data'!AI41*EF!$H9)+('Net zero supporting data'!AI39*'Net zero supporting data'!AI43))*kgtoGg,"ERROR"))</f>
        <v>99.693624550303667</v>
      </c>
      <c r="AS162" s="93">
        <f>IF('Net zero activities &amp; levers'!$C$6="Off",('Activity data'!BL10*EF!$H9)*kgtoGg,IF('Net zero activities &amp; levers'!$C$6="On",(('Net zero supporting data'!AJ41*EF!$H9)+('Net zero supporting data'!AJ39*'Net zero supporting data'!AJ43))*kgtoGg,"ERROR"))</f>
        <v>104.36104732075913</v>
      </c>
      <c r="AT162" s="93">
        <f>IF('Net zero activities &amp; levers'!$C$6="Off",('Activity data'!BM10*EF!$H9)*kgtoGg,IF('Net zero activities &amp; levers'!$C$6="On",(('Net zero supporting data'!AK41*EF!$H9)+('Net zero supporting data'!AK39*'Net zero supporting data'!AK43))*kgtoGg,"ERROR"))</f>
        <v>109.29369918471791</v>
      </c>
      <c r="AU162" s="93">
        <f>IF('Net zero activities &amp; levers'!$C$6="Off",('Activity data'!BN10*EF!$H9)*kgtoGg,IF('Net zero activities &amp; levers'!$C$6="On",(('Net zero supporting data'!AL41*EF!$H9)+('Net zero supporting data'!AL39*'Net zero supporting data'!AL43))*kgtoGg,"ERROR"))</f>
        <v>114.47360844232533</v>
      </c>
      <c r="AV162" s="93">
        <f>IF('Net zero activities &amp; levers'!$C$6="Off",('Activity data'!BO10*EF!$H9)*kgtoGg,IF('Net zero activities &amp; levers'!$C$6="On",(('Net zero supporting data'!AM41*EF!$H9)+('Net zero supporting data'!AM39*'Net zero supporting data'!AM43))*kgtoGg,"ERROR"))</f>
        <v>119.9848328319804</v>
      </c>
      <c r="AW162" s="93">
        <f>IF('Net zero activities &amp; levers'!$C$6="Off",('Activity data'!BP10*EF!$H9)*kgtoGg,IF('Net zero activities &amp; levers'!$C$6="On",(('Net zero supporting data'!AN41*EF!$H9)+('Net zero supporting data'!AN39*'Net zero supporting data'!AN43))*kgtoGg,"ERROR"))</f>
        <v>125.38797876262088</v>
      </c>
      <c r="AY162" s="79"/>
    </row>
    <row r="163" spans="1:51" x14ac:dyDescent="0.25">
      <c r="A163" s="95" t="str">
        <f t="shared" si="0"/>
        <v>FA Sheep</v>
      </c>
      <c r="B163" s="95" t="s">
        <v>961</v>
      </c>
      <c r="C163" s="95" t="s">
        <v>152</v>
      </c>
      <c r="D163" t="str">
        <f t="shared" ref="D163:E163" si="41">D162</f>
        <v>3A Livestock</v>
      </c>
      <c r="E163" t="str">
        <f t="shared" si="41"/>
        <v>3A1 Enteric fermentation (CH4)</v>
      </c>
      <c r="F163" t="s">
        <v>18</v>
      </c>
      <c r="G163" t="s">
        <v>122</v>
      </c>
      <c r="H163" t="s">
        <v>1019</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134.514372062219</v>
      </c>
      <c r="T163" s="27">
        <f t="shared" si="42"/>
        <v>134.61119272537138</v>
      </c>
      <c r="U163" s="27">
        <f t="shared" si="42"/>
        <v>134.57715264233437</v>
      </c>
      <c r="V163" s="27">
        <f t="shared" si="42"/>
        <v>134.57470202786035</v>
      </c>
      <c r="W163" s="27">
        <f t="shared" si="42"/>
        <v>134.71744668818661</v>
      </c>
      <c r="X163" s="27">
        <f t="shared" si="42"/>
        <v>134.95106147738375</v>
      </c>
      <c r="Y163" s="27">
        <f t="shared" si="42"/>
        <v>135.17521745945572</v>
      </c>
      <c r="Z163" s="27">
        <f t="shared" si="42"/>
        <v>135.39063780811901</v>
      </c>
      <c r="AA163" s="27">
        <f t="shared" ref="L163:AW164" si="43">AA1385</f>
        <v>135.59702853009694</v>
      </c>
      <c r="AB163" s="27">
        <f t="shared" si="43"/>
        <v>135.7986907607312</v>
      </c>
      <c r="AC163" s="27">
        <f t="shared" si="43"/>
        <v>135.99857025620054</v>
      </c>
      <c r="AD163" s="27">
        <f t="shared" si="43"/>
        <v>136.19466148301387</v>
      </c>
      <c r="AE163" s="27">
        <f t="shared" si="43"/>
        <v>136.38978391312594</v>
      </c>
      <c r="AF163" s="27">
        <f t="shared" si="43"/>
        <v>136.58332287316895</v>
      </c>
      <c r="AG163" s="27">
        <f t="shared" si="43"/>
        <v>136.77372760735147</v>
      </c>
      <c r="AH163" s="27">
        <f t="shared" si="43"/>
        <v>136.96183641513412</v>
      </c>
      <c r="AI163" s="27">
        <f t="shared" si="43"/>
        <v>137.1478500354736</v>
      </c>
      <c r="AJ163" s="27">
        <f t="shared" si="43"/>
        <v>137.33239997388901</v>
      </c>
      <c r="AK163" s="27">
        <f t="shared" si="43"/>
        <v>137.50983936953097</v>
      </c>
      <c r="AL163" s="27">
        <f t="shared" si="43"/>
        <v>137.67996062186128</v>
      </c>
      <c r="AM163" s="27">
        <f t="shared" si="43"/>
        <v>137.84435369829882</v>
      </c>
      <c r="AN163" s="27">
        <f t="shared" si="43"/>
        <v>138.00175275471773</v>
      </c>
      <c r="AO163" s="27">
        <f t="shared" si="43"/>
        <v>138.15244332532626</v>
      </c>
      <c r="AP163" s="27">
        <f t="shared" si="43"/>
        <v>138.29574669703695</v>
      </c>
      <c r="AQ163" s="27">
        <f t="shared" si="43"/>
        <v>138.4296121873767</v>
      </c>
      <c r="AR163" s="27">
        <f t="shared" si="43"/>
        <v>138.55213947392693</v>
      </c>
      <c r="AS163" s="27">
        <f t="shared" si="43"/>
        <v>138.66320476976824</v>
      </c>
      <c r="AT163" s="27">
        <f t="shared" si="43"/>
        <v>138.76195815463774</v>
      </c>
      <c r="AU163" s="27">
        <f t="shared" si="43"/>
        <v>138.84835200114654</v>
      </c>
      <c r="AV163" s="27">
        <f t="shared" si="43"/>
        <v>138.92403962400931</v>
      </c>
      <c r="AW163" s="27">
        <f t="shared" si="43"/>
        <v>138.97919020206226</v>
      </c>
      <c r="AY163" s="79"/>
    </row>
    <row r="164" spans="1:51" x14ac:dyDescent="0.25">
      <c r="A164" s="95" t="str">
        <f t="shared" si="0"/>
        <v>FA Sheep</v>
      </c>
      <c r="B164" s="95" t="s">
        <v>961</v>
      </c>
      <c r="C164" s="95" t="s">
        <v>152</v>
      </c>
      <c r="D164" t="str">
        <f t="shared" ref="D164:E164" si="44">D163</f>
        <v>3A Livestock</v>
      </c>
      <c r="E164" t="str">
        <f t="shared" si="44"/>
        <v>3A1 Enteric fermentation (CH4)</v>
      </c>
      <c r="F164" t="s">
        <v>18</v>
      </c>
      <c r="G164" t="s">
        <v>123</v>
      </c>
      <c r="H164" t="s">
        <v>1019</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14.577835829783805</v>
      </c>
      <c r="T164" s="27">
        <f t="shared" si="43"/>
        <v>14.588328654533516</v>
      </c>
      <c r="U164" s="27">
        <f t="shared" si="43"/>
        <v>14.584639600832128</v>
      </c>
      <c r="V164" s="27">
        <f t="shared" si="43"/>
        <v>14.584374018389626</v>
      </c>
      <c r="W164" s="27">
        <f t="shared" si="43"/>
        <v>14.599843801966744</v>
      </c>
      <c r="X164" s="27">
        <f t="shared" si="43"/>
        <v>14.625161528185249</v>
      </c>
      <c r="Y164" s="27">
        <f t="shared" si="43"/>
        <v>14.649454167379202</v>
      </c>
      <c r="Z164" s="27">
        <f t="shared" si="43"/>
        <v>14.672800092644023</v>
      </c>
      <c r="AA164" s="27">
        <f t="shared" si="43"/>
        <v>14.695167442806378</v>
      </c>
      <c r="AB164" s="27">
        <f t="shared" si="43"/>
        <v>14.717022348317101</v>
      </c>
      <c r="AC164" s="27">
        <f t="shared" si="43"/>
        <v>14.738684052014786</v>
      </c>
      <c r="AD164" s="27">
        <f t="shared" si="43"/>
        <v>14.759935206581549</v>
      </c>
      <c r="AE164" s="27">
        <f t="shared" si="43"/>
        <v>14.781081368952709</v>
      </c>
      <c r="AF164" s="27">
        <f t="shared" si="43"/>
        <v>14.802055924629695</v>
      </c>
      <c r="AG164" s="27">
        <f t="shared" si="43"/>
        <v>14.822690812289457</v>
      </c>
      <c r="AH164" s="27">
        <f t="shared" si="43"/>
        <v>14.843076881643613</v>
      </c>
      <c r="AI164" s="27">
        <f t="shared" si="43"/>
        <v>14.863235887538975</v>
      </c>
      <c r="AJ164" s="27">
        <f t="shared" si="43"/>
        <v>14.883236268638564</v>
      </c>
      <c r="AK164" s="27">
        <f t="shared" si="43"/>
        <v>14.902466053082772</v>
      </c>
      <c r="AL164" s="27">
        <f t="shared" si="43"/>
        <v>14.920902742409034</v>
      </c>
      <c r="AM164" s="27">
        <f t="shared" si="43"/>
        <v>14.938718647454118</v>
      </c>
      <c r="AN164" s="27">
        <f t="shared" si="43"/>
        <v>14.95577658385943</v>
      </c>
      <c r="AO164" s="27">
        <f t="shared" si="43"/>
        <v>14.972107496056765</v>
      </c>
      <c r="AP164" s="27">
        <f t="shared" si="43"/>
        <v>14.98763782931875</v>
      </c>
      <c r="AQ164" s="27">
        <f t="shared" si="43"/>
        <v>15.002145343360027</v>
      </c>
      <c r="AR164" s="27">
        <f t="shared" si="43"/>
        <v>15.015424092988152</v>
      </c>
      <c r="AS164" s="27">
        <f t="shared" si="43"/>
        <v>15.027460662942268</v>
      </c>
      <c r="AT164" s="27">
        <f t="shared" si="43"/>
        <v>15.038162944120053</v>
      </c>
      <c r="AU164" s="27">
        <f t="shared" si="43"/>
        <v>15.047525774959613</v>
      </c>
      <c r="AV164" s="27">
        <f t="shared" si="43"/>
        <v>15.055728331485913</v>
      </c>
      <c r="AW164" s="27">
        <f t="shared" si="43"/>
        <v>15.061705210093363</v>
      </c>
      <c r="AY164" s="79"/>
    </row>
    <row r="165" spans="1:51" x14ac:dyDescent="0.25">
      <c r="A165" s="95" t="str">
        <f t="shared" ref="A165:A306" si="45">B165&amp;" "&amp;C165</f>
        <v>FA Goats</v>
      </c>
      <c r="B165" s="95" t="s">
        <v>961</v>
      </c>
      <c r="C165" s="95" t="s">
        <v>153</v>
      </c>
      <c r="D165" t="s">
        <v>15</v>
      </c>
      <c r="E165" t="s">
        <v>16</v>
      </c>
      <c r="F165" t="s">
        <v>19</v>
      </c>
      <c r="G165" t="s">
        <v>122</v>
      </c>
      <c r="H165" t="s">
        <v>1019</v>
      </c>
      <c r="I165" t="s">
        <v>121</v>
      </c>
      <c r="J165" t="s">
        <v>286</v>
      </c>
      <c r="K165" s="27">
        <f>K1387</f>
        <v>15.123414197798356</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15.545788610572219</v>
      </c>
      <c r="R165" s="27">
        <f t="shared" si="46"/>
        <v>15.648067752449878</v>
      </c>
      <c r="S165" s="27">
        <f t="shared" si="46"/>
        <v>15.609698922895241</v>
      </c>
      <c r="T165" s="27">
        <f t="shared" si="46"/>
        <v>15.636532010302831</v>
      </c>
      <c r="U165" s="27">
        <f t="shared" si="46"/>
        <v>15.639135853628233</v>
      </c>
      <c r="V165" s="27">
        <f t="shared" si="46"/>
        <v>15.646294761850147</v>
      </c>
      <c r="W165" s="27">
        <f t="shared" si="46"/>
        <v>15.677946241783271</v>
      </c>
      <c r="X165" s="27">
        <f t="shared" si="46"/>
        <v>15.724503798989753</v>
      </c>
      <c r="Y165" s="27">
        <f t="shared" si="46"/>
        <v>15.768451676063824</v>
      </c>
      <c r="Z165" s="27">
        <f t="shared" si="46"/>
        <v>15.809996509627668</v>
      </c>
      <c r="AA165" s="27">
        <f t="shared" si="46"/>
        <v>15.849159564668597</v>
      </c>
      <c r="AB165" s="27">
        <f t="shared" si="46"/>
        <v>15.886751198222623</v>
      </c>
      <c r="AC165" s="27">
        <f t="shared" si="46"/>
        <v>15.923335433500936</v>
      </c>
      <c r="AD165" s="27">
        <f t="shared" si="46"/>
        <v>15.958613587829067</v>
      </c>
      <c r="AE165" s="27">
        <f t="shared" si="46"/>
        <v>15.993115538730159</v>
      </c>
      <c r="AF165" s="27">
        <f t="shared" si="46"/>
        <v>16.026773849205178</v>
      </c>
      <c r="AG165" s="27">
        <f t="shared" si="46"/>
        <v>16.059358210664367</v>
      </c>
      <c r="AH165" s="27">
        <f t="shared" si="46"/>
        <v>16.091045965246145</v>
      </c>
      <c r="AI165" s="27">
        <f t="shared" si="46"/>
        <v>16.121901844149729</v>
      </c>
      <c r="AJ165" s="27">
        <f t="shared" si="46"/>
        <v>16.152061326115707</v>
      </c>
      <c r="AK165" s="27">
        <f t="shared" si="46"/>
        <v>16.180589301116473</v>
      </c>
      <c r="AL165" s="27">
        <f t="shared" si="46"/>
        <v>16.207479025870157</v>
      </c>
      <c r="AM165" s="27">
        <f t="shared" si="46"/>
        <v>16.233026710727977</v>
      </c>
      <c r="AN165" s="27">
        <f t="shared" si="46"/>
        <v>16.257041914334369</v>
      </c>
      <c r="AO165" s="27">
        <f t="shared" si="46"/>
        <v>16.279596122288691</v>
      </c>
      <c r="AP165" s="27">
        <f t="shared" si="46"/>
        <v>16.300596548995752</v>
      </c>
      <c r="AQ165" s="27">
        <f t="shared" si="46"/>
        <v>16.31971904310852</v>
      </c>
      <c r="AR165" s="27">
        <f t="shared" si="46"/>
        <v>16.336665838044137</v>
      </c>
      <c r="AS165" s="27">
        <f t="shared" si="46"/>
        <v>16.351438090046905</v>
      </c>
      <c r="AT165" s="27">
        <f t="shared" si="46"/>
        <v>16.363914421549605</v>
      </c>
      <c r="AU165" s="27">
        <f t="shared" si="46"/>
        <v>16.374107486259209</v>
      </c>
      <c r="AV165" s="27">
        <f t="shared" si="46"/>
        <v>16.382312930249284</v>
      </c>
      <c r="AW165" s="27">
        <f t="shared" si="46"/>
        <v>16.386910096993194</v>
      </c>
      <c r="AY165" s="79"/>
    </row>
    <row r="166" spans="1:51" x14ac:dyDescent="0.25">
      <c r="A166" s="95" t="str">
        <f t="shared" si="45"/>
        <v>FA Goats</v>
      </c>
      <c r="B166" s="95" t="s">
        <v>961</v>
      </c>
      <c r="C166" s="95" t="s">
        <v>153</v>
      </c>
      <c r="D166" t="s">
        <v>15</v>
      </c>
      <c r="E166" t="s">
        <v>16</v>
      </c>
      <c r="F166" t="s">
        <v>19</v>
      </c>
      <c r="G166" t="s">
        <v>123</v>
      </c>
      <c r="H166" t="s">
        <v>1019</v>
      </c>
      <c r="I166" t="s">
        <v>121</v>
      </c>
      <c r="J166" t="s">
        <v>286</v>
      </c>
      <c r="K166" s="27">
        <f t="shared" ref="K166:Z206" si="47">K1388</f>
        <v>22.381101687842737</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23.100753199022172</v>
      </c>
      <c r="T166" s="27">
        <f t="shared" si="47"/>
        <v>23.140463415909274</v>
      </c>
      <c r="U166" s="27">
        <f t="shared" si="47"/>
        <v>23.144316836934628</v>
      </c>
      <c r="V166" s="27">
        <f t="shared" si="47"/>
        <v>23.154911286758789</v>
      </c>
      <c r="W166" s="27">
        <f t="shared" si="47"/>
        <v>23.201752230324114</v>
      </c>
      <c r="X166" s="27">
        <f t="shared" si="47"/>
        <v>23.270652639223016</v>
      </c>
      <c r="Y166" s="27">
        <f t="shared" si="47"/>
        <v>23.335690989220911</v>
      </c>
      <c r="Z166" s="27">
        <f t="shared" si="47"/>
        <v>23.397173081322329</v>
      </c>
      <c r="AA166" s="27">
        <f t="shared" si="46"/>
        <v>23.455130385527173</v>
      </c>
      <c r="AB166" s="27">
        <f t="shared" si="46"/>
        <v>23.510762147124183</v>
      </c>
      <c r="AC166" s="27">
        <f t="shared" si="46"/>
        <v>23.564903062609726</v>
      </c>
      <c r="AD166" s="27">
        <f t="shared" si="46"/>
        <v>23.617111112263775</v>
      </c>
      <c r="AE166" s="27">
        <f t="shared" si="46"/>
        <v>23.668170460466953</v>
      </c>
      <c r="AF166" s="27">
        <f t="shared" si="46"/>
        <v>23.717981307378224</v>
      </c>
      <c r="AG166" s="27">
        <f t="shared" si="46"/>
        <v>23.766202819909285</v>
      </c>
      <c r="AH166" s="27">
        <f t="shared" si="46"/>
        <v>23.813097446233641</v>
      </c>
      <c r="AI166" s="27">
        <f t="shared" si="46"/>
        <v>23.858760981886149</v>
      </c>
      <c r="AJ166" s="27">
        <f t="shared" si="46"/>
        <v>23.903393921505796</v>
      </c>
      <c r="AK166" s="27">
        <f t="shared" si="46"/>
        <v>23.94561239817315</v>
      </c>
      <c r="AL166" s="27">
        <f t="shared" si="46"/>
        <v>23.985406432522741</v>
      </c>
      <c r="AM166" s="27">
        <f t="shared" si="46"/>
        <v>24.023214385489801</v>
      </c>
      <c r="AN166" s="27">
        <f t="shared" si="46"/>
        <v>24.058754423403148</v>
      </c>
      <c r="AO166" s="27">
        <f t="shared" si="46"/>
        <v>24.092132337616977</v>
      </c>
      <c r="AP166" s="27">
        <f t="shared" si="46"/>
        <v>24.123210814968164</v>
      </c>
      <c r="AQ166" s="27">
        <f t="shared" si="46"/>
        <v>24.151510144713775</v>
      </c>
      <c r="AR166" s="27">
        <f t="shared" si="46"/>
        <v>24.176589662855413</v>
      </c>
      <c r="AS166" s="27">
        <f t="shared" si="46"/>
        <v>24.198451080516016</v>
      </c>
      <c r="AT166" s="27">
        <f t="shared" si="46"/>
        <v>24.21691477134674</v>
      </c>
      <c r="AU166" s="27">
        <f t="shared" si="46"/>
        <v>24.231999461535917</v>
      </c>
      <c r="AV166" s="27">
        <f t="shared" si="46"/>
        <v>24.244142676945735</v>
      </c>
      <c r="AW166" s="27">
        <f t="shared" si="46"/>
        <v>24.250946012159979</v>
      </c>
      <c r="AY166" s="79"/>
    </row>
    <row r="167" spans="1:51" x14ac:dyDescent="0.25">
      <c r="A167" s="95" t="str">
        <f t="shared" si="45"/>
        <v>FA Horses</v>
      </c>
      <c r="B167" s="95" t="s">
        <v>961</v>
      </c>
      <c r="C167" s="95" t="s">
        <v>3</v>
      </c>
      <c r="D167" t="s">
        <v>15</v>
      </c>
      <c r="E167" t="s">
        <v>16</v>
      </c>
      <c r="F167" t="s">
        <v>20</v>
      </c>
      <c r="G167" t="s">
        <v>3</v>
      </c>
      <c r="H167" t="s">
        <v>1019</v>
      </c>
      <c r="I167" t="s">
        <v>121</v>
      </c>
      <c r="J167" t="s">
        <v>286</v>
      </c>
      <c r="K167" s="27">
        <f t="shared" si="47"/>
        <v>5.5526214800767892</v>
      </c>
      <c r="L167" s="27">
        <f t="shared" si="46"/>
        <v>5.579523571019652</v>
      </c>
      <c r="M167" s="27">
        <f t="shared" si="46"/>
        <v>5.6203482259438013</v>
      </c>
      <c r="N167" s="27">
        <f t="shared" si="46"/>
        <v>5.629075655008374</v>
      </c>
      <c r="O167" s="27">
        <f t="shared" si="46"/>
        <v>5.6165815405282276</v>
      </c>
      <c r="P167" s="27">
        <f t="shared" si="46"/>
        <v>5.5833231296706103</v>
      </c>
      <c r="Q167" s="27">
        <f t="shared" si="46"/>
        <v>5.5648827699457346</v>
      </c>
      <c r="R167" s="27">
        <f t="shared" si="46"/>
        <v>5.5483103177944031</v>
      </c>
      <c r="S167" s="27">
        <f t="shared" si="46"/>
        <v>5.2971852508905934</v>
      </c>
      <c r="T167" s="27">
        <f t="shared" si="46"/>
        <v>5.4545032105207021</v>
      </c>
      <c r="U167" s="27">
        <f t="shared" si="46"/>
        <v>5.5329638064801401</v>
      </c>
      <c r="V167" s="27">
        <f t="shared" si="46"/>
        <v>5.544813640469159</v>
      </c>
      <c r="W167" s="27">
        <f t="shared" si="46"/>
        <v>5.5552394312209037</v>
      </c>
      <c r="X167" s="27">
        <f t="shared" si="46"/>
        <v>5.5805371243140618</v>
      </c>
      <c r="Y167" s="27">
        <f t="shared" si="46"/>
        <v>5.6237182797404808</v>
      </c>
      <c r="Z167" s="27">
        <f t="shared" si="46"/>
        <v>5.6758191216830927</v>
      </c>
      <c r="AA167" s="27">
        <f t="shared" si="46"/>
        <v>5.7392036522982304</v>
      </c>
      <c r="AB167" s="27">
        <f t="shared" si="46"/>
        <v>5.8209863133515896</v>
      </c>
      <c r="AC167" s="27">
        <f t="shared" si="46"/>
        <v>5.9200988769206573</v>
      </c>
      <c r="AD167" s="27">
        <f t="shared" si="46"/>
        <v>6.0298529321871719</v>
      </c>
      <c r="AE167" s="27">
        <f t="shared" si="46"/>
        <v>6.1497995952254207</v>
      </c>
      <c r="AF167" s="27">
        <f t="shared" si="46"/>
        <v>6.2762315807434783</v>
      </c>
      <c r="AG167" s="27">
        <f t="shared" si="46"/>
        <v>6.4109152413607369</v>
      </c>
      <c r="AH167" s="27">
        <f t="shared" si="46"/>
        <v>6.552086974601302</v>
      </c>
      <c r="AI167" s="27">
        <f t="shared" si="46"/>
        <v>6.6933077398392395</v>
      </c>
      <c r="AJ167" s="27">
        <f t="shared" si="46"/>
        <v>6.8438679121481307</v>
      </c>
      <c r="AK167" s="27">
        <f t="shared" si="46"/>
        <v>6.9980784680830306</v>
      </c>
      <c r="AL167" s="27">
        <f t="shared" si="46"/>
        <v>7.1555200224058177</v>
      </c>
      <c r="AM167" s="27">
        <f t="shared" si="46"/>
        <v>7.3189945558292679</v>
      </c>
      <c r="AN167" s="27">
        <f t="shared" si="46"/>
        <v>7.4816205294730294</v>
      </c>
      <c r="AO167" s="27">
        <f t="shared" si="46"/>
        <v>7.6530966093944661</v>
      </c>
      <c r="AP167" s="27">
        <f t="shared" si="46"/>
        <v>7.8370750081366163</v>
      </c>
      <c r="AQ167" s="27">
        <f t="shared" si="46"/>
        <v>8.0278701064246079</v>
      </c>
      <c r="AR167" s="27">
        <f t="shared" si="46"/>
        <v>8.2260903165664789</v>
      </c>
      <c r="AS167" s="27">
        <f t="shared" si="46"/>
        <v>8.4385648916420113</v>
      </c>
      <c r="AT167" s="27">
        <f t="shared" si="46"/>
        <v>8.6634503637197486</v>
      </c>
      <c r="AU167" s="27">
        <f t="shared" si="46"/>
        <v>8.8995458740132776</v>
      </c>
      <c r="AV167" s="27">
        <f t="shared" si="46"/>
        <v>9.151348341874078</v>
      </c>
      <c r="AW167" s="27">
        <f t="shared" si="46"/>
        <v>9.3946927055732683</v>
      </c>
      <c r="AY167" s="79"/>
    </row>
    <row r="168" spans="1:51" x14ac:dyDescent="0.25">
      <c r="A168" s="95" t="str">
        <f t="shared" si="45"/>
        <v>FA Mules&amp;Asses</v>
      </c>
      <c r="B168" s="95" t="s">
        <v>961</v>
      </c>
      <c r="C168" s="95" t="s">
        <v>1322</v>
      </c>
      <c r="D168" t="s">
        <v>15</v>
      </c>
      <c r="E168" t="s">
        <v>16</v>
      </c>
      <c r="F168" t="s">
        <v>140</v>
      </c>
      <c r="G168" t="s">
        <v>124</v>
      </c>
      <c r="H168" t="s">
        <v>1019</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5">
      <c r="A169" s="95" t="str">
        <f t="shared" si="45"/>
        <v>FA Swine</v>
      </c>
      <c r="B169" s="95" t="s">
        <v>961</v>
      </c>
      <c r="C169" s="95" t="s">
        <v>155</v>
      </c>
      <c r="D169" t="s">
        <v>15</v>
      </c>
      <c r="E169" t="s">
        <v>16</v>
      </c>
      <c r="F169" t="s">
        <v>21</v>
      </c>
      <c r="G169" t="s">
        <v>122</v>
      </c>
      <c r="H169" t="s">
        <v>1019</v>
      </c>
      <c r="I169" t="s">
        <v>121</v>
      </c>
      <c r="J169" t="s">
        <v>286</v>
      </c>
      <c r="K169" s="27">
        <f t="shared" si="47"/>
        <v>1.8400999552016302</v>
      </c>
      <c r="L169" s="27">
        <f t="shared" si="46"/>
        <v>1.8300977880312248</v>
      </c>
      <c r="M169" s="27">
        <f t="shared" si="46"/>
        <v>1.8309187348828144</v>
      </c>
      <c r="N169" s="27">
        <f t="shared" si="46"/>
        <v>1.8141094978660446</v>
      </c>
      <c r="O169" s="27">
        <f t="shared" si="46"/>
        <v>1.7866561368117291</v>
      </c>
      <c r="P169" s="27">
        <f t="shared" si="46"/>
        <v>1.7489975228040082</v>
      </c>
      <c r="Q169" s="27">
        <f t="shared" si="46"/>
        <v>1.7216531928010093</v>
      </c>
      <c r="R169" s="27">
        <f t="shared" si="46"/>
        <v>1.6967284692901876</v>
      </c>
      <c r="S169" s="27">
        <f t="shared" si="46"/>
        <v>1.524204734718916</v>
      </c>
      <c r="T169" s="27">
        <f t="shared" si="46"/>
        <v>1.593081714161948</v>
      </c>
      <c r="U169" s="27">
        <f t="shared" si="46"/>
        <v>1.6139052959558671</v>
      </c>
      <c r="V169" s="27">
        <f t="shared" si="46"/>
        <v>1.5979776175047269</v>
      </c>
      <c r="W169" s="27">
        <f t="shared" si="46"/>
        <v>1.5839693089985563</v>
      </c>
      <c r="X169" s="27">
        <f t="shared" si="46"/>
        <v>1.5796400354975273</v>
      </c>
      <c r="Y169" s="27">
        <f t="shared" si="46"/>
        <v>1.5846136319816619</v>
      </c>
      <c r="Z169" s="27">
        <f t="shared" si="46"/>
        <v>1.5938774465709915</v>
      </c>
      <c r="AA169" s="27">
        <f t="shared" si="46"/>
        <v>1.6084883569821753</v>
      </c>
      <c r="AB169" s="27">
        <f t="shared" si="46"/>
        <v>1.6319593485428836</v>
      </c>
      <c r="AC169" s="27">
        <f t="shared" si="46"/>
        <v>1.6634709540368702</v>
      </c>
      <c r="AD169" s="27">
        <f t="shared" si="46"/>
        <v>1.6993359016898217</v>
      </c>
      <c r="AE169" s="27">
        <f t="shared" si="46"/>
        <v>1.7391981590716521</v>
      </c>
      <c r="AF169" s="27">
        <f t="shared" si="46"/>
        <v>1.7810637998476497</v>
      </c>
      <c r="AG169" s="27">
        <f t="shared" si="46"/>
        <v>1.8256518272462501</v>
      </c>
      <c r="AH169" s="27">
        <f t="shared" si="46"/>
        <v>1.8720011956576361</v>
      </c>
      <c r="AI169" s="27">
        <f t="shared" si="46"/>
        <v>1.9169799867438404</v>
      </c>
      <c r="AJ169" s="27">
        <f t="shared" si="46"/>
        <v>1.9649335737465348</v>
      </c>
      <c r="AK169" s="27">
        <f t="shared" si="46"/>
        <v>2.0129828074709066</v>
      </c>
      <c r="AL169" s="27">
        <f t="shared" si="46"/>
        <v>2.0608754146421031</v>
      </c>
      <c r="AM169" s="27">
        <f t="shared" si="46"/>
        <v>2.1098506270361996</v>
      </c>
      <c r="AN169" s="27">
        <f t="shared" si="46"/>
        <v>2.1567413105664199</v>
      </c>
      <c r="AO169" s="27">
        <f t="shared" si="46"/>
        <v>2.2058096743065145</v>
      </c>
      <c r="AP169" s="27">
        <f t="shared" si="46"/>
        <v>2.258470217432818</v>
      </c>
      <c r="AQ169" s="27">
        <f t="shared" si="46"/>
        <v>2.3120510725576544</v>
      </c>
      <c r="AR169" s="27">
        <f t="shared" si="46"/>
        <v>2.3666507440832505</v>
      </c>
      <c r="AS169" s="27">
        <f t="shared" si="46"/>
        <v>2.4249672048017872</v>
      </c>
      <c r="AT169" s="27">
        <f t="shared" si="46"/>
        <v>2.4859852344978988</v>
      </c>
      <c r="AU169" s="27">
        <f t="shared" si="46"/>
        <v>2.5490093093778539</v>
      </c>
      <c r="AV169" s="27">
        <f t="shared" si="46"/>
        <v>2.6156743076501083</v>
      </c>
      <c r="AW169" s="27">
        <f t="shared" si="46"/>
        <v>2.6760181986485878</v>
      </c>
      <c r="AY169" s="79"/>
    </row>
    <row r="170" spans="1:51" x14ac:dyDescent="0.25">
      <c r="A170" s="95" t="str">
        <f t="shared" si="45"/>
        <v>FA Swine</v>
      </c>
      <c r="B170" s="95" t="s">
        <v>961</v>
      </c>
      <c r="C170" s="95" t="s">
        <v>155</v>
      </c>
      <c r="D170" t="s">
        <v>15</v>
      </c>
      <c r="E170" t="s">
        <v>16</v>
      </c>
      <c r="F170" t="s">
        <v>21</v>
      </c>
      <c r="G170" t="s">
        <v>123</v>
      </c>
      <c r="H170" t="s">
        <v>1019</v>
      </c>
      <c r="I170" t="s">
        <v>121</v>
      </c>
      <c r="J170" t="s">
        <v>286</v>
      </c>
      <c r="K170" s="27">
        <f t="shared" si="47"/>
        <v>0.25496723934882604</v>
      </c>
      <c r="L170" s="27">
        <f t="shared" si="46"/>
        <v>0.25358132281546891</v>
      </c>
      <c r="M170" s="27">
        <f t="shared" si="46"/>
        <v>0.25369507454499329</v>
      </c>
      <c r="N170" s="27">
        <f t="shared" si="46"/>
        <v>0.25136595935447836</v>
      </c>
      <c r="O170" s="27">
        <f t="shared" si="46"/>
        <v>0.24756197704412694</v>
      </c>
      <c r="P170" s="27">
        <f t="shared" si="46"/>
        <v>0.24234393830437845</v>
      </c>
      <c r="Q170" s="27">
        <f t="shared" si="46"/>
        <v>0.23855506351363698</v>
      </c>
      <c r="R170" s="27">
        <f t="shared" si="46"/>
        <v>0.2351014533295149</v>
      </c>
      <c r="S170" s="27">
        <f t="shared" si="46"/>
        <v>0.21119628437309981</v>
      </c>
      <c r="T170" s="27">
        <f t="shared" si="46"/>
        <v>0.22073999054712201</v>
      </c>
      <c r="U170" s="27">
        <f t="shared" si="46"/>
        <v>0.22362533987194619</v>
      </c>
      <c r="V170" s="27">
        <f t="shared" si="46"/>
        <v>0.22141837486852711</v>
      </c>
      <c r="W170" s="27">
        <f t="shared" si="46"/>
        <v>0.21947736088302675</v>
      </c>
      <c r="X170" s="27">
        <f t="shared" si="46"/>
        <v>0.2188774897130813</v>
      </c>
      <c r="Y170" s="27">
        <f t="shared" si="46"/>
        <v>0.21956663932237841</v>
      </c>
      <c r="Z170" s="27">
        <f t="shared" si="46"/>
        <v>0.22085024852252202</v>
      </c>
      <c r="AA170" s="27">
        <f t="shared" si="46"/>
        <v>0.22287476000701054</v>
      </c>
      <c r="AB170" s="27">
        <f t="shared" si="46"/>
        <v>0.22612693873028961</v>
      </c>
      <c r="AC170" s="27">
        <f t="shared" si="46"/>
        <v>0.23049323798351176</v>
      </c>
      <c r="AD170" s="27">
        <f t="shared" si="46"/>
        <v>0.23546274339902665</v>
      </c>
      <c r="AE170" s="27">
        <f t="shared" si="46"/>
        <v>0.24098612254488616</v>
      </c>
      <c r="AF170" s="27">
        <f t="shared" si="46"/>
        <v>0.24678709374867933</v>
      </c>
      <c r="AG170" s="27">
        <f t="shared" si="46"/>
        <v>0.25296528326588152</v>
      </c>
      <c r="AH170" s="27">
        <f t="shared" si="46"/>
        <v>0.25938752705541407</v>
      </c>
      <c r="AI170" s="27">
        <f t="shared" si="46"/>
        <v>0.26561986142403288</v>
      </c>
      <c r="AJ170" s="27">
        <f t="shared" si="46"/>
        <v>0.27226438834790373</v>
      </c>
      <c r="AK170" s="27">
        <f t="shared" si="46"/>
        <v>0.27892216823692451</v>
      </c>
      <c r="AL170" s="27">
        <f t="shared" si="46"/>
        <v>0.28555824569627086</v>
      </c>
      <c r="AM170" s="27">
        <f t="shared" si="46"/>
        <v>0.29234433069417909</v>
      </c>
      <c r="AN170" s="27">
        <f t="shared" si="46"/>
        <v>0.298841579986036</v>
      </c>
      <c r="AO170" s="27">
        <f t="shared" si="46"/>
        <v>0.30564057218578583</v>
      </c>
      <c r="AP170" s="27">
        <f t="shared" si="46"/>
        <v>0.3129373025973966</v>
      </c>
      <c r="AQ170" s="27">
        <f t="shared" si="46"/>
        <v>0.32036155293472796</v>
      </c>
      <c r="AR170" s="27">
        <f t="shared" si="46"/>
        <v>0.32792697212778937</v>
      </c>
      <c r="AS170" s="27">
        <f t="shared" si="46"/>
        <v>0.33600739566998233</v>
      </c>
      <c r="AT170" s="27">
        <f t="shared" si="46"/>
        <v>0.34446215299886757</v>
      </c>
      <c r="AU170" s="27">
        <f t="shared" si="46"/>
        <v>0.35319487120758841</v>
      </c>
      <c r="AV170" s="27">
        <f t="shared" si="46"/>
        <v>0.3624320816768471</v>
      </c>
      <c r="AW170" s="27">
        <f t="shared" si="46"/>
        <v>0.37079342925253511</v>
      </c>
      <c r="AY170" s="79"/>
    </row>
    <row r="171" spans="1:51" x14ac:dyDescent="0.25">
      <c r="A171" s="95" t="str">
        <f t="shared" si="45"/>
        <v>FA Cattle MMCH4</v>
      </c>
      <c r="B171" s="95" t="s">
        <v>961</v>
      </c>
      <c r="C171" s="95" t="s">
        <v>1228</v>
      </c>
      <c r="D171" t="s">
        <v>15</v>
      </c>
      <c r="E171" t="s">
        <v>22</v>
      </c>
      <c r="F171" t="s">
        <v>6</v>
      </c>
      <c r="G171" t="s">
        <v>136</v>
      </c>
      <c r="H171" t="s">
        <v>1226</v>
      </c>
      <c r="I171" t="s">
        <v>121</v>
      </c>
      <c r="J171" t="s">
        <v>286</v>
      </c>
      <c r="K171" s="27">
        <f t="shared" si="47"/>
        <v>7.351330651107908</v>
      </c>
      <c r="L171" s="27">
        <f t="shared" si="46"/>
        <v>7.3924283487896005</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7.5825135825669054</v>
      </c>
      <c r="S171" s="27">
        <f t="shared" si="46"/>
        <v>7.3635054789242087</v>
      </c>
      <c r="T171" s="27">
        <f t="shared" si="46"/>
        <v>7.5119983216779529</v>
      </c>
      <c r="U171" s="27">
        <f t="shared" si="46"/>
        <v>7.5857115422581893</v>
      </c>
      <c r="V171" s="27">
        <f t="shared" si="46"/>
        <v>7.6049624433961522</v>
      </c>
      <c r="W171" s="27">
        <f t="shared" si="46"/>
        <v>7.6323349638068887</v>
      </c>
      <c r="X171" s="27">
        <f t="shared" si="46"/>
        <v>7.6782662594179314</v>
      </c>
      <c r="Y171" s="27">
        <f t="shared" si="46"/>
        <v>7.7389431173667962</v>
      </c>
      <c r="Z171" s="27">
        <f t="shared" si="46"/>
        <v>7.8068776236096697</v>
      </c>
      <c r="AA171" s="27">
        <f t="shared" si="46"/>
        <v>7.88420933428013</v>
      </c>
      <c r="AB171" s="27">
        <f t="shared" si="46"/>
        <v>7.9775686845364202</v>
      </c>
      <c r="AC171" s="27">
        <f t="shared" si="46"/>
        <v>8.0864133355409642</v>
      </c>
      <c r="AD171" s="27">
        <f t="shared" si="46"/>
        <v>8.2048813891102359</v>
      </c>
      <c r="AE171" s="27">
        <f t="shared" si="46"/>
        <v>8.3328657755649527</v>
      </c>
      <c r="AF171" s="27">
        <f t="shared" si="46"/>
        <v>8.4671187588996872</v>
      </c>
      <c r="AG171" s="27">
        <f t="shared" si="46"/>
        <v>8.6091419335499069</v>
      </c>
      <c r="AH171" s="27">
        <f t="shared" si="46"/>
        <v>8.7574749892645496</v>
      </c>
      <c r="AI171" s="27">
        <f t="shared" si="46"/>
        <v>8.9064020314048324</v>
      </c>
      <c r="AJ171" s="27">
        <f t="shared" si="46"/>
        <v>9.0642998358305835</v>
      </c>
      <c r="AK171" s="27">
        <f t="shared" si="46"/>
        <v>9.2256487767776196</v>
      </c>
      <c r="AL171" s="27">
        <f t="shared" si="46"/>
        <v>9.3900384918162416</v>
      </c>
      <c r="AM171" s="27">
        <f t="shared" si="46"/>
        <v>9.5601174973828691</v>
      </c>
      <c r="AN171" s="27">
        <f t="shared" si="46"/>
        <v>9.7295365069027504</v>
      </c>
      <c r="AO171" s="27">
        <f t="shared" si="46"/>
        <v>9.9070935852539623</v>
      </c>
      <c r="AP171" s="27">
        <f t="shared" si="46"/>
        <v>10.096066907799957</v>
      </c>
      <c r="AQ171" s="27">
        <f t="shared" si="46"/>
        <v>10.291098999348057</v>
      </c>
      <c r="AR171" s="27">
        <f t="shared" si="46"/>
        <v>10.492542704095264</v>
      </c>
      <c r="AS171" s="27">
        <f t="shared" si="46"/>
        <v>10.706596925892969</v>
      </c>
      <c r="AT171" s="27">
        <f t="shared" si="46"/>
        <v>10.931461457010631</v>
      </c>
      <c r="AU171" s="27">
        <f t="shared" si="46"/>
        <v>11.165976151570428</v>
      </c>
      <c r="AV171" s="27">
        <f t="shared" si="46"/>
        <v>11.414366787540366</v>
      </c>
      <c r="AW171" s="27">
        <f t="shared" si="46"/>
        <v>11.653364369886001</v>
      </c>
      <c r="AY171" s="79"/>
    </row>
    <row r="172" spans="1:51" x14ac:dyDescent="0.25">
      <c r="A172" s="95" t="str">
        <f t="shared" si="45"/>
        <v>FA Cattle MMCH4</v>
      </c>
      <c r="B172" s="95" t="s">
        <v>961</v>
      </c>
      <c r="C172" s="95" t="s">
        <v>1228</v>
      </c>
      <c r="D172" t="s">
        <v>15</v>
      </c>
      <c r="E172" t="s">
        <v>22</v>
      </c>
      <c r="F172" t="s">
        <v>6</v>
      </c>
      <c r="G172" t="s">
        <v>137</v>
      </c>
      <c r="H172" t="s">
        <v>1226</v>
      </c>
      <c r="I172" t="s">
        <v>121</v>
      </c>
      <c r="J172" t="s">
        <v>286</v>
      </c>
      <c r="K172" s="27">
        <f t="shared" si="47"/>
        <v>2.0944490884992821</v>
      </c>
      <c r="L172" s="27">
        <f t="shared" si="46"/>
        <v>2.1061581299686476</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2.1603148348588097</v>
      </c>
      <c r="S172" s="27">
        <f t="shared" si="48"/>
        <v>2.0979177880086217</v>
      </c>
      <c r="T172" s="27">
        <f t="shared" si="48"/>
        <v>2.1402245095961443</v>
      </c>
      <c r="U172" s="27">
        <f t="shared" si="48"/>
        <v>2.1612259574947443</v>
      </c>
      <c r="V172" s="27">
        <f t="shared" si="48"/>
        <v>2.1667106832205718</v>
      </c>
      <c r="W172" s="27">
        <f t="shared" si="48"/>
        <v>2.1745093190247649</v>
      </c>
      <c r="X172" s="27">
        <f t="shared" si="48"/>
        <v>2.1875954886982294</v>
      </c>
      <c r="Y172" s="27">
        <f t="shared" si="48"/>
        <v>2.2048827793746253</v>
      </c>
      <c r="Z172" s="27">
        <f t="shared" si="48"/>
        <v>2.224237828335264</v>
      </c>
      <c r="AA172" s="27">
        <f t="shared" si="48"/>
        <v>2.2462702111259123</v>
      </c>
      <c r="AB172" s="27">
        <f t="shared" si="48"/>
        <v>2.2728689883170463</v>
      </c>
      <c r="AC172" s="27">
        <f t="shared" si="48"/>
        <v>2.3038796435172904</v>
      </c>
      <c r="AD172" s="27">
        <f t="shared" si="48"/>
        <v>2.3376320780887165</v>
      </c>
      <c r="AE172" s="27">
        <f t="shared" si="48"/>
        <v>2.3740957870788466</v>
      </c>
      <c r="AF172" s="27">
        <f t="shared" si="48"/>
        <v>2.4123454662075314</v>
      </c>
      <c r="AG172" s="27">
        <f t="shared" si="48"/>
        <v>2.4528089309609635</v>
      </c>
      <c r="AH172" s="27">
        <f t="shared" si="48"/>
        <v>2.495070128025882</v>
      </c>
      <c r="AI172" s="27">
        <f t="shared" si="48"/>
        <v>2.537500556266326</v>
      </c>
      <c r="AJ172" s="27">
        <f t="shared" si="48"/>
        <v>2.5824868217808161</v>
      </c>
      <c r="AK172" s="27">
        <f t="shared" si="48"/>
        <v>2.6284563419038043</v>
      </c>
      <c r="AL172" s="27">
        <f t="shared" si="48"/>
        <v>2.6752922013096669</v>
      </c>
      <c r="AM172" s="27">
        <f t="shared" si="48"/>
        <v>2.7237489821413385</v>
      </c>
      <c r="AN172" s="27">
        <f t="shared" si="48"/>
        <v>2.772017725162697</v>
      </c>
      <c r="AO172" s="27">
        <f t="shared" si="48"/>
        <v>2.8226050648646934</v>
      </c>
      <c r="AP172" s="27">
        <f t="shared" si="48"/>
        <v>2.8764449779282546</v>
      </c>
      <c r="AQ172" s="27">
        <f t="shared" si="48"/>
        <v>2.9320110795984959</v>
      </c>
      <c r="AR172" s="27">
        <f t="shared" si="48"/>
        <v>2.989403897826326</v>
      </c>
      <c r="AS172" s="27">
        <f t="shared" si="48"/>
        <v>3.0503895466851563</v>
      </c>
      <c r="AT172" s="27">
        <f t="shared" si="48"/>
        <v>3.1144551335274819</v>
      </c>
      <c r="AU172" s="27">
        <f t="shared" si="48"/>
        <v>3.1812701241151289</v>
      </c>
      <c r="AV172" s="27">
        <f t="shared" si="48"/>
        <v>3.2520384741988773</v>
      </c>
      <c r="AW172" s="27">
        <f t="shared" si="48"/>
        <v>3.3201306730475184</v>
      </c>
      <c r="AY172" s="79"/>
    </row>
    <row r="173" spans="1:51" x14ac:dyDescent="0.25">
      <c r="A173" s="95" t="str">
        <f t="shared" si="45"/>
        <v>FA Cattle MMCH4</v>
      </c>
      <c r="B173" s="95" t="s">
        <v>961</v>
      </c>
      <c r="C173" s="95" t="s">
        <v>1228</v>
      </c>
      <c r="D173" t="s">
        <v>15</v>
      </c>
      <c r="E173" t="s">
        <v>22</v>
      </c>
      <c r="F173" t="s">
        <v>67</v>
      </c>
      <c r="G173" t="s">
        <v>307</v>
      </c>
      <c r="H173" t="s">
        <v>1226</v>
      </c>
      <c r="I173" t="s">
        <v>121</v>
      </c>
      <c r="J173" t="s">
        <v>286</v>
      </c>
      <c r="K173" s="27">
        <f t="shared" si="47"/>
        <v>0.43258377187145641</v>
      </c>
      <c r="L173" s="27">
        <f t="shared" si="48"/>
        <v>0.43500213637199753</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0.44618756541973903</v>
      </c>
      <c r="S173" s="27">
        <f t="shared" si="48"/>
        <v>0.4333001908694058</v>
      </c>
      <c r="T173" s="27">
        <f t="shared" si="48"/>
        <v>0.44203814554223075</v>
      </c>
      <c r="U173" s="27">
        <f t="shared" si="48"/>
        <v>0.44637574706075117</v>
      </c>
      <c r="V173" s="27">
        <f t="shared" si="48"/>
        <v>0.44750855251073168</v>
      </c>
      <c r="W173" s="27">
        <f t="shared" si="48"/>
        <v>0.44911926881324493</v>
      </c>
      <c r="X173" s="27">
        <f t="shared" si="48"/>
        <v>0.45182206291207566</v>
      </c>
      <c r="Y173" s="27">
        <f t="shared" si="48"/>
        <v>0.45539254903527465</v>
      </c>
      <c r="Z173" s="27">
        <f t="shared" si="48"/>
        <v>0.45939010625933163</v>
      </c>
      <c r="AA173" s="27">
        <f t="shared" si="48"/>
        <v>0.46394063522813239</v>
      </c>
      <c r="AB173" s="27">
        <f t="shared" si="48"/>
        <v>0.46943429913607365</v>
      </c>
      <c r="AC173" s="27">
        <f t="shared" si="48"/>
        <v>0.47583918444380807</v>
      </c>
      <c r="AD173" s="27">
        <f t="shared" si="48"/>
        <v>0.48281035196319333</v>
      </c>
      <c r="AE173" s="27">
        <f t="shared" si="48"/>
        <v>0.49034150125585807</v>
      </c>
      <c r="AF173" s="27">
        <f t="shared" si="48"/>
        <v>0.49824152162933733</v>
      </c>
      <c r="AG173" s="27">
        <f t="shared" si="48"/>
        <v>0.50659877332962533</v>
      </c>
      <c r="AH173" s="27">
        <f t="shared" si="48"/>
        <v>0.51532732544890569</v>
      </c>
      <c r="AI173" s="27">
        <f t="shared" si="48"/>
        <v>0.52409083027275605</v>
      </c>
      <c r="AJ173" s="27">
        <f t="shared" si="48"/>
        <v>0.53338221315980094</v>
      </c>
      <c r="AK173" s="27">
        <f t="shared" si="48"/>
        <v>0.54287667569656828</v>
      </c>
      <c r="AL173" s="27">
        <f t="shared" si="48"/>
        <v>0.55255007040063653</v>
      </c>
      <c r="AM173" s="27">
        <f t="shared" si="48"/>
        <v>0.56255824731933757</v>
      </c>
      <c r="AN173" s="27">
        <f t="shared" si="48"/>
        <v>0.57252758724472796</v>
      </c>
      <c r="AO173" s="27">
        <f t="shared" si="48"/>
        <v>0.58297580598510912</v>
      </c>
      <c r="AP173" s="27">
        <f t="shared" si="48"/>
        <v>0.59409580541510443</v>
      </c>
      <c r="AQ173" s="27">
        <f t="shared" si="48"/>
        <v>0.60557232875515321</v>
      </c>
      <c r="AR173" s="27">
        <f t="shared" si="48"/>
        <v>0.61742613886858821</v>
      </c>
      <c r="AS173" s="27">
        <f t="shared" si="48"/>
        <v>0.63002200580001311</v>
      </c>
      <c r="AT173" s="27">
        <f t="shared" si="48"/>
        <v>0.64325399761857238</v>
      </c>
      <c r="AU173" s="27">
        <f t="shared" si="48"/>
        <v>0.65705384637339226</v>
      </c>
      <c r="AV173" s="27">
        <f t="shared" si="48"/>
        <v>0.6716702149337197</v>
      </c>
      <c r="AW173" s="27">
        <f t="shared" si="48"/>
        <v>0.6857338560003412</v>
      </c>
      <c r="AY173" s="79"/>
    </row>
    <row r="174" spans="1:51" x14ac:dyDescent="0.25">
      <c r="A174" s="95" t="str">
        <f t="shared" si="45"/>
        <v>FA Cattle MMCH4</v>
      </c>
      <c r="B174" s="95" t="s">
        <v>961</v>
      </c>
      <c r="C174" s="95" t="s">
        <v>1228</v>
      </c>
      <c r="D174" t="s">
        <v>15</v>
      </c>
      <c r="E174" t="s">
        <v>22</v>
      </c>
      <c r="F174" t="s">
        <v>67</v>
      </c>
      <c r="G174" t="s">
        <v>122</v>
      </c>
      <c r="H174" t="s">
        <v>1226</v>
      </c>
      <c r="I174" t="s">
        <v>121</v>
      </c>
      <c r="J174" t="s">
        <v>286</v>
      </c>
      <c r="K174" s="27">
        <f t="shared" si="47"/>
        <v>9.4871637196006511E-2</v>
      </c>
      <c r="L174" s="27">
        <f t="shared" si="48"/>
        <v>9.404884578461549E-2</v>
      </c>
      <c r="M174" s="27">
        <f t="shared" si="48"/>
        <v>9.3735634002294205E-2</v>
      </c>
      <c r="N174" s="27">
        <f t="shared" si="48"/>
        <v>9.2483917307495084E-2</v>
      </c>
      <c r="O174" s="27">
        <f t="shared" si="48"/>
        <v>9.0667019955957301E-2</v>
      </c>
      <c r="P174" s="27">
        <f t="shared" si="48"/>
        <v>8.8322512540543865E-2</v>
      </c>
      <c r="Q174" s="27">
        <f t="shared" si="48"/>
        <v>8.6473330972337892E-2</v>
      </c>
      <c r="R174" s="27">
        <f t="shared" si="48"/>
        <v>8.4723794986300283E-2</v>
      </c>
      <c r="S174" s="27">
        <f t="shared" si="48"/>
        <v>7.5654493606876719E-2</v>
      </c>
      <c r="T174" s="27">
        <f t="shared" si="48"/>
        <v>7.9271557778310117E-2</v>
      </c>
      <c r="U174" s="27">
        <f t="shared" si="48"/>
        <v>8.0523786090551941E-2</v>
      </c>
      <c r="V174" s="27">
        <f t="shared" si="48"/>
        <v>7.9979986949743884E-2</v>
      </c>
      <c r="W174" s="27">
        <f t="shared" si="48"/>
        <v>7.953764463923213E-2</v>
      </c>
      <c r="X174" s="27">
        <f t="shared" si="48"/>
        <v>7.9566701648766641E-2</v>
      </c>
      <c r="Y174" s="27">
        <f t="shared" si="48"/>
        <v>8.0033923406415561E-2</v>
      </c>
      <c r="Z174" s="27">
        <f t="shared" si="48"/>
        <v>8.0696879014232822E-2</v>
      </c>
      <c r="AA174" s="27">
        <f t="shared" si="48"/>
        <v>8.1608968762296855E-2</v>
      </c>
      <c r="AB174" s="27">
        <f t="shared" si="48"/>
        <v>8.294500125938338E-2</v>
      </c>
      <c r="AC174" s="27">
        <f t="shared" si="48"/>
        <v>8.4667243855728658E-2</v>
      </c>
      <c r="AD174" s="27">
        <f t="shared" si="48"/>
        <v>8.5867982908629403E-2</v>
      </c>
      <c r="AE174" s="27">
        <f t="shared" si="48"/>
        <v>8.7210563420463058E-2</v>
      </c>
      <c r="AF174" s="27">
        <f t="shared" si="48"/>
        <v>8.8593806779096215E-2</v>
      </c>
      <c r="AG174" s="27">
        <f t="shared" si="48"/>
        <v>9.0048440137839775E-2</v>
      </c>
      <c r="AH174" s="27">
        <f t="shared" si="48"/>
        <v>9.1524860898689164E-2</v>
      </c>
      <c r="AI174" s="27">
        <f t="shared" si="48"/>
        <v>9.2873095408058187E-2</v>
      </c>
      <c r="AJ174" s="27">
        <f t="shared" si="48"/>
        <v>9.4295235372679823E-2</v>
      </c>
      <c r="AK174" s="27">
        <f t="shared" si="48"/>
        <v>9.5652981013283067E-2</v>
      </c>
      <c r="AL174" s="27">
        <f t="shared" si="48"/>
        <v>9.6933251950102856E-2</v>
      </c>
      <c r="AM174" s="27">
        <f t="shared" si="48"/>
        <v>9.8190775072259484E-2</v>
      </c>
      <c r="AN174" s="27">
        <f t="shared" si="48"/>
        <v>9.9787639127038461E-2</v>
      </c>
      <c r="AO174" s="27">
        <f t="shared" si="48"/>
        <v>0.1014392914748115</v>
      </c>
      <c r="AP174" s="27">
        <f t="shared" si="48"/>
        <v>0.10320575500989811</v>
      </c>
      <c r="AQ174" s="27">
        <f t="shared" si="48"/>
        <v>0.10496534581683413</v>
      </c>
      <c r="AR174" s="27">
        <f t="shared" si="48"/>
        <v>0.10672034773942209</v>
      </c>
      <c r="AS174" s="27">
        <f t="shared" si="48"/>
        <v>0.10858609964826429</v>
      </c>
      <c r="AT174" s="27">
        <f t="shared" si="48"/>
        <v>0.11051429251988212</v>
      </c>
      <c r="AU174" s="27">
        <f t="shared" si="48"/>
        <v>0.11247140287446589</v>
      </c>
      <c r="AV174" s="27">
        <f t="shared" si="48"/>
        <v>0.11452403240118444</v>
      </c>
      <c r="AW174" s="27">
        <f t="shared" si="48"/>
        <v>0.1162449069229001</v>
      </c>
      <c r="AY174" s="79"/>
    </row>
    <row r="175" spans="1:51" x14ac:dyDescent="0.25">
      <c r="A175" s="95" t="str">
        <f t="shared" si="45"/>
        <v>FA Cattle MMCH4</v>
      </c>
      <c r="B175" s="95" t="s">
        <v>961</v>
      </c>
      <c r="C175" s="95" t="s">
        <v>1228</v>
      </c>
      <c r="D175" t="s">
        <v>15</v>
      </c>
      <c r="E175" t="s">
        <v>22</v>
      </c>
      <c r="F175" t="s">
        <v>67</v>
      </c>
      <c r="G175" t="s">
        <v>123</v>
      </c>
      <c r="H175" t="s">
        <v>1226</v>
      </c>
      <c r="I175" t="s">
        <v>121</v>
      </c>
      <c r="J175" t="s">
        <v>286</v>
      </c>
      <c r="K175" s="27">
        <f t="shared" si="47"/>
        <v>6.9689449734106276E-2</v>
      </c>
      <c r="L175" s="27">
        <f t="shared" si="48"/>
        <v>6.9085055392440989E-2</v>
      </c>
      <c r="M175" s="27">
        <f t="shared" si="48"/>
        <v>6.8854980763127779E-2</v>
      </c>
      <c r="N175" s="27">
        <f t="shared" si="48"/>
        <v>6.7935512624264269E-2</v>
      </c>
      <c r="O175" s="27">
        <f t="shared" si="48"/>
        <v>6.6600882165738229E-2</v>
      </c>
      <c r="P175" s="27">
        <f t="shared" si="48"/>
        <v>6.4878687456057696E-2</v>
      </c>
      <c r="Q175" s="27">
        <f t="shared" si="48"/>
        <v>6.3520342119606069E-2</v>
      </c>
      <c r="R175" s="27">
        <f t="shared" si="48"/>
        <v>6.2235193009075998E-2</v>
      </c>
      <c r="S175" s="27">
        <f t="shared" si="48"/>
        <v>5.5573195374324494E-2</v>
      </c>
      <c r="T175" s="27">
        <f t="shared" si="48"/>
        <v>5.8230166616839892E-2</v>
      </c>
      <c r="U175" s="27">
        <f t="shared" si="48"/>
        <v>5.9150010572323733E-2</v>
      </c>
      <c r="V175" s="27">
        <f t="shared" si="48"/>
        <v>5.8750554380685591E-2</v>
      </c>
      <c r="W175" s="27">
        <f t="shared" si="48"/>
        <v>5.8425624895701689E-2</v>
      </c>
      <c r="X175" s="27">
        <f t="shared" si="48"/>
        <v>5.8446969177989083E-2</v>
      </c>
      <c r="Y175" s="27">
        <f t="shared" si="48"/>
        <v>5.8790174251251236E-2</v>
      </c>
      <c r="Z175" s="27">
        <f t="shared" si="48"/>
        <v>5.9277158695416256E-2</v>
      </c>
      <c r="AA175" s="27">
        <f t="shared" si="48"/>
        <v>5.9947148531465801E-2</v>
      </c>
      <c r="AB175" s="27">
        <f t="shared" si="48"/>
        <v>6.0928552165899576E-2</v>
      </c>
      <c r="AC175" s="27">
        <f t="shared" si="48"/>
        <v>6.2193652488770283E-2</v>
      </c>
      <c r="AD175" s="27">
        <f t="shared" si="48"/>
        <v>6.3075674200886653E-2</v>
      </c>
      <c r="AE175" s="27">
        <f t="shared" si="48"/>
        <v>6.4061887782297905E-2</v>
      </c>
      <c r="AF175" s="27">
        <f t="shared" si="48"/>
        <v>6.5077970895866852E-2</v>
      </c>
      <c r="AG175" s="27">
        <f t="shared" si="48"/>
        <v>6.6146494654198057E-2</v>
      </c>
      <c r="AH175" s="27">
        <f t="shared" si="48"/>
        <v>6.7231022690612471E-2</v>
      </c>
      <c r="AI175" s="27">
        <f t="shared" si="48"/>
        <v>6.8221389504630262E-2</v>
      </c>
      <c r="AJ175" s="27">
        <f t="shared" si="48"/>
        <v>6.9266044730455056E-2</v>
      </c>
      <c r="AK175" s="27">
        <f t="shared" si="48"/>
        <v>7.026339809516019E-2</v>
      </c>
      <c r="AL175" s="27">
        <f t="shared" si="48"/>
        <v>7.1203841200544876E-2</v>
      </c>
      <c r="AM175" s="27">
        <f t="shared" si="48"/>
        <v>7.2127574541732534E-2</v>
      </c>
      <c r="AN175" s="27">
        <f t="shared" si="48"/>
        <v>7.3300576089579794E-2</v>
      </c>
      <c r="AO175" s="27">
        <f t="shared" si="48"/>
        <v>7.4513823237729482E-2</v>
      </c>
      <c r="AP175" s="27">
        <f t="shared" si="48"/>
        <v>7.5811406745023818E-2</v>
      </c>
      <c r="AQ175" s="27">
        <f t="shared" si="48"/>
        <v>7.7103941782015115E-2</v>
      </c>
      <c r="AR175" s="27">
        <f t="shared" si="48"/>
        <v>7.8393105982004302E-2</v>
      </c>
      <c r="AS175" s="27">
        <f t="shared" si="48"/>
        <v>7.9763623322175625E-2</v>
      </c>
      <c r="AT175" s="27">
        <f t="shared" si="48"/>
        <v>8.1180007651315583E-2</v>
      </c>
      <c r="AU175" s="27">
        <f t="shared" si="48"/>
        <v>8.2617633771312649E-2</v>
      </c>
      <c r="AV175" s="27">
        <f t="shared" si="48"/>
        <v>8.4125424997993567E-2</v>
      </c>
      <c r="AW175" s="27">
        <f t="shared" si="48"/>
        <v>8.5389520380178607E-2</v>
      </c>
      <c r="AY175" s="79"/>
    </row>
    <row r="176" spans="1:51" x14ac:dyDescent="0.25">
      <c r="A176" s="95" t="str">
        <f t="shared" si="45"/>
        <v>FA Cattle MMCH4</v>
      </c>
      <c r="B176" s="95" t="s">
        <v>961</v>
      </c>
      <c r="C176" s="95" t="s">
        <v>1228</v>
      </c>
      <c r="D176" t="s">
        <v>15</v>
      </c>
      <c r="E176" t="s">
        <v>22</v>
      </c>
      <c r="F176" t="s">
        <v>67</v>
      </c>
      <c r="G176" t="s">
        <v>135</v>
      </c>
      <c r="H176" t="s">
        <v>1226</v>
      </c>
      <c r="I176" t="s">
        <v>121</v>
      </c>
      <c r="J176" t="s">
        <v>286</v>
      </c>
      <c r="K176" s="27">
        <f t="shared" si="47"/>
        <v>0.47107022937833815</v>
      </c>
      <c r="L176" s="27">
        <f t="shared" si="48"/>
        <v>0.48695387967725917</v>
      </c>
      <c r="M176" s="27">
        <f t="shared" si="48"/>
        <v>0.50580611066616787</v>
      </c>
      <c r="N176" s="27">
        <f t="shared" si="48"/>
        <v>0.5198656905589939</v>
      </c>
      <c r="O176" s="27">
        <f t="shared" si="48"/>
        <v>0.53070826286138517</v>
      </c>
      <c r="P176" s="27">
        <f t="shared" si="48"/>
        <v>0.53817886796858128</v>
      </c>
      <c r="Q176" s="27">
        <f t="shared" si="48"/>
        <v>0.54837935702304741</v>
      </c>
      <c r="R176" s="27">
        <f t="shared" si="48"/>
        <v>0.55907244781022658</v>
      </c>
      <c r="S176" s="27">
        <f t="shared" si="48"/>
        <v>0.51940277612263608</v>
      </c>
      <c r="T176" s="27">
        <f t="shared" si="48"/>
        <v>0.55734768073083851</v>
      </c>
      <c r="U176" s="27">
        <f t="shared" si="48"/>
        <v>0.57960474973304943</v>
      </c>
      <c r="V176" s="27">
        <f t="shared" si="48"/>
        <v>0.58919613300783547</v>
      </c>
      <c r="W176" s="27">
        <f t="shared" si="48"/>
        <v>0.59952169359823548</v>
      </c>
      <c r="X176" s="27">
        <f t="shared" si="48"/>
        <v>0.61349330548493453</v>
      </c>
      <c r="Y176" s="27">
        <f t="shared" si="48"/>
        <v>0.63110337066637079</v>
      </c>
      <c r="Z176" s="27">
        <f t="shared" si="48"/>
        <v>0.65064008423990027</v>
      </c>
      <c r="AA176" s="27">
        <f t="shared" si="48"/>
        <v>0.67266194335256146</v>
      </c>
      <c r="AB176" s="27">
        <f t="shared" si="48"/>
        <v>0.69879229877984206</v>
      </c>
      <c r="AC176" s="27">
        <f t="shared" si="48"/>
        <v>0.72895809146559021</v>
      </c>
      <c r="AD176" s="27">
        <f t="shared" si="48"/>
        <v>0.76381313429213382</v>
      </c>
      <c r="AE176" s="27">
        <f t="shared" si="48"/>
        <v>0.80153113832193645</v>
      </c>
      <c r="AF176" s="27">
        <f t="shared" si="48"/>
        <v>0.84136759742134326</v>
      </c>
      <c r="AG176" s="27">
        <f t="shared" si="48"/>
        <v>0.88375975405626439</v>
      </c>
      <c r="AH176" s="27">
        <f t="shared" si="48"/>
        <v>0.92838040456636217</v>
      </c>
      <c r="AI176" s="27">
        <f t="shared" si="48"/>
        <v>0.97379529022362832</v>
      </c>
      <c r="AJ176" s="27">
        <f t="shared" si="48"/>
        <v>1.0221841318210139</v>
      </c>
      <c r="AK176" s="27">
        <f t="shared" si="48"/>
        <v>1.072208285270027</v>
      </c>
      <c r="AL176" s="27">
        <f t="shared" si="48"/>
        <v>1.123785168211771</v>
      </c>
      <c r="AM176" s="27">
        <f t="shared" si="48"/>
        <v>1.1776298462289758</v>
      </c>
      <c r="AN176" s="27">
        <f t="shared" si="48"/>
        <v>1.2305489615866252</v>
      </c>
      <c r="AO176" s="27">
        <f t="shared" si="48"/>
        <v>1.2863335234294737</v>
      </c>
      <c r="AP176" s="27">
        <f t="shared" si="48"/>
        <v>1.3459319381262367</v>
      </c>
      <c r="AQ176" s="27">
        <f t="shared" si="48"/>
        <v>1.4079553802544587</v>
      </c>
      <c r="AR176" s="27">
        <f t="shared" si="48"/>
        <v>1.4725543863966755</v>
      </c>
      <c r="AS176" s="27">
        <f t="shared" si="48"/>
        <v>1.5414959451453387</v>
      </c>
      <c r="AT176" s="27">
        <f t="shared" si="48"/>
        <v>1.6143551492479555</v>
      </c>
      <c r="AU176" s="27">
        <f t="shared" si="48"/>
        <v>1.6908665423569276</v>
      </c>
      <c r="AV176" s="27">
        <f t="shared" si="48"/>
        <v>1.7722717243433437</v>
      </c>
      <c r="AW176" s="27">
        <f t="shared" si="48"/>
        <v>1.852080501247541</v>
      </c>
      <c r="AY176" s="79"/>
    </row>
    <row r="177" spans="1:51" x14ac:dyDescent="0.25">
      <c r="A177" s="95" t="str">
        <f t="shared" si="45"/>
        <v>FA Sheep MMCH4</v>
      </c>
      <c r="B177" s="95" t="s">
        <v>961</v>
      </c>
      <c r="C177" s="95" t="s">
        <v>1323</v>
      </c>
      <c r="D177" t="s">
        <v>15</v>
      </c>
      <c r="E177" t="s">
        <v>22</v>
      </c>
      <c r="F177" t="s">
        <v>18</v>
      </c>
      <c r="G177" t="s">
        <v>122</v>
      </c>
      <c r="H177" t="s">
        <v>1226</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3.6577867645106926E-2</v>
      </c>
      <c r="T177" s="27">
        <f t="shared" si="48"/>
        <v>3.6604195637780168E-2</v>
      </c>
      <c r="U177" s="27">
        <f t="shared" si="48"/>
        <v>3.6594939276300961E-2</v>
      </c>
      <c r="V177" s="27">
        <f t="shared" si="48"/>
        <v>3.6594272892103465E-2</v>
      </c>
      <c r="W177" s="27">
        <f t="shared" si="48"/>
        <v>3.663308878376182E-2</v>
      </c>
      <c r="X177" s="27">
        <f t="shared" si="48"/>
        <v>3.66966145669788E-2</v>
      </c>
      <c r="Y177" s="27">
        <f t="shared" si="48"/>
        <v>3.6757568260761757E-2</v>
      </c>
      <c r="Z177" s="27">
        <f t="shared" si="48"/>
        <v>3.6816146514376355E-2</v>
      </c>
      <c r="AA177" s="27">
        <f t="shared" si="48"/>
        <v>3.6872269383598041E-2</v>
      </c>
      <c r="AB177" s="27">
        <f t="shared" si="48"/>
        <v>3.6927106456158189E-2</v>
      </c>
      <c r="AC177" s="27">
        <f t="shared" si="48"/>
        <v>3.6981458757835407E-2</v>
      </c>
      <c r="AD177" s="27">
        <f t="shared" si="48"/>
        <v>3.7034780933234084E-2</v>
      </c>
      <c r="AE177" s="27">
        <f t="shared" si="48"/>
        <v>3.7087839668251105E-2</v>
      </c>
      <c r="AF177" s="27">
        <f t="shared" si="48"/>
        <v>3.7140467817616069E-2</v>
      </c>
      <c r="AG177" s="27">
        <f t="shared" si="48"/>
        <v>3.7192243691518308E-2</v>
      </c>
      <c r="AH177" s="27">
        <f t="shared" si="48"/>
        <v>3.7243395244831647E-2</v>
      </c>
      <c r="AI177" s="27">
        <f t="shared" si="48"/>
        <v>3.7293977063567109E-2</v>
      </c>
      <c r="AJ177" s="27">
        <f t="shared" si="48"/>
        <v>3.7344160870083701E-2</v>
      </c>
      <c r="AK177" s="27">
        <f t="shared" si="48"/>
        <v>3.7392411139770994E-2</v>
      </c>
      <c r="AL177" s="27">
        <f t="shared" si="48"/>
        <v>3.743867142078007E-2</v>
      </c>
      <c r="AM177" s="27">
        <f t="shared" si="48"/>
        <v>3.7483374065557115E-2</v>
      </c>
      <c r="AN177" s="27">
        <f t="shared" si="48"/>
        <v>3.7526174858995696E-2</v>
      </c>
      <c r="AO177" s="27">
        <f t="shared" si="48"/>
        <v>3.7567151445085212E-2</v>
      </c>
      <c r="AP177" s="27">
        <f t="shared" si="48"/>
        <v>3.7606119264532091E-2</v>
      </c>
      <c r="AQ177" s="27">
        <f t="shared" si="48"/>
        <v>3.7642520684787982E-2</v>
      </c>
      <c r="AR177" s="27">
        <f t="shared" si="48"/>
        <v>3.7675838960014932E-2</v>
      </c>
      <c r="AS177" s="27">
        <f t="shared" si="48"/>
        <v>3.7706040429411586E-2</v>
      </c>
      <c r="AT177" s="27">
        <f t="shared" si="48"/>
        <v>3.7732893978113372E-2</v>
      </c>
      <c r="AU177" s="27">
        <f t="shared" si="48"/>
        <v>3.7756386655025911E-2</v>
      </c>
      <c r="AV177" s="27">
        <f t="shared" si="48"/>
        <v>3.7776968038330937E-2</v>
      </c>
      <c r="AW177" s="27">
        <f t="shared" si="48"/>
        <v>3.7791964878546927E-2</v>
      </c>
      <c r="AY177" s="79"/>
    </row>
    <row r="178" spans="1:51" x14ac:dyDescent="0.25">
      <c r="A178" s="95" t="str">
        <f t="shared" si="45"/>
        <v>FA Sheep MMCH4</v>
      </c>
      <c r="B178" s="95" t="s">
        <v>961</v>
      </c>
      <c r="C178" s="95" t="s">
        <v>1323</v>
      </c>
      <c r="D178" t="s">
        <v>15</v>
      </c>
      <c r="E178" t="s">
        <v>22</v>
      </c>
      <c r="F178" t="s">
        <v>18</v>
      </c>
      <c r="G178" t="s">
        <v>123</v>
      </c>
      <c r="H178" t="s">
        <v>1226</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4.1773668344855536E-3</v>
      </c>
      <c r="T178" s="27">
        <f t="shared" si="48"/>
        <v>4.1803736167419408E-3</v>
      </c>
      <c r="U178" s="27">
        <f t="shared" si="48"/>
        <v>4.1793164961403135E-3</v>
      </c>
      <c r="V178" s="27">
        <f t="shared" si="48"/>
        <v>4.1792403918886204E-3</v>
      </c>
      <c r="W178" s="27">
        <f t="shared" si="48"/>
        <v>4.1836733517330218E-3</v>
      </c>
      <c r="X178" s="27">
        <f t="shared" si="48"/>
        <v>4.190928298973798E-3</v>
      </c>
      <c r="Y178" s="27">
        <f t="shared" si="48"/>
        <v>4.197889501341273E-3</v>
      </c>
      <c r="Z178" s="27">
        <f t="shared" si="48"/>
        <v>4.204579417118921E-3</v>
      </c>
      <c r="AA178" s="27">
        <f t="shared" si="48"/>
        <v>4.2109889162952416E-3</v>
      </c>
      <c r="AB178" s="27">
        <f t="shared" si="48"/>
        <v>4.2172515713640264E-3</v>
      </c>
      <c r="AC178" s="27">
        <f t="shared" si="48"/>
        <v>4.2234588632873099E-3</v>
      </c>
      <c r="AD178" s="27">
        <f t="shared" si="48"/>
        <v>4.2295485098794577E-3</v>
      </c>
      <c r="AE178" s="27">
        <f t="shared" si="48"/>
        <v>4.2356080703243246E-3</v>
      </c>
      <c r="AF178" s="27">
        <f t="shared" si="48"/>
        <v>4.2416184558353278E-3</v>
      </c>
      <c r="AG178" s="27">
        <f t="shared" si="48"/>
        <v>4.247531507426093E-3</v>
      </c>
      <c r="AH178" s="27">
        <f t="shared" si="48"/>
        <v>4.2533732586297656E-3</v>
      </c>
      <c r="AI178" s="27">
        <f t="shared" si="48"/>
        <v>4.2591499434289888E-3</v>
      </c>
      <c r="AJ178" s="27">
        <f t="shared" si="48"/>
        <v>4.2648811733356808E-3</v>
      </c>
      <c r="AK178" s="27">
        <f t="shared" si="48"/>
        <v>4.2703915841202098E-3</v>
      </c>
      <c r="AL178" s="27">
        <f t="shared" si="48"/>
        <v>4.2756747287123493E-3</v>
      </c>
      <c r="AM178" s="27">
        <f t="shared" si="48"/>
        <v>4.2807799838222773E-3</v>
      </c>
      <c r="AN178" s="27">
        <f t="shared" si="48"/>
        <v>4.2856680384441249E-3</v>
      </c>
      <c r="AO178" s="27">
        <f t="shared" si="48"/>
        <v>4.2903477598915749E-3</v>
      </c>
      <c r="AP178" s="27">
        <f t="shared" si="48"/>
        <v>4.2947980706135938E-3</v>
      </c>
      <c r="AQ178" s="27">
        <f t="shared" ref="L178:AW185" si="49">AQ1400</f>
        <v>4.2989552863151904E-3</v>
      </c>
      <c r="AR178" s="27">
        <f t="shared" si="49"/>
        <v>4.3027603921585852E-3</v>
      </c>
      <c r="AS178" s="27">
        <f t="shared" si="49"/>
        <v>4.3062095439198199E-3</v>
      </c>
      <c r="AT178" s="27">
        <f t="shared" si="49"/>
        <v>4.3092763471797441E-3</v>
      </c>
      <c r="AU178" s="27">
        <f t="shared" si="49"/>
        <v>4.3119593228616469E-3</v>
      </c>
      <c r="AV178" s="27">
        <f t="shared" si="49"/>
        <v>4.3143098149368113E-3</v>
      </c>
      <c r="AW178" s="27">
        <f t="shared" si="49"/>
        <v>4.3160225255723297E-3</v>
      </c>
      <c r="AY178" s="79"/>
    </row>
    <row r="179" spans="1:51" x14ac:dyDescent="0.25">
      <c r="A179" s="95" t="str">
        <f t="shared" si="45"/>
        <v>FA Goats MMCH4</v>
      </c>
      <c r="B179" s="95" t="s">
        <v>961</v>
      </c>
      <c r="C179" s="95" t="s">
        <v>1324</v>
      </c>
      <c r="D179" t="s">
        <v>15</v>
      </c>
      <c r="E179" t="s">
        <v>22</v>
      </c>
      <c r="F179" t="s">
        <v>19</v>
      </c>
      <c r="G179" t="s">
        <v>122</v>
      </c>
      <c r="H179" t="s">
        <v>1226</v>
      </c>
      <c r="I179" t="s">
        <v>121</v>
      </c>
      <c r="J179" t="s">
        <v>286</v>
      </c>
      <c r="K179" s="27">
        <f t="shared" si="47"/>
        <v>1.5789672763163298E-2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1.623065478441902E-2</v>
      </c>
      <c r="R179" s="27">
        <f t="shared" si="49"/>
        <v>1.6337439810579345E-2</v>
      </c>
      <c r="S179" s="27">
        <f t="shared" si="49"/>
        <v>1.6297380650984187E-2</v>
      </c>
      <c r="T179" s="27">
        <f t="shared" si="49"/>
        <v>1.6325395863941383E-2</v>
      </c>
      <c r="U179" s="27">
        <f t="shared" si="49"/>
        <v>1.6328114418990985E-2</v>
      </c>
      <c r="V179" s="27">
        <f t="shared" si="49"/>
        <v>1.6335588711282864E-2</v>
      </c>
      <c r="W179" s="27">
        <f t="shared" si="49"/>
        <v>1.6368634589950044E-2</v>
      </c>
      <c r="X179" s="27">
        <f t="shared" si="49"/>
        <v>1.641724322972727E-2</v>
      </c>
      <c r="Y179" s="27">
        <f t="shared" si="49"/>
        <v>1.6463127220508685E-2</v>
      </c>
      <c r="Z179" s="27">
        <f t="shared" si="49"/>
        <v>1.6506502302245762E-2</v>
      </c>
      <c r="AA179" s="27">
        <f t="shared" si="49"/>
        <v>1.6547390676749981E-2</v>
      </c>
      <c r="AB179" s="27">
        <f t="shared" si="49"/>
        <v>1.6586638401151873E-2</v>
      </c>
      <c r="AC179" s="27">
        <f t="shared" si="49"/>
        <v>1.6624834346576634E-2</v>
      </c>
      <c r="AD179" s="27">
        <f t="shared" si="49"/>
        <v>1.6661666671952648E-2</v>
      </c>
      <c r="AE179" s="27">
        <f t="shared" si="49"/>
        <v>1.669768859843657E-2</v>
      </c>
      <c r="AF179" s="27">
        <f t="shared" si="49"/>
        <v>1.6732829718107738E-2</v>
      </c>
      <c r="AG179" s="27">
        <f t="shared" si="49"/>
        <v>1.6766849576183976E-2</v>
      </c>
      <c r="AH179" s="27">
        <f t="shared" si="49"/>
        <v>1.6799933327571178E-2</v>
      </c>
      <c r="AI179" s="27">
        <f t="shared" si="49"/>
        <v>1.6832148555186801E-2</v>
      </c>
      <c r="AJ179" s="27">
        <f t="shared" si="49"/>
        <v>1.6863636706256461E-2</v>
      </c>
      <c r="AK179" s="27">
        <f t="shared" si="49"/>
        <v>1.6893421474693429E-2</v>
      </c>
      <c r="AL179" s="27">
        <f t="shared" si="49"/>
        <v>1.6921495820142095E-2</v>
      </c>
      <c r="AM179" s="27">
        <f t="shared" si="49"/>
        <v>1.6948169002433171E-2</v>
      </c>
      <c r="AN179" s="27">
        <f t="shared" si="49"/>
        <v>1.6973242190360595E-2</v>
      </c>
      <c r="AO179" s="27">
        <f t="shared" si="49"/>
        <v>1.699679001880551E-2</v>
      </c>
      <c r="AP179" s="27">
        <f t="shared" si="49"/>
        <v>1.701871561452447E-2</v>
      </c>
      <c r="AQ179" s="27">
        <f t="shared" si="49"/>
        <v>1.7038680545756732E-2</v>
      </c>
      <c r="AR179" s="27">
        <f t="shared" si="49"/>
        <v>1.7056373927880512E-2</v>
      </c>
      <c r="AS179" s="27">
        <f t="shared" si="49"/>
        <v>1.7071796968078184E-2</v>
      </c>
      <c r="AT179" s="27">
        <f t="shared" si="49"/>
        <v>1.7084822941521471E-2</v>
      </c>
      <c r="AU179" s="27">
        <f t="shared" si="49"/>
        <v>1.7095465059373528E-2</v>
      </c>
      <c r="AV179" s="27">
        <f t="shared" si="49"/>
        <v>1.7104031992328298E-2</v>
      </c>
      <c r="AW179" s="27">
        <f t="shared" si="49"/>
        <v>1.7108831686205268E-2</v>
      </c>
      <c r="AY179" s="79"/>
    </row>
    <row r="180" spans="1:51" x14ac:dyDescent="0.25">
      <c r="A180" s="95" t="str">
        <f t="shared" si="45"/>
        <v>FA Goats MMCH4</v>
      </c>
      <c r="B180" s="95" t="s">
        <v>961</v>
      </c>
      <c r="C180" s="95" t="s">
        <v>1324</v>
      </c>
      <c r="D180" t="s">
        <v>15</v>
      </c>
      <c r="E180" t="s">
        <v>22</v>
      </c>
      <c r="F180" t="s">
        <v>19</v>
      </c>
      <c r="G180" t="s">
        <v>123</v>
      </c>
      <c r="H180" t="s">
        <v>1226</v>
      </c>
      <c r="I180" t="s">
        <v>121</v>
      </c>
      <c r="J180" t="s">
        <v>286</v>
      </c>
      <c r="K180" s="27">
        <f t="shared" si="47"/>
        <v>2.6592218800664796E-2</v>
      </c>
      <c r="L180" s="27">
        <f t="shared" si="49"/>
        <v>2.6661345733624896E-2</v>
      </c>
      <c r="M180" s="27">
        <f t="shared" si="49"/>
        <v>2.6756703894783639E-2</v>
      </c>
      <c r="N180" s="27">
        <f t="shared" si="49"/>
        <v>2.6872875319249701E-2</v>
      </c>
      <c r="O180" s="27">
        <f t="shared" si="49"/>
        <v>2.7009694315810229E-2</v>
      </c>
      <c r="P180" s="27">
        <f t="shared" si="49"/>
        <v>2.7166328132291764E-2</v>
      </c>
      <c r="Q180" s="27">
        <f t="shared" si="49"/>
        <v>2.7334899828466049E-2</v>
      </c>
      <c r="R180" s="27">
        <f t="shared" si="49"/>
        <v>2.7514742110372921E-2</v>
      </c>
      <c r="S180" s="27">
        <f t="shared" si="49"/>
        <v>2.7447276371664872E-2</v>
      </c>
      <c r="T180" s="27">
        <f t="shared" si="49"/>
        <v>2.7494458266051122E-2</v>
      </c>
      <c r="U180" s="27">
        <f t="shared" si="49"/>
        <v>2.7499036727668718E-2</v>
      </c>
      <c r="V180" s="27">
        <f t="shared" si="49"/>
        <v>2.7511624576637288E-2</v>
      </c>
      <c r="W180" s="27">
        <f t="shared" si="49"/>
        <v>2.7567278879874528E-2</v>
      </c>
      <c r="X180" s="27">
        <f t="shared" si="49"/>
        <v>2.7649143248056639E-2</v>
      </c>
      <c r="Y180" s="27">
        <f t="shared" si="49"/>
        <v>2.7726418891485655E-2</v>
      </c>
      <c r="Z180" s="27">
        <f t="shared" si="49"/>
        <v>2.7799469149166745E-2</v>
      </c>
      <c r="AA180" s="27">
        <f t="shared" si="49"/>
        <v>2.7868331412338937E-2</v>
      </c>
      <c r="AB180" s="27">
        <f t="shared" si="49"/>
        <v>2.7934430570337832E-2</v>
      </c>
      <c r="AC180" s="27">
        <f t="shared" si="49"/>
        <v>2.7998758372013564E-2</v>
      </c>
      <c r="AD180" s="27">
        <f t="shared" si="49"/>
        <v>2.8060789629407407E-2</v>
      </c>
      <c r="AE180" s="27">
        <f t="shared" si="49"/>
        <v>2.8121456051381433E-2</v>
      </c>
      <c r="AF180" s="27">
        <f t="shared" si="49"/>
        <v>2.8180639060251388E-2</v>
      </c>
      <c r="AG180" s="27">
        <f t="shared" si="49"/>
        <v>2.8237933693465157E-2</v>
      </c>
      <c r="AH180" s="27">
        <f t="shared" si="49"/>
        <v>2.8293651780143172E-2</v>
      </c>
      <c r="AI180" s="27">
        <f t="shared" si="49"/>
        <v>2.8347907140233115E-2</v>
      </c>
      <c r="AJ180" s="27">
        <f t="shared" si="49"/>
        <v>2.8400937992451046E-2</v>
      </c>
      <c r="AK180" s="27">
        <f t="shared" si="49"/>
        <v>2.845110008834013E-2</v>
      </c>
      <c r="AL180" s="27">
        <f t="shared" si="49"/>
        <v>2.8498381570866985E-2</v>
      </c>
      <c r="AM180" s="27">
        <f t="shared" si="49"/>
        <v>2.8543303280786723E-2</v>
      </c>
      <c r="AN180" s="27">
        <f t="shared" si="49"/>
        <v>2.8585530356002101E-2</v>
      </c>
      <c r="AO180" s="27">
        <f t="shared" si="49"/>
        <v>2.8625188493043956E-2</v>
      </c>
      <c r="AP180" s="27">
        <f t="shared" si="49"/>
        <v>2.8662114542585253E-2</v>
      </c>
      <c r="AQ180" s="27">
        <f t="shared" si="49"/>
        <v>2.8695738533888428E-2</v>
      </c>
      <c r="AR180" s="27">
        <f t="shared" si="49"/>
        <v>2.8725536889802242E-2</v>
      </c>
      <c r="AS180" s="27">
        <f t="shared" si="49"/>
        <v>2.8751511643406051E-2</v>
      </c>
      <c r="AT180" s="27">
        <f t="shared" si="49"/>
        <v>2.8773449370747915E-2</v>
      </c>
      <c r="AU180" s="27">
        <f t="shared" si="49"/>
        <v>2.8791372321442913E-2</v>
      </c>
      <c r="AV180" s="27">
        <f t="shared" si="49"/>
        <v>2.8805800344049892E-2</v>
      </c>
      <c r="AW180" s="27">
        <f t="shared" si="49"/>
        <v>2.8813883761082477E-2</v>
      </c>
      <c r="AY180" s="79"/>
    </row>
    <row r="181" spans="1:51" x14ac:dyDescent="0.25">
      <c r="A181" s="95" t="str">
        <f t="shared" si="45"/>
        <v>FA Horses MMCH4</v>
      </c>
      <c r="B181" s="95" t="s">
        <v>961</v>
      </c>
      <c r="C181" s="95" t="s">
        <v>1325</v>
      </c>
      <c r="D181" t="s">
        <v>15</v>
      </c>
      <c r="E181" t="s">
        <v>22</v>
      </c>
      <c r="F181" t="s">
        <v>20</v>
      </c>
      <c r="G181" t="s">
        <v>3</v>
      </c>
      <c r="H181" t="s">
        <v>1226</v>
      </c>
      <c r="I181" t="s">
        <v>121</v>
      </c>
      <c r="J181" t="s">
        <v>286</v>
      </c>
      <c r="K181" s="27">
        <f t="shared" si="47"/>
        <v>4.1336182129460544E-3</v>
      </c>
      <c r="L181" s="27">
        <f t="shared" si="49"/>
        <v>4.1536453250924079E-3</v>
      </c>
      <c r="M181" s="27">
        <f t="shared" si="49"/>
        <v>4.1840370126470525E-3</v>
      </c>
      <c r="N181" s="27">
        <f t="shared" si="49"/>
        <v>4.1905340987284569E-3</v>
      </c>
      <c r="O181" s="27">
        <f t="shared" si="49"/>
        <v>4.1812329246154589E-3</v>
      </c>
      <c r="P181" s="27">
        <f t="shared" si="49"/>
        <v>4.1564738854214548E-3</v>
      </c>
      <c r="Q181" s="27">
        <f t="shared" si="49"/>
        <v>4.1427460620707141E-3</v>
      </c>
      <c r="R181" s="27">
        <f t="shared" si="49"/>
        <v>4.130408792135833E-3</v>
      </c>
      <c r="S181" s="27">
        <f t="shared" si="49"/>
        <v>3.9434601312185527E-3</v>
      </c>
      <c r="T181" s="27">
        <f t="shared" si="49"/>
        <v>4.0605746122765228E-3</v>
      </c>
      <c r="U181" s="27">
        <f t="shared" si="49"/>
        <v>4.1189841670463273E-3</v>
      </c>
      <c r="V181" s="27">
        <f t="shared" si="49"/>
        <v>4.1278057101270405E-3</v>
      </c>
      <c r="W181" s="27">
        <f t="shared" si="49"/>
        <v>4.1355671321311174E-3</v>
      </c>
      <c r="X181" s="27">
        <f t="shared" si="49"/>
        <v>4.1543998592115791E-3</v>
      </c>
      <c r="Y181" s="27">
        <f t="shared" si="49"/>
        <v>4.1865458304734694E-3</v>
      </c>
      <c r="Z181" s="27">
        <f t="shared" si="49"/>
        <v>4.2253320128085251E-3</v>
      </c>
      <c r="AA181" s="27">
        <f t="shared" si="49"/>
        <v>4.272518274488683E-3</v>
      </c>
      <c r="AB181" s="27">
        <f t="shared" si="49"/>
        <v>4.3334009221617396E-3</v>
      </c>
      <c r="AC181" s="27">
        <f t="shared" si="49"/>
        <v>4.4071847194853781E-3</v>
      </c>
      <c r="AD181" s="27">
        <f t="shared" si="49"/>
        <v>4.4888905161837847E-3</v>
      </c>
      <c r="AE181" s="27">
        <f t="shared" si="49"/>
        <v>4.5781841431122572E-3</v>
      </c>
      <c r="AF181" s="27">
        <f t="shared" si="49"/>
        <v>4.6723057323312554E-3</v>
      </c>
      <c r="AG181" s="27">
        <f t="shared" si="49"/>
        <v>4.7725702352352153E-3</v>
      </c>
      <c r="AH181" s="27">
        <f t="shared" si="49"/>
        <v>4.8776647477587476E-3</v>
      </c>
      <c r="AI181" s="27">
        <f t="shared" si="49"/>
        <v>4.9827957618803235E-3</v>
      </c>
      <c r="AJ181" s="27">
        <f t="shared" si="49"/>
        <v>5.0948794457102743E-3</v>
      </c>
      <c r="AK181" s="27">
        <f t="shared" si="49"/>
        <v>5.2096806373507004E-3</v>
      </c>
      <c r="AL181" s="27">
        <f t="shared" si="49"/>
        <v>5.326887127790998E-3</v>
      </c>
      <c r="AM181" s="27">
        <f t="shared" si="49"/>
        <v>5.4485848360062324E-3</v>
      </c>
      <c r="AN181" s="27">
        <f t="shared" si="49"/>
        <v>5.5696508386077004E-3</v>
      </c>
      <c r="AO181" s="27">
        <f t="shared" si="49"/>
        <v>5.6973052536603251E-3</v>
      </c>
      <c r="AP181" s="27">
        <f t="shared" si="49"/>
        <v>5.8342669505017037E-3</v>
      </c>
      <c r="AQ181" s="27">
        <f t="shared" si="49"/>
        <v>5.9763033014494302E-3</v>
      </c>
      <c r="AR181" s="27">
        <f t="shared" si="49"/>
        <v>6.1238672356661557E-3</v>
      </c>
      <c r="AS181" s="27">
        <f t="shared" si="49"/>
        <v>6.2820427526668306E-3</v>
      </c>
      <c r="AT181" s="27">
        <f t="shared" si="49"/>
        <v>6.4494574929913678E-3</v>
      </c>
      <c r="AU181" s="27">
        <f t="shared" si="49"/>
        <v>6.6252174839876625E-3</v>
      </c>
      <c r="AV181" s="27">
        <f t="shared" si="49"/>
        <v>6.8126704322840365E-3</v>
      </c>
      <c r="AW181" s="27">
        <f t="shared" si="49"/>
        <v>6.9938267919267671E-3</v>
      </c>
      <c r="AY181" s="79"/>
    </row>
    <row r="182" spans="1:51" x14ac:dyDescent="0.25">
      <c r="A182" s="95" t="str">
        <f t="shared" si="45"/>
        <v>FA Mules MMCH4</v>
      </c>
      <c r="B182" s="95" t="s">
        <v>961</v>
      </c>
      <c r="C182" s="95" t="s">
        <v>1326</v>
      </c>
      <c r="D182" t="s">
        <v>15</v>
      </c>
      <c r="E182" t="s">
        <v>22</v>
      </c>
      <c r="F182" t="s">
        <v>140</v>
      </c>
      <c r="G182" t="s">
        <v>124</v>
      </c>
      <c r="H182" t="s">
        <v>1226</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5">
      <c r="A183" s="95" t="str">
        <f t="shared" si="45"/>
        <v>FA Swine MMCH4</v>
      </c>
      <c r="B183" s="95" t="s">
        <v>961</v>
      </c>
      <c r="C183" s="95" t="s">
        <v>1229</v>
      </c>
      <c r="D183" t="s">
        <v>15</v>
      </c>
      <c r="E183" t="s">
        <v>22</v>
      </c>
      <c r="F183" t="s">
        <v>21</v>
      </c>
      <c r="G183" t="s">
        <v>122</v>
      </c>
      <c r="H183" t="s">
        <v>1226</v>
      </c>
      <c r="I183" t="s">
        <v>121</v>
      </c>
      <c r="J183" t="s">
        <v>286</v>
      </c>
      <c r="K183" s="27">
        <f t="shared" si="47"/>
        <v>23.279067868377393</v>
      </c>
      <c r="L183" s="27">
        <f t="shared" si="49"/>
        <v>23.152530650802596</v>
      </c>
      <c r="M183" s="27">
        <f t="shared" si="49"/>
        <v>23.1629164330643</v>
      </c>
      <c r="N183" s="27">
        <f t="shared" si="49"/>
        <v>22.950263110497293</v>
      </c>
      <c r="O183" s="27">
        <f t="shared" si="49"/>
        <v>22.60295118682059</v>
      </c>
      <c r="P183" s="27">
        <f t="shared" si="49"/>
        <v>22.12653281137495</v>
      </c>
      <c r="Q183" s="27">
        <f t="shared" si="49"/>
        <v>21.780600237355966</v>
      </c>
      <c r="R183" s="27">
        <f t="shared" si="49"/>
        <v>21.465278056857684</v>
      </c>
      <c r="S183" s="27">
        <f t="shared" si="49"/>
        <v>19.28268372841509</v>
      </c>
      <c r="T183" s="27">
        <f t="shared" si="49"/>
        <v>20.154045022941879</v>
      </c>
      <c r="U183" s="27">
        <f t="shared" si="49"/>
        <v>20.417483741296842</v>
      </c>
      <c r="V183" s="27">
        <f t="shared" si="49"/>
        <v>20.215982998578138</v>
      </c>
      <c r="W183" s="27">
        <f t="shared" si="49"/>
        <v>20.038764166788877</v>
      </c>
      <c r="X183" s="27">
        <f t="shared" si="49"/>
        <v>19.983994613990216</v>
      </c>
      <c r="Y183" s="27">
        <f t="shared" si="49"/>
        <v>20.046915484009698</v>
      </c>
      <c r="Z183" s="27">
        <f t="shared" si="49"/>
        <v>20.164111817793334</v>
      </c>
      <c r="AA183" s="27">
        <f t="shared" si="49"/>
        <v>20.348954154275784</v>
      </c>
      <c r="AB183" s="27">
        <f t="shared" si="49"/>
        <v>20.645885200839494</v>
      </c>
      <c r="AC183" s="27">
        <f t="shared" si="49"/>
        <v>21.044537894059989</v>
      </c>
      <c r="AD183" s="27">
        <f t="shared" si="49"/>
        <v>21.498264632191113</v>
      </c>
      <c r="AE183" s="27">
        <f t="shared" si="49"/>
        <v>22.002561256053959</v>
      </c>
      <c r="AF183" s="27">
        <f t="shared" si="49"/>
        <v>22.532202643318037</v>
      </c>
      <c r="AG183" s="27">
        <f t="shared" si="49"/>
        <v>23.096284889499795</v>
      </c>
      <c r="AH183" s="27">
        <f t="shared" si="49"/>
        <v>23.682649825738739</v>
      </c>
      <c r="AI183" s="27">
        <f t="shared" si="49"/>
        <v>24.251675615546215</v>
      </c>
      <c r="AJ183" s="27">
        <f t="shared" si="49"/>
        <v>24.858335489218973</v>
      </c>
      <c r="AK183" s="27">
        <f t="shared" si="49"/>
        <v>25.466205387661859</v>
      </c>
      <c r="AL183" s="27">
        <f t="shared" si="49"/>
        <v>26.072093806701385</v>
      </c>
      <c r="AM183" s="27">
        <f t="shared" si="49"/>
        <v>26.691678242844393</v>
      </c>
      <c r="AN183" s="27">
        <f t="shared" si="49"/>
        <v>27.284891345865745</v>
      </c>
      <c r="AO183" s="27">
        <f t="shared" si="49"/>
        <v>27.905654237830884</v>
      </c>
      <c r="AP183" s="27">
        <f t="shared" si="49"/>
        <v>28.571861719635045</v>
      </c>
      <c r="AQ183" s="27">
        <f t="shared" si="49"/>
        <v>29.249712050194997</v>
      </c>
      <c r="AR183" s="27">
        <f t="shared" si="49"/>
        <v>29.940451406740536</v>
      </c>
      <c r="AS183" s="27">
        <f t="shared" si="49"/>
        <v>30.678211789307159</v>
      </c>
      <c r="AT183" s="27">
        <f t="shared" si="49"/>
        <v>31.450149667179016</v>
      </c>
      <c r="AU183" s="27">
        <f t="shared" si="49"/>
        <v>32.247465982700263</v>
      </c>
      <c r="AV183" s="27">
        <f t="shared" si="49"/>
        <v>33.090843547510339</v>
      </c>
      <c r="AW183" s="27">
        <f t="shared" si="49"/>
        <v>33.85425291015099</v>
      </c>
      <c r="AY183" s="79"/>
    </row>
    <row r="184" spans="1:51" x14ac:dyDescent="0.25">
      <c r="A184" s="95" t="str">
        <f t="shared" si="45"/>
        <v>FA Swine MMCH4</v>
      </c>
      <c r="B184" s="95" t="s">
        <v>961</v>
      </c>
      <c r="C184" s="95" t="s">
        <v>1229</v>
      </c>
      <c r="D184" t="s">
        <v>15</v>
      </c>
      <c r="E184" t="s">
        <v>22</v>
      </c>
      <c r="F184" t="s">
        <v>21</v>
      </c>
      <c r="G184" t="s">
        <v>123</v>
      </c>
      <c r="H184" t="s">
        <v>1226</v>
      </c>
      <c r="I184" t="s">
        <v>121</v>
      </c>
      <c r="J184" t="s">
        <v>286</v>
      </c>
      <c r="K184" s="27">
        <f t="shared" si="47"/>
        <v>7.7932061732677776E-2</v>
      </c>
      <c r="L184" s="27">
        <f t="shared" si="49"/>
        <v>7.7508449141861113E-2</v>
      </c>
      <c r="M184" s="27">
        <f t="shared" si="49"/>
        <v>7.7543217949140569E-2</v>
      </c>
      <c r="N184" s="27">
        <f t="shared" si="49"/>
        <v>7.6831311787104603E-2</v>
      </c>
      <c r="O184" s="27">
        <f t="shared" si="49"/>
        <v>7.5668604825231994E-2</v>
      </c>
      <c r="P184" s="27">
        <f t="shared" si="49"/>
        <v>7.4073684167079393E-2</v>
      </c>
      <c r="Q184" s="27">
        <f t="shared" si="49"/>
        <v>7.291559489708703E-2</v>
      </c>
      <c r="R184" s="27">
        <f t="shared" si="49"/>
        <v>7.1859980996426709E-2</v>
      </c>
      <c r="S184" s="27">
        <f t="shared" si="49"/>
        <v>6.455324187339509E-2</v>
      </c>
      <c r="T184" s="27">
        <f t="shared" si="49"/>
        <v>6.7470325262664888E-2</v>
      </c>
      <c r="U184" s="27">
        <f t="shared" si="49"/>
        <v>6.8352247278516104E-2</v>
      </c>
      <c r="V184" s="27">
        <f t="shared" si="49"/>
        <v>6.767767695596183E-2</v>
      </c>
      <c r="W184" s="27">
        <f t="shared" si="49"/>
        <v>6.7084395944141104E-2</v>
      </c>
      <c r="X184" s="27">
        <f t="shared" si="49"/>
        <v>6.6901042203608638E-2</v>
      </c>
      <c r="Y184" s="27">
        <f t="shared" si="49"/>
        <v>6.7111684363095322E-2</v>
      </c>
      <c r="Z184" s="27">
        <f t="shared" si="49"/>
        <v>6.7504026185839727E-2</v>
      </c>
      <c r="AA184" s="27">
        <f t="shared" si="49"/>
        <v>6.8122828642149871E-2</v>
      </c>
      <c r="AB184" s="27">
        <f t="shared" si="49"/>
        <v>6.9116873969995066E-2</v>
      </c>
      <c r="AC184" s="27">
        <f t="shared" si="49"/>
        <v>7.0451456027731174E-2</v>
      </c>
      <c r="AD184" s="27">
        <f t="shared" si="49"/>
        <v>7.1970411183742145E-2</v>
      </c>
      <c r="AE184" s="27">
        <f t="shared" si="49"/>
        <v>7.3658660723829941E-2</v>
      </c>
      <c r="AF184" s="27">
        <f t="shared" si="49"/>
        <v>7.5431757719028575E-2</v>
      </c>
      <c r="AG184" s="27">
        <f t="shared" si="49"/>
        <v>7.7320153452066526E-2</v>
      </c>
      <c r="AH184" s="27">
        <f t="shared" si="49"/>
        <v>7.9283145641754912E-2</v>
      </c>
      <c r="AI184" s="27">
        <f t="shared" si="49"/>
        <v>8.1188091030010831E-2</v>
      </c>
      <c r="AJ184" s="27">
        <f t="shared" si="49"/>
        <v>8.3219025214881143E-2</v>
      </c>
      <c r="AK184" s="27">
        <f t="shared" si="49"/>
        <v>8.525401023742317E-2</v>
      </c>
      <c r="AL184" s="27">
        <f t="shared" si="49"/>
        <v>8.7282361799551011E-2</v>
      </c>
      <c r="AM184" s="27">
        <f t="shared" si="49"/>
        <v>8.9356563945406475E-2</v>
      </c>
      <c r="AN184" s="27">
        <f t="shared" si="49"/>
        <v>9.1342481956672425E-2</v>
      </c>
      <c r="AO184" s="27">
        <f t="shared" si="49"/>
        <v>9.3420629255847557E-2</v>
      </c>
      <c r="AP184" s="27">
        <f t="shared" si="49"/>
        <v>9.5650912826147239E-2</v>
      </c>
      <c r="AQ184" s="27">
        <f t="shared" si="49"/>
        <v>9.7920173524444973E-2</v>
      </c>
      <c r="AR184" s="27">
        <f t="shared" si="49"/>
        <v>0.10023258321712952</v>
      </c>
      <c r="AS184" s="27">
        <f t="shared" si="49"/>
        <v>0.1027024066655249</v>
      </c>
      <c r="AT184" s="27">
        <f t="shared" si="49"/>
        <v>0.10528664718117813</v>
      </c>
      <c r="AU184" s="27">
        <f t="shared" si="49"/>
        <v>0.10795584788427327</v>
      </c>
      <c r="AV184" s="27">
        <f t="shared" si="49"/>
        <v>0.11077924926857086</v>
      </c>
      <c r="AW184" s="27">
        <f t="shared" si="49"/>
        <v>0.11333493860772317</v>
      </c>
      <c r="AY184" s="79"/>
    </row>
    <row r="185" spans="1:51" x14ac:dyDescent="0.25">
      <c r="A185" s="95" t="str">
        <f t="shared" si="45"/>
        <v>FA Poultry MMCH4</v>
      </c>
      <c r="B185" s="95" t="s">
        <v>961</v>
      </c>
      <c r="C185" s="95" t="s">
        <v>1230</v>
      </c>
      <c r="D185" t="s">
        <v>15</v>
      </c>
      <c r="E185" t="s">
        <v>22</v>
      </c>
      <c r="F185" t="s">
        <v>28</v>
      </c>
      <c r="G185" t="s">
        <v>131</v>
      </c>
      <c r="H185" t="s">
        <v>1226</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0.62068986953889782</v>
      </c>
      <c r="S185" s="27">
        <f t="shared" si="49"/>
        <v>0.59573243019488353</v>
      </c>
      <c r="T185" s="27">
        <f t="shared" si="49"/>
        <v>0.62060528502680601</v>
      </c>
      <c r="U185" s="27">
        <f t="shared" si="49"/>
        <v>0.63538739650332932</v>
      </c>
      <c r="V185" s="27">
        <f t="shared" si="49"/>
        <v>0.64244306993256506</v>
      </c>
      <c r="W185" s="27">
        <f t="shared" si="49"/>
        <v>0.65026805947534316</v>
      </c>
      <c r="X185" s="27">
        <f t="shared" si="49"/>
        <v>0.66047268102504608</v>
      </c>
      <c r="Y185" s="27">
        <f t="shared" si="49"/>
        <v>0.67275642094337218</v>
      </c>
      <c r="Z185" s="27">
        <f t="shared" si="49"/>
        <v>0.68607919631568115</v>
      </c>
      <c r="AA185" s="27">
        <f t="shared" si="49"/>
        <v>0.70076804403320936</v>
      </c>
      <c r="AB185" s="27">
        <f t="shared" si="49"/>
        <v>0.71779554918535993</v>
      </c>
      <c r="AC185" s="27">
        <f t="shared" si="49"/>
        <v>0.73711000301021679</v>
      </c>
      <c r="AD185" s="27">
        <f t="shared" si="49"/>
        <v>0.75788984228274747</v>
      </c>
      <c r="AE185" s="27">
        <f t="shared" si="49"/>
        <v>0.78013180876638377</v>
      </c>
      <c r="AF185" s="27">
        <f t="shared" ref="L185:AW192" si="50">AF1407</f>
        <v>0.80337597870999389</v>
      </c>
      <c r="AG185" s="27">
        <f t="shared" si="50"/>
        <v>0.82785833709156575</v>
      </c>
      <c r="AH185" s="27">
        <f t="shared" si="50"/>
        <v>0.85337321588031811</v>
      </c>
      <c r="AI185" s="27">
        <f t="shared" si="50"/>
        <v>0.87907798873871268</v>
      </c>
      <c r="AJ185" s="27">
        <f t="shared" si="50"/>
        <v>0.90622461339542404</v>
      </c>
      <c r="AK185" s="27">
        <f t="shared" si="50"/>
        <v>0.93400977893113157</v>
      </c>
      <c r="AL185" s="27">
        <f t="shared" si="50"/>
        <v>0.96237643638695936</v>
      </c>
      <c r="AM185" s="27">
        <f t="shared" si="50"/>
        <v>0.99172546365777581</v>
      </c>
      <c r="AN185" s="27">
        <f t="shared" si="50"/>
        <v>1.0211032601995891</v>
      </c>
      <c r="AO185" s="27">
        <f t="shared" si="50"/>
        <v>1.0518470326965137</v>
      </c>
      <c r="AP185" s="27">
        <f t="shared" si="50"/>
        <v>1.0844705032412159</v>
      </c>
      <c r="AQ185" s="27">
        <f t="shared" si="50"/>
        <v>1.1181722864478278</v>
      </c>
      <c r="AR185" s="27">
        <f t="shared" si="50"/>
        <v>1.1530181967657136</v>
      </c>
      <c r="AS185" s="27">
        <f t="shared" si="50"/>
        <v>1.1899731342287589</v>
      </c>
      <c r="AT185" s="27">
        <f t="shared" si="50"/>
        <v>1.2287768115471775</v>
      </c>
      <c r="AU185" s="27">
        <f t="shared" si="50"/>
        <v>1.2692627400827883</v>
      </c>
      <c r="AV185" s="27">
        <f t="shared" si="50"/>
        <v>1.3120972726435587</v>
      </c>
      <c r="AW185" s="27">
        <f t="shared" si="50"/>
        <v>1.3536832016924076</v>
      </c>
      <c r="AY185" s="79"/>
    </row>
    <row r="186" spans="1:51" x14ac:dyDescent="0.25">
      <c r="A186" s="95" t="str">
        <f t="shared" si="45"/>
        <v>FA Poultry MMCH4</v>
      </c>
      <c r="B186" s="95" t="s">
        <v>961</v>
      </c>
      <c r="C186" s="95" t="s">
        <v>1230</v>
      </c>
      <c r="D186" t="s">
        <v>15</v>
      </c>
      <c r="E186" t="s">
        <v>22</v>
      </c>
      <c r="F186" t="s">
        <v>28</v>
      </c>
      <c r="G186" t="s">
        <v>132</v>
      </c>
      <c r="H186" t="s">
        <v>1226</v>
      </c>
      <c r="I186" t="s">
        <v>121</v>
      </c>
      <c r="J186" t="s">
        <v>286</v>
      </c>
      <c r="K186" s="27">
        <f t="shared" si="47"/>
        <v>2.2100196981344111</v>
      </c>
      <c r="L186" s="27">
        <f t="shared" si="50"/>
        <v>2.2391217074451477</v>
      </c>
      <c r="M186" s="27">
        <f t="shared" si="50"/>
        <v>2.2858678822724814</v>
      </c>
      <c r="N186" s="27">
        <f t="shared" si="50"/>
        <v>2.2992900748078591</v>
      </c>
      <c r="O186" s="27">
        <f t="shared" si="50"/>
        <v>2.2910596881616558</v>
      </c>
      <c r="P186" s="27">
        <f t="shared" si="50"/>
        <v>2.2612642885898917</v>
      </c>
      <c r="Q186" s="27">
        <f t="shared" si="50"/>
        <v>2.2487211059946204</v>
      </c>
      <c r="R186" s="27">
        <f t="shared" si="50"/>
        <v>2.2390235702415184</v>
      </c>
      <c r="S186" s="27">
        <f t="shared" si="50"/>
        <v>1.9480109024353172</v>
      </c>
      <c r="T186" s="27">
        <f t="shared" si="50"/>
        <v>2.1242573648526935</v>
      </c>
      <c r="U186" s="27">
        <f t="shared" si="50"/>
        <v>2.2090616174503466</v>
      </c>
      <c r="V186" s="27">
        <f t="shared" si="50"/>
        <v>2.219672639907655</v>
      </c>
      <c r="W186" s="27">
        <f t="shared" si="50"/>
        <v>2.2319049749890385</v>
      </c>
      <c r="X186" s="27">
        <f t="shared" si="50"/>
        <v>2.2629262949362925</v>
      </c>
      <c r="Y186" s="27">
        <f t="shared" si="50"/>
        <v>2.3140044447008137</v>
      </c>
      <c r="Z186" s="27">
        <f t="shared" si="50"/>
        <v>2.3751177408865005</v>
      </c>
      <c r="AA186" s="27">
        <f t="shared" si="50"/>
        <v>2.4489635487241519</v>
      </c>
      <c r="AB186" s="27">
        <f t="shared" si="50"/>
        <v>2.5437406386090786</v>
      </c>
      <c r="AC186" s="27">
        <f t="shared" si="50"/>
        <v>2.6583677679701894</v>
      </c>
      <c r="AD186" s="27">
        <f t="shared" si="50"/>
        <v>2.7852398205087883</v>
      </c>
      <c r="AE186" s="27">
        <f t="shared" si="50"/>
        <v>2.9239358907782309</v>
      </c>
      <c r="AF186" s="27">
        <f t="shared" si="50"/>
        <v>3.0702342900973978</v>
      </c>
      <c r="AG186" s="27">
        <f t="shared" si="50"/>
        <v>3.2260927445342245</v>
      </c>
      <c r="AH186" s="27">
        <f t="shared" si="50"/>
        <v>3.3895233708783912</v>
      </c>
      <c r="AI186" s="27">
        <f t="shared" si="50"/>
        <v>3.5531911169091885</v>
      </c>
      <c r="AJ186" s="27">
        <f t="shared" si="50"/>
        <v>3.7276822125599338</v>
      </c>
      <c r="AK186" s="27">
        <f t="shared" si="50"/>
        <v>3.9062898323416295</v>
      </c>
      <c r="AL186" s="27">
        <f t="shared" si="50"/>
        <v>4.0884842597865152</v>
      </c>
      <c r="AM186" s="27">
        <f t="shared" si="50"/>
        <v>4.2774788120039364</v>
      </c>
      <c r="AN186" s="27">
        <f t="shared" si="50"/>
        <v>4.4653386243384539</v>
      </c>
      <c r="AO186" s="27">
        <f t="shared" si="50"/>
        <v>4.6630770817729719</v>
      </c>
      <c r="AP186" s="27">
        <f t="shared" si="50"/>
        <v>4.8747652719370373</v>
      </c>
      <c r="AQ186" s="27">
        <f t="shared" si="50"/>
        <v>5.0937607978342658</v>
      </c>
      <c r="AR186" s="27">
        <f t="shared" si="50"/>
        <v>5.3205750433635002</v>
      </c>
      <c r="AS186" s="27">
        <f t="shared" si="50"/>
        <v>5.5628565017727221</v>
      </c>
      <c r="AT186" s="27">
        <f t="shared" si="50"/>
        <v>5.8183308290473201</v>
      </c>
      <c r="AU186" s="27">
        <f t="shared" si="50"/>
        <v>6.0854872952292993</v>
      </c>
      <c r="AV186" s="27">
        <f t="shared" si="50"/>
        <v>6.3693601721837521</v>
      </c>
      <c r="AW186" s="27">
        <f t="shared" si="50"/>
        <v>6.641848924312276</v>
      </c>
      <c r="AY186" s="79"/>
    </row>
    <row r="187" spans="1:51" x14ac:dyDescent="0.25">
      <c r="A187" s="95" t="str">
        <f t="shared" si="45"/>
        <v>FA Poultry MMCH4</v>
      </c>
      <c r="B187" s="95" t="s">
        <v>961</v>
      </c>
      <c r="C187" s="95" t="s">
        <v>1230</v>
      </c>
      <c r="D187" t="s">
        <v>15</v>
      </c>
      <c r="E187" t="s">
        <v>22</v>
      </c>
      <c r="F187" t="s">
        <v>28</v>
      </c>
      <c r="G187" t="s">
        <v>134</v>
      </c>
      <c r="H187" t="s">
        <v>1226</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2.4944242822745922E-2</v>
      </c>
      <c r="P187" s="27">
        <f t="shared" si="50"/>
        <v>2.5198104828966561E-2</v>
      </c>
      <c r="Q187" s="27">
        <f t="shared" si="50"/>
        <v>2.5523625995077459E-2</v>
      </c>
      <c r="R187" s="27">
        <f t="shared" si="50"/>
        <v>2.5862077897454101E-2</v>
      </c>
      <c r="S187" s="27">
        <f t="shared" si="50"/>
        <v>2.4822184591453505E-2</v>
      </c>
      <c r="T187" s="27">
        <f t="shared" si="50"/>
        <v>2.5858553542783609E-2</v>
      </c>
      <c r="U187" s="27">
        <f t="shared" si="50"/>
        <v>2.6474474854305419E-2</v>
      </c>
      <c r="V187" s="27">
        <f t="shared" si="50"/>
        <v>2.6768461247190234E-2</v>
      </c>
      <c r="W187" s="27">
        <f t="shared" si="50"/>
        <v>2.709450247813933E-2</v>
      </c>
      <c r="X187" s="27">
        <f t="shared" si="50"/>
        <v>2.751969504271028E-2</v>
      </c>
      <c r="Y187" s="27">
        <f t="shared" si="50"/>
        <v>2.8031517539307202E-2</v>
      </c>
      <c r="Z187" s="27">
        <f t="shared" si="50"/>
        <v>2.8586633179820076E-2</v>
      </c>
      <c r="AA187" s="27">
        <f t="shared" si="50"/>
        <v>2.9198668501383751E-2</v>
      </c>
      <c r="AB187" s="27">
        <f t="shared" si="50"/>
        <v>2.9908147882723356E-2</v>
      </c>
      <c r="AC187" s="27">
        <f t="shared" si="50"/>
        <v>3.0712916792092395E-2</v>
      </c>
      <c r="AD187" s="27">
        <f t="shared" si="50"/>
        <v>3.1578743428447839E-2</v>
      </c>
      <c r="AE187" s="27">
        <f t="shared" si="50"/>
        <v>3.250549203193269E-2</v>
      </c>
      <c r="AF187" s="27">
        <f t="shared" si="50"/>
        <v>3.3473999112916437E-2</v>
      </c>
      <c r="AG187" s="27">
        <f t="shared" si="50"/>
        <v>3.4494097378815265E-2</v>
      </c>
      <c r="AH187" s="27">
        <f t="shared" si="50"/>
        <v>3.5557217328346623E-2</v>
      </c>
      <c r="AI187" s="27">
        <f t="shared" si="50"/>
        <v>3.6628249530779734E-2</v>
      </c>
      <c r="AJ187" s="27">
        <f t="shared" si="50"/>
        <v>3.7759358891476039E-2</v>
      </c>
      <c r="AK187" s="27">
        <f t="shared" si="50"/>
        <v>3.8917074122130517E-2</v>
      </c>
      <c r="AL187" s="27">
        <f t="shared" si="50"/>
        <v>4.0099018182790006E-2</v>
      </c>
      <c r="AM187" s="27">
        <f t="shared" si="50"/>
        <v>4.1321894319074036E-2</v>
      </c>
      <c r="AN187" s="27">
        <f t="shared" si="50"/>
        <v>4.2545969174982913E-2</v>
      </c>
      <c r="AO187" s="27">
        <f t="shared" si="50"/>
        <v>4.382695969568811E-2</v>
      </c>
      <c r="AP187" s="27">
        <f t="shared" si="50"/>
        <v>4.5186270968384026E-2</v>
      </c>
      <c r="AQ187" s="27">
        <f t="shared" si="50"/>
        <v>4.6590511935326193E-2</v>
      </c>
      <c r="AR187" s="27">
        <f t="shared" si="50"/>
        <v>4.8042424865238111E-2</v>
      </c>
      <c r="AS187" s="27">
        <f t="shared" si="50"/>
        <v>4.958221392619834E-2</v>
      </c>
      <c r="AT187" s="27">
        <f t="shared" si="50"/>
        <v>5.1199033814465784E-2</v>
      </c>
      <c r="AU187" s="27">
        <f t="shared" si="50"/>
        <v>5.2885947503449555E-2</v>
      </c>
      <c r="AV187" s="27">
        <f t="shared" si="50"/>
        <v>5.4670719693481661E-2</v>
      </c>
      <c r="AW187" s="27">
        <f t="shared" si="50"/>
        <v>5.6403466737183702E-2</v>
      </c>
      <c r="AY187" s="79"/>
    </row>
    <row r="188" spans="1:51" x14ac:dyDescent="0.25">
      <c r="A188" s="95" t="str">
        <f t="shared" si="45"/>
        <v>FA Poultry MMCH4</v>
      </c>
      <c r="B188" s="95" t="s">
        <v>961</v>
      </c>
      <c r="C188" s="95" t="s">
        <v>1230</v>
      </c>
      <c r="D188" t="s">
        <v>15</v>
      </c>
      <c r="E188" t="s">
        <v>22</v>
      </c>
      <c r="F188" t="s">
        <v>28</v>
      </c>
      <c r="G188" t="s">
        <v>133</v>
      </c>
      <c r="H188" t="s">
        <v>1226</v>
      </c>
      <c r="I188" t="s">
        <v>121</v>
      </c>
      <c r="J188" t="s">
        <v>286</v>
      </c>
      <c r="K188" s="27">
        <f t="shared" si="47"/>
        <v>9.2084154088933862E-2</v>
      </c>
      <c r="L188" s="27">
        <f t="shared" si="50"/>
        <v>9.3296737810214581E-2</v>
      </c>
      <c r="M188" s="27">
        <f t="shared" si="50"/>
        <v>9.5244495094686812E-2</v>
      </c>
      <c r="N188" s="27">
        <f t="shared" si="50"/>
        <v>9.5803753116994184E-2</v>
      </c>
      <c r="O188" s="27">
        <f t="shared" si="50"/>
        <v>9.5460820340069058E-2</v>
      </c>
      <c r="P188" s="27">
        <f t="shared" si="50"/>
        <v>9.4219345357912251E-2</v>
      </c>
      <c r="Q188" s="27">
        <f t="shared" si="50"/>
        <v>9.3696712749775937E-2</v>
      </c>
      <c r="R188" s="27">
        <f t="shared" si="50"/>
        <v>9.3292648760063338E-2</v>
      </c>
      <c r="S188" s="27">
        <f t="shared" si="50"/>
        <v>8.1167120934804951E-2</v>
      </c>
      <c r="T188" s="27">
        <f t="shared" si="50"/>
        <v>8.8510723535528968E-2</v>
      </c>
      <c r="U188" s="27">
        <f t="shared" si="50"/>
        <v>9.2044234060431204E-2</v>
      </c>
      <c r="V188" s="27">
        <f t="shared" si="50"/>
        <v>9.2486359996152387E-2</v>
      </c>
      <c r="W188" s="27">
        <f t="shared" si="50"/>
        <v>9.299604062454335E-2</v>
      </c>
      <c r="X188" s="27">
        <f t="shared" si="50"/>
        <v>9.4288595622345608E-2</v>
      </c>
      <c r="Y188" s="27">
        <f t="shared" si="50"/>
        <v>9.6416851862533987E-2</v>
      </c>
      <c r="Z188" s="27">
        <f t="shared" si="50"/>
        <v>9.8963239203604281E-2</v>
      </c>
      <c r="AA188" s="27">
        <f t="shared" si="50"/>
        <v>0.1020401478635064</v>
      </c>
      <c r="AB188" s="27">
        <f t="shared" si="50"/>
        <v>0.10598919327537835</v>
      </c>
      <c r="AC188" s="27">
        <f t="shared" si="50"/>
        <v>0.11076532366542467</v>
      </c>
      <c r="AD188" s="27">
        <f t="shared" si="50"/>
        <v>0.11605165918786628</v>
      </c>
      <c r="AE188" s="27">
        <f t="shared" si="50"/>
        <v>0.12183066211575974</v>
      </c>
      <c r="AF188" s="27">
        <f t="shared" si="50"/>
        <v>0.12792642875405835</v>
      </c>
      <c r="AG188" s="27">
        <f t="shared" si="50"/>
        <v>0.13442053102225948</v>
      </c>
      <c r="AH188" s="27">
        <f t="shared" si="50"/>
        <v>0.1412301404532664</v>
      </c>
      <c r="AI188" s="27">
        <f t="shared" si="50"/>
        <v>0.14804962987121634</v>
      </c>
      <c r="AJ188" s="27">
        <f t="shared" si="50"/>
        <v>0.15532009218999737</v>
      </c>
      <c r="AK188" s="27">
        <f t="shared" si="50"/>
        <v>0.16276207634756804</v>
      </c>
      <c r="AL188" s="27">
        <f t="shared" si="50"/>
        <v>0.17035351082443828</v>
      </c>
      <c r="AM188" s="27">
        <f t="shared" si="50"/>
        <v>0.17822828383349751</v>
      </c>
      <c r="AN188" s="27">
        <f t="shared" si="50"/>
        <v>0.18605577601410239</v>
      </c>
      <c r="AO188" s="27">
        <f t="shared" si="50"/>
        <v>0.19429487840720733</v>
      </c>
      <c r="AP188" s="27">
        <f t="shared" si="50"/>
        <v>0.20311521966404342</v>
      </c>
      <c r="AQ188" s="27">
        <f t="shared" si="50"/>
        <v>0.21224003324309459</v>
      </c>
      <c r="AR188" s="27">
        <f t="shared" si="50"/>
        <v>0.22169062680681273</v>
      </c>
      <c r="AS188" s="27">
        <f t="shared" si="50"/>
        <v>0.23178568757386364</v>
      </c>
      <c r="AT188" s="27">
        <f t="shared" si="50"/>
        <v>0.24243045121030524</v>
      </c>
      <c r="AU188" s="27">
        <f t="shared" si="50"/>
        <v>0.25356197063455443</v>
      </c>
      <c r="AV188" s="27">
        <f t="shared" si="50"/>
        <v>0.26539000717432326</v>
      </c>
      <c r="AW188" s="27">
        <f t="shared" si="50"/>
        <v>0.27674370517967845</v>
      </c>
      <c r="AY188" s="79"/>
    </row>
    <row r="189" spans="1:51" x14ac:dyDescent="0.25">
      <c r="A189" s="95" t="str">
        <f t="shared" si="45"/>
        <v>FA Cattle MMN2O</v>
      </c>
      <c r="B189" s="95" t="s">
        <v>961</v>
      </c>
      <c r="C189" s="95" t="s">
        <v>1231</v>
      </c>
      <c r="D189" t="s">
        <v>15</v>
      </c>
      <c r="E189" t="s">
        <v>657</v>
      </c>
      <c r="F189" t="s">
        <v>6</v>
      </c>
      <c r="G189" t="s">
        <v>136</v>
      </c>
      <c r="H189" t="s">
        <v>1226</v>
      </c>
      <c r="I189" t="s">
        <v>139</v>
      </c>
      <c r="J189" t="s">
        <v>287</v>
      </c>
      <c r="K189" s="27">
        <f t="shared" si="47"/>
        <v>5.9474079071945893E-2</v>
      </c>
      <c r="L189" s="27">
        <f t="shared" si="50"/>
        <v>5.9806569587962537E-2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6.1344406036983781E-2</v>
      </c>
      <c r="S189" s="27">
        <f t="shared" si="50"/>
        <v>5.9572576433389555E-2</v>
      </c>
      <c r="T189" s="27">
        <f t="shared" si="50"/>
        <v>6.0773920175181823E-2</v>
      </c>
      <c r="U189" s="27">
        <f t="shared" si="50"/>
        <v>6.1370278320054004E-2</v>
      </c>
      <c r="V189" s="27">
        <f t="shared" si="50"/>
        <v>6.1526022860848524E-2</v>
      </c>
      <c r="W189" s="27">
        <f t="shared" si="50"/>
        <v>6.174747330575011E-2</v>
      </c>
      <c r="X189" s="27">
        <f t="shared" si="50"/>
        <v>6.2119068821813103E-2</v>
      </c>
      <c r="Y189" s="27">
        <f t="shared" si="50"/>
        <v>6.2609959575984822E-2</v>
      </c>
      <c r="Z189" s="27">
        <f t="shared" si="50"/>
        <v>6.3159566495841341E-2</v>
      </c>
      <c r="AA189" s="27">
        <f t="shared" si="50"/>
        <v>6.3785199118486416E-2</v>
      </c>
      <c r="AB189" s="27">
        <f t="shared" si="50"/>
        <v>6.4540499300557705E-2</v>
      </c>
      <c r="AC189" s="27">
        <f t="shared" si="50"/>
        <v>6.5421079387025072E-2</v>
      </c>
      <c r="AD189" s="27">
        <f t="shared" si="50"/>
        <v>6.6379515175029838E-2</v>
      </c>
      <c r="AE189" s="27">
        <f t="shared" si="50"/>
        <v>6.7414940444444876E-2</v>
      </c>
      <c r="AF189" s="27">
        <f t="shared" si="50"/>
        <v>6.8501080209535048E-2</v>
      </c>
      <c r="AG189" s="27">
        <f t="shared" si="50"/>
        <v>6.9650082739835181E-2</v>
      </c>
      <c r="AH189" s="27">
        <f t="shared" si="50"/>
        <v>7.085013376505013E-2</v>
      </c>
      <c r="AI189" s="27">
        <f t="shared" si="50"/>
        <v>7.2054990287027845E-2</v>
      </c>
      <c r="AJ189" s="27">
        <f t="shared" si="50"/>
        <v>7.3332422489630317E-2</v>
      </c>
      <c r="AK189" s="27">
        <f t="shared" si="50"/>
        <v>7.4637775238334716E-2</v>
      </c>
      <c r="AL189" s="27">
        <f t="shared" si="50"/>
        <v>7.596772859981879E-2</v>
      </c>
      <c r="AM189" s="27">
        <f t="shared" si="50"/>
        <v>7.734370972563348E-2</v>
      </c>
      <c r="AN189" s="27">
        <f t="shared" si="50"/>
        <v>7.871435132056126E-2</v>
      </c>
      <c r="AO189" s="27">
        <f t="shared" si="50"/>
        <v>8.0150831900584182E-2</v>
      </c>
      <c r="AP189" s="27">
        <f t="shared" si="50"/>
        <v>8.1679672713355286E-2</v>
      </c>
      <c r="AQ189" s="27">
        <f t="shared" si="50"/>
        <v>8.3257530462489515E-2</v>
      </c>
      <c r="AR189" s="27">
        <f t="shared" si="50"/>
        <v>8.4887259744612836E-2</v>
      </c>
      <c r="AS189" s="27">
        <f t="shared" si="50"/>
        <v>8.6619011221600456E-2</v>
      </c>
      <c r="AT189" s="27">
        <f t="shared" si="50"/>
        <v>8.8438220768671E-2</v>
      </c>
      <c r="AU189" s="27">
        <f t="shared" si="50"/>
        <v>9.0335502519381064E-2</v>
      </c>
      <c r="AV189" s="27">
        <f t="shared" si="50"/>
        <v>9.2345044060296602E-2</v>
      </c>
      <c r="AW189" s="27">
        <f t="shared" si="50"/>
        <v>9.4278593479446449E-2</v>
      </c>
      <c r="AY189" s="79"/>
    </row>
    <row r="190" spans="1:51" x14ac:dyDescent="0.25">
      <c r="A190" s="95" t="str">
        <f t="shared" si="45"/>
        <v>FA Cattle MMN2O</v>
      </c>
      <c r="B190" s="95" t="s">
        <v>961</v>
      </c>
      <c r="C190" s="95" t="s">
        <v>1231</v>
      </c>
      <c r="D190" t="s">
        <v>15</v>
      </c>
      <c r="E190" t="s">
        <v>657</v>
      </c>
      <c r="F190" t="s">
        <v>6</v>
      </c>
      <c r="G190" t="s">
        <v>137</v>
      </c>
      <c r="H190" t="s">
        <v>1226</v>
      </c>
      <c r="I190" t="s">
        <v>139</v>
      </c>
      <c r="J190" t="s">
        <v>287</v>
      </c>
      <c r="K190" s="27">
        <f t="shared" si="47"/>
        <v>0.26041511380118898</v>
      </c>
      <c r="L190" s="27">
        <f t="shared" si="50"/>
        <v>0.26187096745907495</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0.26860458755254507</v>
      </c>
      <c r="S190" s="27">
        <f t="shared" si="50"/>
        <v>0.26084639751318123</v>
      </c>
      <c r="T190" s="27">
        <f t="shared" si="50"/>
        <v>0.26610663982571414</v>
      </c>
      <c r="U190" s="27">
        <f t="shared" si="50"/>
        <v>0.26871787276259229</v>
      </c>
      <c r="V190" s="27">
        <f t="shared" si="50"/>
        <v>0.26939982081370628</v>
      </c>
      <c r="W190" s="27">
        <f t="shared" si="50"/>
        <v>0.27036947084797774</v>
      </c>
      <c r="X190" s="27">
        <f t="shared" si="50"/>
        <v>0.27199655091569075</v>
      </c>
      <c r="Y190" s="27">
        <f t="shared" si="50"/>
        <v>0.27414598094649351</v>
      </c>
      <c r="Z190" s="27">
        <f t="shared" si="50"/>
        <v>0.27655250746718535</v>
      </c>
      <c r="AA190" s="27">
        <f t="shared" si="50"/>
        <v>0.27929192257316399</v>
      </c>
      <c r="AB190" s="27">
        <f t="shared" si="50"/>
        <v>0.28259910422166357</v>
      </c>
      <c r="AC190" s="27">
        <f t="shared" si="50"/>
        <v>0.28645484048537356</v>
      </c>
      <c r="AD190" s="27">
        <f t="shared" si="50"/>
        <v>0.29065147822569842</v>
      </c>
      <c r="AE190" s="27">
        <f t="shared" si="50"/>
        <v>0.29518522458335378</v>
      </c>
      <c r="AF190" s="27">
        <f t="shared" si="50"/>
        <v>0.2999410310614633</v>
      </c>
      <c r="AG190" s="27">
        <f t="shared" si="50"/>
        <v>0.30497209046339202</v>
      </c>
      <c r="AH190" s="27">
        <f t="shared" si="50"/>
        <v>0.31022667244557844</v>
      </c>
      <c r="AI190" s="27">
        <f t="shared" si="50"/>
        <v>0.31550229593031343</v>
      </c>
      <c r="AJ190" s="27">
        <f t="shared" si="50"/>
        <v>0.32109570162242335</v>
      </c>
      <c r="AK190" s="27">
        <f t="shared" si="50"/>
        <v>0.32681136111491149</v>
      </c>
      <c r="AL190" s="27">
        <f t="shared" si="50"/>
        <v>0.33263473764104773</v>
      </c>
      <c r="AM190" s="27">
        <f t="shared" si="50"/>
        <v>0.33865965281516675</v>
      </c>
      <c r="AN190" s="27">
        <f t="shared" si="50"/>
        <v>0.34466118814776064</v>
      </c>
      <c r="AO190" s="27">
        <f t="shared" si="50"/>
        <v>0.35095100817620256</v>
      </c>
      <c r="AP190" s="27">
        <f t="shared" si="50"/>
        <v>0.35764523968771644</v>
      </c>
      <c r="AQ190" s="27">
        <f t="shared" si="50"/>
        <v>0.36455409833193048</v>
      </c>
      <c r="AR190" s="27">
        <f t="shared" si="50"/>
        <v>0.37169008333736225</v>
      </c>
      <c r="AS190" s="27">
        <f t="shared" si="50"/>
        <v>0.37927278600367109</v>
      </c>
      <c r="AT190" s="27">
        <f t="shared" si="50"/>
        <v>0.38723843538607666</v>
      </c>
      <c r="AU190" s="27">
        <f t="shared" si="50"/>
        <v>0.39554593422815865</v>
      </c>
      <c r="AV190" s="27">
        <f t="shared" si="50"/>
        <v>0.4043449773950597</v>
      </c>
      <c r="AW190" s="27">
        <f t="shared" si="50"/>
        <v>0.41281127901561981</v>
      </c>
      <c r="AY190" s="79"/>
    </row>
    <row r="191" spans="1:51" x14ac:dyDescent="0.25">
      <c r="A191" s="95" t="str">
        <f t="shared" si="45"/>
        <v>FA Cattle MMN2O</v>
      </c>
      <c r="B191" s="95" t="s">
        <v>961</v>
      </c>
      <c r="C191" s="95" t="s">
        <v>1231</v>
      </c>
      <c r="D191" t="s">
        <v>15</v>
      </c>
      <c r="E191" t="s">
        <v>657</v>
      </c>
      <c r="F191" t="s">
        <v>67</v>
      </c>
      <c r="G191" t="s">
        <v>307</v>
      </c>
      <c r="H191" t="s">
        <v>1226</v>
      </c>
      <c r="I191" t="s">
        <v>139</v>
      </c>
      <c r="J191" t="s">
        <v>287</v>
      </c>
      <c r="K191" s="27">
        <f t="shared" si="47"/>
        <v>1.1586934798802538E-2</v>
      </c>
      <c r="L191" s="27">
        <f t="shared" si="50"/>
        <v>1.1651711689683767E-2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1.1951318021451862E-2</v>
      </c>
      <c r="S191" s="27">
        <f t="shared" si="50"/>
        <v>1.1606124377232515E-2</v>
      </c>
      <c r="T191" s="27">
        <f t="shared" si="50"/>
        <v>1.1840174098124497E-2</v>
      </c>
      <c r="U191" s="27">
        <f t="shared" si="50"/>
        <v>1.1956358544343662E-2</v>
      </c>
      <c r="V191" s="27">
        <f t="shared" si="50"/>
        <v>1.198670120567806E-2</v>
      </c>
      <c r="W191" s="27">
        <f t="shared" si="50"/>
        <v>1.2029844906367174E-2</v>
      </c>
      <c r="X191" s="27">
        <f t="shared" si="50"/>
        <v>1.2102240361384485E-2</v>
      </c>
      <c r="Y191" s="27">
        <f t="shared" si="50"/>
        <v>1.2197877305254469E-2</v>
      </c>
      <c r="Z191" s="27">
        <f t="shared" si="50"/>
        <v>1.2304953524755821E-2</v>
      </c>
      <c r="AA191" s="27">
        <f t="shared" si="50"/>
        <v>1.2426841320577307E-2</v>
      </c>
      <c r="AB191" s="27">
        <f t="shared" si="50"/>
        <v>1.2573991374848796E-2</v>
      </c>
      <c r="AC191" s="27">
        <f t="shared" si="50"/>
        <v>1.2745548870252437E-2</v>
      </c>
      <c r="AD191" s="27">
        <f t="shared" si="50"/>
        <v>1.2932274468323759E-2</v>
      </c>
      <c r="AE191" s="27">
        <f t="shared" si="50"/>
        <v>1.3133999409221648E-2</v>
      </c>
      <c r="AF191" s="27">
        <f t="shared" si="50"/>
        <v>1.3345604714202703E-2</v>
      </c>
      <c r="AG191" s="27">
        <f t="shared" si="50"/>
        <v>1.3569457148910296E-2</v>
      </c>
      <c r="AH191" s="27">
        <f t="shared" si="50"/>
        <v>1.3803255018526413E-2</v>
      </c>
      <c r="AI191" s="27">
        <f t="shared" si="50"/>
        <v>1.4037989110754724E-2</v>
      </c>
      <c r="AJ191" s="27">
        <f t="shared" si="50"/>
        <v>1.4286862634690086E-2</v>
      </c>
      <c r="AK191" s="27">
        <f t="shared" si="50"/>
        <v>1.4541175730826956E-2</v>
      </c>
      <c r="AL191" s="27">
        <f t="shared" si="50"/>
        <v>1.4800281598886257E-2</v>
      </c>
      <c r="AM191" s="27">
        <f t="shared" si="50"/>
        <v>1.5068354746684156E-2</v>
      </c>
      <c r="AN191" s="27">
        <f t="shared" si="50"/>
        <v>1.533538762959342E-2</v>
      </c>
      <c r="AO191" s="27">
        <f t="shared" si="50"/>
        <v>1.5615247479131181E-2</v>
      </c>
      <c r="AP191" s="27">
        <f t="shared" si="50"/>
        <v>1.5913101251593929E-2</v>
      </c>
      <c r="AQ191" s="27">
        <f t="shared" si="50"/>
        <v>1.6220504664076991E-2</v>
      </c>
      <c r="AR191" s="27">
        <f t="shared" si="50"/>
        <v>1.6538013858440784E-2</v>
      </c>
      <c r="AS191" s="27">
        <f t="shared" si="50"/>
        <v>1.6875399350821628E-2</v>
      </c>
      <c r="AT191" s="27">
        <f t="shared" si="50"/>
        <v>1.7229823710747674E-2</v>
      </c>
      <c r="AU191" s="27">
        <f t="shared" si="50"/>
        <v>1.7599458352989747E-2</v>
      </c>
      <c r="AV191" s="27">
        <f t="shared" si="50"/>
        <v>1.7990963815090407E-2</v>
      </c>
      <c r="AW191" s="27">
        <f t="shared" si="50"/>
        <v>1.836766424323575E-2</v>
      </c>
      <c r="AY191" s="79"/>
    </row>
    <row r="192" spans="1:51" x14ac:dyDescent="0.25">
      <c r="A192" s="95" t="str">
        <f t="shared" si="45"/>
        <v>FA Cattle MMN2O</v>
      </c>
      <c r="B192" s="95" t="s">
        <v>961</v>
      </c>
      <c r="C192" s="95" t="s">
        <v>1231</v>
      </c>
      <c r="D192" t="s">
        <v>15</v>
      </c>
      <c r="E192" t="s">
        <v>657</v>
      </c>
      <c r="F192" t="s">
        <v>67</v>
      </c>
      <c r="G192" t="s">
        <v>122</v>
      </c>
      <c r="H192" t="s">
        <v>1226</v>
      </c>
      <c r="I192" t="s">
        <v>139</v>
      </c>
      <c r="J192" t="s">
        <v>287</v>
      </c>
      <c r="K192" s="27">
        <f t="shared" si="47"/>
        <v>0.52525224947331295</v>
      </c>
      <c r="L192" s="27">
        <f t="shared" si="50"/>
        <v>0.52069690445710348</v>
      </c>
      <c r="M192" s="27">
        <f t="shared" si="50"/>
        <v>0.51896282251134851</v>
      </c>
      <c r="N192" s="27">
        <f t="shared" si="50"/>
        <v>0.51203275332440912</v>
      </c>
      <c r="O192" s="27">
        <f t="shared" si="50"/>
        <v>0.50197358865556663</v>
      </c>
      <c r="P192" s="27">
        <f t="shared" si="50"/>
        <v>0.48899333628247271</v>
      </c>
      <c r="Q192" s="27">
        <f t="shared" si="50"/>
        <v>0.47875543160314177</v>
      </c>
      <c r="R192" s="27">
        <f t="shared" si="50"/>
        <v>0.46906920988966794</v>
      </c>
      <c r="S192" s="27">
        <f t="shared" si="50"/>
        <v>0.41885745966075799</v>
      </c>
      <c r="T192" s="27">
        <f t="shared" si="50"/>
        <v>0.43888316121589754</v>
      </c>
      <c r="U192" s="27">
        <f t="shared" ref="L192:AW198" si="51">U1414</f>
        <v>0.44581606294816456</v>
      </c>
      <c r="V192" s="27">
        <f t="shared" si="51"/>
        <v>0.4428053451992871</v>
      </c>
      <c r="W192" s="27">
        <f t="shared" si="51"/>
        <v>0.44035633830428106</v>
      </c>
      <c r="X192" s="27">
        <f t="shared" si="51"/>
        <v>0.44051721103792468</v>
      </c>
      <c r="Y192" s="27">
        <f t="shared" si="51"/>
        <v>0.44310396179359002</v>
      </c>
      <c r="Z192" s="27">
        <f t="shared" si="51"/>
        <v>0.4467743835824281</v>
      </c>
      <c r="AA192" s="27">
        <f t="shared" si="51"/>
        <v>0.45182412453822507</v>
      </c>
      <c r="AB192" s="27">
        <f t="shared" si="51"/>
        <v>0.4592210041031291</v>
      </c>
      <c r="AC192" s="27">
        <f t="shared" si="51"/>
        <v>0.46875611727926397</v>
      </c>
      <c r="AD192" s="27">
        <f t="shared" si="51"/>
        <v>0.47540395120736983</v>
      </c>
      <c r="AE192" s="27">
        <f t="shared" si="51"/>
        <v>0.48283708354051091</v>
      </c>
      <c r="AF192" s="27">
        <f t="shared" si="51"/>
        <v>0.49049534376627268</v>
      </c>
      <c r="AG192" s="27">
        <f t="shared" si="51"/>
        <v>0.49854885128886806</v>
      </c>
      <c r="AH192" s="27">
        <f t="shared" si="51"/>
        <v>0.50672298371374713</v>
      </c>
      <c r="AI192" s="27">
        <f t="shared" si="51"/>
        <v>0.51418741913189581</v>
      </c>
      <c r="AJ192" s="27">
        <f t="shared" si="51"/>
        <v>0.52206102854310632</v>
      </c>
      <c r="AK192" s="27">
        <f t="shared" si="51"/>
        <v>0.52957812188119258</v>
      </c>
      <c r="AL192" s="27">
        <f t="shared" si="51"/>
        <v>0.53666628025365293</v>
      </c>
      <c r="AM192" s="27">
        <f t="shared" si="51"/>
        <v>0.543628496445968</v>
      </c>
      <c r="AN192" s="27">
        <f t="shared" si="51"/>
        <v>0.55246945736606723</v>
      </c>
      <c r="AO192" s="27">
        <f t="shared" si="51"/>
        <v>0.56161375103123634</v>
      </c>
      <c r="AP192" s="27">
        <f t="shared" si="51"/>
        <v>0.57139369130463846</v>
      </c>
      <c r="AQ192" s="27">
        <f t="shared" si="51"/>
        <v>0.58113558104968666</v>
      </c>
      <c r="AR192" s="27">
        <f t="shared" si="51"/>
        <v>0.59085206465758344</v>
      </c>
      <c r="AS192" s="27">
        <f t="shared" si="51"/>
        <v>0.6011817102296716</v>
      </c>
      <c r="AT192" s="27">
        <f t="shared" si="51"/>
        <v>0.61185705718445471</v>
      </c>
      <c r="AU192" s="27">
        <f t="shared" si="51"/>
        <v>0.6226925043907553</v>
      </c>
      <c r="AV192" s="27">
        <f t="shared" si="51"/>
        <v>0.63405678889252681</v>
      </c>
      <c r="AW192" s="27">
        <f t="shared" si="51"/>
        <v>0.64358432778937325</v>
      </c>
      <c r="AY192" s="79"/>
    </row>
    <row r="193" spans="1:51" x14ac:dyDescent="0.25">
      <c r="A193" s="95" t="str">
        <f t="shared" si="45"/>
        <v>FA Cattle MMN2O</v>
      </c>
      <c r="B193" s="95" t="s">
        <v>961</v>
      </c>
      <c r="C193" s="95" t="s">
        <v>1231</v>
      </c>
      <c r="D193" t="s">
        <v>15</v>
      </c>
      <c r="E193" t="s">
        <v>657</v>
      </c>
      <c r="F193" t="s">
        <v>67</v>
      </c>
      <c r="G193" t="s">
        <v>123</v>
      </c>
      <c r="H193" t="s">
        <v>1226</v>
      </c>
      <c r="I193" t="s">
        <v>139</v>
      </c>
      <c r="J193" t="s">
        <v>287</v>
      </c>
      <c r="K193" s="27">
        <f t="shared" si="47"/>
        <v>0.80452586370517842</v>
      </c>
      <c r="L193" s="27">
        <f t="shared" si="51"/>
        <v>0.79754846782098032</v>
      </c>
      <c r="M193" s="27">
        <f t="shared" si="51"/>
        <v>0.79489238443144161</v>
      </c>
      <c r="N193" s="27">
        <f t="shared" si="51"/>
        <v>0.78427763712907439</v>
      </c>
      <c r="O193" s="27">
        <f t="shared" si="51"/>
        <v>0.76887007218962278</v>
      </c>
      <c r="P193" s="27">
        <f t="shared" si="51"/>
        <v>0.74898829393537225</v>
      </c>
      <c r="Q193" s="27">
        <f t="shared" si="51"/>
        <v>0.73330695394505496</v>
      </c>
      <c r="R193" s="27">
        <f t="shared" si="51"/>
        <v>0.71847062359542491</v>
      </c>
      <c r="S193" s="27">
        <f t="shared" si="51"/>
        <v>0.64156157320759799</v>
      </c>
      <c r="T193" s="27">
        <f t="shared" si="51"/>
        <v>0.67223482564222559</v>
      </c>
      <c r="U193" s="27">
        <f t="shared" si="51"/>
        <v>0.68285391153805586</v>
      </c>
      <c r="V193" s="27">
        <f t="shared" si="51"/>
        <v>0.67824241239699168</v>
      </c>
      <c r="W193" s="27">
        <f t="shared" si="51"/>
        <v>0.67449128255528179</v>
      </c>
      <c r="X193" s="27">
        <f t="shared" si="51"/>
        <v>0.67473769040048559</v>
      </c>
      <c r="Y193" s="27">
        <f t="shared" si="51"/>
        <v>0.67869980172505096</v>
      </c>
      <c r="Z193" s="27">
        <f t="shared" si="51"/>
        <v>0.68432176576763859</v>
      </c>
      <c r="AA193" s="27">
        <f t="shared" si="51"/>
        <v>0.69205642508232745</v>
      </c>
      <c r="AB193" s="27">
        <f t="shared" si="51"/>
        <v>0.70338618316836132</v>
      </c>
      <c r="AC193" s="27">
        <f t="shared" si="51"/>
        <v>0.71799106143637159</v>
      </c>
      <c r="AD193" s="27">
        <f t="shared" si="51"/>
        <v>0.72817351060844282</v>
      </c>
      <c r="AE193" s="27">
        <f t="shared" si="51"/>
        <v>0.7395587968520555</v>
      </c>
      <c r="AF193" s="27">
        <f t="shared" si="51"/>
        <v>0.75128891020004818</v>
      </c>
      <c r="AG193" s="27">
        <f t="shared" si="51"/>
        <v>0.76362442157000243</v>
      </c>
      <c r="AH193" s="27">
        <f t="shared" si="51"/>
        <v>0.77614469341226622</v>
      </c>
      <c r="AI193" s="27">
        <f t="shared" si="51"/>
        <v>0.78757792641199043</v>
      </c>
      <c r="AJ193" s="27">
        <f t="shared" si="51"/>
        <v>0.79963788887456544</v>
      </c>
      <c r="AK193" s="27">
        <f t="shared" si="51"/>
        <v>0.81115177770881697</v>
      </c>
      <c r="AL193" s="27">
        <f t="shared" si="51"/>
        <v>0.82200866931166305</v>
      </c>
      <c r="AM193" s="27">
        <f t="shared" si="51"/>
        <v>0.83267265599813822</v>
      </c>
      <c r="AN193" s="27">
        <f t="shared" si="51"/>
        <v>0.84621430522926222</v>
      </c>
      <c r="AO193" s="27">
        <f t="shared" si="51"/>
        <v>0.86022056748957776</v>
      </c>
      <c r="AP193" s="27">
        <f t="shared" si="51"/>
        <v>0.87520044602095726</v>
      </c>
      <c r="AQ193" s="27">
        <f t="shared" si="51"/>
        <v>0.89012204277587748</v>
      </c>
      <c r="AR193" s="27">
        <f t="shared" si="51"/>
        <v>0.90500472509596042</v>
      </c>
      <c r="AS193" s="27">
        <f t="shared" si="51"/>
        <v>0.92082658408654217</v>
      </c>
      <c r="AT193" s="27">
        <f t="shared" si="51"/>
        <v>0.93717795190602593</v>
      </c>
      <c r="AU193" s="27">
        <f t="shared" si="51"/>
        <v>0.95377454436426301</v>
      </c>
      <c r="AV193" s="27">
        <f t="shared" si="51"/>
        <v>0.97118115388063697</v>
      </c>
      <c r="AW193" s="27">
        <f t="shared" si="51"/>
        <v>0.98577443066842085</v>
      </c>
      <c r="AY193" s="79"/>
    </row>
    <row r="194" spans="1:51" x14ac:dyDescent="0.25">
      <c r="A194" s="95" t="str">
        <f t="shared" si="45"/>
        <v>FA Cattle MMN2O</v>
      </c>
      <c r="B194" s="95" t="s">
        <v>961</v>
      </c>
      <c r="C194" s="95" t="s">
        <v>1231</v>
      </c>
      <c r="D194" t="s">
        <v>15</v>
      </c>
      <c r="E194" t="s">
        <v>657</v>
      </c>
      <c r="F194" t="s">
        <v>67</v>
      </c>
      <c r="G194" t="s">
        <v>135</v>
      </c>
      <c r="H194" t="s">
        <v>1226</v>
      </c>
      <c r="I194" t="s">
        <v>139</v>
      </c>
      <c r="J194" t="s">
        <v>287</v>
      </c>
      <c r="K194" s="27">
        <f t="shared" si="47"/>
        <v>0.97926119892671459</v>
      </c>
      <c r="L194" s="27">
        <f t="shared" si="51"/>
        <v>1.0122801448609138</v>
      </c>
      <c r="M194" s="27">
        <f t="shared" si="51"/>
        <v>1.0514701788925804</v>
      </c>
      <c r="N194" s="27">
        <f t="shared" si="51"/>
        <v>1.0806972456941148</v>
      </c>
      <c r="O194" s="27">
        <f t="shared" si="51"/>
        <v>1.103236794343371</v>
      </c>
      <c r="P194" s="27">
        <f t="shared" si="51"/>
        <v>1.1187666946803865</v>
      </c>
      <c r="Q194" s="27">
        <f t="shared" si="51"/>
        <v>1.1399714801203362</v>
      </c>
      <c r="R194" s="27">
        <f t="shared" si="51"/>
        <v>1.1622002864669057</v>
      </c>
      <c r="S194" s="27">
        <f t="shared" si="51"/>
        <v>1.0797349387647497</v>
      </c>
      <c r="T194" s="27">
        <f t="shared" si="51"/>
        <v>1.1586148391754056</v>
      </c>
      <c r="U194" s="27">
        <f t="shared" si="51"/>
        <v>1.2048828534043301</v>
      </c>
      <c r="V194" s="27">
        <f t="shared" si="51"/>
        <v>1.2248214292243891</v>
      </c>
      <c r="W194" s="27">
        <f t="shared" si="51"/>
        <v>1.2462862134810584</v>
      </c>
      <c r="X194" s="27">
        <f t="shared" si="51"/>
        <v>1.2753304123156213</v>
      </c>
      <c r="Y194" s="27">
        <f t="shared" si="51"/>
        <v>1.3119382309958816</v>
      </c>
      <c r="Z194" s="27">
        <f t="shared" si="51"/>
        <v>1.352551168014529</v>
      </c>
      <c r="AA194" s="27">
        <f t="shared" si="51"/>
        <v>1.3983302277222904</v>
      </c>
      <c r="AB194" s="27">
        <f t="shared" si="51"/>
        <v>1.45265003311069</v>
      </c>
      <c r="AC194" s="27">
        <f t="shared" si="51"/>
        <v>1.5153587089508171</v>
      </c>
      <c r="AD194" s="27">
        <f t="shared" si="51"/>
        <v>1.5878154020260862</v>
      </c>
      <c r="AE194" s="27">
        <f t="shared" si="51"/>
        <v>1.6662236213187609</v>
      </c>
      <c r="AF194" s="27">
        <f t="shared" si="51"/>
        <v>1.7490356868363826</v>
      </c>
      <c r="AG194" s="27">
        <f t="shared" si="51"/>
        <v>1.8371605385940195</v>
      </c>
      <c r="AH194" s="27">
        <f t="shared" si="51"/>
        <v>1.9299179853404884</v>
      </c>
      <c r="AI194" s="27">
        <f t="shared" si="51"/>
        <v>2.0243264887955772</v>
      </c>
      <c r="AJ194" s="27">
        <f t="shared" si="51"/>
        <v>2.1249172544227406</v>
      </c>
      <c r="AK194" s="27">
        <f t="shared" si="51"/>
        <v>2.2289075077368197</v>
      </c>
      <c r="AL194" s="27">
        <f t="shared" si="51"/>
        <v>2.3361255764589468</v>
      </c>
      <c r="AM194" s="27">
        <f t="shared" si="51"/>
        <v>2.4480579395389377</v>
      </c>
      <c r="AN194" s="27">
        <f t="shared" si="51"/>
        <v>2.5580662421643461</v>
      </c>
      <c r="AO194" s="27">
        <f t="shared" si="51"/>
        <v>2.6740312374133999</v>
      </c>
      <c r="AP194" s="27">
        <f t="shared" si="51"/>
        <v>2.7979244732629738</v>
      </c>
      <c r="AQ194" s="27">
        <f t="shared" si="51"/>
        <v>2.9268588582276069</v>
      </c>
      <c r="AR194" s="27">
        <f t="shared" si="51"/>
        <v>3.0611473278848456</v>
      </c>
      <c r="AS194" s="27">
        <f t="shared" si="51"/>
        <v>3.2044630996439452</v>
      </c>
      <c r="AT194" s="27">
        <f t="shared" si="51"/>
        <v>3.3559228759421229</v>
      </c>
      <c r="AU194" s="27">
        <f t="shared" si="51"/>
        <v>3.5149748258951519</v>
      </c>
      <c r="AV194" s="27">
        <f t="shared" si="51"/>
        <v>3.6841999883853953</v>
      </c>
      <c r="AW194" s="27">
        <f t="shared" si="51"/>
        <v>3.8501065426145096</v>
      </c>
      <c r="AY194" s="79"/>
    </row>
    <row r="195" spans="1:51" x14ac:dyDescent="0.25">
      <c r="A195" s="95" t="str">
        <f t="shared" si="45"/>
        <v>FA Sheep MMN2O</v>
      </c>
      <c r="B195" s="95" t="s">
        <v>961</v>
      </c>
      <c r="C195" s="95" t="s">
        <v>1327</v>
      </c>
      <c r="D195" t="s">
        <v>15</v>
      </c>
      <c r="E195" t="s">
        <v>657</v>
      </c>
      <c r="F195" t="s">
        <v>18</v>
      </c>
      <c r="G195" t="s">
        <v>122</v>
      </c>
      <c r="H195" t="s">
        <v>1226</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0.11888884787446641</v>
      </c>
      <c r="T195" s="27">
        <f t="shared" si="51"/>
        <v>0.11897442160845599</v>
      </c>
      <c r="U195" s="27">
        <f t="shared" si="51"/>
        <v>0.11894433570617077</v>
      </c>
      <c r="V195" s="27">
        <f t="shared" si="51"/>
        <v>0.11894216976117228</v>
      </c>
      <c r="W195" s="27">
        <f t="shared" si="51"/>
        <v>0.11906833284654554</v>
      </c>
      <c r="X195" s="27">
        <f t="shared" si="51"/>
        <v>0.1192748103604965</v>
      </c>
      <c r="Y195" s="27">
        <f t="shared" si="51"/>
        <v>0.11947292782589553</v>
      </c>
      <c r="Z195" s="27">
        <f t="shared" si="51"/>
        <v>0.11966332441080059</v>
      </c>
      <c r="AA195" s="27">
        <f t="shared" si="51"/>
        <v>0.11984574027292559</v>
      </c>
      <c r="AB195" s="27">
        <f t="shared" si="51"/>
        <v>0.12002397691702794</v>
      </c>
      <c r="AC195" s="27">
        <f t="shared" si="51"/>
        <v>0.12020063791291828</v>
      </c>
      <c r="AD195" s="27">
        <f t="shared" si="51"/>
        <v>0.12037395069486655</v>
      </c>
      <c r="AE195" s="27">
        <f t="shared" si="51"/>
        <v>0.12054640721794915</v>
      </c>
      <c r="AF195" s="27">
        <f t="shared" si="51"/>
        <v>0.12071746421078627</v>
      </c>
      <c r="AG195" s="27">
        <f t="shared" si="51"/>
        <v>0.12088575105723816</v>
      </c>
      <c r="AH195" s="27">
        <f t="shared" si="51"/>
        <v>0.12105200867781399</v>
      </c>
      <c r="AI195" s="27">
        <f t="shared" si="51"/>
        <v>0.12121641449313381</v>
      </c>
      <c r="AJ195" s="27">
        <f t="shared" si="51"/>
        <v>0.12137952665146406</v>
      </c>
      <c r="AK195" s="27">
        <f t="shared" si="51"/>
        <v>0.12153635424536353</v>
      </c>
      <c r="AL195" s="27">
        <f t="shared" si="51"/>
        <v>0.12168671378968904</v>
      </c>
      <c r="AM195" s="27">
        <f t="shared" si="51"/>
        <v>0.12183201055728769</v>
      </c>
      <c r="AN195" s="27">
        <f t="shared" si="51"/>
        <v>0.12197112574763715</v>
      </c>
      <c r="AO195" s="27">
        <f t="shared" si="51"/>
        <v>0.12210431172658152</v>
      </c>
      <c r="AP195" s="27">
        <f t="shared" si="51"/>
        <v>0.12223096862203452</v>
      </c>
      <c r="AQ195" s="27">
        <f t="shared" si="51"/>
        <v>0.12234928396390207</v>
      </c>
      <c r="AR195" s="27">
        <f t="shared" si="51"/>
        <v>0.12245757817594662</v>
      </c>
      <c r="AS195" s="27">
        <f t="shared" si="51"/>
        <v>0.12255574185064526</v>
      </c>
      <c r="AT195" s="27">
        <f t="shared" si="51"/>
        <v>0.12264302379658787</v>
      </c>
      <c r="AU195" s="27">
        <f t="shared" si="51"/>
        <v>0.12271938191890155</v>
      </c>
      <c r="AV195" s="27">
        <f t="shared" si="51"/>
        <v>0.12278627747914957</v>
      </c>
      <c r="AW195" s="27">
        <f t="shared" si="51"/>
        <v>0.12283502162881774</v>
      </c>
      <c r="AY195" s="79"/>
    </row>
    <row r="196" spans="1:51" x14ac:dyDescent="0.25">
      <c r="A196" s="95" t="str">
        <f t="shared" si="45"/>
        <v>FA Sheep MMN2O</v>
      </c>
      <c r="B196" s="95" t="s">
        <v>961</v>
      </c>
      <c r="C196" s="95" t="s">
        <v>1327</v>
      </c>
      <c r="D196" t="s">
        <v>15</v>
      </c>
      <c r="E196" t="s">
        <v>657</v>
      </c>
      <c r="F196" t="s">
        <v>18</v>
      </c>
      <c r="G196" t="s">
        <v>123</v>
      </c>
      <c r="H196" t="s">
        <v>1226</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6.3574794121898134E-2</v>
      </c>
      <c r="T196" s="27">
        <f t="shared" si="51"/>
        <v>6.362055394393272E-2</v>
      </c>
      <c r="U196" s="27">
        <f t="shared" si="51"/>
        <v>6.3604465765117371E-2</v>
      </c>
      <c r="V196" s="27">
        <f t="shared" si="51"/>
        <v>6.3603307544562435E-2</v>
      </c>
      <c r="W196" s="27">
        <f t="shared" si="51"/>
        <v>6.3670772174944407E-2</v>
      </c>
      <c r="X196" s="27">
        <f t="shared" si="51"/>
        <v>6.3781184258793491E-2</v>
      </c>
      <c r="Y196" s="27">
        <f t="shared" si="51"/>
        <v>6.3887125878212575E-2</v>
      </c>
      <c r="Z196" s="27">
        <f t="shared" si="51"/>
        <v>6.3988938822851713E-2</v>
      </c>
      <c r="AA196" s="27">
        <f t="shared" si="51"/>
        <v>6.4086484144271705E-2</v>
      </c>
      <c r="AB196" s="27">
        <f t="shared" si="51"/>
        <v>6.4181794664613767E-2</v>
      </c>
      <c r="AC196" s="27">
        <f t="shared" si="51"/>
        <v>6.4276262620556607E-2</v>
      </c>
      <c r="AD196" s="27">
        <f t="shared" si="51"/>
        <v>6.4368940147743067E-2</v>
      </c>
      <c r="AE196" s="27">
        <f t="shared" si="51"/>
        <v>6.4461159797827752E-2</v>
      </c>
      <c r="AF196" s="27">
        <f t="shared" si="51"/>
        <v>6.4552631061088828E-2</v>
      </c>
      <c r="AG196" s="27">
        <f t="shared" si="51"/>
        <v>6.4642621012273305E-2</v>
      </c>
      <c r="AH196" s="27">
        <f t="shared" si="51"/>
        <v>6.4731525852283742E-2</v>
      </c>
      <c r="AI196" s="27">
        <f t="shared" si="51"/>
        <v>6.4819440455278599E-2</v>
      </c>
      <c r="AJ196" s="27">
        <f t="shared" si="51"/>
        <v>6.4906663286267555E-2</v>
      </c>
      <c r="AK196" s="27">
        <f t="shared" si="51"/>
        <v>6.499052550020136E-2</v>
      </c>
      <c r="AL196" s="27">
        <f t="shared" si="51"/>
        <v>6.5070928979969703E-2</v>
      </c>
      <c r="AM196" s="27">
        <f t="shared" si="51"/>
        <v>6.5148625183203274E-2</v>
      </c>
      <c r="AN196" s="27">
        <f t="shared" si="51"/>
        <v>6.5223015840895862E-2</v>
      </c>
      <c r="AO196" s="27">
        <f t="shared" si="51"/>
        <v>6.5294235903523207E-2</v>
      </c>
      <c r="AP196" s="27">
        <f t="shared" si="51"/>
        <v>6.5361964594620001E-2</v>
      </c>
      <c r="AQ196" s="27">
        <f t="shared" si="51"/>
        <v>6.542523271131194E-2</v>
      </c>
      <c r="AR196" s="27">
        <f t="shared" si="51"/>
        <v>6.548314211457737E-2</v>
      </c>
      <c r="AS196" s="27">
        <f t="shared" si="51"/>
        <v>6.5535634299679582E-2</v>
      </c>
      <c r="AT196" s="27">
        <f t="shared" si="51"/>
        <v>6.5582307573439622E-2</v>
      </c>
      <c r="AU196" s="27">
        <f t="shared" si="51"/>
        <v>6.5623139425984384E-2</v>
      </c>
      <c r="AV196" s="27">
        <f t="shared" si="51"/>
        <v>6.5658911254431448E-2</v>
      </c>
      <c r="AW196" s="27">
        <f t="shared" si="51"/>
        <v>6.5684976771384518E-2</v>
      </c>
      <c r="AY196" s="79"/>
    </row>
    <row r="197" spans="1:51" x14ac:dyDescent="0.25">
      <c r="A197" s="95" t="str">
        <f t="shared" si="45"/>
        <v>FA Goats MMN2O</v>
      </c>
      <c r="B197" s="95" t="s">
        <v>961</v>
      </c>
      <c r="C197" s="95" t="s">
        <v>1328</v>
      </c>
      <c r="D197" t="s">
        <v>15</v>
      </c>
      <c r="E197" t="s">
        <v>657</v>
      </c>
      <c r="F197" t="s">
        <v>19</v>
      </c>
      <c r="G197" t="s">
        <v>122</v>
      </c>
      <c r="H197" t="s">
        <v>1226</v>
      </c>
      <c r="I197" t="s">
        <v>139</v>
      </c>
      <c r="J197" t="s">
        <v>287</v>
      </c>
      <c r="K197" s="27">
        <f t="shared" si="47"/>
        <v>1.4486129996083083E-2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1.4890706011157254E-2</v>
      </c>
      <c r="R197" s="27">
        <f t="shared" si="51"/>
        <v>1.4988675221399694E-2</v>
      </c>
      <c r="S197" s="27">
        <f t="shared" si="51"/>
        <v>1.4951923212530764E-2</v>
      </c>
      <c r="T197" s="27">
        <f t="shared" si="51"/>
        <v>1.4977625582861876E-2</v>
      </c>
      <c r="U197" s="27">
        <f t="shared" si="51"/>
        <v>1.4980119703065675E-2</v>
      </c>
      <c r="V197" s="27">
        <f t="shared" si="51"/>
        <v>1.4986976942692673E-2</v>
      </c>
      <c r="W197" s="27">
        <f t="shared" si="51"/>
        <v>1.5017294663736542E-2</v>
      </c>
      <c r="X197" s="27">
        <f t="shared" si="51"/>
        <v>1.5061890336193319E-2</v>
      </c>
      <c r="Y197" s="27">
        <f t="shared" si="51"/>
        <v>1.5103986297595969E-2</v>
      </c>
      <c r="Z197" s="27">
        <f t="shared" si="51"/>
        <v>1.5143780477124499E-2</v>
      </c>
      <c r="AA197" s="27">
        <f t="shared" si="51"/>
        <v>1.518129324368281E-2</v>
      </c>
      <c r="AB197" s="27">
        <f t="shared" si="51"/>
        <v>1.5217300806744069E-2</v>
      </c>
      <c r="AC197" s="27">
        <f t="shared" si="51"/>
        <v>1.5252343422195683E-2</v>
      </c>
      <c r="AD197" s="27">
        <f t="shared" si="51"/>
        <v>1.528613499352576E-2</v>
      </c>
      <c r="AE197" s="27">
        <f t="shared" si="51"/>
        <v>1.5319183069795761E-2</v>
      </c>
      <c r="AF197" s="27">
        <f t="shared" si="51"/>
        <v>1.5351423055728343E-2</v>
      </c>
      <c r="AG197" s="27">
        <f t="shared" si="51"/>
        <v>1.5382634347686872E-2</v>
      </c>
      <c r="AH197" s="27">
        <f t="shared" si="51"/>
        <v>1.5412986814805201E-2</v>
      </c>
      <c r="AI197" s="27">
        <f t="shared" si="51"/>
        <v>1.5442542460580333E-2</v>
      </c>
      <c r="AJ197" s="27">
        <f t="shared" si="51"/>
        <v>1.5471431054826285E-2</v>
      </c>
      <c r="AK197" s="27">
        <f t="shared" si="51"/>
        <v>1.5498756892033489E-2</v>
      </c>
      <c r="AL197" s="27">
        <f t="shared" si="51"/>
        <v>1.5524513513074619E-2</v>
      </c>
      <c r="AM197" s="27">
        <f t="shared" si="51"/>
        <v>1.5548984646319333E-2</v>
      </c>
      <c r="AN197" s="27">
        <f t="shared" si="51"/>
        <v>1.5571987875403363E-2</v>
      </c>
      <c r="AO197" s="27">
        <f t="shared" si="51"/>
        <v>1.5593591673600768E-2</v>
      </c>
      <c r="AP197" s="27">
        <f t="shared" si="51"/>
        <v>1.5613707165200276E-2</v>
      </c>
      <c r="AQ197" s="27">
        <f t="shared" si="51"/>
        <v>1.5632023858239551E-2</v>
      </c>
      <c r="AR197" s="27">
        <f t="shared" si="51"/>
        <v>1.5648256533695205E-2</v>
      </c>
      <c r="AS197" s="27">
        <f t="shared" si="51"/>
        <v>1.5662406299088667E-2</v>
      </c>
      <c r="AT197" s="27">
        <f t="shared" si="51"/>
        <v>1.5674356891571192E-2</v>
      </c>
      <c r="AU197" s="27">
        <f t="shared" si="51"/>
        <v>1.568412043163633E-2</v>
      </c>
      <c r="AV197" s="27">
        <f t="shared" si="51"/>
        <v>1.5691980107154113E-2</v>
      </c>
      <c r="AW197" s="27">
        <f t="shared" si="51"/>
        <v>1.5696383554298719E-2</v>
      </c>
      <c r="AY197" s="79"/>
    </row>
    <row r="198" spans="1:51" x14ac:dyDescent="0.25">
      <c r="A198" s="95" t="str">
        <f t="shared" si="45"/>
        <v>FA Goats MMN2O</v>
      </c>
      <c r="B198" s="95" t="s">
        <v>961</v>
      </c>
      <c r="C198" s="95" t="s">
        <v>1328</v>
      </c>
      <c r="D198" t="s">
        <v>15</v>
      </c>
      <c r="E198" t="s">
        <v>657</v>
      </c>
      <c r="F198" t="s">
        <v>19</v>
      </c>
      <c r="G198" t="s">
        <v>123</v>
      </c>
      <c r="H198" t="s">
        <v>1226</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0.11664735601685972</v>
      </c>
      <c r="P198" s="27">
        <f t="shared" si="51"/>
        <v>0.11732381389682567</v>
      </c>
      <c r="Q198" s="27">
        <f t="shared" si="51"/>
        <v>0.11805182815822723</v>
      </c>
      <c r="R198" s="27">
        <f t="shared" si="51"/>
        <v>0.11882851694408277</v>
      </c>
      <c r="S198" s="27">
        <f t="shared" si="51"/>
        <v>0.11853715118666242</v>
      </c>
      <c r="T198" s="27">
        <f t="shared" si="51"/>
        <v>0.11874091666314918</v>
      </c>
      <c r="U198" s="27">
        <f t="shared" si="51"/>
        <v>0.11876068976520925</v>
      </c>
      <c r="V198" s="27">
        <f t="shared" si="51"/>
        <v>0.11881505318313448</v>
      </c>
      <c r="W198" s="27">
        <f t="shared" si="51"/>
        <v>0.11905540863653861</v>
      </c>
      <c r="X198" s="27">
        <f t="shared" si="51"/>
        <v>0.11940895806915272</v>
      </c>
      <c r="Y198" s="27">
        <f t="shared" si="51"/>
        <v>0.11974269007607956</v>
      </c>
      <c r="Z198" s="27">
        <f t="shared" si="51"/>
        <v>0.12005817381740651</v>
      </c>
      <c r="AA198" s="27">
        <f t="shared" si="51"/>
        <v>0.12035557077549322</v>
      </c>
      <c r="AB198" s="27">
        <f t="shared" si="51"/>
        <v>0.12064103465099509</v>
      </c>
      <c r="AC198" s="27">
        <f t="shared" si="51"/>
        <v>0.12091884853130468</v>
      </c>
      <c r="AD198" s="27">
        <f t="shared" si="51"/>
        <v>0.12118674427572847</v>
      </c>
      <c r="AE198" s="27">
        <f t="shared" si="51"/>
        <v>0.12144874567565288</v>
      </c>
      <c r="AF198" s="27">
        <f t="shared" si="51"/>
        <v>0.1217043406270464</v>
      </c>
      <c r="AG198" s="27">
        <f t="shared" si="51"/>
        <v>0.12195178020930149</v>
      </c>
      <c r="AH198" s="27">
        <f t="shared" si="51"/>
        <v>0.12219241112564265</v>
      </c>
      <c r="AI198" s="27">
        <f t="shared" si="51"/>
        <v>0.1224267249327608</v>
      </c>
      <c r="AJ198" s="27">
        <f t="shared" si="51"/>
        <v>0.1226557504310213</v>
      </c>
      <c r="AK198" s="27">
        <f t="shared" si="51"/>
        <v>0.12287238656874688</v>
      </c>
      <c r="AL198" s="27">
        <f t="shared" si="51"/>
        <v>0.12307658213870883</v>
      </c>
      <c r="AM198" s="27">
        <f t="shared" si="51"/>
        <v>0.1232705865072376</v>
      </c>
      <c r="AN198" s="27">
        <f t="shared" si="51"/>
        <v>0.12345295349808931</v>
      </c>
      <c r="AO198" s="27">
        <f t="shared" si="51"/>
        <v>0.12362422595961356</v>
      </c>
      <c r="AP198" s="27">
        <f t="shared" si="51"/>
        <v>0.12378369929525287</v>
      </c>
      <c r="AQ198" s="27">
        <f t="shared" si="51"/>
        <v>0.12392891195994982</v>
      </c>
      <c r="AR198" s="27">
        <f t="shared" si="51"/>
        <v>0.12405760276964035</v>
      </c>
      <c r="AS198" s="27">
        <f t="shared" si="51"/>
        <v>0.12416978050462869</v>
      </c>
      <c r="AT198" s="27">
        <f t="shared" si="51"/>
        <v>0.12426452344623794</v>
      </c>
      <c r="AU198" s="27">
        <f t="shared" si="51"/>
        <v>0.12434192768436619</v>
      </c>
      <c r="AV198" s="27">
        <f t="shared" ref="L198:AW205" si="52">AV1420</f>
        <v>0.1244042383003242</v>
      </c>
      <c r="AW198" s="27">
        <f t="shared" si="52"/>
        <v>0.12443914832979021</v>
      </c>
      <c r="AY198" s="79"/>
    </row>
    <row r="199" spans="1:51" x14ac:dyDescent="0.25">
      <c r="A199" s="95" t="str">
        <f t="shared" si="45"/>
        <v>FA Horses MMN2O</v>
      </c>
      <c r="B199" s="95" t="s">
        <v>961</v>
      </c>
      <c r="C199" s="95" t="s">
        <v>1329</v>
      </c>
      <c r="D199" t="s">
        <v>15</v>
      </c>
      <c r="E199" t="s">
        <v>657</v>
      </c>
      <c r="F199" t="s">
        <v>20</v>
      </c>
      <c r="G199" t="s">
        <v>3</v>
      </c>
      <c r="H199" t="s">
        <v>1226</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5">
      <c r="A200" s="95" t="str">
        <f t="shared" si="45"/>
        <v>FA Mules MMN2O</v>
      </c>
      <c r="B200" s="95" t="s">
        <v>961</v>
      </c>
      <c r="C200" s="95" t="s">
        <v>1330</v>
      </c>
      <c r="D200" t="s">
        <v>15</v>
      </c>
      <c r="E200" t="s">
        <v>657</v>
      </c>
      <c r="F200" t="s">
        <v>140</v>
      </c>
      <c r="G200" t="s">
        <v>124</v>
      </c>
      <c r="H200" t="s">
        <v>1226</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5">
      <c r="A201" s="95" t="str">
        <f t="shared" si="45"/>
        <v>FA Swine MMN2O</v>
      </c>
      <c r="B201" s="95" t="s">
        <v>961</v>
      </c>
      <c r="C201" s="95" t="s">
        <v>1232</v>
      </c>
      <c r="D201" t="s">
        <v>15</v>
      </c>
      <c r="E201" t="s">
        <v>657</v>
      </c>
      <c r="F201" t="s">
        <v>21</v>
      </c>
      <c r="G201" t="s">
        <v>122</v>
      </c>
      <c r="H201" t="s">
        <v>1226</v>
      </c>
      <c r="I201" t="s">
        <v>139</v>
      </c>
      <c r="J201" t="s">
        <v>287</v>
      </c>
      <c r="K201" s="27">
        <f t="shared" si="47"/>
        <v>9.7466979224281824E-2</v>
      </c>
      <c r="L201" s="27">
        <f t="shared" si="52"/>
        <v>9.6937181363551519E-2</v>
      </c>
      <c r="M201" s="27">
        <f t="shared" si="52"/>
        <v>9.6980665528366566E-2</v>
      </c>
      <c r="N201" s="27">
        <f t="shared" si="52"/>
        <v>9.6090308702663552E-2</v>
      </c>
      <c r="O201" s="27">
        <f t="shared" si="52"/>
        <v>9.4636150647850456E-2</v>
      </c>
      <c r="P201" s="27">
        <f t="shared" si="52"/>
        <v>9.2641437622218339E-2</v>
      </c>
      <c r="Q201" s="27">
        <f t="shared" si="52"/>
        <v>9.1193054757597189E-2</v>
      </c>
      <c r="R201" s="27">
        <f t="shared" si="52"/>
        <v>8.9872834352323586E-2</v>
      </c>
      <c r="S201" s="27">
        <f t="shared" si="52"/>
        <v>8.0734544225409766E-2</v>
      </c>
      <c r="T201" s="27">
        <f t="shared" si="52"/>
        <v>8.4382841213531623E-2</v>
      </c>
      <c r="U201" s="27">
        <f t="shared" si="52"/>
        <v>8.5485831085546846E-2</v>
      </c>
      <c r="V201" s="27">
        <f t="shared" si="52"/>
        <v>8.4642168924532232E-2</v>
      </c>
      <c r="W201" s="27">
        <f t="shared" si="52"/>
        <v>8.3900172539890919E-2</v>
      </c>
      <c r="X201" s="27">
        <f t="shared" si="52"/>
        <v>8.3670858252268526E-2</v>
      </c>
      <c r="Y201" s="27">
        <f t="shared" si="52"/>
        <v>8.3934301237427442E-2</v>
      </c>
      <c r="Z201" s="27">
        <f t="shared" si="52"/>
        <v>8.44249898120146E-2</v>
      </c>
      <c r="AA201" s="27">
        <f t="shared" si="52"/>
        <v>8.5198904999322256E-2</v>
      </c>
      <c r="AB201" s="27">
        <f t="shared" si="52"/>
        <v>8.6442123684456251E-2</v>
      </c>
      <c r="AC201" s="27">
        <f t="shared" si="52"/>
        <v>8.8111240076380506E-2</v>
      </c>
      <c r="AD201" s="27">
        <f t="shared" si="52"/>
        <v>9.001094563198829E-2</v>
      </c>
      <c r="AE201" s="27">
        <f t="shared" si="52"/>
        <v>9.2122381916242821E-2</v>
      </c>
      <c r="AF201" s="27">
        <f t="shared" si="52"/>
        <v>9.433993402703468E-2</v>
      </c>
      <c r="AG201" s="27">
        <f t="shared" si="52"/>
        <v>9.6701686348057328E-2</v>
      </c>
      <c r="AH201" s="27">
        <f t="shared" si="52"/>
        <v>9.9156733920468212E-2</v>
      </c>
      <c r="AI201" s="27">
        <f t="shared" si="52"/>
        <v>0.10153918433243618</v>
      </c>
      <c r="AJ201" s="27">
        <f t="shared" si="52"/>
        <v>0.10407920464758763</v>
      </c>
      <c r="AK201" s="27">
        <f t="shared" si="52"/>
        <v>0.10662429120765052</v>
      </c>
      <c r="AL201" s="27">
        <f t="shared" si="52"/>
        <v>0.10916108152437015</v>
      </c>
      <c r="AM201" s="27">
        <f t="shared" si="52"/>
        <v>0.11175521560682936</v>
      </c>
      <c r="AN201" s="27">
        <f t="shared" si="52"/>
        <v>0.11423893572460501</v>
      </c>
      <c r="AO201" s="27">
        <f t="shared" si="52"/>
        <v>0.11683800387615073</v>
      </c>
      <c r="AP201" s="27">
        <f t="shared" si="52"/>
        <v>0.11962734368800265</v>
      </c>
      <c r="AQ201" s="27">
        <f t="shared" si="52"/>
        <v>0.12246543086827189</v>
      </c>
      <c r="AR201" s="27">
        <f t="shared" si="52"/>
        <v>0.12535748302837027</v>
      </c>
      <c r="AS201" s="27">
        <f t="shared" si="52"/>
        <v>0.12844640721926534</v>
      </c>
      <c r="AT201" s="27">
        <f t="shared" si="52"/>
        <v>0.13167842894497958</v>
      </c>
      <c r="AU201" s="27">
        <f t="shared" si="52"/>
        <v>0.13501670748772379</v>
      </c>
      <c r="AV201" s="27">
        <f t="shared" si="52"/>
        <v>0.13854783957825018</v>
      </c>
      <c r="AW201" s="27">
        <f t="shared" si="52"/>
        <v>0.14174415331850926</v>
      </c>
      <c r="AY201" s="79"/>
    </row>
    <row r="202" spans="1:51" x14ac:dyDescent="0.25">
      <c r="A202" s="95" t="str">
        <f t="shared" si="45"/>
        <v>FA Swine MMN2O</v>
      </c>
      <c r="B202" s="95" t="s">
        <v>961</v>
      </c>
      <c r="C202" s="95" t="s">
        <v>1232</v>
      </c>
      <c r="D202" t="s">
        <v>15</v>
      </c>
      <c r="E202" t="s">
        <v>657</v>
      </c>
      <c r="F202" t="s">
        <v>21</v>
      </c>
      <c r="G202" t="s">
        <v>123</v>
      </c>
      <c r="H202" t="s">
        <v>1226</v>
      </c>
      <c r="I202" t="s">
        <v>139</v>
      </c>
      <c r="J202" t="s">
        <v>287</v>
      </c>
      <c r="K202" s="27">
        <f t="shared" si="47"/>
        <v>3.8131055665722169E-2</v>
      </c>
      <c r="L202" s="27">
        <f t="shared" si="52"/>
        <v>3.7923788015899962E-2</v>
      </c>
      <c r="M202" s="27">
        <f t="shared" si="52"/>
        <v>3.794079990159023E-2</v>
      </c>
      <c r="N202" s="27">
        <f t="shared" si="52"/>
        <v>3.7592474284510076E-2</v>
      </c>
      <c r="O202" s="27">
        <f t="shared" si="52"/>
        <v>3.7023578211438556E-2</v>
      </c>
      <c r="P202" s="27">
        <f t="shared" si="52"/>
        <v>3.6243206089281214E-2</v>
      </c>
      <c r="Q202" s="27">
        <f t="shared" si="52"/>
        <v>3.5676569387541837E-2</v>
      </c>
      <c r="R202" s="27">
        <f t="shared" si="52"/>
        <v>3.5160072434777263E-2</v>
      </c>
      <c r="S202" s="27">
        <f t="shared" si="52"/>
        <v>3.1584988316113387E-2</v>
      </c>
      <c r="T202" s="27">
        <f t="shared" si="52"/>
        <v>3.3012275964159274E-2</v>
      </c>
      <c r="U202" s="27">
        <f t="shared" si="52"/>
        <v>3.3443787934092799E-2</v>
      </c>
      <c r="V202" s="27">
        <f t="shared" si="52"/>
        <v>3.3113730215255661E-2</v>
      </c>
      <c r="W202" s="27">
        <f t="shared" si="52"/>
        <v>3.2823446206541117E-2</v>
      </c>
      <c r="X202" s="27">
        <f t="shared" si="52"/>
        <v>3.2733733814345668E-2</v>
      </c>
      <c r="Y202" s="27">
        <f t="shared" si="52"/>
        <v>3.2836798044013883E-2</v>
      </c>
      <c r="Z202" s="27">
        <f t="shared" si="52"/>
        <v>3.3028765349259512E-2</v>
      </c>
      <c r="AA202" s="27">
        <f t="shared" si="52"/>
        <v>3.3331536639830336E-2</v>
      </c>
      <c r="AB202" s="27">
        <f t="shared" si="52"/>
        <v>3.3817908960638868E-2</v>
      </c>
      <c r="AC202" s="27">
        <f t="shared" si="52"/>
        <v>3.4470901087403957E-2</v>
      </c>
      <c r="AD202" s="27">
        <f t="shared" si="52"/>
        <v>3.5214104363691767E-2</v>
      </c>
      <c r="AE202" s="27">
        <f t="shared" si="52"/>
        <v>3.6040140987893189E-2</v>
      </c>
      <c r="AF202" s="27">
        <f t="shared" si="52"/>
        <v>3.6907692271940552E-2</v>
      </c>
      <c r="AG202" s="27">
        <f t="shared" si="52"/>
        <v>3.7831657597821179E-2</v>
      </c>
      <c r="AH202" s="27">
        <f t="shared" si="52"/>
        <v>3.879212191497397E-2</v>
      </c>
      <c r="AI202" s="27">
        <f t="shared" si="52"/>
        <v>3.9724184753102243E-2</v>
      </c>
      <c r="AJ202" s="27">
        <f t="shared" si="52"/>
        <v>4.0717892127640175E-2</v>
      </c>
      <c r="AK202" s="27">
        <f t="shared" si="52"/>
        <v>4.1713581519762656E-2</v>
      </c>
      <c r="AL202" s="27">
        <f t="shared" si="52"/>
        <v>4.270602525351698E-2</v>
      </c>
      <c r="AM202" s="27">
        <f t="shared" si="52"/>
        <v>4.3720903029455652E-2</v>
      </c>
      <c r="AN202" s="27">
        <f t="shared" si="52"/>
        <v>4.4692584626882061E-2</v>
      </c>
      <c r="AO202" s="27">
        <f t="shared" si="52"/>
        <v>4.5709392710546422E-2</v>
      </c>
      <c r="AP202" s="27">
        <f t="shared" si="52"/>
        <v>4.6800638920112353E-2</v>
      </c>
      <c r="AQ202" s="27">
        <f t="shared" si="52"/>
        <v>4.791095608718076E-2</v>
      </c>
      <c r="AR202" s="27">
        <f t="shared" si="52"/>
        <v>4.9042385446975784E-2</v>
      </c>
      <c r="AS202" s="27">
        <f t="shared" si="52"/>
        <v>5.0250835131244558E-2</v>
      </c>
      <c r="AT202" s="27">
        <f t="shared" si="52"/>
        <v>5.1515267468399954E-2</v>
      </c>
      <c r="AU202" s="27">
        <f t="shared" si="52"/>
        <v>5.2821269623736601E-2</v>
      </c>
      <c r="AV202" s="27">
        <f t="shared" si="52"/>
        <v>5.4202719991630371E-2</v>
      </c>
      <c r="AW202" s="27">
        <f t="shared" si="52"/>
        <v>5.5453182641903707E-2</v>
      </c>
      <c r="AY202" s="79"/>
    </row>
    <row r="203" spans="1:51" x14ac:dyDescent="0.25">
      <c r="A203" s="95" t="str">
        <f t="shared" si="45"/>
        <v>FA Poultry MMN2O</v>
      </c>
      <c r="B203" s="95" t="s">
        <v>961</v>
      </c>
      <c r="C203" s="95" t="s">
        <v>1233</v>
      </c>
      <c r="D203" t="s">
        <v>15</v>
      </c>
      <c r="E203" t="s">
        <v>657</v>
      </c>
      <c r="F203" t="s">
        <v>28</v>
      </c>
      <c r="G203" t="s">
        <v>131</v>
      </c>
      <c r="H203" t="s">
        <v>1226</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0.36607496135357975</v>
      </c>
      <c r="S203" s="27">
        <f t="shared" si="52"/>
        <v>0.35135538223408885</v>
      </c>
      <c r="T203" s="27">
        <f t="shared" si="52"/>
        <v>0.3660250744881503</v>
      </c>
      <c r="U203" s="27">
        <f t="shared" si="52"/>
        <v>0.3747433751291977</v>
      </c>
      <c r="V203" s="27">
        <f t="shared" si="52"/>
        <v>0.37890472124533414</v>
      </c>
      <c r="W203" s="27">
        <f t="shared" si="52"/>
        <v>0.38351980018418114</v>
      </c>
      <c r="X203" s="27">
        <f t="shared" si="52"/>
        <v>0.38953835570243145</v>
      </c>
      <c r="Y203" s="27">
        <f t="shared" si="52"/>
        <v>0.39678314869255904</v>
      </c>
      <c r="Z203" s="27">
        <f t="shared" si="52"/>
        <v>0.40464075152916346</v>
      </c>
      <c r="AA203" s="27">
        <f t="shared" si="52"/>
        <v>0.41330404639575669</v>
      </c>
      <c r="AB203" s="27">
        <f t="shared" si="52"/>
        <v>0.42334665156208889</v>
      </c>
      <c r="AC203" s="27">
        <f t="shared" si="52"/>
        <v>0.43473806986049379</v>
      </c>
      <c r="AD203" s="27">
        <f t="shared" si="52"/>
        <v>0.44699375378888861</v>
      </c>
      <c r="AE203" s="27">
        <f t="shared" si="52"/>
        <v>0.46011178168093952</v>
      </c>
      <c r="AF203" s="27">
        <f t="shared" si="52"/>
        <v>0.47382089637959635</v>
      </c>
      <c r="AG203" s="27">
        <f t="shared" si="52"/>
        <v>0.48826027881230222</v>
      </c>
      <c r="AH203" s="27">
        <f t="shared" si="52"/>
        <v>0.50330862860005154</v>
      </c>
      <c r="AI203" s="27">
        <f t="shared" si="52"/>
        <v>0.5184689754858961</v>
      </c>
      <c r="AJ203" s="27">
        <f t="shared" si="52"/>
        <v>0.53447970815576928</v>
      </c>
      <c r="AK203" s="27">
        <f t="shared" si="52"/>
        <v>0.55086704408448872</v>
      </c>
      <c r="AL203" s="27">
        <f t="shared" si="52"/>
        <v>0.56759733652439393</v>
      </c>
      <c r="AM203" s="27">
        <f t="shared" si="52"/>
        <v>0.58490701814028823</v>
      </c>
      <c r="AN203" s="27">
        <f t="shared" si="52"/>
        <v>0.60223366750494911</v>
      </c>
      <c r="AO203" s="27">
        <f t="shared" si="52"/>
        <v>0.62036595204994383</v>
      </c>
      <c r="AP203" s="27">
        <f t="shared" si="52"/>
        <v>0.63960685850737242</v>
      </c>
      <c r="AQ203" s="27">
        <f t="shared" si="52"/>
        <v>0.65948374000710175</v>
      </c>
      <c r="AR203" s="27">
        <f t="shared" si="52"/>
        <v>0.68003541307118265</v>
      </c>
      <c r="AS203" s="27">
        <f t="shared" si="52"/>
        <v>0.70183096342172768</v>
      </c>
      <c r="AT203" s="27">
        <f t="shared" si="52"/>
        <v>0.72471687693803755</v>
      </c>
      <c r="AU203" s="27">
        <f t="shared" si="52"/>
        <v>0.74859496074669962</v>
      </c>
      <c r="AV203" s="27">
        <f t="shared" si="52"/>
        <v>0.77385822122722236</v>
      </c>
      <c r="AW203" s="27">
        <f t="shared" si="52"/>
        <v>0.79838507129603287</v>
      </c>
      <c r="AY203" s="79"/>
    </row>
    <row r="204" spans="1:51" x14ac:dyDescent="0.25">
      <c r="A204" s="95" t="str">
        <f t="shared" si="45"/>
        <v>FA Poultry MMN2O</v>
      </c>
      <c r="B204" s="95" t="s">
        <v>961</v>
      </c>
      <c r="C204" s="95" t="s">
        <v>1233</v>
      </c>
      <c r="D204" t="s">
        <v>15</v>
      </c>
      <c r="E204" t="s">
        <v>657</v>
      </c>
      <c r="F204" t="s">
        <v>28</v>
      </c>
      <c r="G204" t="s">
        <v>132</v>
      </c>
      <c r="H204" t="s">
        <v>1226</v>
      </c>
      <c r="I204" t="s">
        <v>139</v>
      </c>
      <c r="J204" t="s">
        <v>287</v>
      </c>
      <c r="K204" s="27">
        <f t="shared" si="47"/>
        <v>1.7017151675634961</v>
      </c>
      <c r="L204" s="27">
        <f t="shared" si="52"/>
        <v>1.7241237147327637</v>
      </c>
      <c r="M204" s="27">
        <f t="shared" si="52"/>
        <v>1.7601182693498105</v>
      </c>
      <c r="N204" s="27">
        <f t="shared" si="52"/>
        <v>1.7704533576020511</v>
      </c>
      <c r="O204" s="27">
        <f t="shared" si="52"/>
        <v>1.7641159598844747</v>
      </c>
      <c r="P204" s="27">
        <f t="shared" si="52"/>
        <v>1.7411735022142167</v>
      </c>
      <c r="Q204" s="27">
        <f t="shared" si="52"/>
        <v>1.7315152516158574</v>
      </c>
      <c r="R204" s="27">
        <f t="shared" si="52"/>
        <v>1.7240481490859689</v>
      </c>
      <c r="S204" s="27">
        <f t="shared" si="52"/>
        <v>1.4999683948751941</v>
      </c>
      <c r="T204" s="27">
        <f t="shared" si="52"/>
        <v>1.635678170936574</v>
      </c>
      <c r="U204" s="27">
        <f t="shared" si="52"/>
        <v>1.7009774454367668</v>
      </c>
      <c r="V204" s="27">
        <f t="shared" si="52"/>
        <v>1.7091479327288939</v>
      </c>
      <c r="W204" s="27">
        <f t="shared" si="52"/>
        <v>1.7185668307415591</v>
      </c>
      <c r="X204" s="27">
        <f t="shared" si="52"/>
        <v>1.7424532471009451</v>
      </c>
      <c r="Y204" s="27">
        <f t="shared" si="52"/>
        <v>1.7817834224196265</v>
      </c>
      <c r="Z204" s="27">
        <f t="shared" si="52"/>
        <v>1.8288406604826053</v>
      </c>
      <c r="AA204" s="27">
        <f t="shared" si="52"/>
        <v>1.885701932517597</v>
      </c>
      <c r="AB204" s="27">
        <f t="shared" si="52"/>
        <v>1.9586802917289898</v>
      </c>
      <c r="AC204" s="27">
        <f t="shared" si="52"/>
        <v>2.0469431813370456</v>
      </c>
      <c r="AD204" s="27">
        <f t="shared" si="52"/>
        <v>2.1446346617917671</v>
      </c>
      <c r="AE204" s="27">
        <f t="shared" si="52"/>
        <v>2.2514306358992373</v>
      </c>
      <c r="AF204" s="27">
        <f t="shared" si="52"/>
        <v>2.364080403374996</v>
      </c>
      <c r="AG204" s="27">
        <f t="shared" si="52"/>
        <v>2.4840914132913525</v>
      </c>
      <c r="AH204" s="27">
        <f t="shared" si="52"/>
        <v>2.609932995576361</v>
      </c>
      <c r="AI204" s="27">
        <f t="shared" si="52"/>
        <v>2.7359571600200745</v>
      </c>
      <c r="AJ204" s="27">
        <f t="shared" si="52"/>
        <v>2.870315303671148</v>
      </c>
      <c r="AK204" s="27">
        <f t="shared" si="52"/>
        <v>3.0078431709030542</v>
      </c>
      <c r="AL204" s="27">
        <f t="shared" si="52"/>
        <v>3.1481328800356168</v>
      </c>
      <c r="AM204" s="27">
        <f t="shared" si="52"/>
        <v>3.293658685243031</v>
      </c>
      <c r="AN204" s="27">
        <f t="shared" si="52"/>
        <v>3.4383107407406079</v>
      </c>
      <c r="AO204" s="27">
        <f t="shared" si="52"/>
        <v>3.5905693529651876</v>
      </c>
      <c r="AP204" s="27">
        <f t="shared" si="52"/>
        <v>3.7535692593915186</v>
      </c>
      <c r="AQ204" s="27">
        <f t="shared" si="52"/>
        <v>3.922195814332385</v>
      </c>
      <c r="AR204" s="27">
        <f t="shared" si="52"/>
        <v>4.0968427833898948</v>
      </c>
      <c r="AS204" s="27">
        <f t="shared" si="52"/>
        <v>4.2833995063649954</v>
      </c>
      <c r="AT204" s="27">
        <f t="shared" si="52"/>
        <v>4.4801147383664359</v>
      </c>
      <c r="AU204" s="27">
        <f t="shared" si="52"/>
        <v>4.6858252173265607</v>
      </c>
      <c r="AV204" s="27">
        <f t="shared" si="52"/>
        <v>4.9044073325814885</v>
      </c>
      <c r="AW204" s="27">
        <f t="shared" si="52"/>
        <v>5.1142236717204526</v>
      </c>
      <c r="AY204" s="79"/>
    </row>
    <row r="205" spans="1:51" x14ac:dyDescent="0.25">
      <c r="A205" s="95" t="str">
        <f t="shared" si="45"/>
        <v>FA Poultry MMN2O</v>
      </c>
      <c r="B205" s="95" t="s">
        <v>961</v>
      </c>
      <c r="C205" s="95" t="s">
        <v>1233</v>
      </c>
      <c r="D205" t="s">
        <v>15</v>
      </c>
      <c r="E205" t="s">
        <v>657</v>
      </c>
      <c r="F205" t="s">
        <v>28</v>
      </c>
      <c r="G205" t="s">
        <v>134</v>
      </c>
      <c r="H205" t="s">
        <v>1226</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1.4711795979713126E-2</v>
      </c>
      <c r="P205" s="27">
        <f t="shared" si="52"/>
        <v>1.4861520550190493E-2</v>
      </c>
      <c r="Q205" s="27">
        <f t="shared" si="52"/>
        <v>1.5053508778373347E-2</v>
      </c>
      <c r="R205" s="27">
        <f t="shared" si="52"/>
        <v>1.5253123389732505E-2</v>
      </c>
      <c r="S205" s="27">
        <f t="shared" si="52"/>
        <v>1.4639807593087044E-2</v>
      </c>
      <c r="T205" s="27">
        <f t="shared" si="52"/>
        <v>1.525104477033961E-2</v>
      </c>
      <c r="U205" s="27">
        <f t="shared" si="52"/>
        <v>1.5614307297049917E-2</v>
      </c>
      <c r="V205" s="27">
        <f t="shared" si="52"/>
        <v>1.5787696718555604E-2</v>
      </c>
      <c r="W205" s="27">
        <f t="shared" si="52"/>
        <v>1.5979991674340898E-2</v>
      </c>
      <c r="X205" s="27">
        <f t="shared" si="52"/>
        <v>1.6230764820934659E-2</v>
      </c>
      <c r="Y205" s="27">
        <f t="shared" si="52"/>
        <v>1.6532631195523312E-2</v>
      </c>
      <c r="Z205" s="27">
        <f t="shared" si="52"/>
        <v>1.6860031313715163E-2</v>
      </c>
      <c r="AA205" s="27">
        <f t="shared" si="52"/>
        <v>1.7221001933156545E-2</v>
      </c>
      <c r="AB205" s="27">
        <f t="shared" si="52"/>
        <v>1.7639443815087055E-2</v>
      </c>
      <c r="AC205" s="27">
        <f t="shared" si="52"/>
        <v>1.8114086244187262E-2</v>
      </c>
      <c r="AD205" s="27">
        <f t="shared" si="52"/>
        <v>1.8624739741203704E-2</v>
      </c>
      <c r="AE205" s="27">
        <f t="shared" si="52"/>
        <v>1.9171324236705832E-2</v>
      </c>
      <c r="AF205" s="27">
        <f t="shared" si="52"/>
        <v>1.9742537349149866E-2</v>
      </c>
      <c r="AG205" s="27">
        <f t="shared" si="52"/>
        <v>2.0344178283845944E-2</v>
      </c>
      <c r="AH205" s="27">
        <f t="shared" si="52"/>
        <v>2.09711928583355E-2</v>
      </c>
      <c r="AI205" s="27">
        <f t="shared" si="52"/>
        <v>2.1602873978579022E-2</v>
      </c>
      <c r="AJ205" s="27">
        <f t="shared" si="52"/>
        <v>2.226998783982374E-2</v>
      </c>
      <c r="AK205" s="27">
        <f t="shared" ref="L205:AW206" si="53">AK1427</f>
        <v>2.2952793503520384E-2</v>
      </c>
      <c r="AL205" s="27">
        <f t="shared" si="53"/>
        <v>2.3649889021849769E-2</v>
      </c>
      <c r="AM205" s="27">
        <f t="shared" si="53"/>
        <v>2.4371125755845373E-2</v>
      </c>
      <c r="AN205" s="27">
        <f t="shared" si="53"/>
        <v>2.5093069479372905E-2</v>
      </c>
      <c r="AO205" s="27">
        <f t="shared" si="53"/>
        <v>2.5848581335414348E-2</v>
      </c>
      <c r="AP205" s="27">
        <f t="shared" si="53"/>
        <v>2.665028577114054E-2</v>
      </c>
      <c r="AQ205" s="27">
        <f t="shared" si="53"/>
        <v>2.7478489166962602E-2</v>
      </c>
      <c r="AR205" s="27">
        <f t="shared" si="53"/>
        <v>2.8334808877965974E-2</v>
      </c>
      <c r="AS205" s="27">
        <f t="shared" si="53"/>
        <v>2.924295680923868E-2</v>
      </c>
      <c r="AT205" s="27">
        <f t="shared" si="53"/>
        <v>3.0196536539084926E-2</v>
      </c>
      <c r="AU205" s="27">
        <f t="shared" si="53"/>
        <v>3.1191456697779184E-2</v>
      </c>
      <c r="AV205" s="27">
        <f t="shared" si="53"/>
        <v>3.2244092551134286E-2</v>
      </c>
      <c r="AW205" s="27">
        <f t="shared" si="53"/>
        <v>3.3266044637334728E-2</v>
      </c>
      <c r="AY205" s="79"/>
    </row>
    <row r="206" spans="1:51" x14ac:dyDescent="0.25">
      <c r="A206" s="95" t="str">
        <f t="shared" si="45"/>
        <v>FA Poultry MMN2O</v>
      </c>
      <c r="B206" s="95" t="s">
        <v>961</v>
      </c>
      <c r="C206" s="95" t="s">
        <v>1233</v>
      </c>
      <c r="D206" t="s">
        <v>15</v>
      </c>
      <c r="E206" t="s">
        <v>657</v>
      </c>
      <c r="F206" t="s">
        <v>28</v>
      </c>
      <c r="G206" t="s">
        <v>133</v>
      </c>
      <c r="H206" t="s">
        <v>1226</v>
      </c>
      <c r="I206" t="s">
        <v>139</v>
      </c>
      <c r="J206" t="s">
        <v>287</v>
      </c>
      <c r="K206" s="27">
        <f t="shared" si="47"/>
        <v>7.0904798648479067E-2</v>
      </c>
      <c r="L206" s="27">
        <f t="shared" si="53"/>
        <v>7.1838488113865229E-2</v>
      </c>
      <c r="M206" s="27">
        <f t="shared" si="53"/>
        <v>7.3338261222908846E-2</v>
      </c>
      <c r="N206" s="27">
        <f t="shared" si="53"/>
        <v>7.3768889900085524E-2</v>
      </c>
      <c r="O206" s="27">
        <f t="shared" si="53"/>
        <v>7.3504831661853176E-2</v>
      </c>
      <c r="P206" s="27">
        <f t="shared" si="53"/>
        <v>7.2548895925592424E-2</v>
      </c>
      <c r="Q206" s="27">
        <f t="shared" si="53"/>
        <v>7.2146468817327461E-2</v>
      </c>
      <c r="R206" s="27">
        <f t="shared" si="53"/>
        <v>7.1835339545248775E-2</v>
      </c>
      <c r="S206" s="27">
        <f t="shared" si="53"/>
        <v>6.2498683119799801E-2</v>
      </c>
      <c r="T206" s="27">
        <f t="shared" si="53"/>
        <v>6.81532571223573E-2</v>
      </c>
      <c r="U206" s="27">
        <f t="shared" si="53"/>
        <v>7.0874060226532018E-2</v>
      </c>
      <c r="V206" s="27">
        <f t="shared" si="53"/>
        <v>7.1214497197037332E-2</v>
      </c>
      <c r="W206" s="27">
        <f t="shared" si="53"/>
        <v>7.1606951280898362E-2</v>
      </c>
      <c r="X206" s="27">
        <f t="shared" si="53"/>
        <v>7.26022186292061E-2</v>
      </c>
      <c r="Y206" s="27">
        <f t="shared" si="53"/>
        <v>7.4240975934151174E-2</v>
      </c>
      <c r="Z206" s="27">
        <f t="shared" si="53"/>
        <v>7.620169418677529E-2</v>
      </c>
      <c r="AA206" s="27">
        <f t="shared" si="53"/>
        <v>7.8570913854899935E-2</v>
      </c>
      <c r="AB206" s="27">
        <f t="shared" si="53"/>
        <v>8.1611678822041331E-2</v>
      </c>
      <c r="AC206" s="27">
        <f t="shared" si="53"/>
        <v>8.5289299222376991E-2</v>
      </c>
      <c r="AD206" s="27">
        <f t="shared" si="53"/>
        <v>8.9359777574657032E-2</v>
      </c>
      <c r="AE206" s="27">
        <f t="shared" si="53"/>
        <v>9.3809609829134971E-2</v>
      </c>
      <c r="AF206" s="27">
        <f t="shared" si="53"/>
        <v>9.8503350140624904E-2</v>
      </c>
      <c r="AG206" s="27">
        <f t="shared" si="53"/>
        <v>0.10350380888713978</v>
      </c>
      <c r="AH206" s="27">
        <f t="shared" si="53"/>
        <v>0.10874720814901513</v>
      </c>
      <c r="AI206" s="27">
        <f t="shared" si="53"/>
        <v>0.11399821500083657</v>
      </c>
      <c r="AJ206" s="27">
        <f t="shared" si="53"/>
        <v>0.11959647098629794</v>
      </c>
      <c r="AK206" s="27">
        <f t="shared" si="53"/>
        <v>0.12532679878762737</v>
      </c>
      <c r="AL206" s="27">
        <f t="shared" si="53"/>
        <v>0.13117220333481747</v>
      </c>
      <c r="AM206" s="27">
        <f t="shared" si="53"/>
        <v>0.13723577855179306</v>
      </c>
      <c r="AN206" s="27">
        <f t="shared" si="53"/>
        <v>0.1432629475308588</v>
      </c>
      <c r="AO206" s="27">
        <f t="shared" si="53"/>
        <v>0.14960705637354962</v>
      </c>
      <c r="AP206" s="27">
        <f t="shared" si="53"/>
        <v>0.15639871914131342</v>
      </c>
      <c r="AQ206" s="27">
        <f t="shared" si="53"/>
        <v>0.16342482559718283</v>
      </c>
      <c r="AR206" s="27">
        <f t="shared" si="53"/>
        <v>0.1707017826412458</v>
      </c>
      <c r="AS206" s="27">
        <f t="shared" si="53"/>
        <v>0.17847497943187501</v>
      </c>
      <c r="AT206" s="27">
        <f t="shared" si="53"/>
        <v>0.18667144743193501</v>
      </c>
      <c r="AU206" s="27">
        <f t="shared" si="53"/>
        <v>0.19524271738860685</v>
      </c>
      <c r="AV206" s="27">
        <f t="shared" si="53"/>
        <v>0.20435030552422884</v>
      </c>
      <c r="AW206" s="27">
        <f t="shared" si="53"/>
        <v>0.21309265298835234</v>
      </c>
      <c r="AY206" s="79"/>
    </row>
    <row r="207" spans="1:51" x14ac:dyDescent="0.25">
      <c r="A207" s="95" t="str">
        <f t="shared" si="45"/>
        <v>FA Synthetic</v>
      </c>
      <c r="B207" s="95" t="s">
        <v>961</v>
      </c>
      <c r="C207" s="95" t="s">
        <v>1125</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6.603634243590573</v>
      </c>
      <c r="U207" s="22">
        <f t="shared" si="54"/>
        <v>6.6004971859529533</v>
      </c>
      <c r="V207" s="22">
        <f t="shared" si="54"/>
        <v>6.5987679285209158</v>
      </c>
      <c r="W207" s="22">
        <f t="shared" si="54"/>
        <v>6.5980968039636112</v>
      </c>
      <c r="X207" s="22">
        <f t="shared" si="54"/>
        <v>6.5973729403354264</v>
      </c>
      <c r="Y207" s="22">
        <f t="shared" si="54"/>
        <v>6.5963716735135058</v>
      </c>
      <c r="Z207" s="22">
        <f t="shared" si="54"/>
        <v>6.5951092743964939</v>
      </c>
      <c r="AA207" s="22">
        <f t="shared" si="54"/>
        <v>6.5937292152761398</v>
      </c>
      <c r="AB207" s="22">
        <f t="shared" si="54"/>
        <v>6.5921980493186423</v>
      </c>
      <c r="AC207" s="22">
        <f t="shared" si="54"/>
        <v>6.5904099002136718</v>
      </c>
      <c r="AD207" s="22">
        <f t="shared" si="54"/>
        <v>6.5883900774121225</v>
      </c>
      <c r="AE207" s="22">
        <f t="shared" si="54"/>
        <v>6.5862502813307362</v>
      </c>
      <c r="AF207" s="22">
        <f t="shared" si="54"/>
        <v>6.5840030111280692</v>
      </c>
      <c r="AG207" s="22">
        <f t="shared" si="54"/>
        <v>6.5817083248767299</v>
      </c>
      <c r="AH207" s="22">
        <f t="shared" si="54"/>
        <v>6.5793473576190653</v>
      </c>
      <c r="AI207" s="22">
        <f t="shared" si="54"/>
        <v>6.5769490947439282</v>
      </c>
      <c r="AJ207" s="22">
        <f t="shared" si="54"/>
        <v>6.5746015679174796</v>
      </c>
      <c r="AK207" s="22">
        <f t="shared" si="54"/>
        <v>6.5721839556094164</v>
      </c>
      <c r="AL207" s="22">
        <f t="shared" si="54"/>
        <v>6.5697772026100587</v>
      </c>
      <c r="AM207" s="22">
        <f t="shared" si="54"/>
        <v>6.5673876647835385</v>
      </c>
      <c r="AN207" s="22">
        <f t="shared" si="54"/>
        <v>6.5649818227366428</v>
      </c>
      <c r="AO207" s="22">
        <f t="shared" si="54"/>
        <v>6.5626429517048157</v>
      </c>
      <c r="AP207" s="22">
        <f t="shared" si="54"/>
        <v>6.5602587146144691</v>
      </c>
      <c r="AQ207" s="22">
        <f t="shared" si="54"/>
        <v>6.557794751435325</v>
      </c>
      <c r="AR207" s="22">
        <f t="shared" si="54"/>
        <v>6.5553213474499907</v>
      </c>
      <c r="AS207" s="22">
        <f t="shared" si="54"/>
        <v>6.552836555002342</v>
      </c>
      <c r="AT207" s="22">
        <f t="shared" si="54"/>
        <v>6.5502749591835583</v>
      </c>
      <c r="AU207" s="22">
        <f t="shared" si="54"/>
        <v>6.5476643110027855</v>
      </c>
      <c r="AV207" s="22">
        <f t="shared" si="54"/>
        <v>6.5450232737774749</v>
      </c>
      <c r="AW207" s="22">
        <f t="shared" si="54"/>
        <v>6.5423151331477944</v>
      </c>
      <c r="AY207" s="79"/>
    </row>
    <row r="208" spans="1:51" x14ac:dyDescent="0.25">
      <c r="A208" s="95" t="str">
        <f t="shared" si="45"/>
        <v>FA Organic</v>
      </c>
      <c r="B208" s="95" t="s">
        <v>961</v>
      </c>
      <c r="C208" s="95" t="s">
        <v>1126</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4.3583986007697799E-2</v>
      </c>
      <c r="U208" s="22">
        <f t="shared" si="55"/>
        <v>4.3563281427289505E-2</v>
      </c>
      <c r="V208" s="22">
        <f t="shared" si="55"/>
        <v>4.3551868328238041E-2</v>
      </c>
      <c r="W208" s="22">
        <f t="shared" si="55"/>
        <v>4.3547438906159849E-2</v>
      </c>
      <c r="X208" s="22">
        <f t="shared" si="55"/>
        <v>4.3542661406213816E-2</v>
      </c>
      <c r="Y208" s="22">
        <f t="shared" si="55"/>
        <v>4.3536053045189142E-2</v>
      </c>
      <c r="Z208" s="22">
        <f t="shared" si="55"/>
        <v>4.3527721211016876E-2</v>
      </c>
      <c r="AA208" s="22">
        <f t="shared" si="54"/>
        <v>4.3518612820822526E-2</v>
      </c>
      <c r="AB208" s="22">
        <f t="shared" si="54"/>
        <v>4.3508507125503047E-2</v>
      </c>
      <c r="AC208" s="22">
        <f t="shared" si="54"/>
        <v>4.349670534141023E-2</v>
      </c>
      <c r="AD208" s="22">
        <f t="shared" si="54"/>
        <v>4.3483374510920013E-2</v>
      </c>
      <c r="AE208" s="22">
        <f t="shared" si="54"/>
        <v>4.3469251856782874E-2</v>
      </c>
      <c r="AF208" s="22">
        <f t="shared" si="54"/>
        <v>4.3454419873445269E-2</v>
      </c>
      <c r="AG208" s="22">
        <f t="shared" si="54"/>
        <v>4.3439274944186416E-2</v>
      </c>
      <c r="AH208" s="22">
        <f t="shared" si="54"/>
        <v>4.3423692560285852E-2</v>
      </c>
      <c r="AI208" s="22">
        <f t="shared" si="54"/>
        <v>4.3407864025309932E-2</v>
      </c>
      <c r="AJ208" s="22">
        <f t="shared" si="54"/>
        <v>4.3392370348255375E-2</v>
      </c>
      <c r="AK208" s="22">
        <f t="shared" si="54"/>
        <v>4.3376414107022157E-2</v>
      </c>
      <c r="AL208" s="22">
        <f t="shared" si="54"/>
        <v>4.336052953722639E-2</v>
      </c>
      <c r="AM208" s="22">
        <f t="shared" si="54"/>
        <v>4.3344758587571364E-2</v>
      </c>
      <c r="AN208" s="22">
        <f t="shared" si="54"/>
        <v>4.3328880030061849E-2</v>
      </c>
      <c r="AO208" s="22">
        <f t="shared" si="54"/>
        <v>4.3313443481251802E-2</v>
      </c>
      <c r="AP208" s="22">
        <f t="shared" si="54"/>
        <v>4.3297707516455515E-2</v>
      </c>
      <c r="AQ208" s="22">
        <f t="shared" si="54"/>
        <v>4.3281445359473161E-2</v>
      </c>
      <c r="AR208" s="22">
        <f t="shared" si="54"/>
        <v>4.3265120893169952E-2</v>
      </c>
      <c r="AS208" s="22">
        <f t="shared" si="54"/>
        <v>4.324872126301546E-2</v>
      </c>
      <c r="AT208" s="22">
        <f t="shared" si="54"/>
        <v>4.3231814730611481E-2</v>
      </c>
      <c r="AU208" s="22">
        <f t="shared" si="54"/>
        <v>4.3214584452618394E-2</v>
      </c>
      <c r="AV208" s="22">
        <f t="shared" si="54"/>
        <v>4.3197153606931347E-2</v>
      </c>
      <c r="AW208" s="22">
        <f t="shared" si="54"/>
        <v>4.3179279878775449E-2</v>
      </c>
      <c r="AY208" s="79"/>
    </row>
    <row r="209" spans="1:51" x14ac:dyDescent="0.25">
      <c r="A209" s="95" t="str">
        <f t="shared" si="45"/>
        <v>FA Crop residues</v>
      </c>
      <c r="B209" s="95" t="s">
        <v>961</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2.9705633438591348</v>
      </c>
      <c r="U209" s="22">
        <f t="shared" si="54"/>
        <v>2.9939833213378622</v>
      </c>
      <c r="V209" s="22">
        <f t="shared" si="54"/>
        <v>3.0068932435616724</v>
      </c>
      <c r="W209" s="22">
        <f t="shared" si="54"/>
        <v>3.0119035824948748</v>
      </c>
      <c r="X209" s="22">
        <f t="shared" si="54"/>
        <v>3.0173076495628459</v>
      </c>
      <c r="Y209" s="22">
        <f t="shared" si="54"/>
        <v>3.0247826943750078</v>
      </c>
      <c r="Z209" s="22">
        <f t="shared" si="54"/>
        <v>3.0342072451180488</v>
      </c>
      <c r="AA209" s="22">
        <f t="shared" si="54"/>
        <v>3.0445101968810144</v>
      </c>
      <c r="AB209" s="22">
        <f t="shared" si="54"/>
        <v>3.0559412499196137</v>
      </c>
      <c r="AC209" s="22">
        <f t="shared" si="54"/>
        <v>3.0692908330655531</v>
      </c>
      <c r="AD209" s="22">
        <f t="shared" si="54"/>
        <v>3.0843699964051159</v>
      </c>
      <c r="AE209" s="22">
        <f t="shared" si="54"/>
        <v>3.1003448307320856</v>
      </c>
      <c r="AF209" s="22">
        <f t="shared" si="54"/>
        <v>3.1171220224878007</v>
      </c>
      <c r="AG209" s="22">
        <f t="shared" si="54"/>
        <v>3.1342532028915815</v>
      </c>
      <c r="AH209" s="22">
        <f t="shared" si="54"/>
        <v>3.1518792099305966</v>
      </c>
      <c r="AI209" s="22">
        <f t="shared" si="54"/>
        <v>3.1697836506556398</v>
      </c>
      <c r="AJ209" s="22">
        <f t="shared" si="54"/>
        <v>3.1873093169828417</v>
      </c>
      <c r="AK209" s="22">
        <f t="shared" si="54"/>
        <v>3.2053582125874849</v>
      </c>
      <c r="AL209" s="22">
        <f t="shared" si="54"/>
        <v>3.2233260370755845</v>
      </c>
      <c r="AM209" s="22">
        <f t="shared" si="54"/>
        <v>3.2411653401889731</v>
      </c>
      <c r="AN209" s="22">
        <f t="shared" si="54"/>
        <v>3.2591263638820034</v>
      </c>
      <c r="AO209" s="22">
        <f t="shared" si="54"/>
        <v>3.2765874096193026</v>
      </c>
      <c r="AP209" s="22">
        <f t="shared" si="54"/>
        <v>3.294387139624336</v>
      </c>
      <c r="AQ209" s="22">
        <f t="shared" si="54"/>
        <v>3.3127820717007999</v>
      </c>
      <c r="AR209" s="22">
        <f t="shared" si="54"/>
        <v>3.3312474849395168</v>
      </c>
      <c r="AS209" s="22">
        <f t="shared" si="54"/>
        <v>3.3497979197372052</v>
      </c>
      <c r="AT209" s="22">
        <f t="shared" si="54"/>
        <v>3.3689217368026219</v>
      </c>
      <c r="AU209" s="22">
        <f t="shared" si="54"/>
        <v>3.3884117585559377</v>
      </c>
      <c r="AV209" s="22">
        <f t="shared" si="54"/>
        <v>3.4081286523724397</v>
      </c>
      <c r="AW209" s="22">
        <f t="shared" si="54"/>
        <v>3.4283465125085661</v>
      </c>
      <c r="AY209" s="79"/>
    </row>
    <row r="210" spans="1:51" x14ac:dyDescent="0.25">
      <c r="A210" s="95" t="str">
        <f t="shared" si="45"/>
        <v>FA Organic</v>
      </c>
      <c r="B210" s="95" t="s">
        <v>961</v>
      </c>
      <c r="C210" s="95" t="s">
        <v>1126</v>
      </c>
      <c r="D210" t="s">
        <v>369</v>
      </c>
      <c r="E210" t="s">
        <v>55</v>
      </c>
      <c r="F210" t="s">
        <v>421</v>
      </c>
      <c r="G210" t="s">
        <v>1151</v>
      </c>
      <c r="H210" t="s">
        <v>1152</v>
      </c>
      <c r="I210" t="s">
        <v>139</v>
      </c>
      <c r="J210" t="s">
        <v>287</v>
      </c>
      <c r="K210" s="22">
        <f t="shared" si="55"/>
        <v>0.31878106382562998</v>
      </c>
      <c r="L210" s="22">
        <f t="shared" si="54"/>
        <v>0.32056321299147922</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0.32880601635823309</v>
      </c>
      <c r="S210" s="22">
        <f t="shared" si="54"/>
        <v>0.31930900968296799</v>
      </c>
      <c r="T210" s="22">
        <f t="shared" si="54"/>
        <v>0.32574821213897459</v>
      </c>
      <c r="U210" s="22">
        <f t="shared" si="54"/>
        <v>0.32894469179548952</v>
      </c>
      <c r="V210" s="22">
        <f t="shared" si="54"/>
        <v>0.32977948253414807</v>
      </c>
      <c r="W210" s="22">
        <f t="shared" si="54"/>
        <v>0.3309664569188206</v>
      </c>
      <c r="X210" s="22">
        <f t="shared" si="54"/>
        <v>0.33295820888491823</v>
      </c>
      <c r="Y210" s="22">
        <f t="shared" si="54"/>
        <v>0.33558938332727861</v>
      </c>
      <c r="Z210" s="22">
        <f t="shared" si="54"/>
        <v>0.33853527641770959</v>
      </c>
      <c r="AA210" s="22">
        <f t="shared" si="54"/>
        <v>0.34188866727508727</v>
      </c>
      <c r="AB210" s="22">
        <f t="shared" si="54"/>
        <v>0.34593707625098935</v>
      </c>
      <c r="AC210" s="22">
        <f t="shared" si="54"/>
        <v>0.35065698551445434</v>
      </c>
      <c r="AD210" s="22">
        <f t="shared" si="54"/>
        <v>0.35579420133815998</v>
      </c>
      <c r="AE210" s="22">
        <f t="shared" si="54"/>
        <v>0.36134408078222452</v>
      </c>
      <c r="AF210" s="22">
        <f t="shared" si="54"/>
        <v>0.36716578992310794</v>
      </c>
      <c r="AG210" s="22">
        <f t="shared" si="54"/>
        <v>0.37332444348551658</v>
      </c>
      <c r="AH210" s="22">
        <f t="shared" si="54"/>
        <v>0.37975671698066876</v>
      </c>
      <c r="AI210" s="22">
        <f t="shared" si="54"/>
        <v>0.38621474793846927</v>
      </c>
      <c r="AJ210" s="22">
        <f t="shared" si="54"/>
        <v>0.39306178454441848</v>
      </c>
      <c r="AK210" s="22">
        <f t="shared" si="54"/>
        <v>0.40005847527747412</v>
      </c>
      <c r="AL210" s="22">
        <f t="shared" si="54"/>
        <v>0.4071870252950287</v>
      </c>
      <c r="AM210" s="22">
        <f t="shared" si="54"/>
        <v>0.41456228412939544</v>
      </c>
      <c r="AN210" s="22">
        <f t="shared" si="54"/>
        <v>0.42190892307820843</v>
      </c>
      <c r="AO210" s="22">
        <f t="shared" si="54"/>
        <v>0.42960845898713129</v>
      </c>
      <c r="AP210" s="22">
        <f t="shared" si="54"/>
        <v>0.43780304574358431</v>
      </c>
      <c r="AQ210" s="22">
        <f t="shared" si="54"/>
        <v>0.44626036327894386</v>
      </c>
      <c r="AR210" s="22">
        <f t="shared" si="54"/>
        <v>0.45499571223112473</v>
      </c>
      <c r="AS210" s="22">
        <f t="shared" si="54"/>
        <v>0.46427790014777842</v>
      </c>
      <c r="AT210" s="22">
        <f t="shared" si="54"/>
        <v>0.4740288633200766</v>
      </c>
      <c r="AU210" s="22">
        <f t="shared" si="54"/>
        <v>0.48419829350388255</v>
      </c>
      <c r="AV210" s="22">
        <f t="shared" si="54"/>
        <v>0.49496943616318984</v>
      </c>
      <c r="AW210" s="22">
        <f t="shared" si="54"/>
        <v>0.50533326104983312</v>
      </c>
      <c r="AY210" s="79"/>
    </row>
    <row r="211" spans="1:51" x14ac:dyDescent="0.25">
      <c r="A211" s="95" t="str">
        <f t="shared" si="45"/>
        <v>FA Organic</v>
      </c>
      <c r="B211" s="95" t="s">
        <v>961</v>
      </c>
      <c r="C211" s="95" t="s">
        <v>1126</v>
      </c>
      <c r="D211" t="s">
        <v>369</v>
      </c>
      <c r="E211" t="s">
        <v>55</v>
      </c>
      <c r="F211" t="s">
        <v>421</v>
      </c>
      <c r="G211" t="s">
        <v>1153</v>
      </c>
      <c r="H211" t="s">
        <v>1154</v>
      </c>
      <c r="I211" t="s">
        <v>139</v>
      </c>
      <c r="J211" t="s">
        <v>287</v>
      </c>
      <c r="K211" s="22">
        <f t="shared" si="55"/>
        <v>0.93210651077804862</v>
      </c>
      <c r="L211" s="22">
        <f t="shared" si="54"/>
        <v>0.93731746283627526</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0.96141917889497153</v>
      </c>
      <c r="S211" s="22">
        <f t="shared" si="54"/>
        <v>0.93365020902993845</v>
      </c>
      <c r="T211" s="22">
        <f t="shared" si="54"/>
        <v>0.95247824875548714</v>
      </c>
      <c r="U211" s="22">
        <f t="shared" si="54"/>
        <v>0.96182466181920945</v>
      </c>
      <c r="V211" s="22">
        <f t="shared" si="54"/>
        <v>0.96426556553319687</v>
      </c>
      <c r="W211" s="22">
        <f t="shared" si="54"/>
        <v>0.96773624393172708</v>
      </c>
      <c r="X211" s="22">
        <f t="shared" si="54"/>
        <v>0.97356006844995502</v>
      </c>
      <c r="Y211" s="22">
        <f t="shared" si="54"/>
        <v>0.98125354559469047</v>
      </c>
      <c r="Z211" s="22">
        <f t="shared" si="54"/>
        <v>0.9898672508653048</v>
      </c>
      <c r="AA211" s="22">
        <f t="shared" si="54"/>
        <v>0.99967246769291085</v>
      </c>
      <c r="AB211" s="22">
        <f t="shared" si="54"/>
        <v>1.0115098971796095</v>
      </c>
      <c r="AC211" s="22">
        <f t="shared" si="54"/>
        <v>1.0253107738752334</v>
      </c>
      <c r="AD211" s="22">
        <f t="shared" si="54"/>
        <v>1.0403318427526722</v>
      </c>
      <c r="AE211" s="22">
        <f t="shared" si="54"/>
        <v>1.0565595279914524</v>
      </c>
      <c r="AF211" s="22">
        <f t="shared" si="54"/>
        <v>1.0735820353165477</v>
      </c>
      <c r="AG211" s="22">
        <f t="shared" si="54"/>
        <v>1.0915897582793135</v>
      </c>
      <c r="AH211" s="22">
        <f t="shared" si="54"/>
        <v>1.1103975379258981</v>
      </c>
      <c r="AI211" s="22">
        <f t="shared" si="54"/>
        <v>1.1292806316402249</v>
      </c>
      <c r="AJ211" s="22">
        <f t="shared" si="54"/>
        <v>1.1493011664968118</v>
      </c>
      <c r="AK211" s="22">
        <f t="shared" si="54"/>
        <v>1.1697592856457866</v>
      </c>
      <c r="AL211" s="22">
        <f t="shared" si="54"/>
        <v>1.190602957487612</v>
      </c>
      <c r="AM211" s="22">
        <f t="shared" si="54"/>
        <v>1.2121679986970451</v>
      </c>
      <c r="AN211" s="22">
        <f t="shared" si="54"/>
        <v>1.2336493561978465</v>
      </c>
      <c r="AO211" s="22">
        <f t="shared" si="54"/>
        <v>1.2561625740927527</v>
      </c>
      <c r="AP211" s="22">
        <f t="shared" si="54"/>
        <v>1.2801233061925847</v>
      </c>
      <c r="AQ211" s="22">
        <f t="shared" si="54"/>
        <v>1.3048522554087716</v>
      </c>
      <c r="AR211" s="22">
        <f t="shared" si="54"/>
        <v>1.3303941603592482</v>
      </c>
      <c r="AS211" s="22">
        <f t="shared" si="54"/>
        <v>1.3575350064545193</v>
      </c>
      <c r="AT211" s="22">
        <f t="shared" si="54"/>
        <v>1.3860465376922328</v>
      </c>
      <c r="AU211" s="22">
        <f t="shared" si="54"/>
        <v>1.4157816542373405</v>
      </c>
      <c r="AV211" s="22">
        <f t="shared" si="54"/>
        <v>1.4472761604692133</v>
      </c>
      <c r="AW211" s="22">
        <f t="shared" si="54"/>
        <v>1.4775796814421152</v>
      </c>
      <c r="AY211" s="79"/>
    </row>
    <row r="212" spans="1:51" x14ac:dyDescent="0.25">
      <c r="A212" s="95" t="str">
        <f t="shared" si="45"/>
        <v>FA Organic</v>
      </c>
      <c r="B212" s="95" t="s">
        <v>961</v>
      </c>
      <c r="C212" s="95" t="s">
        <v>1126</v>
      </c>
      <c r="D212" t="s">
        <v>369</v>
      </c>
      <c r="E212" t="s">
        <v>55</v>
      </c>
      <c r="F212" t="s">
        <v>421</v>
      </c>
      <c r="G212" t="s">
        <v>1155</v>
      </c>
      <c r="H212" t="s">
        <v>1156</v>
      </c>
      <c r="I212" t="s">
        <v>139</v>
      </c>
      <c r="J212" t="s">
        <v>287</v>
      </c>
      <c r="K212" s="22">
        <f t="shared" si="55"/>
        <v>4.9862442750846919E-2</v>
      </c>
      <c r="L212" s="22">
        <f t="shared" si="54"/>
        <v>5.0141199304605817E-2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5.1430505218981189E-2</v>
      </c>
      <c r="S212" s="22">
        <f t="shared" si="54"/>
        <v>4.9945021903357263E-2</v>
      </c>
      <c r="T212" s="22">
        <f t="shared" si="54"/>
        <v>5.0952215868929084E-2</v>
      </c>
      <c r="U212" s="22">
        <f t="shared" si="54"/>
        <v>5.1452196269158888E-2</v>
      </c>
      <c r="V212" s="22">
        <f t="shared" si="54"/>
        <v>5.1582770855101254E-2</v>
      </c>
      <c r="W212" s="22">
        <f t="shared" si="54"/>
        <v>5.1768432580400064E-2</v>
      </c>
      <c r="X212" s="22">
        <f t="shared" si="54"/>
        <v>5.2079974355157911E-2</v>
      </c>
      <c r="Y212" s="22">
        <f t="shared" si="54"/>
        <v>5.2491532003611736E-2</v>
      </c>
      <c r="Z212" s="22">
        <f t="shared" si="54"/>
        <v>5.2952316668199217E-2</v>
      </c>
      <c r="AA212" s="22">
        <f t="shared" si="54"/>
        <v>5.3476840482884362E-2</v>
      </c>
      <c r="AB212" s="22">
        <f t="shared" si="54"/>
        <v>5.4110076216432663E-2</v>
      </c>
      <c r="AC212" s="22">
        <f t="shared" si="54"/>
        <v>5.4848345304986328E-2</v>
      </c>
      <c r="AD212" s="22">
        <f t="shared" si="54"/>
        <v>5.5651887795353253E-2</v>
      </c>
      <c r="AE212" s="22">
        <f t="shared" si="54"/>
        <v>5.651997745768382E-2</v>
      </c>
      <c r="AF212" s="22">
        <f t="shared" si="54"/>
        <v>5.7430585620118969E-2</v>
      </c>
      <c r="AG212" s="22">
        <f t="shared" si="54"/>
        <v>5.8393897264143985E-2</v>
      </c>
      <c r="AH212" s="22">
        <f t="shared" si="54"/>
        <v>5.9400007429725336E-2</v>
      </c>
      <c r="AI212" s="22">
        <f t="shared" si="54"/>
        <v>6.0410146473281176E-2</v>
      </c>
      <c r="AJ212" s="22">
        <f t="shared" si="54"/>
        <v>6.1481132204616346E-2</v>
      </c>
      <c r="AK212" s="22">
        <f t="shared" si="54"/>
        <v>6.2575526228325351E-2</v>
      </c>
      <c r="AL212" s="22">
        <f t="shared" si="54"/>
        <v>6.3690545147207192E-2</v>
      </c>
      <c r="AM212" s="22">
        <f t="shared" si="54"/>
        <v>6.4844153259897494E-2</v>
      </c>
      <c r="AN212" s="22">
        <f t="shared" si="54"/>
        <v>6.5993284766017041E-2</v>
      </c>
      <c r="AO212" s="22">
        <f t="shared" si="54"/>
        <v>6.7197614985194512E-2</v>
      </c>
      <c r="AP212" s="22">
        <f t="shared" si="54"/>
        <v>6.8479379052692538E-2</v>
      </c>
      <c r="AQ212" s="22">
        <f t="shared" si="54"/>
        <v>6.9802238404411326E-2</v>
      </c>
      <c r="AR212" s="22">
        <f t="shared" si="54"/>
        <v>7.1168586304156845E-2</v>
      </c>
      <c r="AS212" s="22">
        <f t="shared" si="54"/>
        <v>7.2620468539702415E-2</v>
      </c>
      <c r="AT212" s="22">
        <f t="shared" si="54"/>
        <v>7.4145674701917505E-2</v>
      </c>
      <c r="AU212" s="22">
        <f t="shared" si="54"/>
        <v>7.5736335779032549E-2</v>
      </c>
      <c r="AV212" s="22">
        <f t="shared" si="54"/>
        <v>7.742111428427241E-2</v>
      </c>
      <c r="AW212" s="22">
        <f t="shared" si="54"/>
        <v>7.9042181793391189E-2</v>
      </c>
      <c r="AY212" s="79"/>
    </row>
    <row r="213" spans="1:51" x14ac:dyDescent="0.25">
      <c r="A213" s="95" t="str">
        <f t="shared" si="45"/>
        <v>FA Organic</v>
      </c>
      <c r="B213" s="95" t="s">
        <v>961</v>
      </c>
      <c r="C213" s="95" t="s">
        <v>1126</v>
      </c>
      <c r="D213" t="s">
        <v>369</v>
      </c>
      <c r="E213" t="s">
        <v>55</v>
      </c>
      <c r="F213" t="s">
        <v>421</v>
      </c>
      <c r="G213" t="s">
        <v>1157</v>
      </c>
      <c r="H213" t="s">
        <v>1158</v>
      </c>
      <c r="I213" t="s">
        <v>139</v>
      </c>
      <c r="J213" t="s">
        <v>287</v>
      </c>
      <c r="K213" s="22">
        <f t="shared" si="55"/>
        <v>0.39999978998352292</v>
      </c>
      <c r="L213" s="22">
        <f t="shared" si="54"/>
        <v>0.39653071954810187</v>
      </c>
      <c r="M213" s="22">
        <f t="shared" si="54"/>
        <v>0.39521014945095007</v>
      </c>
      <c r="N213" s="22">
        <f t="shared" si="54"/>
        <v>0.38993263522397309</v>
      </c>
      <c r="O213" s="22">
        <f t="shared" si="54"/>
        <v>0.38227219443770077</v>
      </c>
      <c r="P213" s="22">
        <f t="shared" si="54"/>
        <v>0.37238723301511378</v>
      </c>
      <c r="Q213" s="22">
        <f t="shared" si="54"/>
        <v>0.36459067483623875</v>
      </c>
      <c r="R213" s="22">
        <f t="shared" si="54"/>
        <v>0.3572142444544395</v>
      </c>
      <c r="S213" s="22">
        <f t="shared" si="54"/>
        <v>0.31897606543396184</v>
      </c>
      <c r="T213" s="22">
        <f t="shared" si="54"/>
        <v>0.33422640738749132</v>
      </c>
      <c r="U213" s="22">
        <f t="shared" si="54"/>
        <v>0.3395060787066792</v>
      </c>
      <c r="V213" s="22">
        <f t="shared" si="54"/>
        <v>0.33721330134407257</v>
      </c>
      <c r="W213" s="22">
        <f t="shared" si="54"/>
        <v>0.33534828840095249</v>
      </c>
      <c r="X213" s="22">
        <f t="shared" si="54"/>
        <v>0.33547079917503503</v>
      </c>
      <c r="Y213" s="22">
        <f t="shared" si="54"/>
        <v>0.33744070936588777</v>
      </c>
      <c r="Z213" s="22">
        <f t="shared" si="54"/>
        <v>0.34023587672815686</v>
      </c>
      <c r="AA213" s="22">
        <f t="shared" si="54"/>
        <v>0.34408144868680218</v>
      </c>
      <c r="AB213" s="22">
        <f t="shared" si="54"/>
        <v>0.34971445697084458</v>
      </c>
      <c r="AC213" s="22">
        <f t="shared" si="54"/>
        <v>0.35697581238959336</v>
      </c>
      <c r="AD213" s="22">
        <f t="shared" si="54"/>
        <v>0.36203839361176637</v>
      </c>
      <c r="AE213" s="22">
        <f t="shared" si="54"/>
        <v>0.36769900977315834</v>
      </c>
      <c r="AF213" s="22">
        <f t="shared" si="54"/>
        <v>0.37353106948354631</v>
      </c>
      <c r="AG213" s="22">
        <f t="shared" si="54"/>
        <v>0.37966412521229187</v>
      </c>
      <c r="AH213" s="22">
        <f t="shared" si="54"/>
        <v>0.38588904144354591</v>
      </c>
      <c r="AI213" s="22">
        <f t="shared" si="54"/>
        <v>0.39157349610813613</v>
      </c>
      <c r="AJ213" s="22">
        <f t="shared" si="54"/>
        <v>0.39756955250590403</v>
      </c>
      <c r="AK213" s="22">
        <f t="shared" si="54"/>
        <v>0.40329410820183131</v>
      </c>
      <c r="AL213" s="22">
        <f t="shared" si="54"/>
        <v>0.4086920134239358</v>
      </c>
      <c r="AM213" s="22">
        <f t="shared" si="54"/>
        <v>0.41399400883192944</v>
      </c>
      <c r="AN213" s="22">
        <f t="shared" si="54"/>
        <v>0.42072674060954357</v>
      </c>
      <c r="AO213" s="22">
        <f t="shared" si="54"/>
        <v>0.42769047193917231</v>
      </c>
      <c r="AP213" s="22">
        <f t="shared" si="54"/>
        <v>0.43513827260891708</v>
      </c>
      <c r="AQ213" s="22">
        <f t="shared" si="54"/>
        <v>0.44255709633783841</v>
      </c>
      <c r="AR213" s="22">
        <f t="shared" si="54"/>
        <v>0.44995657231615971</v>
      </c>
      <c r="AS213" s="22">
        <f t="shared" si="54"/>
        <v>0.45782299471336541</v>
      </c>
      <c r="AT213" s="22">
        <f t="shared" si="54"/>
        <v>0.46595268200970025</v>
      </c>
      <c r="AU213" s="22">
        <f t="shared" si="54"/>
        <v>0.47420429180526752</v>
      </c>
      <c r="AV213" s="22">
        <f t="shared" si="54"/>
        <v>0.48285863154123199</v>
      </c>
      <c r="AW213" s="22">
        <f t="shared" si="54"/>
        <v>0.4901142188549843</v>
      </c>
      <c r="AY213" s="79"/>
    </row>
    <row r="214" spans="1:51" x14ac:dyDescent="0.25">
      <c r="A214" s="95" t="str">
        <f t="shared" si="45"/>
        <v>FA Organic</v>
      </c>
      <c r="B214" s="95" t="s">
        <v>961</v>
      </c>
      <c r="C214" s="95" t="s">
        <v>1126</v>
      </c>
      <c r="D214" t="s">
        <v>369</v>
      </c>
      <c r="E214" t="s">
        <v>55</v>
      </c>
      <c r="F214" t="s">
        <v>421</v>
      </c>
      <c r="G214" t="s">
        <v>1159</v>
      </c>
      <c r="H214" t="s">
        <v>1160</v>
      </c>
      <c r="I214" t="s">
        <v>139</v>
      </c>
      <c r="J214" t="s">
        <v>287</v>
      </c>
      <c r="K214" s="22">
        <f t="shared" si="55"/>
        <v>2.6602988559851233</v>
      </c>
      <c r="L214" s="22">
        <f t="shared" si="54"/>
        <v>2.6372269335947083</v>
      </c>
      <c r="M214" s="22">
        <f t="shared" si="54"/>
        <v>2.6284441511866339</v>
      </c>
      <c r="N214" s="22">
        <f t="shared" si="54"/>
        <v>2.5933447201068058</v>
      </c>
      <c r="O214" s="22">
        <f t="shared" si="54"/>
        <v>2.5423970387070192</v>
      </c>
      <c r="P214" s="22">
        <f t="shared" ref="L214:AW220" si="56">P1470</f>
        <v>2.4766546252796311</v>
      </c>
      <c r="Q214" s="22">
        <f t="shared" si="56"/>
        <v>2.4248016610449818</v>
      </c>
      <c r="R214" s="22">
        <f t="shared" si="56"/>
        <v>2.3757428620222045</v>
      </c>
      <c r="S214" s="22">
        <f t="shared" si="56"/>
        <v>2.1214302687397906</v>
      </c>
      <c r="T214" s="22">
        <f t="shared" si="56"/>
        <v>2.2228564901236254</v>
      </c>
      <c r="U214" s="22">
        <f t="shared" si="56"/>
        <v>2.2579702674858382</v>
      </c>
      <c r="V214" s="22">
        <f t="shared" si="56"/>
        <v>2.2427215769927198</v>
      </c>
      <c r="W214" s="22">
        <f t="shared" si="56"/>
        <v>2.230317840982798</v>
      </c>
      <c r="X214" s="22">
        <f t="shared" si="56"/>
        <v>2.2311326295909391</v>
      </c>
      <c r="Y214" s="22">
        <f t="shared" si="56"/>
        <v>2.2442340110375012</v>
      </c>
      <c r="Z214" s="22">
        <f t="shared" si="56"/>
        <v>2.2628239721383245</v>
      </c>
      <c r="AA214" s="22">
        <f t="shared" si="56"/>
        <v>2.2883999122722289</v>
      </c>
      <c r="AB214" s="22">
        <f t="shared" si="56"/>
        <v>2.3258636456767143</v>
      </c>
      <c r="AC214" s="22">
        <f t="shared" si="56"/>
        <v>2.3741571098162688</v>
      </c>
      <c r="AD214" s="22">
        <f t="shared" si="56"/>
        <v>2.4078270750785844</v>
      </c>
      <c r="AE214" s="22">
        <f t="shared" si="56"/>
        <v>2.4454744215907969</v>
      </c>
      <c r="AF214" s="22">
        <f t="shared" si="56"/>
        <v>2.4842619963948258</v>
      </c>
      <c r="AG214" s="22">
        <f t="shared" si="56"/>
        <v>2.5250514206581411</v>
      </c>
      <c r="AH214" s="22">
        <f t="shared" si="56"/>
        <v>2.5664517862165597</v>
      </c>
      <c r="AI214" s="22">
        <f t="shared" si="56"/>
        <v>2.6042576766689809</v>
      </c>
      <c r="AJ214" s="22">
        <f t="shared" si="56"/>
        <v>2.6441359525452293</v>
      </c>
      <c r="AK214" s="22">
        <f t="shared" si="56"/>
        <v>2.6822085449571547</v>
      </c>
      <c r="AL214" s="22">
        <f t="shared" si="56"/>
        <v>2.7181086665238992</v>
      </c>
      <c r="AM214" s="22">
        <f t="shared" si="56"/>
        <v>2.7533709158338433</v>
      </c>
      <c r="AN214" s="22">
        <f t="shared" si="56"/>
        <v>2.7981486359580932</v>
      </c>
      <c r="AO214" s="22">
        <f t="shared" si="56"/>
        <v>2.8444626764988703</v>
      </c>
      <c r="AP214" s="22">
        <f t="shared" si="56"/>
        <v>2.8939961415092981</v>
      </c>
      <c r="AQ214" s="22">
        <f t="shared" si="56"/>
        <v>2.9433368881122353</v>
      </c>
      <c r="AR214" s="22">
        <f t="shared" si="56"/>
        <v>2.9925489576506421</v>
      </c>
      <c r="AS214" s="22">
        <f t="shared" si="56"/>
        <v>3.0448665713794991</v>
      </c>
      <c r="AT214" s="22">
        <f t="shared" si="56"/>
        <v>3.0989350943025911</v>
      </c>
      <c r="AU214" s="22">
        <f t="shared" si="56"/>
        <v>3.1538144933644965</v>
      </c>
      <c r="AV214" s="22">
        <f t="shared" si="56"/>
        <v>3.211372348831973</v>
      </c>
      <c r="AW214" s="22">
        <f t="shared" si="56"/>
        <v>3.2596274507435776</v>
      </c>
      <c r="AY214" s="79"/>
    </row>
    <row r="215" spans="1:51" x14ac:dyDescent="0.25">
      <c r="A215" s="95" t="str">
        <f t="shared" si="45"/>
        <v>FA Organic</v>
      </c>
      <c r="B215" s="95" t="s">
        <v>961</v>
      </c>
      <c r="C215" s="95" t="s">
        <v>1126</v>
      </c>
      <c r="D215" t="s">
        <v>369</v>
      </c>
      <c r="E215" t="s">
        <v>55</v>
      </c>
      <c r="F215" t="s">
        <v>421</v>
      </c>
      <c r="G215" t="s">
        <v>1161</v>
      </c>
      <c r="H215" t="s">
        <v>1162</v>
      </c>
      <c r="I215" t="s">
        <v>139</v>
      </c>
      <c r="J215" t="s">
        <v>287</v>
      </c>
      <c r="K215" s="22">
        <f t="shared" si="55"/>
        <v>0.34358078636628725</v>
      </c>
      <c r="L215" s="22">
        <f t="shared" si="56"/>
        <v>0.35516571939691488</v>
      </c>
      <c r="M215" s="22">
        <f t="shared" si="56"/>
        <v>0.36891582276573964</v>
      </c>
      <c r="N215" s="22">
        <f t="shared" si="56"/>
        <v>0.37917034791782084</v>
      </c>
      <c r="O215" s="22">
        <f t="shared" si="56"/>
        <v>0.3870785095581884</v>
      </c>
      <c r="P215" s="22">
        <f t="shared" si="56"/>
        <v>0.39252728601928993</v>
      </c>
      <c r="Q215" s="22">
        <f t="shared" si="56"/>
        <v>0.39996713645364929</v>
      </c>
      <c r="R215" s="22">
        <f t="shared" si="56"/>
        <v>0.40776627193753145</v>
      </c>
      <c r="S215" s="22">
        <f t="shared" si="56"/>
        <v>0.37883271565803223</v>
      </c>
      <c r="T215" s="22">
        <f t="shared" si="56"/>
        <v>0.40650829214497081</v>
      </c>
      <c r="U215" s="22">
        <f t="shared" si="56"/>
        <v>0.42274175542300491</v>
      </c>
      <c r="V215" s="22">
        <f t="shared" si="56"/>
        <v>0.42973734716787138</v>
      </c>
      <c r="W215" s="22">
        <f t="shared" si="56"/>
        <v>0.43726842004421129</v>
      </c>
      <c r="X215" s="22">
        <f t="shared" si="56"/>
        <v>0.44745878466388073</v>
      </c>
      <c r="Y215" s="22">
        <f t="shared" si="56"/>
        <v>0.46030289933226931</v>
      </c>
      <c r="Z215" s="22">
        <f t="shared" si="56"/>
        <v>0.47455223837766919</v>
      </c>
      <c r="AA215" s="22">
        <f t="shared" si="56"/>
        <v>0.4906141484694207</v>
      </c>
      <c r="AB215" s="22">
        <f t="shared" si="56"/>
        <v>0.50967264018855052</v>
      </c>
      <c r="AC215" s="22">
        <f t="shared" si="56"/>
        <v>0.53167442702617229</v>
      </c>
      <c r="AD215" s="22">
        <f t="shared" si="56"/>
        <v>0.55709637533943834</v>
      </c>
      <c r="AE215" s="22">
        <f t="shared" si="56"/>
        <v>0.58460645913698228</v>
      </c>
      <c r="AF215" s="22">
        <f t="shared" si="56"/>
        <v>0.61366166383859366</v>
      </c>
      <c r="AG215" s="22">
        <f t="shared" si="56"/>
        <v>0.64458089754098746</v>
      </c>
      <c r="AH215" s="22">
        <f t="shared" si="56"/>
        <v>0.67712551028517698</v>
      </c>
      <c r="AI215" s="22">
        <f t="shared" si="56"/>
        <v>0.71024940806884818</v>
      </c>
      <c r="AJ215" s="22">
        <f t="shared" si="56"/>
        <v>0.74554239669460731</v>
      </c>
      <c r="AK215" s="22">
        <f t="shared" si="56"/>
        <v>0.78202811985737553</v>
      </c>
      <c r="AL215" s="22">
        <f t="shared" si="56"/>
        <v>0.81964634511188172</v>
      </c>
      <c r="AM215" s="22">
        <f t="shared" si="56"/>
        <v>0.85891861421537574</v>
      </c>
      <c r="AN215" s="22">
        <f t="shared" si="56"/>
        <v>0.89751581296509064</v>
      </c>
      <c r="AO215" s="22">
        <f t="shared" si="56"/>
        <v>0.93820295986961577</v>
      </c>
      <c r="AP215" s="22">
        <f t="shared" si="56"/>
        <v>0.98167178661912335</v>
      </c>
      <c r="AQ215" s="22">
        <f t="shared" si="56"/>
        <v>1.0269093365438573</v>
      </c>
      <c r="AR215" s="22">
        <f t="shared" si="56"/>
        <v>1.0740254053264544</v>
      </c>
      <c r="AS215" s="22">
        <f t="shared" si="56"/>
        <v>1.1243087675322185</v>
      </c>
      <c r="AT215" s="22">
        <f t="shared" si="56"/>
        <v>1.1774495119019792</v>
      </c>
      <c r="AU215" s="22">
        <f t="shared" si="56"/>
        <v>1.2332540246283563</v>
      </c>
      <c r="AV215" s="22">
        <f t="shared" si="56"/>
        <v>1.2926278816392183</v>
      </c>
      <c r="AW215" s="22">
        <f t="shared" si="56"/>
        <v>1.3508373812373191</v>
      </c>
      <c r="AY215" s="79"/>
    </row>
    <row r="216" spans="1:51" x14ac:dyDescent="0.25">
      <c r="A216" s="95" t="str">
        <f t="shared" si="45"/>
        <v>FA Organic</v>
      </c>
      <c r="B216" s="95" t="s">
        <v>961</v>
      </c>
      <c r="C216" s="95" t="s">
        <v>1126</v>
      </c>
      <c r="D216" t="s">
        <v>369</v>
      </c>
      <c r="E216" t="s">
        <v>55</v>
      </c>
      <c r="F216" t="s">
        <v>421</v>
      </c>
      <c r="G216" t="s">
        <v>1163</v>
      </c>
      <c r="H216" t="s">
        <v>1164</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5.9206646241484272E-2</v>
      </c>
      <c r="T216" s="22">
        <f t="shared" si="56"/>
        <v>5.9249261961011081E-2</v>
      </c>
      <c r="U216" s="22">
        <f t="shared" si="56"/>
        <v>5.9234279181673045E-2</v>
      </c>
      <c r="V216" s="22">
        <f t="shared" si="56"/>
        <v>5.9233200541063784E-2</v>
      </c>
      <c r="W216" s="22">
        <f t="shared" si="56"/>
        <v>5.9296029757579687E-2</v>
      </c>
      <c r="X216" s="22">
        <f t="shared" si="56"/>
        <v>5.9398855559527265E-2</v>
      </c>
      <c r="Y216" s="22">
        <f t="shared" si="56"/>
        <v>5.9497518057295966E-2</v>
      </c>
      <c r="Z216" s="22">
        <f t="shared" si="56"/>
        <v>5.9592335556578689E-2</v>
      </c>
      <c r="AA216" s="22">
        <f t="shared" si="56"/>
        <v>5.9683178655916949E-2</v>
      </c>
      <c r="AB216" s="22">
        <f t="shared" si="56"/>
        <v>5.9771940504679918E-2</v>
      </c>
      <c r="AC216" s="22">
        <f t="shared" si="56"/>
        <v>5.9859917680633305E-2</v>
      </c>
      <c r="AD216" s="22">
        <f t="shared" si="56"/>
        <v>5.994622744604354E-2</v>
      </c>
      <c r="AE216" s="22">
        <f t="shared" si="56"/>
        <v>6.0032110794538678E-2</v>
      </c>
      <c r="AF216" s="22">
        <f t="shared" si="56"/>
        <v>6.0117297176971563E-2</v>
      </c>
      <c r="AG216" s="22">
        <f t="shared" si="56"/>
        <v>6.0201104026504609E-2</v>
      </c>
      <c r="AH216" s="22">
        <f t="shared" si="56"/>
        <v>6.0283900321551377E-2</v>
      </c>
      <c r="AI216" s="22">
        <f t="shared" si="56"/>
        <v>6.0365774417580641E-2</v>
      </c>
      <c r="AJ216" s="22">
        <f t="shared" si="56"/>
        <v>6.0447004272429113E-2</v>
      </c>
      <c r="AK216" s="22">
        <f t="shared" si="56"/>
        <v>6.0525104414191039E-2</v>
      </c>
      <c r="AL216" s="22">
        <f t="shared" si="56"/>
        <v>6.0599983467265146E-2</v>
      </c>
      <c r="AM216" s="22">
        <f t="shared" si="56"/>
        <v>6.0672341257529266E-2</v>
      </c>
      <c r="AN216" s="22">
        <f t="shared" si="56"/>
        <v>6.0741620622323307E-2</v>
      </c>
      <c r="AO216" s="22">
        <f t="shared" si="56"/>
        <v>6.0807947239837602E-2</v>
      </c>
      <c r="AP216" s="22">
        <f t="shared" si="56"/>
        <v>6.0871022373773183E-2</v>
      </c>
      <c r="AQ216" s="22">
        <f t="shared" si="56"/>
        <v>6.0929943414023247E-2</v>
      </c>
      <c r="AR216" s="22">
        <f t="shared" si="56"/>
        <v>6.098387393162142E-2</v>
      </c>
      <c r="AS216" s="22">
        <f t="shared" si="56"/>
        <v>6.1032759441621343E-2</v>
      </c>
      <c r="AT216" s="22">
        <f t="shared" si="56"/>
        <v>6.1076225850700765E-2</v>
      </c>
      <c r="AU216" s="22">
        <f t="shared" si="56"/>
        <v>6.1114252195612971E-2</v>
      </c>
      <c r="AV216" s="22">
        <f t="shared" si="56"/>
        <v>6.1147566184616489E-2</v>
      </c>
      <c r="AW216" s="22">
        <f t="shared" si="56"/>
        <v>6.1171840771151238E-2</v>
      </c>
      <c r="AY216" s="79"/>
    </row>
    <row r="217" spans="1:51" x14ac:dyDescent="0.25">
      <c r="A217" s="95" t="str">
        <f t="shared" si="45"/>
        <v>FA Organic</v>
      </c>
      <c r="B217" s="95" t="s">
        <v>961</v>
      </c>
      <c r="C217" s="95" t="s">
        <v>1126</v>
      </c>
      <c r="D217" t="s">
        <v>369</v>
      </c>
      <c r="E217" t="s">
        <v>55</v>
      </c>
      <c r="F217" t="s">
        <v>421</v>
      </c>
      <c r="G217" t="s">
        <v>1165</v>
      </c>
      <c r="H217" t="s">
        <v>1166</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4.8186162011392024E-2</v>
      </c>
      <c r="T217" s="22">
        <f t="shared" si="56"/>
        <v>4.8220845414281899E-2</v>
      </c>
      <c r="U217" s="22">
        <f t="shared" si="56"/>
        <v>4.8208651468527576E-2</v>
      </c>
      <c r="V217" s="22">
        <f t="shared" si="56"/>
        <v>4.8207773601692518E-2</v>
      </c>
      <c r="W217" s="22">
        <f t="shared" si="56"/>
        <v>4.8258908043487037E-2</v>
      </c>
      <c r="X217" s="22">
        <f t="shared" si="56"/>
        <v>4.8342594269039987E-2</v>
      </c>
      <c r="Y217" s="22">
        <f t="shared" si="56"/>
        <v>4.8422892130914143E-2</v>
      </c>
      <c r="Z217" s="22">
        <f t="shared" si="56"/>
        <v>4.8500060686675887E-2</v>
      </c>
      <c r="AA217" s="22">
        <f t="shared" si="56"/>
        <v>4.8573994621127721E-2</v>
      </c>
      <c r="AB217" s="22">
        <f t="shared" si="56"/>
        <v>4.8646234700518105E-2</v>
      </c>
      <c r="AC217" s="22">
        <f t="shared" si="56"/>
        <v>4.8717836162902997E-2</v>
      </c>
      <c r="AD217" s="22">
        <f t="shared" si="56"/>
        <v>4.8788080579758822E-2</v>
      </c>
      <c r="AE217" s="22">
        <f t="shared" si="56"/>
        <v>4.8857977951209122E-2</v>
      </c>
      <c r="AF217" s="22">
        <f t="shared" si="56"/>
        <v>4.8927308087024161E-2</v>
      </c>
      <c r="AG217" s="22">
        <f t="shared" si="56"/>
        <v>4.8995515470580273E-2</v>
      </c>
      <c r="AH217" s="22">
        <f t="shared" si="56"/>
        <v>4.9062900400150392E-2</v>
      </c>
      <c r="AI217" s="22">
        <f t="shared" si="56"/>
        <v>4.9129534785075896E-2</v>
      </c>
      <c r="AJ217" s="22">
        <f t="shared" si="56"/>
        <v>4.9195644845252684E-2</v>
      </c>
      <c r="AK217" s="22">
        <f t="shared" si="56"/>
        <v>4.9259207744402629E-2</v>
      </c>
      <c r="AL217" s="22">
        <f t="shared" si="56"/>
        <v>4.9320149115207046E-2</v>
      </c>
      <c r="AM217" s="22">
        <f t="shared" si="56"/>
        <v>4.9379038520802346E-2</v>
      </c>
      <c r="AN217" s="22">
        <f t="shared" si="56"/>
        <v>4.9435422506519014E-2</v>
      </c>
      <c r="AO217" s="22">
        <f t="shared" si="56"/>
        <v>4.9489403357320404E-2</v>
      </c>
      <c r="AP217" s="22">
        <f t="shared" si="56"/>
        <v>4.9540737942466703E-2</v>
      </c>
      <c r="AQ217" s="22">
        <f t="shared" si="56"/>
        <v>4.9588691660023831E-2</v>
      </c>
      <c r="AR217" s="22">
        <f t="shared" si="56"/>
        <v>4.9632583770509955E-2</v>
      </c>
      <c r="AS217" s="22">
        <f t="shared" si="56"/>
        <v>4.9672369930584929E-2</v>
      </c>
      <c r="AT217" s="22">
        <f t="shared" si="56"/>
        <v>4.9707745679135391E-2</v>
      </c>
      <c r="AU217" s="22">
        <f t="shared" si="56"/>
        <v>4.9738693954928054E-2</v>
      </c>
      <c r="AV217" s="22">
        <f t="shared" si="56"/>
        <v>4.9765807013567136E-2</v>
      </c>
      <c r="AW217" s="22">
        <f t="shared" si="56"/>
        <v>4.9785563227333289E-2</v>
      </c>
      <c r="AY217" s="79"/>
    </row>
    <row r="218" spans="1:51" x14ac:dyDescent="0.25">
      <c r="A218" s="95" t="str">
        <f t="shared" si="45"/>
        <v>FA Organic</v>
      </c>
      <c r="B218" s="95" t="s">
        <v>961</v>
      </c>
      <c r="C218" s="95" t="s">
        <v>1126</v>
      </c>
      <c r="D218" t="s">
        <v>369</v>
      </c>
      <c r="E218" t="s">
        <v>55</v>
      </c>
      <c r="F218" t="s">
        <v>421</v>
      </c>
      <c r="G218" t="s">
        <v>1167</v>
      </c>
      <c r="H218" t="s">
        <v>1168</v>
      </c>
      <c r="I218" t="s">
        <v>139</v>
      </c>
      <c r="J218" t="s">
        <v>287</v>
      </c>
      <c r="K218" s="22">
        <f t="shared" si="55"/>
        <v>7.2140927380493743E-3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7.4155715935563127E-3</v>
      </c>
      <c r="R218" s="22">
        <f t="shared" si="56"/>
        <v>7.4643602602570466E-3</v>
      </c>
      <c r="S218" s="22">
        <f t="shared" si="56"/>
        <v>7.446057759840319E-3</v>
      </c>
      <c r="T218" s="22">
        <f t="shared" si="56"/>
        <v>7.4588575402652147E-3</v>
      </c>
      <c r="U218" s="22">
        <f t="shared" si="56"/>
        <v>7.4600996121267065E-3</v>
      </c>
      <c r="V218" s="22">
        <f t="shared" si="56"/>
        <v>7.4635145174609509E-3</v>
      </c>
      <c r="W218" s="22">
        <f t="shared" si="56"/>
        <v>7.478612742540797E-3</v>
      </c>
      <c r="X218" s="22">
        <f t="shared" si="56"/>
        <v>7.5008213874242727E-3</v>
      </c>
      <c r="Y218" s="22">
        <f t="shared" si="56"/>
        <v>7.521785176202795E-3</v>
      </c>
      <c r="Z218" s="22">
        <f t="shared" si="56"/>
        <v>7.5416026776079998E-3</v>
      </c>
      <c r="AA218" s="22">
        <f t="shared" si="56"/>
        <v>7.5602840353540396E-3</v>
      </c>
      <c r="AB218" s="22">
        <f t="shared" si="56"/>
        <v>7.5782158017585468E-3</v>
      </c>
      <c r="AC218" s="22">
        <f t="shared" si="56"/>
        <v>7.5956670242534503E-3</v>
      </c>
      <c r="AD218" s="22">
        <f t="shared" si="56"/>
        <v>7.6124952267758277E-3</v>
      </c>
      <c r="AE218" s="22">
        <f t="shared" si="56"/>
        <v>7.6289531687582885E-3</v>
      </c>
      <c r="AF218" s="22">
        <f t="shared" si="56"/>
        <v>7.6450086817527159E-3</v>
      </c>
      <c r="AG218" s="22">
        <f t="shared" si="56"/>
        <v>7.6605519051480614E-3</v>
      </c>
      <c r="AH218" s="22">
        <f t="shared" si="56"/>
        <v>7.6756674337729895E-3</v>
      </c>
      <c r="AI218" s="22">
        <f t="shared" si="56"/>
        <v>7.6903861453690046E-3</v>
      </c>
      <c r="AJ218" s="22">
        <f t="shared" si="56"/>
        <v>7.7047726653034906E-3</v>
      </c>
      <c r="AK218" s="22">
        <f t="shared" si="56"/>
        <v>7.7183809322326768E-3</v>
      </c>
      <c r="AL218" s="22">
        <f t="shared" si="56"/>
        <v>7.7312077295111602E-3</v>
      </c>
      <c r="AM218" s="22">
        <f t="shared" si="56"/>
        <v>7.7433943538670266E-3</v>
      </c>
      <c r="AN218" s="22">
        <f t="shared" si="56"/>
        <v>7.7548499619508725E-3</v>
      </c>
      <c r="AO218" s="22">
        <f t="shared" si="56"/>
        <v>7.7656086534531824E-3</v>
      </c>
      <c r="AP218" s="22">
        <f t="shared" si="56"/>
        <v>7.7756261682697366E-3</v>
      </c>
      <c r="AQ218" s="22">
        <f t="shared" si="56"/>
        <v>7.7847478814032966E-3</v>
      </c>
      <c r="AR218" s="22">
        <f t="shared" si="56"/>
        <v>7.7928317537802119E-3</v>
      </c>
      <c r="AS218" s="22">
        <f t="shared" si="56"/>
        <v>7.7998783369461555E-3</v>
      </c>
      <c r="AT218" s="22">
        <f t="shared" si="56"/>
        <v>7.8058297320024528E-3</v>
      </c>
      <c r="AU218" s="22">
        <f t="shared" si="56"/>
        <v>7.8106919749548918E-3</v>
      </c>
      <c r="AV218" s="22">
        <f t="shared" si="56"/>
        <v>7.8146060933627498E-3</v>
      </c>
      <c r="AW218" s="22">
        <f t="shared" si="56"/>
        <v>7.8167990100407609E-3</v>
      </c>
      <c r="AY218" s="79"/>
    </row>
    <row r="219" spans="1:51" x14ac:dyDescent="0.25">
      <c r="A219" s="95" t="str">
        <f t="shared" si="45"/>
        <v>FA Organic</v>
      </c>
      <c r="B219" s="95" t="s">
        <v>961</v>
      </c>
      <c r="C219" s="95" t="s">
        <v>1126</v>
      </c>
      <c r="D219" t="s">
        <v>369</v>
      </c>
      <c r="E219" t="s">
        <v>55</v>
      </c>
      <c r="F219" t="s">
        <v>421</v>
      </c>
      <c r="G219" t="s">
        <v>1169</v>
      </c>
      <c r="H219" t="s">
        <v>1170</v>
      </c>
      <c r="I219" t="s">
        <v>139</v>
      </c>
      <c r="J219" t="s">
        <v>287</v>
      </c>
      <c r="K219" s="22">
        <f t="shared" si="55"/>
        <v>8.7045671471293523E-2</v>
      </c>
      <c r="L219" s="22">
        <f t="shared" si="56"/>
        <v>8.7271948200639354E-2</v>
      </c>
      <c r="M219" s="22">
        <f t="shared" si="56"/>
        <v>8.7584088952434122E-2</v>
      </c>
      <c r="N219" s="22">
        <f t="shared" si="56"/>
        <v>8.7964358824768801E-2</v>
      </c>
      <c r="O219" s="22">
        <f t="shared" si="56"/>
        <v>8.8412215452112072E-2</v>
      </c>
      <c r="P219" s="22">
        <f t="shared" si="56"/>
        <v>8.8924932944132923E-2</v>
      </c>
      <c r="Q219" s="22">
        <f t="shared" si="56"/>
        <v>8.9476727309038565E-2</v>
      </c>
      <c r="R219" s="22">
        <f t="shared" si="56"/>
        <v>9.0065414259340087E-2</v>
      </c>
      <c r="S219" s="22">
        <f t="shared" si="56"/>
        <v>8.9844575202202001E-2</v>
      </c>
      <c r="T219" s="22">
        <f t="shared" si="56"/>
        <v>8.9999018113074689E-2</v>
      </c>
      <c r="U219" s="22">
        <f t="shared" si="56"/>
        <v>9.0014005025930557E-2</v>
      </c>
      <c r="V219" s="22">
        <f t="shared" si="56"/>
        <v>9.0055209476527981E-2</v>
      </c>
      <c r="W219" s="22">
        <f t="shared" si="56"/>
        <v>9.0237385557127583E-2</v>
      </c>
      <c r="X219" s="22">
        <f t="shared" si="56"/>
        <v>9.0505356385413932E-2</v>
      </c>
      <c r="Y219" s="22">
        <f t="shared" si="56"/>
        <v>9.0758306705997438E-2</v>
      </c>
      <c r="Z219" s="22">
        <f t="shared" si="56"/>
        <v>9.0997425855048733E-2</v>
      </c>
      <c r="AA219" s="22">
        <f t="shared" si="56"/>
        <v>9.122283622722524E-2</v>
      </c>
      <c r="AB219" s="22">
        <f t="shared" si="56"/>
        <v>9.1439201985751464E-2</v>
      </c>
      <c r="AC219" s="22">
        <f t="shared" si="56"/>
        <v>9.1649769472921652E-2</v>
      </c>
      <c r="AD219" s="22">
        <f t="shared" si="56"/>
        <v>9.1852819564097965E-2</v>
      </c>
      <c r="AE219" s="22">
        <f t="shared" si="56"/>
        <v>9.2051402069607366E-2</v>
      </c>
      <c r="AF219" s="22">
        <f t="shared" si="56"/>
        <v>9.224512884304413E-2</v>
      </c>
      <c r="AG219" s="22">
        <f t="shared" si="56"/>
        <v>9.2432674299750023E-2</v>
      </c>
      <c r="AH219" s="22">
        <f t="shared" si="56"/>
        <v>9.261505916595239E-2</v>
      </c>
      <c r="AI219" s="22">
        <f t="shared" si="56"/>
        <v>9.2792656014314204E-2</v>
      </c>
      <c r="AJ219" s="22">
        <f t="shared" si="56"/>
        <v>9.2966244618356883E-2</v>
      </c>
      <c r="AK219" s="22">
        <f t="shared" si="56"/>
        <v>9.3130442775411881E-2</v>
      </c>
      <c r="AL219" s="22">
        <f t="shared" si="56"/>
        <v>9.3285211673244717E-2</v>
      </c>
      <c r="AM219" s="22">
        <f t="shared" si="56"/>
        <v>9.3432256206569059E-2</v>
      </c>
      <c r="AN219" s="22">
        <f t="shared" si="56"/>
        <v>9.3570480254135169E-2</v>
      </c>
      <c r="AO219" s="22">
        <f t="shared" si="56"/>
        <v>9.3700295264833783E-2</v>
      </c>
      <c r="AP219" s="22">
        <f t="shared" si="56"/>
        <v>9.3821167193618646E-2</v>
      </c>
      <c r="AQ219" s="22">
        <f t="shared" si="56"/>
        <v>9.3931230326088647E-2</v>
      </c>
      <c r="AR219" s="22">
        <f t="shared" si="56"/>
        <v>9.4028770810344664E-2</v>
      </c>
      <c r="AS219" s="22">
        <f t="shared" si="56"/>
        <v>9.4113795301369402E-2</v>
      </c>
      <c r="AT219" s="22">
        <f t="shared" si="56"/>
        <v>9.4185605187612459E-2</v>
      </c>
      <c r="AU219" s="22">
        <f t="shared" si="56"/>
        <v>9.4244273299878237E-2</v>
      </c>
      <c r="AV219" s="22">
        <f t="shared" si="56"/>
        <v>9.429150128507352E-2</v>
      </c>
      <c r="AW219" s="22">
        <f t="shared" si="56"/>
        <v>9.4317961147962676E-2</v>
      </c>
      <c r="AY219" s="79"/>
    </row>
    <row r="220" spans="1:51" x14ac:dyDescent="0.25">
      <c r="A220" s="95" t="str">
        <f t="shared" si="45"/>
        <v>FA Organic</v>
      </c>
      <c r="B220" s="95" t="s">
        <v>961</v>
      </c>
      <c r="C220" s="95" t="s">
        <v>1126</v>
      </c>
      <c r="D220" t="s">
        <v>369</v>
      </c>
      <c r="E220" t="s">
        <v>55</v>
      </c>
      <c r="F220" t="s">
        <v>421</v>
      </c>
      <c r="G220" t="s">
        <v>1171</v>
      </c>
      <c r="H220" t="s">
        <v>1172</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5">
      <c r="A221" s="95" t="str">
        <f t="shared" si="45"/>
        <v>FA Organic</v>
      </c>
      <c r="B221" s="95" t="s">
        <v>961</v>
      </c>
      <c r="C221" s="95" t="s">
        <v>1126</v>
      </c>
      <c r="D221" t="s">
        <v>369</v>
      </c>
      <c r="E221" t="s">
        <v>55</v>
      </c>
      <c r="F221" t="s">
        <v>421</v>
      </c>
      <c r="G221" t="s">
        <v>1173</v>
      </c>
      <c r="H221" t="s">
        <v>1174</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5">
      <c r="A222" s="95" t="str">
        <f t="shared" si="45"/>
        <v>FA Organic</v>
      </c>
      <c r="B222" s="95" t="s">
        <v>961</v>
      </c>
      <c r="C222" s="95" t="s">
        <v>1126</v>
      </c>
      <c r="D222" t="s">
        <v>369</v>
      </c>
      <c r="E222" t="s">
        <v>55</v>
      </c>
      <c r="F222" t="s">
        <v>421</v>
      </c>
      <c r="G222" t="s">
        <v>1175</v>
      </c>
      <c r="H222" t="s">
        <v>1176</v>
      </c>
      <c r="I222" t="s">
        <v>139</v>
      </c>
      <c r="J222" t="s">
        <v>287</v>
      </c>
      <c r="K222" s="22">
        <f t="shared" si="55"/>
        <v>0.12462873299340151</v>
      </c>
      <c r="L222" s="22">
        <f t="shared" si="57"/>
        <v>0.12395129293471774</v>
      </c>
      <c r="M222" s="22">
        <f t="shared" si="57"/>
        <v>0.1240068951131099</v>
      </c>
      <c r="N222" s="22">
        <f t="shared" si="57"/>
        <v>0.12286841678965583</v>
      </c>
      <c r="O222" s="22">
        <f t="shared" si="57"/>
        <v>0.12100901910044995</v>
      </c>
      <c r="P222" s="22">
        <f t="shared" si="57"/>
        <v>0.11845842648899831</v>
      </c>
      <c r="Q222" s="22">
        <f t="shared" si="57"/>
        <v>0.11660641339960404</v>
      </c>
      <c r="R222" s="22">
        <f t="shared" si="57"/>
        <v>0.11491827863139022</v>
      </c>
      <c r="S222" s="22">
        <f t="shared" si="57"/>
        <v>0.10323336206469676</v>
      </c>
      <c r="T222" s="22">
        <f t="shared" si="57"/>
        <v>0.10789835358112609</v>
      </c>
      <c r="U222" s="22">
        <f t="shared" si="57"/>
        <v>0.10930872077776907</v>
      </c>
      <c r="V222" s="22">
        <f t="shared" si="57"/>
        <v>0.10822994982335406</v>
      </c>
      <c r="W222" s="22">
        <f t="shared" si="57"/>
        <v>0.10728117650505167</v>
      </c>
      <c r="X222" s="22">
        <f t="shared" si="57"/>
        <v>0.10698795772109922</v>
      </c>
      <c r="Y222" s="22">
        <f t="shared" si="57"/>
        <v>0.10732481606756347</v>
      </c>
      <c r="Z222" s="22">
        <f t="shared" si="57"/>
        <v>0.10795224800227457</v>
      </c>
      <c r="AA222" s="22">
        <f t="shared" si="57"/>
        <v>0.10894183514251574</v>
      </c>
      <c r="AB222" s="22">
        <f t="shared" si="57"/>
        <v>0.11053150962299221</v>
      </c>
      <c r="AC222" s="22">
        <f t="shared" si="57"/>
        <v>0.1126657694800189</v>
      </c>
      <c r="AD222" s="22">
        <f t="shared" si="57"/>
        <v>0.11509487827502032</v>
      </c>
      <c r="AE222" s="22">
        <f t="shared" si="57"/>
        <v>0.11779472217084282</v>
      </c>
      <c r="AF222" s="22">
        <f t="shared" si="57"/>
        <v>0.12063025387721567</v>
      </c>
      <c r="AG222" s="22">
        <f t="shared" si="57"/>
        <v>0.12365017099946446</v>
      </c>
      <c r="AH222" s="22">
        <f t="shared" si="57"/>
        <v>0.12678938256448105</v>
      </c>
      <c r="AI222" s="22">
        <f t="shared" si="57"/>
        <v>0.1298357658486077</v>
      </c>
      <c r="AJ222" s="22">
        <f t="shared" si="57"/>
        <v>0.13308363006040799</v>
      </c>
      <c r="AK222" s="22">
        <f t="shared" si="57"/>
        <v>0.13633797236037076</v>
      </c>
      <c r="AL222" s="22">
        <f t="shared" si="57"/>
        <v>0.1395817064491762</v>
      </c>
      <c r="AM222" s="22">
        <f t="shared" si="57"/>
        <v>0.1428987646619678</v>
      </c>
      <c r="AN222" s="22">
        <f t="shared" si="57"/>
        <v>0.14607463913609417</v>
      </c>
      <c r="AO222" s="22">
        <f t="shared" si="57"/>
        <v>0.14939800642693096</v>
      </c>
      <c r="AP222" s="22">
        <f t="shared" si="57"/>
        <v>0.15296466961282101</v>
      </c>
      <c r="AQ222" s="22">
        <f t="shared" si="57"/>
        <v>0.1565936649117094</v>
      </c>
      <c r="AR222" s="22">
        <f t="shared" si="57"/>
        <v>0.16029166396054106</v>
      </c>
      <c r="AS222" s="22">
        <f t="shared" si="57"/>
        <v>0.16424139864286944</v>
      </c>
      <c r="AT222" s="22">
        <f t="shared" si="57"/>
        <v>0.1683741087759702</v>
      </c>
      <c r="AU222" s="22">
        <f t="shared" si="57"/>
        <v>0.17264268700084681</v>
      </c>
      <c r="AV222" s="22">
        <f t="shared" si="57"/>
        <v>0.17715786251954191</v>
      </c>
      <c r="AW222" s="22">
        <f t="shared" si="57"/>
        <v>0.1812449136918291</v>
      </c>
      <c r="AY222" s="79"/>
    </row>
    <row r="223" spans="1:51" x14ac:dyDescent="0.25">
      <c r="A223" s="95" t="str">
        <f t="shared" si="45"/>
        <v>FA Organic</v>
      </c>
      <c r="B223" s="95" t="s">
        <v>961</v>
      </c>
      <c r="C223" s="95" t="s">
        <v>1126</v>
      </c>
      <c r="D223" t="s">
        <v>369</v>
      </c>
      <c r="E223" t="s">
        <v>55</v>
      </c>
      <c r="F223" t="s">
        <v>421</v>
      </c>
      <c r="G223" t="s">
        <v>1177</v>
      </c>
      <c r="H223" t="s">
        <v>1178</v>
      </c>
      <c r="I223" t="s">
        <v>139</v>
      </c>
      <c r="J223" t="s">
        <v>287</v>
      </c>
      <c r="K223" s="22">
        <f t="shared" si="55"/>
        <v>3.1618785484610064E-2</v>
      </c>
      <c r="L223" s="22">
        <f t="shared" si="57"/>
        <v>3.1446916354757493E-2</v>
      </c>
      <c r="M223" s="22">
        <f t="shared" si="57"/>
        <v>3.1461022839745605E-2</v>
      </c>
      <c r="N223" s="22">
        <f t="shared" si="57"/>
        <v>3.1172186541537569E-2</v>
      </c>
      <c r="O223" s="22">
        <f t="shared" si="57"/>
        <v>3.0700450247237818E-2</v>
      </c>
      <c r="P223" s="22">
        <f t="shared" si="57"/>
        <v>3.0053355161673637E-2</v>
      </c>
      <c r="Q223" s="22">
        <f t="shared" si="57"/>
        <v>2.9583492368545926E-2</v>
      </c>
      <c r="R223" s="22">
        <f t="shared" si="57"/>
        <v>2.9155206131309685E-2</v>
      </c>
      <c r="S223" s="22">
        <f t="shared" si="57"/>
        <v>2.6190698176732228E-2</v>
      </c>
      <c r="T223" s="22">
        <f t="shared" si="57"/>
        <v>2.7374224338819714E-2</v>
      </c>
      <c r="U223" s="22">
        <f t="shared" si="57"/>
        <v>2.773203988242751E-2</v>
      </c>
      <c r="V223" s="22">
        <f t="shared" si="57"/>
        <v>2.7458351571751329E-2</v>
      </c>
      <c r="W223" s="22">
        <f t="shared" si="57"/>
        <v>2.7217644157783535E-2</v>
      </c>
      <c r="X223" s="22">
        <f t="shared" si="57"/>
        <v>2.7143253432569785E-2</v>
      </c>
      <c r="Y223" s="22">
        <f t="shared" si="57"/>
        <v>2.7228715681440727E-2</v>
      </c>
      <c r="Z223" s="22">
        <f t="shared" si="57"/>
        <v>2.7387897559273622E-2</v>
      </c>
      <c r="AA223" s="22">
        <f t="shared" si="57"/>
        <v>2.7638959595724485E-2</v>
      </c>
      <c r="AB223" s="22">
        <f t="shared" si="57"/>
        <v>2.8042266081967953E-2</v>
      </c>
      <c r="AC223" s="22">
        <f t="shared" si="57"/>
        <v>2.8583735957869796E-2</v>
      </c>
      <c r="AD223" s="22">
        <f t="shared" si="57"/>
        <v>2.9200010135285986E-2</v>
      </c>
      <c r="AE223" s="22">
        <f t="shared" si="57"/>
        <v>2.988497084164626E-2</v>
      </c>
      <c r="AF223" s="22">
        <f t="shared" si="57"/>
        <v>3.0604356063699028E-2</v>
      </c>
      <c r="AG223" s="22">
        <f t="shared" si="57"/>
        <v>3.1370520569878685E-2</v>
      </c>
      <c r="AH223" s="22">
        <f t="shared" si="57"/>
        <v>3.2166950531742462E-2</v>
      </c>
      <c r="AI223" s="22">
        <f t="shared" si="57"/>
        <v>3.2939829604257814E-2</v>
      </c>
      <c r="AJ223" s="22">
        <f t="shared" si="57"/>
        <v>3.376382515752635E-2</v>
      </c>
      <c r="AK223" s="22">
        <f t="shared" si="57"/>
        <v>3.4589464226499819E-2</v>
      </c>
      <c r="AL223" s="22">
        <f t="shared" si="57"/>
        <v>3.5412411951792733E-2</v>
      </c>
      <c r="AM223" s="22">
        <f t="shared" si="57"/>
        <v>3.625396228734637E-2</v>
      </c>
      <c r="AN223" s="22">
        <f t="shared" si="57"/>
        <v>3.705969376925726E-2</v>
      </c>
      <c r="AO223" s="22">
        <f t="shared" si="57"/>
        <v>3.7902844742003665E-2</v>
      </c>
      <c r="AP223" s="22">
        <f t="shared" si="57"/>
        <v>3.8807720812407763E-2</v>
      </c>
      <c r="AQ223" s="22">
        <f t="shared" si="57"/>
        <v>3.9728410777909444E-2</v>
      </c>
      <c r="AR223" s="22">
        <f t="shared" si="57"/>
        <v>4.0666607258278795E-2</v>
      </c>
      <c r="AS223" s="22">
        <f t="shared" si="57"/>
        <v>4.1668670030178073E-2</v>
      </c>
      <c r="AT223" s="22">
        <f t="shared" si="57"/>
        <v>4.2717154372673226E-2</v>
      </c>
      <c r="AU223" s="22">
        <f t="shared" si="57"/>
        <v>4.380010896889619E-2</v>
      </c>
      <c r="AV223" s="22">
        <f t="shared" si="57"/>
        <v>4.4945626240250815E-2</v>
      </c>
      <c r="AW223" s="22">
        <f t="shared" si="57"/>
        <v>4.5982526730028013E-2</v>
      </c>
      <c r="AY223" s="79"/>
    </row>
    <row r="224" spans="1:51" x14ac:dyDescent="0.25">
      <c r="A224" s="95" t="str">
        <f t="shared" si="45"/>
        <v>FA Organic</v>
      </c>
      <c r="B224" s="95" t="s">
        <v>961</v>
      </c>
      <c r="C224" s="95" t="s">
        <v>1126</v>
      </c>
      <c r="D224" t="s">
        <v>369</v>
      </c>
      <c r="E224" t="s">
        <v>55</v>
      </c>
      <c r="F224" t="s">
        <v>421</v>
      </c>
      <c r="G224" t="s">
        <v>1179</v>
      </c>
      <c r="H224" t="s">
        <v>1180</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0.17531753251219057</v>
      </c>
      <c r="S224" s="22">
        <f t="shared" si="57"/>
        <v>0.16826815584544114</v>
      </c>
      <c r="T224" s="22">
        <f t="shared" si="57"/>
        <v>0.17529364111541346</v>
      </c>
      <c r="U224" s="22">
        <f t="shared" si="57"/>
        <v>0.179468936116296</v>
      </c>
      <c r="V224" s="22">
        <f t="shared" si="57"/>
        <v>0.18146185289572461</v>
      </c>
      <c r="W224" s="22">
        <f t="shared" si="57"/>
        <v>0.18367206757119967</v>
      </c>
      <c r="X224" s="22">
        <f t="shared" si="57"/>
        <v>0.18655442341123246</v>
      </c>
      <c r="Y224" s="22">
        <f t="shared" si="57"/>
        <v>0.19002403855752484</v>
      </c>
      <c r="Z224" s="22">
        <f t="shared" si="57"/>
        <v>0.19378713542621159</v>
      </c>
      <c r="AA224" s="22">
        <f t="shared" si="57"/>
        <v>0.19793608752558689</v>
      </c>
      <c r="AB224" s="22">
        <f t="shared" si="57"/>
        <v>0.20274560727871463</v>
      </c>
      <c r="AC224" s="22">
        <f t="shared" si="57"/>
        <v>0.2082010892393113</v>
      </c>
      <c r="AD224" s="22">
        <f t="shared" si="57"/>
        <v>0.21407047800501874</v>
      </c>
      <c r="AE224" s="22">
        <f t="shared" si="57"/>
        <v>0.22035285326760637</v>
      </c>
      <c r="AF224" s="22">
        <f t="shared" si="57"/>
        <v>0.22691830683757538</v>
      </c>
      <c r="AG224" s="22">
        <f t="shared" si="57"/>
        <v>0.23383349407065357</v>
      </c>
      <c r="AH224" s="22">
        <f t="shared" si="57"/>
        <v>0.24104032281254165</v>
      </c>
      <c r="AI224" s="22">
        <f t="shared" si="57"/>
        <v>0.24830078825991211</v>
      </c>
      <c r="AJ224" s="22">
        <f t="shared" si="57"/>
        <v>0.25596851329364728</v>
      </c>
      <c r="AK224" s="22">
        <f t="shared" si="57"/>
        <v>0.26381659798331969</v>
      </c>
      <c r="AL224" s="22">
        <f t="shared" si="57"/>
        <v>0.27182892851236273</v>
      </c>
      <c r="AM224" s="22">
        <f t="shared" si="57"/>
        <v>0.28011873521820613</v>
      </c>
      <c r="AN224" s="22">
        <f t="shared" si="57"/>
        <v>0.28841666797515925</v>
      </c>
      <c r="AO224" s="22">
        <f t="shared" si="57"/>
        <v>0.29710042873684378</v>
      </c>
      <c r="AP224" s="22">
        <f t="shared" si="57"/>
        <v>0.30631512135319056</v>
      </c>
      <c r="AQ224" s="22">
        <f t="shared" si="57"/>
        <v>0.31583438977210859</v>
      </c>
      <c r="AR224" s="22">
        <f t="shared" si="57"/>
        <v>0.32567682367490652</v>
      </c>
      <c r="AS224" s="22">
        <f t="shared" si="57"/>
        <v>0.33611496479516756</v>
      </c>
      <c r="AT224" s="22">
        <f t="shared" si="57"/>
        <v>0.34707529344515536</v>
      </c>
      <c r="AU224" s="22">
        <f t="shared" si="57"/>
        <v>0.35851078392222901</v>
      </c>
      <c r="AV224" s="22">
        <f t="shared" si="57"/>
        <v>0.37060965152650638</v>
      </c>
      <c r="AW224" s="22">
        <f t="shared" si="57"/>
        <v>0.38235584366830411</v>
      </c>
      <c r="AY224" s="79"/>
    </row>
    <row r="225" spans="1:51" x14ac:dyDescent="0.25">
      <c r="A225" s="95" t="str">
        <f t="shared" si="45"/>
        <v>FA Organic</v>
      </c>
      <c r="B225" s="95" t="s">
        <v>961</v>
      </c>
      <c r="C225" s="95" t="s">
        <v>1126</v>
      </c>
      <c r="D225" t="s">
        <v>369</v>
      </c>
      <c r="E225" t="s">
        <v>55</v>
      </c>
      <c r="F225" t="s">
        <v>421</v>
      </c>
      <c r="G225" t="s">
        <v>1181</v>
      </c>
      <c r="H225" t="s">
        <v>1182</v>
      </c>
      <c r="I225" t="s">
        <v>139</v>
      </c>
      <c r="J225" t="s">
        <v>287</v>
      </c>
      <c r="K225" s="22">
        <f t="shared" si="55"/>
        <v>0.78620275218739033</v>
      </c>
      <c r="L225" s="22">
        <f t="shared" si="57"/>
        <v>0.79655563720176326</v>
      </c>
      <c r="M225" s="22">
        <f t="shared" si="57"/>
        <v>0.81318534024672107</v>
      </c>
      <c r="N225" s="22">
        <f t="shared" si="57"/>
        <v>0.81796021384654038</v>
      </c>
      <c r="O225" s="22">
        <f t="shared" si="57"/>
        <v>0.81503229757580586</v>
      </c>
      <c r="P225" s="22">
        <f t="shared" si="57"/>
        <v>0.80443274266431908</v>
      </c>
      <c r="Q225" s="22">
        <f t="shared" si="57"/>
        <v>0.79997057217510736</v>
      </c>
      <c r="R225" s="22">
        <f t="shared" si="57"/>
        <v>0.79652072541357855</v>
      </c>
      <c r="S225" s="22">
        <f t="shared" si="57"/>
        <v>0.6929945167812448</v>
      </c>
      <c r="T225" s="22">
        <f t="shared" si="57"/>
        <v>0.75569325830504319</v>
      </c>
      <c r="U225" s="22">
        <f t="shared" si="57"/>
        <v>0.78586192008020839</v>
      </c>
      <c r="V225" s="22">
        <f t="shared" si="57"/>
        <v>0.78963673487778696</v>
      </c>
      <c r="W225" s="22">
        <f t="shared" si="57"/>
        <v>0.79398832301737687</v>
      </c>
      <c r="X225" s="22">
        <f t="shared" si="57"/>
        <v>0.80502399258159163</v>
      </c>
      <c r="Y225" s="22">
        <f t="shared" si="57"/>
        <v>0.82319477266803398</v>
      </c>
      <c r="Z225" s="22">
        <f t="shared" si="57"/>
        <v>0.84493550271536799</v>
      </c>
      <c r="AA225" s="22">
        <f t="shared" si="57"/>
        <v>0.87120575605676209</v>
      </c>
      <c r="AB225" s="22">
        <f t="shared" si="57"/>
        <v>0.90492220164986781</v>
      </c>
      <c r="AC225" s="22">
        <f t="shared" si="57"/>
        <v>0.94570019320131005</v>
      </c>
      <c r="AD225" s="22">
        <f t="shared" si="57"/>
        <v>0.9908342510405731</v>
      </c>
      <c r="AE225" s="22">
        <f t="shared" si="57"/>
        <v>1.0401746402938727</v>
      </c>
      <c r="AF225" s="22">
        <f t="shared" si="57"/>
        <v>1.0922195176686915</v>
      </c>
      <c r="AG225" s="22">
        <f t="shared" si="57"/>
        <v>1.1476653338002605</v>
      </c>
      <c r="AH225" s="22">
        <f t="shared" si="57"/>
        <v>1.2058049098103554</v>
      </c>
      <c r="AI225" s="22">
        <f t="shared" si="57"/>
        <v>1.2640288398876942</v>
      </c>
      <c r="AJ225" s="22">
        <f t="shared" si="57"/>
        <v>1.3261031190213208</v>
      </c>
      <c r="AK225" s="22">
        <f t="shared" si="57"/>
        <v>1.3896418297181288</v>
      </c>
      <c r="AL225" s="22">
        <f t="shared" si="57"/>
        <v>1.4544565281623518</v>
      </c>
      <c r="AM225" s="22">
        <f t="shared" si="57"/>
        <v>1.521690334823528</v>
      </c>
      <c r="AN225" s="22">
        <f t="shared" si="57"/>
        <v>1.5885204638072115</v>
      </c>
      <c r="AO225" s="22">
        <f t="shared" si="57"/>
        <v>1.6588648682392355</v>
      </c>
      <c r="AP225" s="22">
        <f t="shared" si="57"/>
        <v>1.7341718158890906</v>
      </c>
      <c r="AQ225" s="22">
        <f t="shared" si="57"/>
        <v>1.812078309357211</v>
      </c>
      <c r="AR225" s="22">
        <f t="shared" si="57"/>
        <v>1.8927662707454833</v>
      </c>
      <c r="AS225" s="22">
        <f t="shared" si="57"/>
        <v>1.9789566108434027</v>
      </c>
      <c r="AT225" s="22">
        <f t="shared" si="57"/>
        <v>2.0698402438653445</v>
      </c>
      <c r="AU225" s="22">
        <f t="shared" si="57"/>
        <v>2.1648797356645511</v>
      </c>
      <c r="AV225" s="22">
        <f t="shared" si="57"/>
        <v>2.2658660016789853</v>
      </c>
      <c r="AW225" s="22">
        <f t="shared" si="57"/>
        <v>2.3628024258404521</v>
      </c>
      <c r="AY225" s="79"/>
    </row>
    <row r="226" spans="1:51" x14ac:dyDescent="0.25">
      <c r="A226" s="95" t="str">
        <f t="shared" si="45"/>
        <v>FA U&amp;D</v>
      </c>
      <c r="B226" s="95" t="s">
        <v>961</v>
      </c>
      <c r="C226" s="95" t="s">
        <v>1335</v>
      </c>
      <c r="D226" t="s">
        <v>369</v>
      </c>
      <c r="E226" t="s">
        <v>55</v>
      </c>
      <c r="F226" t="s">
        <v>422</v>
      </c>
      <c r="G226" t="s">
        <v>1151</v>
      </c>
      <c r="H226" t="s">
        <v>1239</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5">
      <c r="A227" s="95" t="str">
        <f t="shared" si="45"/>
        <v>FA U&amp;D</v>
      </c>
      <c r="B227" s="95" t="s">
        <v>961</v>
      </c>
      <c r="C227" s="95" t="s">
        <v>1335</v>
      </c>
      <c r="D227" t="s">
        <v>369</v>
      </c>
      <c r="E227" t="s">
        <v>55</v>
      </c>
      <c r="F227" t="s">
        <v>422</v>
      </c>
      <c r="G227" t="s">
        <v>1153</v>
      </c>
      <c r="H227" t="s">
        <v>1240</v>
      </c>
      <c r="I227" t="s">
        <v>139</v>
      </c>
      <c r="J227" t="s">
        <v>287</v>
      </c>
      <c r="K227" s="22">
        <f t="shared" si="55"/>
        <v>1.0775797812462991</v>
      </c>
      <c r="L227" s="22">
        <f t="shared" si="57"/>
        <v>1.0836040032789309</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1.1114672588381174</v>
      </c>
      <c r="S227" s="22">
        <f t="shared" si="57"/>
        <v>1.0793644035028189</v>
      </c>
      <c r="T227" s="22">
        <f t="shared" si="57"/>
        <v>1.1011309234167481</v>
      </c>
      <c r="U227" s="22">
        <f t="shared" si="57"/>
        <v>1.1119360252245196</v>
      </c>
      <c r="V227" s="22">
        <f t="shared" si="57"/>
        <v>1.1147578792291293</v>
      </c>
      <c r="W227" s="22">
        <f t="shared" si="57"/>
        <v>1.1187702241985282</v>
      </c>
      <c r="X227" s="22">
        <f t="shared" si="57"/>
        <v>1.1255029693063063</v>
      </c>
      <c r="Y227" s="22">
        <f t="shared" si="57"/>
        <v>1.1343971625372145</v>
      </c>
      <c r="Z227" s="22">
        <f t="shared" si="57"/>
        <v>1.1443552033124911</v>
      </c>
      <c r="AA227" s="22">
        <f t="shared" si="57"/>
        <v>1.1556907140958508</v>
      </c>
      <c r="AB227" s="22">
        <f t="shared" si="57"/>
        <v>1.1693756036758489</v>
      </c>
      <c r="AC227" s="22">
        <f t="shared" si="57"/>
        <v>1.1853303744222352</v>
      </c>
      <c r="AD227" s="22">
        <f t="shared" si="57"/>
        <v>1.202695771968407</v>
      </c>
      <c r="AE227" s="22">
        <f t="shared" si="57"/>
        <v>1.2214561017242225</v>
      </c>
      <c r="AF227" s="22">
        <f t="shared" ref="L227:AW234" si="58">AF1483</f>
        <v>1.2411353009439861</v>
      </c>
      <c r="AG227" s="22">
        <f t="shared" si="58"/>
        <v>1.2619534777795529</v>
      </c>
      <c r="AH227" s="22">
        <f t="shared" si="58"/>
        <v>1.2836965756368759</v>
      </c>
      <c r="AI227" s="22">
        <f t="shared" si="58"/>
        <v>1.3055267417806069</v>
      </c>
      <c r="AJ227" s="22">
        <f t="shared" si="58"/>
        <v>1.3286718687824415</v>
      </c>
      <c r="AK227" s="22">
        <f t="shared" si="58"/>
        <v>1.3523228735789439</v>
      </c>
      <c r="AL227" s="22">
        <f t="shared" si="58"/>
        <v>1.3764196040319214</v>
      </c>
      <c r="AM227" s="22">
        <f t="shared" si="58"/>
        <v>1.4013502875110349</v>
      </c>
      <c r="AN227" s="22">
        <f t="shared" si="58"/>
        <v>1.4261842268183196</v>
      </c>
      <c r="AO227" s="22">
        <f t="shared" si="58"/>
        <v>1.4522110683153209</v>
      </c>
      <c r="AP227" s="22">
        <f t="shared" si="58"/>
        <v>1.4799113366388263</v>
      </c>
      <c r="AQ227" s="22">
        <f t="shared" si="58"/>
        <v>1.5084997172355739</v>
      </c>
      <c r="AR227" s="22">
        <f t="shared" si="58"/>
        <v>1.538027931051154</v>
      </c>
      <c r="AS227" s="22">
        <f t="shared" si="58"/>
        <v>1.5694046317393286</v>
      </c>
      <c r="AT227" s="22">
        <f t="shared" si="58"/>
        <v>1.602365939528593</v>
      </c>
      <c r="AU227" s="22">
        <f t="shared" si="58"/>
        <v>1.6367417968061735</v>
      </c>
      <c r="AV227" s="22">
        <f t="shared" si="58"/>
        <v>1.673151630600247</v>
      </c>
      <c r="AW227" s="22">
        <f t="shared" si="58"/>
        <v>1.7081846028232541</v>
      </c>
      <c r="AY227" s="79"/>
    </row>
    <row r="228" spans="1:51" x14ac:dyDescent="0.25">
      <c r="A228" s="95" t="str">
        <f t="shared" si="45"/>
        <v>FA U&amp;D</v>
      </c>
      <c r="B228" s="95" t="s">
        <v>961</v>
      </c>
      <c r="C228" s="95" t="s">
        <v>1335</v>
      </c>
      <c r="D228" t="s">
        <v>369</v>
      </c>
      <c r="E228" t="s">
        <v>55</v>
      </c>
      <c r="F228" t="s">
        <v>422</v>
      </c>
      <c r="G228" t="s">
        <v>1155</v>
      </c>
      <c r="H228" t="s">
        <v>1241</v>
      </c>
      <c r="I228" t="s">
        <v>139</v>
      </c>
      <c r="J228" t="s">
        <v>287</v>
      </c>
      <c r="K228" s="22">
        <f t="shared" si="55"/>
        <v>0.73383920392416069</v>
      </c>
      <c r="L228" s="22">
        <f t="shared" si="58"/>
        <v>0.73794174034663862</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0.75691680802528449</v>
      </c>
      <c r="S228" s="22">
        <f t="shared" si="58"/>
        <v>0.73505454389139269</v>
      </c>
      <c r="T228" s="22">
        <f t="shared" si="58"/>
        <v>0.74987769288121808</v>
      </c>
      <c r="U228" s="22">
        <f t="shared" si="58"/>
        <v>0.75723604114176524</v>
      </c>
      <c r="V228" s="22">
        <f t="shared" si="58"/>
        <v>0.75915774302627725</v>
      </c>
      <c r="W228" s="22">
        <f t="shared" si="58"/>
        <v>0.76189017740325427</v>
      </c>
      <c r="X228" s="22">
        <f t="shared" si="58"/>
        <v>0.7664752228876841</v>
      </c>
      <c r="Y228" s="22">
        <f t="shared" si="58"/>
        <v>0.77253222933278298</v>
      </c>
      <c r="Z228" s="22">
        <f t="shared" si="58"/>
        <v>0.77931372323453529</v>
      </c>
      <c r="AA228" s="22">
        <f t="shared" si="58"/>
        <v>0.78703328363656277</v>
      </c>
      <c r="AB228" s="22">
        <f t="shared" si="58"/>
        <v>0.79635278707375712</v>
      </c>
      <c r="AC228" s="22">
        <f t="shared" si="58"/>
        <v>0.80721809511598763</v>
      </c>
      <c r="AD228" s="22">
        <f t="shared" si="58"/>
        <v>0.81904404966050492</v>
      </c>
      <c r="AE228" s="22">
        <f t="shared" si="58"/>
        <v>0.83181996258403779</v>
      </c>
      <c r="AF228" s="22">
        <f t="shared" si="58"/>
        <v>0.8452216318995045</v>
      </c>
      <c r="AG228" s="22">
        <f t="shared" si="58"/>
        <v>0.85939895276431877</v>
      </c>
      <c r="AH228" s="22">
        <f t="shared" si="58"/>
        <v>0.87420615117333955</v>
      </c>
      <c r="AI228" s="22">
        <f t="shared" si="58"/>
        <v>0.88907264368113259</v>
      </c>
      <c r="AJ228" s="22">
        <f t="shared" si="58"/>
        <v>0.90483463353037208</v>
      </c>
      <c r="AK228" s="22">
        <f t="shared" si="58"/>
        <v>0.92094112961904073</v>
      </c>
      <c r="AL228" s="22">
        <f t="shared" si="58"/>
        <v>0.93735116792946294</v>
      </c>
      <c r="AM228" s="22">
        <f t="shared" si="58"/>
        <v>0.9543291339566633</v>
      </c>
      <c r="AN228" s="22">
        <f t="shared" si="58"/>
        <v>0.97124121654091655</v>
      </c>
      <c r="AO228" s="22">
        <f t="shared" si="58"/>
        <v>0.98896567367830823</v>
      </c>
      <c r="AP228" s="22">
        <f t="shared" si="58"/>
        <v>1.0078297459342822</v>
      </c>
      <c r="AQ228" s="22">
        <f t="shared" si="58"/>
        <v>1.0272986287248762</v>
      </c>
      <c r="AR228" s="22">
        <f t="shared" si="58"/>
        <v>1.0474075443679165</v>
      </c>
      <c r="AS228" s="22">
        <f t="shared" si="58"/>
        <v>1.068775292218703</v>
      </c>
      <c r="AT228" s="22">
        <f t="shared" si="58"/>
        <v>1.0912221683473529</v>
      </c>
      <c r="AU228" s="22">
        <f t="shared" si="58"/>
        <v>1.1146323623560173</v>
      </c>
      <c r="AV228" s="22">
        <f t="shared" si="58"/>
        <v>1.1394277082890591</v>
      </c>
      <c r="AW228" s="22">
        <f t="shared" si="58"/>
        <v>1.1632854020715975</v>
      </c>
      <c r="AY228" s="79"/>
    </row>
    <row r="229" spans="1:51" x14ac:dyDescent="0.25">
      <c r="A229" s="95" t="str">
        <f t="shared" si="45"/>
        <v>FA U&amp;D</v>
      </c>
      <c r="B229" s="95" t="s">
        <v>961</v>
      </c>
      <c r="C229" s="95" t="s">
        <v>1335</v>
      </c>
      <c r="D229" t="s">
        <v>369</v>
      </c>
      <c r="E229" t="s">
        <v>55</v>
      </c>
      <c r="F229" t="s">
        <v>422</v>
      </c>
      <c r="G229" t="s">
        <v>1157</v>
      </c>
      <c r="H229" t="s">
        <v>1242</v>
      </c>
      <c r="I229" t="s">
        <v>139</v>
      </c>
      <c r="J229" t="s">
        <v>287</v>
      </c>
      <c r="K229" s="22">
        <f t="shared" si="55"/>
        <v>15.353527292296837</v>
      </c>
      <c r="L229" s="22">
        <f t="shared" si="58"/>
        <v>15.220371053361486</v>
      </c>
      <c r="M229" s="22">
        <f t="shared" si="58"/>
        <v>15.169682504177882</v>
      </c>
      <c r="N229" s="22">
        <f t="shared" si="58"/>
        <v>14.967111251021189</v>
      </c>
      <c r="O229" s="22">
        <f t="shared" si="58"/>
        <v>14.673074129931946</v>
      </c>
      <c r="P229" s="22">
        <f t="shared" si="58"/>
        <v>14.293651368256896</v>
      </c>
      <c r="Q229" s="22">
        <f t="shared" si="58"/>
        <v>13.994389539168758</v>
      </c>
      <c r="R229" s="22">
        <f t="shared" si="58"/>
        <v>13.711253827544139</v>
      </c>
      <c r="S229" s="22">
        <f t="shared" si="58"/>
        <v>12.243525743929849</v>
      </c>
      <c r="T229" s="22">
        <f t="shared" si="58"/>
        <v>12.828892404772391</v>
      </c>
      <c r="U229" s="22">
        <f t="shared" si="58"/>
        <v>13.031546455407888</v>
      </c>
      <c r="V229" s="22">
        <f t="shared" si="58"/>
        <v>12.943540859671467</v>
      </c>
      <c r="W229" s="22">
        <f t="shared" si="58"/>
        <v>12.871954504278984</v>
      </c>
      <c r="X229" s="22">
        <f t="shared" si="58"/>
        <v>12.876656938031642</v>
      </c>
      <c r="Y229" s="22">
        <f t="shared" si="58"/>
        <v>12.952269652428015</v>
      </c>
      <c r="Z229" s="22">
        <f t="shared" si="58"/>
        <v>13.059558904717129</v>
      </c>
      <c r="AA229" s="22">
        <f t="shared" si="58"/>
        <v>13.207166717271191</v>
      </c>
      <c r="AB229" s="22">
        <f t="shared" si="58"/>
        <v>13.423383196860698</v>
      </c>
      <c r="AC229" s="22">
        <f t="shared" si="58"/>
        <v>13.702101889701561</v>
      </c>
      <c r="AD229" s="22">
        <f t="shared" si="58"/>
        <v>13.896423189138504</v>
      </c>
      <c r="AE229" s="22">
        <f t="shared" si="58"/>
        <v>14.113699365030318</v>
      </c>
      <c r="AF229" s="22">
        <f t="shared" si="58"/>
        <v>14.337556202398742</v>
      </c>
      <c r="AG229" s="22">
        <f t="shared" si="58"/>
        <v>14.572966422289987</v>
      </c>
      <c r="AH229" s="22">
        <f t="shared" si="58"/>
        <v>14.811902600863377</v>
      </c>
      <c r="AI229" s="22">
        <f t="shared" si="58"/>
        <v>15.030093790009266</v>
      </c>
      <c r="AJ229" s="22">
        <f t="shared" si="58"/>
        <v>15.260245449721568</v>
      </c>
      <c r="AK229" s="22">
        <f t="shared" si="58"/>
        <v>15.479975870373321</v>
      </c>
      <c r="AL229" s="22">
        <f t="shared" si="58"/>
        <v>15.687168192029855</v>
      </c>
      <c r="AM229" s="22">
        <f t="shared" si="58"/>
        <v>15.890679126882141</v>
      </c>
      <c r="AN229" s="22">
        <f t="shared" si="58"/>
        <v>16.149107215315812</v>
      </c>
      <c r="AO229" s="22">
        <f t="shared" si="58"/>
        <v>16.416401953220753</v>
      </c>
      <c r="AP229" s="22">
        <f t="shared" si="58"/>
        <v>16.702277130443278</v>
      </c>
      <c r="AQ229" s="22">
        <f t="shared" si="58"/>
        <v>16.98704006145238</v>
      </c>
      <c r="AR229" s="22">
        <f t="shared" si="58"/>
        <v>17.271060351529361</v>
      </c>
      <c r="AS229" s="22">
        <f t="shared" si="58"/>
        <v>17.573003837482712</v>
      </c>
      <c r="AT229" s="22">
        <f t="shared" si="58"/>
        <v>17.88505244077637</v>
      </c>
      <c r="AU229" s="22">
        <f t="shared" si="58"/>
        <v>18.201780897575926</v>
      </c>
      <c r="AV229" s="22">
        <f t="shared" si="58"/>
        <v>18.533967675320017</v>
      </c>
      <c r="AW229" s="22">
        <f t="shared" si="58"/>
        <v>18.812464966150909</v>
      </c>
      <c r="AY229" s="79"/>
    </row>
    <row r="230" spans="1:51" x14ac:dyDescent="0.25">
      <c r="A230" s="95" t="str">
        <f t="shared" si="45"/>
        <v>FA U&amp;D</v>
      </c>
      <c r="B230" s="95" t="s">
        <v>961</v>
      </c>
      <c r="C230" s="95" t="s">
        <v>1335</v>
      </c>
      <c r="D230" t="s">
        <v>369</v>
      </c>
      <c r="E230" t="s">
        <v>55</v>
      </c>
      <c r="F230" t="s">
        <v>422</v>
      </c>
      <c r="G230" t="s">
        <v>1159</v>
      </c>
      <c r="H230" t="s">
        <v>1243</v>
      </c>
      <c r="I230" t="s">
        <v>139</v>
      </c>
      <c r="J230" t="s">
        <v>287</v>
      </c>
      <c r="K230" s="22">
        <f t="shared" si="55"/>
        <v>9.6543103644621411</v>
      </c>
      <c r="L230" s="22">
        <f t="shared" si="58"/>
        <v>9.570581613851763</v>
      </c>
      <c r="M230" s="22">
        <f t="shared" si="58"/>
        <v>9.5387086131772989</v>
      </c>
      <c r="N230" s="22">
        <f t="shared" si="58"/>
        <v>9.4113316455488931</v>
      </c>
      <c r="O230" s="22">
        <f t="shared" si="58"/>
        <v>9.2264408662754729</v>
      </c>
      <c r="P230" s="22">
        <f t="shared" si="58"/>
        <v>8.9878595272244652</v>
      </c>
      <c r="Q230" s="22">
        <f t="shared" si="58"/>
        <v>8.7996834473406587</v>
      </c>
      <c r="R230" s="22">
        <f t="shared" si="58"/>
        <v>8.6216474831450967</v>
      </c>
      <c r="S230" s="22">
        <f t="shared" si="58"/>
        <v>7.6987388784911763</v>
      </c>
      <c r="T230" s="22">
        <f t="shared" si="58"/>
        <v>8.0668179077067048</v>
      </c>
      <c r="U230" s="22">
        <f t="shared" si="58"/>
        <v>8.1942469384566685</v>
      </c>
      <c r="V230" s="22">
        <f t="shared" si="58"/>
        <v>8.1389089487638984</v>
      </c>
      <c r="W230" s="22">
        <f t="shared" si="58"/>
        <v>8.0938953906633806</v>
      </c>
      <c r="X230" s="22">
        <f t="shared" si="58"/>
        <v>8.0968522848058253</v>
      </c>
      <c r="Y230" s="22">
        <f t="shared" si="58"/>
        <v>8.1443976207006106</v>
      </c>
      <c r="Z230" s="22">
        <f t="shared" si="58"/>
        <v>8.2118611892116604</v>
      </c>
      <c r="AA230" s="22">
        <f t="shared" si="58"/>
        <v>8.304677100987929</v>
      </c>
      <c r="AB230" s="22">
        <f t="shared" si="58"/>
        <v>8.4406341980203354</v>
      </c>
      <c r="AC230" s="22">
        <f t="shared" si="58"/>
        <v>8.6158927372364591</v>
      </c>
      <c r="AD230" s="22">
        <f t="shared" si="58"/>
        <v>8.738082127301313</v>
      </c>
      <c r="AE230" s="22">
        <f t="shared" si="58"/>
        <v>8.8747055622246656</v>
      </c>
      <c r="AF230" s="22">
        <f t="shared" si="58"/>
        <v>9.015466922400579</v>
      </c>
      <c r="AG230" s="22">
        <f t="shared" si="58"/>
        <v>9.1634930588400287</v>
      </c>
      <c r="AH230" s="22">
        <f t="shared" si="58"/>
        <v>9.3137363209471946</v>
      </c>
      <c r="AI230" s="22">
        <f t="shared" si="58"/>
        <v>9.4509351169438833</v>
      </c>
      <c r="AJ230" s="22">
        <f t="shared" si="58"/>
        <v>9.5956546664947826</v>
      </c>
      <c r="AK230" s="22">
        <f t="shared" si="58"/>
        <v>9.7338213325058032</v>
      </c>
      <c r="AL230" s="22">
        <f t="shared" si="58"/>
        <v>9.8641040317399575</v>
      </c>
      <c r="AM230" s="22">
        <f t="shared" si="58"/>
        <v>9.9920718719776573</v>
      </c>
      <c r="AN230" s="22">
        <f t="shared" si="58"/>
        <v>10.154571662751145</v>
      </c>
      <c r="AO230" s="22">
        <f t="shared" si="58"/>
        <v>10.322646809874932</v>
      </c>
      <c r="AP230" s="22">
        <f t="shared" si="58"/>
        <v>10.502405352251484</v>
      </c>
      <c r="AQ230" s="22">
        <f t="shared" si="58"/>
        <v>10.681464513310528</v>
      </c>
      <c r="AR230" s="22">
        <f t="shared" si="58"/>
        <v>10.860056701151523</v>
      </c>
      <c r="AS230" s="22">
        <f t="shared" si="58"/>
        <v>11.049919009038504</v>
      </c>
      <c r="AT230" s="22">
        <f t="shared" si="58"/>
        <v>11.246135422872308</v>
      </c>
      <c r="AU230" s="22">
        <f t="shared" si="58"/>
        <v>11.445294532371156</v>
      </c>
      <c r="AV230" s="22">
        <f t="shared" si="58"/>
        <v>11.654173846567643</v>
      </c>
      <c r="AW230" s="22">
        <f t="shared" si="58"/>
        <v>11.829293168021046</v>
      </c>
      <c r="AY230" s="79"/>
    </row>
    <row r="231" spans="1:51" x14ac:dyDescent="0.25">
      <c r="A231" s="95" t="str">
        <f t="shared" si="45"/>
        <v>FA U&amp;D</v>
      </c>
      <c r="B231" s="95" t="s">
        <v>961</v>
      </c>
      <c r="C231" s="95" t="s">
        <v>1335</v>
      </c>
      <c r="D231" t="s">
        <v>369</v>
      </c>
      <c r="E231" t="s">
        <v>55</v>
      </c>
      <c r="F231" t="s">
        <v>422</v>
      </c>
      <c r="G231" t="s">
        <v>1161</v>
      </c>
      <c r="H231" t="s">
        <v>1244</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5">
      <c r="A232" s="95" t="str">
        <f t="shared" si="45"/>
        <v>FA U&amp;D</v>
      </c>
      <c r="B232" s="95" t="s">
        <v>961</v>
      </c>
      <c r="C232" s="95" t="s">
        <v>1335</v>
      </c>
      <c r="D232" t="s">
        <v>369</v>
      </c>
      <c r="E232" t="s">
        <v>55</v>
      </c>
      <c r="F232" t="s">
        <v>422</v>
      </c>
      <c r="G232" t="s">
        <v>1163</v>
      </c>
      <c r="H232" t="s">
        <v>1245</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5.8849979697860864</v>
      </c>
      <c r="T232" s="22">
        <f t="shared" si="58"/>
        <v>5.8892338696185709</v>
      </c>
      <c r="U232" s="22">
        <f t="shared" si="58"/>
        <v>5.8877446174554535</v>
      </c>
      <c r="V232" s="22">
        <f t="shared" si="58"/>
        <v>5.8876374031780276</v>
      </c>
      <c r="W232" s="22">
        <f t="shared" si="58"/>
        <v>5.8938824759040038</v>
      </c>
      <c r="X232" s="22">
        <f t="shared" si="58"/>
        <v>5.9041031128445773</v>
      </c>
      <c r="Y232" s="22">
        <f t="shared" si="58"/>
        <v>5.9139099273818276</v>
      </c>
      <c r="Z232" s="22">
        <f t="shared" si="58"/>
        <v>5.9233345583346297</v>
      </c>
      <c r="AA232" s="22">
        <f t="shared" si="58"/>
        <v>5.9323641435098171</v>
      </c>
      <c r="AB232" s="22">
        <f t="shared" si="58"/>
        <v>5.9411868573928839</v>
      </c>
      <c r="AC232" s="22">
        <f t="shared" si="58"/>
        <v>5.9499315766894556</v>
      </c>
      <c r="AD232" s="22">
        <f t="shared" si="58"/>
        <v>5.9585105593958936</v>
      </c>
      <c r="AE232" s="22">
        <f t="shared" si="58"/>
        <v>5.9670471572884827</v>
      </c>
      <c r="AF232" s="22">
        <f t="shared" si="58"/>
        <v>5.9755144784339187</v>
      </c>
      <c r="AG232" s="22">
        <f t="shared" si="58"/>
        <v>5.9838446773332894</v>
      </c>
      <c r="AH232" s="22">
        <f t="shared" si="58"/>
        <v>5.992074429551792</v>
      </c>
      <c r="AI232" s="22">
        <f t="shared" si="58"/>
        <v>6.0002125174101231</v>
      </c>
      <c r="AJ232" s="22">
        <f t="shared" si="58"/>
        <v>6.0082865692474714</v>
      </c>
      <c r="AK232" s="22">
        <f t="shared" si="58"/>
        <v>6.0160495351454939</v>
      </c>
      <c r="AL232" s="22">
        <f t="shared" si="58"/>
        <v>6.0234923325896075</v>
      </c>
      <c r="AM232" s="22">
        <f t="shared" si="58"/>
        <v>6.0306845225857399</v>
      </c>
      <c r="AN232" s="22">
        <f t="shared" si="58"/>
        <v>6.0375707245080381</v>
      </c>
      <c r="AO232" s="22">
        <f t="shared" si="58"/>
        <v>6.0441634304657859</v>
      </c>
      <c r="AP232" s="22">
        <f t="shared" si="58"/>
        <v>6.0504329467907079</v>
      </c>
      <c r="AQ232" s="22">
        <f t="shared" si="58"/>
        <v>6.0562895562131533</v>
      </c>
      <c r="AR232" s="22">
        <f t="shared" si="58"/>
        <v>6.0616501197093573</v>
      </c>
      <c r="AS232" s="22">
        <f t="shared" si="58"/>
        <v>6.0665092216069407</v>
      </c>
      <c r="AT232" s="22">
        <f t="shared" si="58"/>
        <v>6.0708296779310995</v>
      </c>
      <c r="AU232" s="22">
        <f t="shared" si="58"/>
        <v>6.0746094049856261</v>
      </c>
      <c r="AV232" s="22">
        <f t="shared" si="58"/>
        <v>6.0779207352179032</v>
      </c>
      <c r="AW232" s="22">
        <f t="shared" si="58"/>
        <v>6.0803335706264781</v>
      </c>
      <c r="AY232" s="79"/>
    </row>
    <row r="233" spans="1:51" x14ac:dyDescent="0.25">
      <c r="A233" s="95" t="str">
        <f t="shared" si="45"/>
        <v>FA U&amp;D</v>
      </c>
      <c r="B233" s="95" t="s">
        <v>961</v>
      </c>
      <c r="C233" s="95" t="s">
        <v>1335</v>
      </c>
      <c r="D233" t="s">
        <v>369</v>
      </c>
      <c r="E233" t="s">
        <v>55</v>
      </c>
      <c r="F233" t="s">
        <v>422</v>
      </c>
      <c r="G233" t="s">
        <v>1165</v>
      </c>
      <c r="H233" t="s">
        <v>1246</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0.65693953925961401</v>
      </c>
      <c r="T233" s="22">
        <f t="shared" si="58"/>
        <v>0.65741239075397129</v>
      </c>
      <c r="U233" s="22">
        <f t="shared" si="58"/>
        <v>0.65724614623954603</v>
      </c>
      <c r="V233" s="22">
        <f t="shared" si="58"/>
        <v>0.65723417796047845</v>
      </c>
      <c r="W233" s="22">
        <f t="shared" si="58"/>
        <v>0.65793131247442549</v>
      </c>
      <c r="X233" s="22">
        <f t="shared" si="58"/>
        <v>0.65907223734086595</v>
      </c>
      <c r="Y233" s="22">
        <f t="shared" si="58"/>
        <v>0.66016696740819658</v>
      </c>
      <c r="Z233" s="22">
        <f t="shared" si="58"/>
        <v>0.66121903450280095</v>
      </c>
      <c r="AA233" s="22">
        <f t="shared" si="58"/>
        <v>0.66222700282414093</v>
      </c>
      <c r="AB233" s="22">
        <f t="shared" si="58"/>
        <v>0.66321187820100891</v>
      </c>
      <c r="AC233" s="22">
        <f t="shared" si="58"/>
        <v>0.66418804707908485</v>
      </c>
      <c r="AD233" s="22">
        <f t="shared" si="58"/>
        <v>0.66514571486001184</v>
      </c>
      <c r="AE233" s="22">
        <f t="shared" si="58"/>
        <v>0.66609865124422019</v>
      </c>
      <c r="AF233" s="22">
        <f t="shared" si="58"/>
        <v>0.6670438542979179</v>
      </c>
      <c r="AG233" s="22">
        <f t="shared" si="58"/>
        <v>0.6679737504601575</v>
      </c>
      <c r="AH233" s="22">
        <f t="shared" si="58"/>
        <v>0.66889243380693197</v>
      </c>
      <c r="AI233" s="22">
        <f t="shared" si="58"/>
        <v>0.66980088470454557</v>
      </c>
      <c r="AJ233" s="22">
        <f t="shared" si="58"/>
        <v>0.67070218729143127</v>
      </c>
      <c r="AK233" s="22">
        <f t="shared" si="58"/>
        <v>0.6715687635020805</v>
      </c>
      <c r="AL233" s="22">
        <f t="shared" si="58"/>
        <v>0.67239959945968686</v>
      </c>
      <c r="AM233" s="22">
        <f t="shared" si="58"/>
        <v>0.67320246022643382</v>
      </c>
      <c r="AN233" s="22">
        <f t="shared" si="58"/>
        <v>0.67397116368925725</v>
      </c>
      <c r="AO233" s="22">
        <f t="shared" si="58"/>
        <v>0.67470710433640646</v>
      </c>
      <c r="AP233" s="22">
        <f t="shared" si="58"/>
        <v>0.67540696747773998</v>
      </c>
      <c r="AQ233" s="22">
        <f t="shared" si="58"/>
        <v>0.67606073801688993</v>
      </c>
      <c r="AR233" s="22">
        <f t="shared" si="58"/>
        <v>0.67665913518396625</v>
      </c>
      <c r="AS233" s="22">
        <f t="shared" si="58"/>
        <v>0.67720155443002239</v>
      </c>
      <c r="AT233" s="22">
        <f t="shared" si="58"/>
        <v>0.67768384492554279</v>
      </c>
      <c r="AU233" s="22">
        <f t="shared" si="58"/>
        <v>0.67810577406850514</v>
      </c>
      <c r="AV233" s="22">
        <f t="shared" si="58"/>
        <v>0.67847541629579156</v>
      </c>
      <c r="AW233" s="22">
        <f t="shared" si="58"/>
        <v>0.67874475997097328</v>
      </c>
      <c r="AY233" s="79"/>
    </row>
    <row r="234" spans="1:51" x14ac:dyDescent="0.25">
      <c r="A234" s="95" t="str">
        <f t="shared" si="45"/>
        <v>FA U&amp;D</v>
      </c>
      <c r="B234" s="95" t="s">
        <v>961</v>
      </c>
      <c r="C234" s="95" t="s">
        <v>1335</v>
      </c>
      <c r="D234" t="s">
        <v>369</v>
      </c>
      <c r="E234" t="s">
        <v>55</v>
      </c>
      <c r="F234" t="s">
        <v>422</v>
      </c>
      <c r="G234" t="s">
        <v>1167</v>
      </c>
      <c r="H234" t="s">
        <v>1247</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0.73708994755228407</v>
      </c>
      <c r="R234" s="22">
        <f t="shared" si="58"/>
        <v>0.74193942345928476</v>
      </c>
      <c r="S234" s="22">
        <f t="shared" si="58"/>
        <v>0.74012019902027282</v>
      </c>
      <c r="T234" s="22">
        <f t="shared" si="58"/>
        <v>0.74139246635166289</v>
      </c>
      <c r="U234" s="22">
        <f t="shared" ref="L234:AW240" si="59">U1490</f>
        <v>0.74151592530175092</v>
      </c>
      <c r="V234" s="22">
        <f t="shared" si="59"/>
        <v>0.74185535866328745</v>
      </c>
      <c r="W234" s="22">
        <f t="shared" si="59"/>
        <v>0.74335608585495871</v>
      </c>
      <c r="X234" s="22">
        <f t="shared" si="59"/>
        <v>0.74556357164156939</v>
      </c>
      <c r="Y234" s="22">
        <f t="shared" si="59"/>
        <v>0.74764732173100068</v>
      </c>
      <c r="Z234" s="22">
        <f t="shared" si="59"/>
        <v>0.74961713361766258</v>
      </c>
      <c r="AA234" s="22">
        <f t="shared" si="59"/>
        <v>0.75147401556229898</v>
      </c>
      <c r="AB234" s="22">
        <f t="shared" si="59"/>
        <v>0.75325638993383137</v>
      </c>
      <c r="AC234" s="22">
        <f t="shared" si="59"/>
        <v>0.75499099939868619</v>
      </c>
      <c r="AD234" s="22">
        <f t="shared" si="59"/>
        <v>0.75666368217952507</v>
      </c>
      <c r="AE234" s="22">
        <f t="shared" si="59"/>
        <v>0.75829956195489012</v>
      </c>
      <c r="AF234" s="22">
        <f t="shared" si="59"/>
        <v>0.75989544125855291</v>
      </c>
      <c r="AG234" s="22">
        <f t="shared" si="59"/>
        <v>0.76144040021050008</v>
      </c>
      <c r="AH234" s="22">
        <f t="shared" si="59"/>
        <v>0.76294284733285755</v>
      </c>
      <c r="AI234" s="22">
        <f t="shared" si="59"/>
        <v>0.76440585179872644</v>
      </c>
      <c r="AJ234" s="22">
        <f t="shared" si="59"/>
        <v>0.76583583721390103</v>
      </c>
      <c r="AK234" s="22">
        <f t="shared" si="59"/>
        <v>0.76718846615565761</v>
      </c>
      <c r="AL234" s="22">
        <f t="shared" si="59"/>
        <v>0.76846341889719361</v>
      </c>
      <c r="AM234" s="22">
        <f t="shared" si="59"/>
        <v>0.769674739992807</v>
      </c>
      <c r="AN234" s="22">
        <f t="shared" si="59"/>
        <v>0.77081339983246644</v>
      </c>
      <c r="AO234" s="22">
        <f t="shared" si="59"/>
        <v>0.77188278784323794</v>
      </c>
      <c r="AP234" s="22">
        <f t="shared" si="59"/>
        <v>0.77287850467741359</v>
      </c>
      <c r="AQ234" s="22">
        <f t="shared" si="59"/>
        <v>0.77378518098285765</v>
      </c>
      <c r="AR234" s="22">
        <f t="shared" si="59"/>
        <v>0.77458869841791256</v>
      </c>
      <c r="AS234" s="22">
        <f t="shared" si="59"/>
        <v>0.77528911180488913</v>
      </c>
      <c r="AT234" s="22">
        <f t="shared" si="59"/>
        <v>0.77588066613277407</v>
      </c>
      <c r="AU234" s="22">
        <f t="shared" si="59"/>
        <v>0.77636396136599817</v>
      </c>
      <c r="AV234" s="22">
        <f t="shared" si="59"/>
        <v>0.77675301530412866</v>
      </c>
      <c r="AW234" s="22">
        <f t="shared" si="59"/>
        <v>0.77697098593778646</v>
      </c>
      <c r="AY234" s="79"/>
    </row>
    <row r="235" spans="1:51" x14ac:dyDescent="0.25">
      <c r="A235" s="95" t="str">
        <f t="shared" si="45"/>
        <v>FA U&amp;D</v>
      </c>
      <c r="B235" s="95" t="s">
        <v>961</v>
      </c>
      <c r="C235" s="95" t="s">
        <v>1335</v>
      </c>
      <c r="D235" t="s">
        <v>369</v>
      </c>
      <c r="E235" t="s">
        <v>55</v>
      </c>
      <c r="F235" t="s">
        <v>422</v>
      </c>
      <c r="G235" t="s">
        <v>1169</v>
      </c>
      <c r="H235" t="s">
        <v>1248</v>
      </c>
      <c r="I235" t="s">
        <v>139</v>
      </c>
      <c r="J235" t="s">
        <v>287</v>
      </c>
      <c r="K235" s="22">
        <f t="shared" si="55"/>
        <v>1.1867254191644501</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1.2198688909683482</v>
      </c>
      <c r="R235" s="22">
        <f t="shared" si="59"/>
        <v>1.2278946750888551</v>
      </c>
      <c r="S235" s="22">
        <f t="shared" si="59"/>
        <v>1.2248838955955119</v>
      </c>
      <c r="T235" s="22">
        <f t="shared" si="59"/>
        <v>1.2269894721858747</v>
      </c>
      <c r="U235" s="22">
        <f t="shared" si="59"/>
        <v>1.2271937942404954</v>
      </c>
      <c r="V235" s="22">
        <f t="shared" si="59"/>
        <v>1.2277555495590562</v>
      </c>
      <c r="W235" s="22">
        <f t="shared" si="59"/>
        <v>1.2302392225775656</v>
      </c>
      <c r="X235" s="22">
        <f t="shared" si="59"/>
        <v>1.2338925667145779</v>
      </c>
      <c r="Y235" s="22">
        <f t="shared" si="59"/>
        <v>1.2373411307861553</v>
      </c>
      <c r="Z235" s="22">
        <f t="shared" si="59"/>
        <v>1.2406011294465342</v>
      </c>
      <c r="AA235" s="22">
        <f t="shared" si="59"/>
        <v>1.2436742313467632</v>
      </c>
      <c r="AB235" s="22">
        <f t="shared" si="59"/>
        <v>1.2466240247269491</v>
      </c>
      <c r="AC235" s="22">
        <f t="shared" si="59"/>
        <v>1.2494947681568149</v>
      </c>
      <c r="AD235" s="22">
        <f t="shared" si="59"/>
        <v>1.2522630241825274</v>
      </c>
      <c r="AE235" s="22">
        <f t="shared" si="59"/>
        <v>1.2549703719817464</v>
      </c>
      <c r="AF235" s="22">
        <f t="shared" si="59"/>
        <v>1.2576115198128128</v>
      </c>
      <c r="AG235" s="22">
        <f t="shared" si="59"/>
        <v>1.2601683954961149</v>
      </c>
      <c r="AH235" s="22">
        <f t="shared" si="59"/>
        <v>1.2626549149649742</v>
      </c>
      <c r="AI235" s="22">
        <f t="shared" si="59"/>
        <v>1.2650761576385281</v>
      </c>
      <c r="AJ235" s="22">
        <f t="shared" si="59"/>
        <v>1.2674427544538867</v>
      </c>
      <c r="AK235" s="22">
        <f t="shared" si="59"/>
        <v>1.2696813278770511</v>
      </c>
      <c r="AL235" s="22">
        <f t="shared" si="59"/>
        <v>1.2717913487666579</v>
      </c>
      <c r="AM235" s="22">
        <f t="shared" si="59"/>
        <v>1.2737960605747884</v>
      </c>
      <c r="AN235" s="22">
        <f t="shared" si="59"/>
        <v>1.2756805194802561</v>
      </c>
      <c r="AO235" s="22">
        <f t="shared" si="59"/>
        <v>1.2774503349160069</v>
      </c>
      <c r="AP235" s="22">
        <f t="shared" si="59"/>
        <v>1.2790982260509465</v>
      </c>
      <c r="AQ235" s="22">
        <f t="shared" si="59"/>
        <v>1.2805987569194814</v>
      </c>
      <c r="AR235" s="22">
        <f t="shared" si="59"/>
        <v>1.2819285619529504</v>
      </c>
      <c r="AS235" s="22">
        <f t="shared" si="59"/>
        <v>1.2830877318811631</v>
      </c>
      <c r="AT235" s="22">
        <f t="shared" si="59"/>
        <v>1.2840667422777918</v>
      </c>
      <c r="AU235" s="22">
        <f t="shared" si="59"/>
        <v>1.2848665860717841</v>
      </c>
      <c r="AV235" s="22">
        <f t="shared" si="59"/>
        <v>1.2855104624366835</v>
      </c>
      <c r="AW235" s="22">
        <f t="shared" si="59"/>
        <v>1.2858711994078322</v>
      </c>
      <c r="AY235" s="79"/>
    </row>
    <row r="236" spans="1:51" x14ac:dyDescent="0.25">
      <c r="A236" s="95" t="str">
        <f t="shared" si="45"/>
        <v>FA U&amp;D</v>
      </c>
      <c r="B236" s="95" t="s">
        <v>961</v>
      </c>
      <c r="C236" s="95" t="s">
        <v>1335</v>
      </c>
      <c r="D236" t="s">
        <v>369</v>
      </c>
      <c r="E236" t="s">
        <v>55</v>
      </c>
      <c r="F236" t="s">
        <v>422</v>
      </c>
      <c r="G236" t="s">
        <v>1171</v>
      </c>
      <c r="H236" t="s">
        <v>1249</v>
      </c>
      <c r="I236" t="s">
        <v>139</v>
      </c>
      <c r="J236" t="s">
        <v>287</v>
      </c>
      <c r="K236" s="22">
        <f t="shared" si="55"/>
        <v>0.19147730421375916</v>
      </c>
      <c r="L236" s="22">
        <f t="shared" si="59"/>
        <v>0.19240499933397132</v>
      </c>
      <c r="M236" s="22">
        <f t="shared" si="59"/>
        <v>0.19381280191845884</v>
      </c>
      <c r="N236" s="22">
        <f t="shared" si="59"/>
        <v>0.19411375969056655</v>
      </c>
      <c r="O236" s="22">
        <f t="shared" si="59"/>
        <v>0.19368291106027893</v>
      </c>
      <c r="P236" s="22">
        <f t="shared" si="59"/>
        <v>0.19253602379697463</v>
      </c>
      <c r="Q236" s="22">
        <f t="shared" si="59"/>
        <v>0.19190012409058904</v>
      </c>
      <c r="R236" s="22">
        <f t="shared" si="59"/>
        <v>0.19132863754616411</v>
      </c>
      <c r="S236" s="22">
        <f t="shared" si="59"/>
        <v>0.18266880885015579</v>
      </c>
      <c r="T236" s="22">
        <f t="shared" si="59"/>
        <v>0.18809378134692423</v>
      </c>
      <c r="U236" s="22">
        <f t="shared" si="59"/>
        <v>0.19079942650123977</v>
      </c>
      <c r="V236" s="22">
        <f t="shared" si="59"/>
        <v>0.19120805768125793</v>
      </c>
      <c r="W236" s="22">
        <f t="shared" si="59"/>
        <v>0.191567581973451</v>
      </c>
      <c r="X236" s="22">
        <f t="shared" si="59"/>
        <v>0.19243995083448096</v>
      </c>
      <c r="Y236" s="22">
        <f t="shared" si="59"/>
        <v>0.1939290152815269</v>
      </c>
      <c r="Z236" s="22">
        <f t="shared" si="59"/>
        <v>0.19572566733105584</v>
      </c>
      <c r="AA236" s="22">
        <f t="shared" si="59"/>
        <v>0.19791142753361757</v>
      </c>
      <c r="AB236" s="22">
        <f t="shared" si="59"/>
        <v>0.20073163120248141</v>
      </c>
      <c r="AC236" s="22">
        <f t="shared" si="59"/>
        <v>0.20414944143031946</v>
      </c>
      <c r="AD236" s="22">
        <f t="shared" si="59"/>
        <v>0.2079342142091529</v>
      </c>
      <c r="AE236" s="22">
        <f t="shared" si="59"/>
        <v>0.2120704701686861</v>
      </c>
      <c r="AF236" s="22">
        <f t="shared" si="59"/>
        <v>0.21643036681214611</v>
      </c>
      <c r="AG236" s="22">
        <f t="shared" si="59"/>
        <v>0.22107481526755876</v>
      </c>
      <c r="AH236" s="22">
        <f t="shared" si="59"/>
        <v>0.22594299924319575</v>
      </c>
      <c r="AI236" s="22">
        <f t="shared" si="59"/>
        <v>0.23081287404445633</v>
      </c>
      <c r="AJ236" s="22">
        <f t="shared" si="59"/>
        <v>0.23600481014510816</v>
      </c>
      <c r="AK236" s="22">
        <f t="shared" si="59"/>
        <v>0.24132262653826006</v>
      </c>
      <c r="AL236" s="22">
        <f t="shared" si="59"/>
        <v>0.24675186109010536</v>
      </c>
      <c r="AM236" s="22">
        <f t="shared" si="59"/>
        <v>0.25238913765935056</v>
      </c>
      <c r="AN236" s="22">
        <f t="shared" si="59"/>
        <v>0.25799715238539928</v>
      </c>
      <c r="AO236" s="22">
        <f t="shared" si="59"/>
        <v>0.26391035530015045</v>
      </c>
      <c r="AP236" s="22">
        <f t="shared" si="59"/>
        <v>0.27025468976471112</v>
      </c>
      <c r="AQ236" s="22">
        <f t="shared" si="59"/>
        <v>0.27683409216202315</v>
      </c>
      <c r="AR236" s="22">
        <f t="shared" si="59"/>
        <v>0.28366954305937575</v>
      </c>
      <c r="AS236" s="22">
        <f t="shared" si="59"/>
        <v>0.29099654328717883</v>
      </c>
      <c r="AT236" s="22">
        <f t="shared" si="59"/>
        <v>0.29875152246319292</v>
      </c>
      <c r="AU236" s="22">
        <f t="shared" si="59"/>
        <v>0.30689307002053717</v>
      </c>
      <c r="AV236" s="22">
        <f t="shared" si="59"/>
        <v>0.31557625829716562</v>
      </c>
      <c r="AW236" s="22">
        <f t="shared" si="59"/>
        <v>0.32396777623584005</v>
      </c>
      <c r="AY236" s="79"/>
    </row>
    <row r="237" spans="1:51" x14ac:dyDescent="0.25">
      <c r="A237" s="95" t="str">
        <f t="shared" si="45"/>
        <v>FA U&amp;D</v>
      </c>
      <c r="B237" s="95" t="s">
        <v>961</v>
      </c>
      <c r="C237" s="95" t="s">
        <v>1335</v>
      </c>
      <c r="D237" t="s">
        <v>369</v>
      </c>
      <c r="E237" t="s">
        <v>55</v>
      </c>
      <c r="F237" t="s">
        <v>422</v>
      </c>
      <c r="G237" t="s">
        <v>1173</v>
      </c>
      <c r="H237" t="s">
        <v>1250</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5">
      <c r="A238" s="95" t="str">
        <f t="shared" si="45"/>
        <v>FA U&amp;D</v>
      </c>
      <c r="B238" s="95" t="s">
        <v>961</v>
      </c>
      <c r="C238" s="95" t="s">
        <v>1335</v>
      </c>
      <c r="D238" t="s">
        <v>369</v>
      </c>
      <c r="E238" t="s">
        <v>55</v>
      </c>
      <c r="F238" t="s">
        <v>422</v>
      </c>
      <c r="G238" t="s">
        <v>1175</v>
      </c>
      <c r="H238" t="s">
        <v>1251</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5">
      <c r="A239" s="95" t="str">
        <f t="shared" si="45"/>
        <v>FA U&amp;D</v>
      </c>
      <c r="B239" s="95" t="s">
        <v>961</v>
      </c>
      <c r="C239" s="95" t="s">
        <v>1335</v>
      </c>
      <c r="D239" t="s">
        <v>369</v>
      </c>
      <c r="E239" t="s">
        <v>55</v>
      </c>
      <c r="F239" t="s">
        <v>422</v>
      </c>
      <c r="G239" t="s">
        <v>1177</v>
      </c>
      <c r="H239" t="s">
        <v>1252</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5">
      <c r="A240" s="95" t="str">
        <f t="shared" si="45"/>
        <v>FA U&amp;D</v>
      </c>
      <c r="B240" s="95" t="s">
        <v>961</v>
      </c>
      <c r="C240" s="95" t="s">
        <v>1335</v>
      </c>
      <c r="D240" t="s">
        <v>369</v>
      </c>
      <c r="E240" t="s">
        <v>55</v>
      </c>
      <c r="F240" t="s">
        <v>422</v>
      </c>
      <c r="G240" t="s">
        <v>1179</v>
      </c>
      <c r="H240" t="s">
        <v>1253</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5">
      <c r="A241" s="95" t="str">
        <f t="shared" si="45"/>
        <v>FA U&amp;D</v>
      </c>
      <c r="B241" s="95" t="s">
        <v>961</v>
      </c>
      <c r="C241" s="95" t="s">
        <v>1335</v>
      </c>
      <c r="D241" t="s">
        <v>369</v>
      </c>
      <c r="E241" t="s">
        <v>55</v>
      </c>
      <c r="F241" t="s">
        <v>422</v>
      </c>
      <c r="G241" t="s">
        <v>1181</v>
      </c>
      <c r="H241" t="s">
        <v>1254</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5">
      <c r="A242" s="95" t="str">
        <f t="shared" si="45"/>
        <v>FA FSOM</v>
      </c>
      <c r="B242" s="95" t="s">
        <v>961</v>
      </c>
      <c r="C242" s="95" t="s">
        <v>60</v>
      </c>
      <c r="D242" t="s">
        <v>369</v>
      </c>
      <c r="E242" t="s">
        <v>55</v>
      </c>
      <c r="F242" t="s">
        <v>60</v>
      </c>
      <c r="G242" t="s">
        <v>1265</v>
      </c>
      <c r="H242" t="s">
        <v>1266</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5">
      <c r="A243" s="95" t="str">
        <f t="shared" si="45"/>
        <v>FA FSOM</v>
      </c>
      <c r="B243" s="95" t="s">
        <v>961</v>
      </c>
      <c r="C243" s="95" t="s">
        <v>60</v>
      </c>
      <c r="D243" t="s">
        <v>369</v>
      </c>
      <c r="E243" t="s">
        <v>55</v>
      </c>
      <c r="F243" t="s">
        <v>60</v>
      </c>
      <c r="G243" t="s">
        <v>1267</v>
      </c>
      <c r="H243" t="s">
        <v>1268</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5">
      <c r="A244" s="95" t="str">
        <f t="shared" si="45"/>
        <v>FA FSOM</v>
      </c>
      <c r="B244" s="95" t="s">
        <v>961</v>
      </c>
      <c r="C244" s="95" t="s">
        <v>60</v>
      </c>
      <c r="D244" t="s">
        <v>369</v>
      </c>
      <c r="E244" t="s">
        <v>55</v>
      </c>
      <c r="F244" t="s">
        <v>60</v>
      </c>
      <c r="G244" t="s">
        <v>1269</v>
      </c>
      <c r="H244" t="s">
        <v>1270</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5">
      <c r="A245" s="95" t="str">
        <f t="shared" si="45"/>
        <v>FA FSOM</v>
      </c>
      <c r="B245" s="95" t="s">
        <v>961</v>
      </c>
      <c r="C245" s="95" t="s">
        <v>60</v>
      </c>
      <c r="D245" t="s">
        <v>369</v>
      </c>
      <c r="E245" t="s">
        <v>55</v>
      </c>
      <c r="F245" t="s">
        <v>60</v>
      </c>
      <c r="G245" t="s">
        <v>1271</v>
      </c>
      <c r="H245" t="s">
        <v>1272</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5">
      <c r="A246" s="95" t="str">
        <f t="shared" si="45"/>
        <v>FA FSOM</v>
      </c>
      <c r="B246" s="95" t="s">
        <v>961</v>
      </c>
      <c r="C246" s="95" t="s">
        <v>60</v>
      </c>
      <c r="D246" t="s">
        <v>369</v>
      </c>
      <c r="E246" t="s">
        <v>55</v>
      </c>
      <c r="F246" t="s">
        <v>60</v>
      </c>
      <c r="G246" t="s">
        <v>1273</v>
      </c>
      <c r="H246" t="s">
        <v>1274</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5">
      <c r="A247" s="95" t="str">
        <f t="shared" si="45"/>
        <v>FA FSOM</v>
      </c>
      <c r="B247" s="95" t="s">
        <v>961</v>
      </c>
      <c r="C247" s="95" t="s">
        <v>60</v>
      </c>
      <c r="D247" t="s">
        <v>369</v>
      </c>
      <c r="E247" t="s">
        <v>55</v>
      </c>
      <c r="F247" t="s">
        <v>60</v>
      </c>
      <c r="G247" t="s">
        <v>1275</v>
      </c>
      <c r="H247" t="s">
        <v>1276</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5">
      <c r="A248" s="95" t="str">
        <f t="shared" si="45"/>
        <v>FA FSOM</v>
      </c>
      <c r="B248" s="95" t="s">
        <v>961</v>
      </c>
      <c r="C248" s="95" t="s">
        <v>60</v>
      </c>
      <c r="D248" t="s">
        <v>369</v>
      </c>
      <c r="E248" t="s">
        <v>55</v>
      </c>
      <c r="F248" t="s">
        <v>60</v>
      </c>
      <c r="G248" t="s">
        <v>1277</v>
      </c>
      <c r="H248" t="s">
        <v>1278</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5">
      <c r="A249" s="95" t="str">
        <f t="shared" si="45"/>
        <v>FA FSOM</v>
      </c>
      <c r="B249" s="95" t="s">
        <v>961</v>
      </c>
      <c r="C249" s="95" t="s">
        <v>60</v>
      </c>
      <c r="D249" t="s">
        <v>369</v>
      </c>
      <c r="E249" t="s">
        <v>55</v>
      </c>
      <c r="F249" t="s">
        <v>60</v>
      </c>
      <c r="G249" t="s">
        <v>1279</v>
      </c>
      <c r="H249" t="s">
        <v>1280</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5">
      <c r="A250" s="95" t="str">
        <f t="shared" si="45"/>
        <v>FA FSOM</v>
      </c>
      <c r="B250" s="95" t="s">
        <v>961</v>
      </c>
      <c r="C250" s="95" t="s">
        <v>60</v>
      </c>
      <c r="D250" t="s">
        <v>369</v>
      </c>
      <c r="E250" t="s">
        <v>55</v>
      </c>
      <c r="F250" t="s">
        <v>60</v>
      </c>
      <c r="G250" t="s">
        <v>1281</v>
      </c>
      <c r="H250" t="s">
        <v>1282</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5">
      <c r="A251" s="95" t="str">
        <f t="shared" si="45"/>
        <v>FA FSOM</v>
      </c>
      <c r="B251" s="95" t="s">
        <v>961</v>
      </c>
      <c r="C251" s="95" t="s">
        <v>60</v>
      </c>
      <c r="D251" t="s">
        <v>369</v>
      </c>
      <c r="E251" t="s">
        <v>55</v>
      </c>
      <c r="F251" t="s">
        <v>60</v>
      </c>
      <c r="G251" t="s">
        <v>1283</v>
      </c>
      <c r="H251" t="s">
        <v>1284</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5">
      <c r="A252" s="95" t="str">
        <f t="shared" si="45"/>
        <v>FA FSOM</v>
      </c>
      <c r="B252" s="95" t="s">
        <v>961</v>
      </c>
      <c r="C252" s="95" t="s">
        <v>60</v>
      </c>
      <c r="D252" t="s">
        <v>369</v>
      </c>
      <c r="E252" t="s">
        <v>55</v>
      </c>
      <c r="F252" t="s">
        <v>60</v>
      </c>
      <c r="G252" t="s">
        <v>1285</v>
      </c>
      <c r="H252" t="s">
        <v>1286</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5">
      <c r="A253" s="95" t="str">
        <f t="shared" si="45"/>
        <v>FA FSOM</v>
      </c>
      <c r="B253" s="95" t="s">
        <v>961</v>
      </c>
      <c r="C253" s="95" t="s">
        <v>60</v>
      </c>
      <c r="D253" t="s">
        <v>369</v>
      </c>
      <c r="E253" t="s">
        <v>55</v>
      </c>
      <c r="F253" t="s">
        <v>60</v>
      </c>
      <c r="G253" t="s">
        <v>1287</v>
      </c>
      <c r="H253" t="s">
        <v>1288</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5">
      <c r="A254" s="95" t="str">
        <f t="shared" si="45"/>
        <v>FA Volatilisation</v>
      </c>
      <c r="B254" s="95" t="s">
        <v>961</v>
      </c>
      <c r="C254" s="95" t="s">
        <v>62</v>
      </c>
      <c r="D254" t="s">
        <v>369</v>
      </c>
      <c r="E254" t="s">
        <v>61</v>
      </c>
      <c r="F254" t="s">
        <v>62</v>
      </c>
      <c r="G254" t="s">
        <v>435</v>
      </c>
      <c r="H254" t="s">
        <v>1183</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0.66036342435905737</v>
      </c>
      <c r="U254" s="22">
        <f t="shared" si="61"/>
        <v>0.66004971859529549</v>
      </c>
      <c r="V254" s="22">
        <f t="shared" si="61"/>
        <v>0.65987679285209155</v>
      </c>
      <c r="W254" s="22">
        <f t="shared" si="61"/>
        <v>0.65980968039636112</v>
      </c>
      <c r="X254" s="22">
        <f t="shared" si="61"/>
        <v>0.65973729403354264</v>
      </c>
      <c r="Y254" s="22">
        <f t="shared" si="61"/>
        <v>0.6596371673513507</v>
      </c>
      <c r="Z254" s="22">
        <f t="shared" ref="L254:AW261" si="62">Z1510</f>
        <v>0.65951092743964945</v>
      </c>
      <c r="AA254" s="22">
        <f t="shared" si="62"/>
        <v>0.65937292152761395</v>
      </c>
      <c r="AB254" s="22">
        <f t="shared" si="62"/>
        <v>0.65921980493186427</v>
      </c>
      <c r="AC254" s="22">
        <f t="shared" si="62"/>
        <v>0.65904099002136718</v>
      </c>
      <c r="AD254" s="22">
        <f t="shared" si="62"/>
        <v>0.6588390077412124</v>
      </c>
      <c r="AE254" s="22">
        <f t="shared" si="62"/>
        <v>0.65862502813307378</v>
      </c>
      <c r="AF254" s="22">
        <f t="shared" si="62"/>
        <v>0.65840030111280701</v>
      </c>
      <c r="AG254" s="22">
        <f t="shared" si="62"/>
        <v>0.65817083248767305</v>
      </c>
      <c r="AH254" s="22">
        <f t="shared" si="62"/>
        <v>0.65793473576190653</v>
      </c>
      <c r="AI254" s="22">
        <f t="shared" si="62"/>
        <v>0.65769490947439302</v>
      </c>
      <c r="AJ254" s="22">
        <f t="shared" si="62"/>
        <v>0.65746015679174796</v>
      </c>
      <c r="AK254" s="22">
        <f t="shared" si="62"/>
        <v>0.65721839556094175</v>
      </c>
      <c r="AL254" s="22">
        <f t="shared" si="62"/>
        <v>0.65697772026100598</v>
      </c>
      <c r="AM254" s="22">
        <f t="shared" si="62"/>
        <v>0.65673876647835383</v>
      </c>
      <c r="AN254" s="22">
        <f t="shared" si="62"/>
        <v>0.65649818227366441</v>
      </c>
      <c r="AO254" s="22">
        <f t="shared" si="62"/>
        <v>0.65626429517048157</v>
      </c>
      <c r="AP254" s="22">
        <f t="shared" si="62"/>
        <v>0.65602587146144697</v>
      </c>
      <c r="AQ254" s="22">
        <f t="shared" si="62"/>
        <v>0.65577947514353263</v>
      </c>
      <c r="AR254" s="22">
        <f t="shared" si="62"/>
        <v>0.65553213474499905</v>
      </c>
      <c r="AS254" s="22">
        <f t="shared" si="62"/>
        <v>0.65528365550023426</v>
      </c>
      <c r="AT254" s="22">
        <f t="shared" si="62"/>
        <v>0.65502749591835585</v>
      </c>
      <c r="AU254" s="22">
        <f t="shared" si="62"/>
        <v>0.65476643110027843</v>
      </c>
      <c r="AV254" s="22">
        <f t="shared" si="62"/>
        <v>0.65450232737774761</v>
      </c>
      <c r="AW254" s="22">
        <f t="shared" si="62"/>
        <v>0.65423151331477958</v>
      </c>
      <c r="AY254" s="79"/>
    </row>
    <row r="255" spans="1:51" x14ac:dyDescent="0.25">
      <c r="A255" s="95" t="str">
        <f t="shared" si="45"/>
        <v>FA Volatilisation</v>
      </c>
      <c r="B255" s="95" t="s">
        <v>961</v>
      </c>
      <c r="C255" s="95" t="s">
        <v>62</v>
      </c>
      <c r="D255" t="s">
        <v>369</v>
      </c>
      <c r="E255" t="s">
        <v>61</v>
      </c>
      <c r="F255" t="s">
        <v>62</v>
      </c>
      <c r="G255" t="s">
        <v>436</v>
      </c>
      <c r="H255" t="s">
        <v>1184</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8.7167972015395577E-3</v>
      </c>
      <c r="U255" s="22">
        <f t="shared" si="62"/>
        <v>8.7126562854578996E-3</v>
      </c>
      <c r="V255" s="22">
        <f t="shared" si="62"/>
        <v>8.7103736656476104E-3</v>
      </c>
      <c r="W255" s="22">
        <f t="shared" si="62"/>
        <v>8.7094877812319699E-3</v>
      </c>
      <c r="X255" s="22">
        <f t="shared" si="62"/>
        <v>8.7085322812427632E-3</v>
      </c>
      <c r="Y255" s="22">
        <f t="shared" si="62"/>
        <v>8.7072106090378288E-3</v>
      </c>
      <c r="Z255" s="22">
        <f t="shared" si="62"/>
        <v>8.7055442422033745E-3</v>
      </c>
      <c r="AA255" s="22">
        <f t="shared" si="62"/>
        <v>8.7037225641645056E-3</v>
      </c>
      <c r="AB255" s="22">
        <f t="shared" si="62"/>
        <v>8.7017014251006084E-3</v>
      </c>
      <c r="AC255" s="22">
        <f t="shared" si="62"/>
        <v>8.699341068282046E-3</v>
      </c>
      <c r="AD255" s="22">
        <f t="shared" si="62"/>
        <v>8.6966749021840043E-3</v>
      </c>
      <c r="AE255" s="22">
        <f t="shared" si="62"/>
        <v>8.6938503713565752E-3</v>
      </c>
      <c r="AF255" s="22">
        <f t="shared" si="62"/>
        <v>8.6908839746890534E-3</v>
      </c>
      <c r="AG255" s="22">
        <f t="shared" si="62"/>
        <v>8.687854988837283E-3</v>
      </c>
      <c r="AH255" s="22">
        <f t="shared" si="62"/>
        <v>8.6847385120571701E-3</v>
      </c>
      <c r="AI255" s="22">
        <f t="shared" si="62"/>
        <v>8.6815728050619895E-3</v>
      </c>
      <c r="AJ255" s="22">
        <f t="shared" si="62"/>
        <v>8.6784740696510734E-3</v>
      </c>
      <c r="AK255" s="22">
        <f t="shared" si="62"/>
        <v>8.6752828214044318E-3</v>
      </c>
      <c r="AL255" s="22">
        <f t="shared" si="62"/>
        <v>8.672105907445278E-3</v>
      </c>
      <c r="AM255" s="22">
        <f t="shared" si="62"/>
        <v>8.6689517175142713E-3</v>
      </c>
      <c r="AN255" s="22">
        <f t="shared" si="62"/>
        <v>8.6657760060123695E-3</v>
      </c>
      <c r="AO255" s="22">
        <f t="shared" si="62"/>
        <v>8.6626886962503594E-3</v>
      </c>
      <c r="AP255" s="22">
        <f t="shared" si="62"/>
        <v>8.6595415032911013E-3</v>
      </c>
      <c r="AQ255" s="22">
        <f t="shared" si="62"/>
        <v>8.6562890718946302E-3</v>
      </c>
      <c r="AR255" s="22">
        <f t="shared" si="62"/>
        <v>8.65302417863399E-3</v>
      </c>
      <c r="AS255" s="22">
        <f t="shared" si="62"/>
        <v>8.6497442526030921E-3</v>
      </c>
      <c r="AT255" s="22">
        <f t="shared" si="62"/>
        <v>8.6463629461222963E-3</v>
      </c>
      <c r="AU255" s="22">
        <f t="shared" si="62"/>
        <v>8.6429168905236796E-3</v>
      </c>
      <c r="AV255" s="22">
        <f t="shared" si="62"/>
        <v>8.6394307213862702E-3</v>
      </c>
      <c r="AW255" s="22">
        <f t="shared" si="62"/>
        <v>8.6358559757550891E-3</v>
      </c>
      <c r="AY255" s="79"/>
    </row>
    <row r="256" spans="1:51" x14ac:dyDescent="0.25">
      <c r="A256" s="95" t="str">
        <f t="shared" si="45"/>
        <v>FA Volatilisation</v>
      </c>
      <c r="B256" s="95" t="s">
        <v>961</v>
      </c>
      <c r="C256" s="95" t="s">
        <v>62</v>
      </c>
      <c r="D256" t="s">
        <v>369</v>
      </c>
      <c r="E256" t="s">
        <v>61</v>
      </c>
      <c r="F256" t="s">
        <v>62</v>
      </c>
      <c r="G256" t="s">
        <v>437</v>
      </c>
      <c r="H256" t="s">
        <v>1185</v>
      </c>
      <c r="I256" t="s">
        <v>139</v>
      </c>
      <c r="J256" t="s">
        <v>287</v>
      </c>
      <c r="K256" s="22">
        <f t="shared" si="55"/>
        <v>1.2008407282256133</v>
      </c>
      <c r="L256" s="22">
        <f t="shared" si="62"/>
        <v>1.2019035107607592</v>
      </c>
      <c r="M256" s="22">
        <f t="shared" si="62"/>
        <v>1.2088775122881088</v>
      </c>
      <c r="N256" s="22">
        <f t="shared" si="62"/>
        <v>1.2055442230548152</v>
      </c>
      <c r="O256" s="22">
        <f t="shared" si="62"/>
        <v>1.1958435838326273</v>
      </c>
      <c r="P256" s="22">
        <f t="shared" si="62"/>
        <v>1.1799964998501222</v>
      </c>
      <c r="Q256" s="22">
        <f t="shared" si="62"/>
        <v>1.169776622170569</v>
      </c>
      <c r="R256" s="22">
        <f t="shared" si="62"/>
        <v>1.1606871439933113</v>
      </c>
      <c r="S256" s="22">
        <f t="shared" si="62"/>
        <v>1.0635026929062164</v>
      </c>
      <c r="T256" s="22">
        <f t="shared" si="62"/>
        <v>1.1127914653577025</v>
      </c>
      <c r="U256" s="22">
        <f t="shared" si="62"/>
        <v>1.1339456607288676</v>
      </c>
      <c r="V256" s="22">
        <f t="shared" si="62"/>
        <v>1.1334093263464944</v>
      </c>
      <c r="W256" s="22">
        <f t="shared" si="62"/>
        <v>1.1341671660422112</v>
      </c>
      <c r="X256" s="22">
        <f t="shared" si="62"/>
        <v>1.1408235439735572</v>
      </c>
      <c r="Y256" s="22">
        <f t="shared" si="62"/>
        <v>1.1530569851412431</v>
      </c>
      <c r="Z256" s="22">
        <f t="shared" si="62"/>
        <v>1.1679322279348805</v>
      </c>
      <c r="AA256" s="22">
        <f t="shared" si="62"/>
        <v>1.1861792833479095</v>
      </c>
      <c r="AB256" s="22">
        <f t="shared" si="62"/>
        <v>1.2100969940218784</v>
      </c>
      <c r="AC256" s="22">
        <f t="shared" si="62"/>
        <v>1.2393194864291859</v>
      </c>
      <c r="AD256" s="22">
        <f t="shared" si="62"/>
        <v>1.2672278032377093</v>
      </c>
      <c r="AE256" s="22">
        <f t="shared" si="62"/>
        <v>1.2977962214580763</v>
      </c>
      <c r="AF256" s="22">
        <f t="shared" si="62"/>
        <v>1.329788063562543</v>
      </c>
      <c r="AG256" s="22">
        <f t="shared" si="62"/>
        <v>1.3636827815165269</v>
      </c>
      <c r="AH256" s="22">
        <f t="shared" si="62"/>
        <v>1.3988919386644247</v>
      </c>
      <c r="AI256" s="22">
        <f t="shared" si="62"/>
        <v>1.4334139363721508</v>
      </c>
      <c r="AJ256" s="22">
        <f t="shared" si="62"/>
        <v>1.4700649477851668</v>
      </c>
      <c r="AK256" s="22">
        <f t="shared" si="62"/>
        <v>1.5069886120645011</v>
      </c>
      <c r="AL256" s="22">
        <f t="shared" si="62"/>
        <v>1.5440287360100955</v>
      </c>
      <c r="AM256" s="22">
        <f t="shared" si="62"/>
        <v>1.5820093604594603</v>
      </c>
      <c r="AN256" s="22">
        <f t="shared" si="62"/>
        <v>1.6219033183214897</v>
      </c>
      <c r="AO256" s="22">
        <f t="shared" si="62"/>
        <v>1.6636708318066389</v>
      </c>
      <c r="AP256" s="22">
        <f t="shared" si="62"/>
        <v>1.7082959626143681</v>
      </c>
      <c r="AQ256" s="22">
        <f t="shared" si="62"/>
        <v>1.7540375132373072</v>
      </c>
      <c r="AR256" s="22">
        <f t="shared" si="62"/>
        <v>1.8009857640186506</v>
      </c>
      <c r="AS256" s="22">
        <f t="shared" si="62"/>
        <v>1.8510064312178449</v>
      </c>
      <c r="AT256" s="22">
        <f t="shared" si="62"/>
        <v>1.9034681141674186</v>
      </c>
      <c r="AU256" s="22">
        <f t="shared" si="62"/>
        <v>1.9579460640600546</v>
      </c>
      <c r="AV256" s="22">
        <f t="shared" si="62"/>
        <v>2.0156248390942006</v>
      </c>
      <c r="AW256" s="22">
        <f t="shared" si="62"/>
        <v>2.0696024098416643</v>
      </c>
      <c r="AY256" s="79"/>
    </row>
    <row r="257" spans="1:51" x14ac:dyDescent="0.25">
      <c r="A257" s="95" t="str">
        <f t="shared" si="45"/>
        <v>FA Volatilisation</v>
      </c>
      <c r="B257" s="95" t="s">
        <v>961</v>
      </c>
      <c r="C257" s="95" t="s">
        <v>62</v>
      </c>
      <c r="D257" t="s">
        <v>369</v>
      </c>
      <c r="E257" t="s">
        <v>61</v>
      </c>
      <c r="F257" t="s">
        <v>62</v>
      </c>
      <c r="G257" t="s">
        <v>438</v>
      </c>
      <c r="H257" t="s">
        <v>1264</v>
      </c>
      <c r="I257" t="s">
        <v>139</v>
      </c>
      <c r="J257" t="s">
        <v>287</v>
      </c>
      <c r="K257" s="22">
        <f t="shared" si="55"/>
        <v>4.3975799639737021</v>
      </c>
      <c r="L257" s="22">
        <f t="shared" si="62"/>
        <v>4.3787767883653972</v>
      </c>
      <c r="M257" s="22">
        <f t="shared" si="62"/>
        <v>4.3752716537638934</v>
      </c>
      <c r="N257" s="22">
        <f t="shared" si="62"/>
        <v>4.3473821211305586</v>
      </c>
      <c r="O257" s="22">
        <f t="shared" si="62"/>
        <v>4.3052096453824591</v>
      </c>
      <c r="P257" s="22">
        <f t="shared" si="62"/>
        <v>4.2496956169043703</v>
      </c>
      <c r="Q257" s="22">
        <f t="shared" si="62"/>
        <v>4.2083609134426787</v>
      </c>
      <c r="R257" s="22">
        <f t="shared" si="62"/>
        <v>4.1703852155628214</v>
      </c>
      <c r="S257" s="22">
        <f t="shared" si="62"/>
        <v>3.920518553769567</v>
      </c>
      <c r="T257" s="22">
        <f t="shared" si="62"/>
        <v>4.022224403214822</v>
      </c>
      <c r="U257" s="22">
        <f t="shared" si="62"/>
        <v>4.0573246422564955</v>
      </c>
      <c r="V257" s="22">
        <f t="shared" si="62"/>
        <v>4.0437027667632135</v>
      </c>
      <c r="W257" s="22">
        <f t="shared" si="62"/>
        <v>4.0349744796970102</v>
      </c>
      <c r="X257" s="22">
        <f t="shared" si="62"/>
        <v>4.0404911436640738</v>
      </c>
      <c r="Y257" s="22">
        <f t="shared" si="62"/>
        <v>4.0578866533033189</v>
      </c>
      <c r="Z257" s="22">
        <f t="shared" si="62"/>
        <v>4.0805365209798321</v>
      </c>
      <c r="AA257" s="22">
        <f t="shared" si="62"/>
        <v>4.109915060040195</v>
      </c>
      <c r="AB257" s="22">
        <f t="shared" si="62"/>
        <v>4.1509048491402085</v>
      </c>
      <c r="AC257" s="22">
        <f t="shared" si="62"/>
        <v>4.202533390484211</v>
      </c>
      <c r="AD257" s="22">
        <f t="shared" si="62"/>
        <v>4.2406560670580085</v>
      </c>
      <c r="AE257" s="22">
        <f t="shared" si="62"/>
        <v>4.2827934559696441</v>
      </c>
      <c r="AF257" s="22">
        <f t="shared" si="62"/>
        <v>4.3261652521730651</v>
      </c>
      <c r="AG257" s="22">
        <f t="shared" si="62"/>
        <v>4.3716097132066274</v>
      </c>
      <c r="AH257" s="22">
        <f t="shared" si="62"/>
        <v>4.417783804127744</v>
      </c>
      <c r="AI257" s="22">
        <f t="shared" si="62"/>
        <v>4.46055260064648</v>
      </c>
      <c r="AJ257" s="22">
        <f t="shared" si="62"/>
        <v>4.5055232078089906</v>
      </c>
      <c r="AK257" s="22">
        <f t="shared" si="62"/>
        <v>4.5487963787371326</v>
      </c>
      <c r="AL257" s="22">
        <f t="shared" si="62"/>
        <v>4.5900121260194853</v>
      </c>
      <c r="AM257" s="22">
        <f t="shared" si="62"/>
        <v>4.6307205405262888</v>
      </c>
      <c r="AN257" s="22">
        <f t="shared" si="62"/>
        <v>4.6802451384074173</v>
      </c>
      <c r="AO257" s="22">
        <f t="shared" si="62"/>
        <v>4.7313734673669652</v>
      </c>
      <c r="AP257" s="22">
        <f t="shared" si="62"/>
        <v>4.7857847377648062</v>
      </c>
      <c r="AQ257" s="22">
        <f t="shared" si="62"/>
        <v>4.8400720712169321</v>
      </c>
      <c r="AR257" s="22">
        <f t="shared" si="62"/>
        <v>4.8942825787604232</v>
      </c>
      <c r="AS257" s="22">
        <f t="shared" si="62"/>
        <v>4.9516552239356777</v>
      </c>
      <c r="AT257" s="22">
        <f t="shared" si="62"/>
        <v>5.010848202184258</v>
      </c>
      <c r="AU257" s="22">
        <f t="shared" si="62"/>
        <v>5.070940832499133</v>
      </c>
      <c r="AV257" s="22">
        <f t="shared" si="62"/>
        <v>5.1338473778737468</v>
      </c>
      <c r="AW257" s="22">
        <f t="shared" si="62"/>
        <v>5.1874285866281769</v>
      </c>
      <c r="AY257" s="79"/>
    </row>
    <row r="258" spans="1:51" x14ac:dyDescent="0.25">
      <c r="A258" s="95" t="str">
        <f t="shared" si="45"/>
        <v>FA Leaching</v>
      </c>
      <c r="B258" s="95" t="s">
        <v>961</v>
      </c>
      <c r="C258" s="95" t="s">
        <v>1189</v>
      </c>
      <c r="D258" t="s">
        <v>369</v>
      </c>
      <c r="E258" t="s">
        <v>61</v>
      </c>
      <c r="F258" t="s">
        <v>63</v>
      </c>
      <c r="G258" t="s">
        <v>435</v>
      </c>
      <c r="H258" t="s">
        <v>1186</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2.2782538140387479E-4</v>
      </c>
      <c r="U258" s="22">
        <f t="shared" si="62"/>
        <v>2.2771715291537687E-4</v>
      </c>
      <c r="V258" s="22">
        <f t="shared" si="62"/>
        <v>2.2765749353397156E-4</v>
      </c>
      <c r="W258" s="22">
        <f t="shared" si="62"/>
        <v>2.2763433973674462E-4</v>
      </c>
      <c r="X258" s="22">
        <f t="shared" si="62"/>
        <v>2.2760936644157216E-4</v>
      </c>
      <c r="Y258" s="22">
        <f t="shared" si="62"/>
        <v>2.2757482273621599E-4</v>
      </c>
      <c r="Z258" s="22">
        <f t="shared" si="62"/>
        <v>2.27531269966679E-4</v>
      </c>
      <c r="AA258" s="22">
        <f t="shared" si="62"/>
        <v>2.2748365792702683E-4</v>
      </c>
      <c r="AB258" s="22">
        <f t="shared" si="62"/>
        <v>2.2743083270149308E-4</v>
      </c>
      <c r="AC258" s="22">
        <f t="shared" si="62"/>
        <v>2.2736914155737162E-4</v>
      </c>
      <c r="AD258" s="22">
        <f t="shared" si="62"/>
        <v>2.272994576707182E-4</v>
      </c>
      <c r="AE258" s="22">
        <f t="shared" si="62"/>
        <v>2.2722563470591042E-4</v>
      </c>
      <c r="AF258" s="22">
        <f t="shared" si="62"/>
        <v>2.2714810388391836E-4</v>
      </c>
      <c r="AG258" s="22">
        <f t="shared" si="62"/>
        <v>2.2706893720824713E-4</v>
      </c>
      <c r="AH258" s="22">
        <f t="shared" si="62"/>
        <v>2.2698748383785777E-4</v>
      </c>
      <c r="AI258" s="22">
        <f t="shared" si="62"/>
        <v>2.2690474376866552E-4</v>
      </c>
      <c r="AJ258" s="22">
        <f t="shared" si="62"/>
        <v>2.2682375409315307E-4</v>
      </c>
      <c r="AK258" s="22">
        <f t="shared" si="62"/>
        <v>2.2674034646852486E-4</v>
      </c>
      <c r="AL258" s="22">
        <f t="shared" si="62"/>
        <v>2.26657313490047E-4</v>
      </c>
      <c r="AM258" s="22">
        <f t="shared" si="62"/>
        <v>2.2657487443503212E-4</v>
      </c>
      <c r="AN258" s="22">
        <f t="shared" si="62"/>
        <v>2.2649187288441419E-4</v>
      </c>
      <c r="AO258" s="22">
        <f t="shared" si="62"/>
        <v>2.2641118183381611E-4</v>
      </c>
      <c r="AP258" s="22">
        <f t="shared" si="62"/>
        <v>2.2632892565419918E-4</v>
      </c>
      <c r="AQ258" s="22">
        <f t="shared" si="62"/>
        <v>2.2624391892451869E-4</v>
      </c>
      <c r="AR258" s="22">
        <f t="shared" si="62"/>
        <v>2.2615858648702465E-4</v>
      </c>
      <c r="AS258" s="22">
        <f t="shared" si="62"/>
        <v>2.2607286114758075E-4</v>
      </c>
      <c r="AT258" s="22">
        <f t="shared" si="62"/>
        <v>2.2598448609183276E-4</v>
      </c>
      <c r="AU258" s="22">
        <f t="shared" si="62"/>
        <v>2.2589441872959606E-4</v>
      </c>
      <c r="AV258" s="22">
        <f t="shared" si="62"/>
        <v>2.2580330294532294E-4</v>
      </c>
      <c r="AW258" s="22">
        <f t="shared" si="62"/>
        <v>2.2570987209359888E-4</v>
      </c>
      <c r="AY258" s="79"/>
    </row>
    <row r="259" spans="1:51" x14ac:dyDescent="0.25">
      <c r="A259" s="95" t="str">
        <f t="shared" si="45"/>
        <v>FA Leaching</v>
      </c>
      <c r="B259" s="95" t="s">
        <v>961</v>
      </c>
      <c r="C259" s="95" t="s">
        <v>1189</v>
      </c>
      <c r="D259" t="s">
        <v>369</v>
      </c>
      <c r="E259" t="s">
        <v>61</v>
      </c>
      <c r="F259" t="s">
        <v>63</v>
      </c>
      <c r="G259" t="s">
        <v>436</v>
      </c>
      <c r="H259" t="s">
        <v>1187</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1.5036475172655738E-6</v>
      </c>
      <c r="U259" s="22">
        <f t="shared" si="62"/>
        <v>1.5029332092414877E-6</v>
      </c>
      <c r="V259" s="22">
        <f t="shared" si="62"/>
        <v>1.5025394573242125E-6</v>
      </c>
      <c r="W259" s="22">
        <f t="shared" si="62"/>
        <v>1.5023866422625144E-6</v>
      </c>
      <c r="X259" s="22">
        <f t="shared" si="62"/>
        <v>1.5022218185143764E-6</v>
      </c>
      <c r="Y259" s="22">
        <f t="shared" si="62"/>
        <v>1.5019938300590255E-6</v>
      </c>
      <c r="Z259" s="22">
        <f t="shared" si="62"/>
        <v>1.5017063817800821E-6</v>
      </c>
      <c r="AA259" s="22">
        <f t="shared" si="62"/>
        <v>1.5013921423183768E-6</v>
      </c>
      <c r="AB259" s="22">
        <f t="shared" si="62"/>
        <v>1.5010434958298549E-6</v>
      </c>
      <c r="AC259" s="22">
        <f t="shared" si="62"/>
        <v>1.5006363342786528E-6</v>
      </c>
      <c r="AD259" s="22">
        <f t="shared" si="62"/>
        <v>1.5001764206267405E-6</v>
      </c>
      <c r="AE259" s="22">
        <f t="shared" si="62"/>
        <v>1.4996891890590088E-6</v>
      </c>
      <c r="AF259" s="22">
        <f t="shared" si="62"/>
        <v>1.4991774856338616E-6</v>
      </c>
      <c r="AG259" s="22">
        <f t="shared" si="62"/>
        <v>1.4986549855744315E-6</v>
      </c>
      <c r="AH259" s="22">
        <f t="shared" si="62"/>
        <v>1.4981173933298619E-6</v>
      </c>
      <c r="AI259" s="22">
        <f t="shared" si="62"/>
        <v>1.4975713088731927E-6</v>
      </c>
      <c r="AJ259" s="22">
        <f t="shared" si="62"/>
        <v>1.4970367770148105E-6</v>
      </c>
      <c r="AK259" s="22">
        <f t="shared" si="62"/>
        <v>1.4964862866922644E-6</v>
      </c>
      <c r="AL259" s="22">
        <f t="shared" si="62"/>
        <v>1.4959382690343105E-6</v>
      </c>
      <c r="AM259" s="22">
        <f t="shared" si="62"/>
        <v>1.4953941712712119E-6</v>
      </c>
      <c r="AN259" s="22">
        <f t="shared" si="62"/>
        <v>1.4948463610371335E-6</v>
      </c>
      <c r="AO259" s="22">
        <f t="shared" si="62"/>
        <v>1.4943138001031867E-6</v>
      </c>
      <c r="AP259" s="22">
        <f t="shared" si="62"/>
        <v>1.4937709093177149E-6</v>
      </c>
      <c r="AQ259" s="22">
        <f t="shared" si="62"/>
        <v>1.4932098649018236E-6</v>
      </c>
      <c r="AR259" s="22">
        <f t="shared" si="62"/>
        <v>1.4926466708143633E-6</v>
      </c>
      <c r="AS259" s="22">
        <f t="shared" si="62"/>
        <v>1.4920808835740333E-6</v>
      </c>
      <c r="AT259" s="22">
        <f t="shared" si="62"/>
        <v>1.4914976082060963E-6</v>
      </c>
      <c r="AU259" s="22">
        <f t="shared" si="62"/>
        <v>1.4909031636153342E-6</v>
      </c>
      <c r="AV259" s="22">
        <f t="shared" si="62"/>
        <v>1.4903017994391313E-6</v>
      </c>
      <c r="AW259" s="22">
        <f t="shared" si="62"/>
        <v>1.4896851558177531E-6</v>
      </c>
      <c r="AY259" s="79"/>
    </row>
    <row r="260" spans="1:51" x14ac:dyDescent="0.25">
      <c r="A260" s="95" t="str">
        <f t="shared" si="45"/>
        <v>FA Leaching</v>
      </c>
      <c r="B260" s="95" t="s">
        <v>961</v>
      </c>
      <c r="C260" s="95" t="s">
        <v>1189</v>
      </c>
      <c r="D260" t="s">
        <v>369</v>
      </c>
      <c r="E260" t="s">
        <v>61</v>
      </c>
      <c r="F260" t="s">
        <v>63</v>
      </c>
      <c r="G260" t="s">
        <v>437</v>
      </c>
      <c r="H260" t="s">
        <v>1188</v>
      </c>
      <c r="I260" t="s">
        <v>139</v>
      </c>
      <c r="J260" t="s">
        <v>287</v>
      </c>
      <c r="K260" s="22">
        <f t="shared" si="55"/>
        <v>0.20714502561891826</v>
      </c>
      <c r="L260" s="22">
        <f t="shared" si="62"/>
        <v>0.20732835560623097</v>
      </c>
      <c r="M260" s="22">
        <f t="shared" si="62"/>
        <v>0.20853137086969875</v>
      </c>
      <c r="N260" s="22">
        <f t="shared" si="62"/>
        <v>0.20795637847695561</v>
      </c>
      <c r="O260" s="22">
        <f t="shared" si="62"/>
        <v>0.20628301821112818</v>
      </c>
      <c r="P260" s="22">
        <f t="shared" si="62"/>
        <v>0.20354939622414608</v>
      </c>
      <c r="Q260" s="22">
        <f t="shared" si="62"/>
        <v>0.20178646732442315</v>
      </c>
      <c r="R260" s="22">
        <f t="shared" si="62"/>
        <v>0.20021853233884618</v>
      </c>
      <c r="S260" s="22">
        <f t="shared" si="62"/>
        <v>0.18345421452632232</v>
      </c>
      <c r="T260" s="22">
        <f t="shared" si="62"/>
        <v>0.19195652777420363</v>
      </c>
      <c r="U260" s="22">
        <f t="shared" si="62"/>
        <v>0.19560562647572965</v>
      </c>
      <c r="V260" s="22">
        <f t="shared" si="62"/>
        <v>0.19551310879477027</v>
      </c>
      <c r="W260" s="22">
        <f t="shared" si="62"/>
        <v>0.19564383614228145</v>
      </c>
      <c r="X260" s="22">
        <f t="shared" si="62"/>
        <v>0.19679206133543856</v>
      </c>
      <c r="Y260" s="22">
        <f t="shared" si="62"/>
        <v>0.19890232993686438</v>
      </c>
      <c r="Z260" s="22">
        <f t="shared" si="62"/>
        <v>0.20146830931876691</v>
      </c>
      <c r="AA260" s="22">
        <f t="shared" si="62"/>
        <v>0.20461592637751433</v>
      </c>
      <c r="AB260" s="22">
        <f t="shared" si="62"/>
        <v>0.20874173146877406</v>
      </c>
      <c r="AC260" s="22">
        <f t="shared" si="62"/>
        <v>0.21378261140903454</v>
      </c>
      <c r="AD260" s="22">
        <f t="shared" si="62"/>
        <v>0.21859679605850485</v>
      </c>
      <c r="AE260" s="22">
        <f t="shared" si="62"/>
        <v>0.22386984820151812</v>
      </c>
      <c r="AF260" s="22">
        <f t="shared" si="62"/>
        <v>0.22938844096453867</v>
      </c>
      <c r="AG260" s="22">
        <f t="shared" si="62"/>
        <v>0.23523527981160089</v>
      </c>
      <c r="AH260" s="22">
        <f t="shared" si="62"/>
        <v>0.24130885941961319</v>
      </c>
      <c r="AI260" s="22">
        <f t="shared" si="62"/>
        <v>0.2472639040241959</v>
      </c>
      <c r="AJ260" s="22">
        <f t="shared" si="62"/>
        <v>0.2535862034929412</v>
      </c>
      <c r="AK260" s="22">
        <f t="shared" si="62"/>
        <v>0.25995553558112644</v>
      </c>
      <c r="AL260" s="22">
        <f t="shared" si="62"/>
        <v>0.26634495696174137</v>
      </c>
      <c r="AM260" s="22">
        <f t="shared" si="62"/>
        <v>0.27289661467925691</v>
      </c>
      <c r="AN260" s="22">
        <f t="shared" si="62"/>
        <v>0.27977832241045703</v>
      </c>
      <c r="AO260" s="22">
        <f t="shared" si="62"/>
        <v>0.28698321848664521</v>
      </c>
      <c r="AP260" s="22">
        <f t="shared" si="62"/>
        <v>0.29468105355097846</v>
      </c>
      <c r="AQ260" s="22">
        <f t="shared" si="62"/>
        <v>0.3025714710334354</v>
      </c>
      <c r="AR260" s="22">
        <f t="shared" si="62"/>
        <v>0.31067004429321721</v>
      </c>
      <c r="AS260" s="22">
        <f t="shared" si="62"/>
        <v>0.31929860938507826</v>
      </c>
      <c r="AT260" s="22">
        <f t="shared" si="62"/>
        <v>0.32834824969387966</v>
      </c>
      <c r="AU260" s="22">
        <f t="shared" si="62"/>
        <v>0.33774569605035937</v>
      </c>
      <c r="AV260" s="22">
        <f t="shared" si="62"/>
        <v>0.34769528474374956</v>
      </c>
      <c r="AW260" s="22">
        <f t="shared" si="62"/>
        <v>0.3570064156976871</v>
      </c>
      <c r="AY260" s="79"/>
    </row>
    <row r="261" spans="1:51" x14ac:dyDescent="0.25">
      <c r="A261" s="95" t="str">
        <f t="shared" si="45"/>
        <v>FA Leaching</v>
      </c>
      <c r="B261" s="95" t="s">
        <v>961</v>
      </c>
      <c r="C261" s="95" t="s">
        <v>1189</v>
      </c>
      <c r="D261" t="s">
        <v>369</v>
      </c>
      <c r="E261" t="s">
        <v>61</v>
      </c>
      <c r="F261" t="s">
        <v>63</v>
      </c>
      <c r="G261" t="s">
        <v>438</v>
      </c>
      <c r="H261" t="s">
        <v>1190</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5">
      <c r="A262" s="95" t="str">
        <f t="shared" si="45"/>
        <v>FA Leaching</v>
      </c>
      <c r="B262" s="95" t="s">
        <v>961</v>
      </c>
      <c r="C262" s="95" t="s">
        <v>1189</v>
      </c>
      <c r="D262" t="s">
        <v>369</v>
      </c>
      <c r="E262" t="s">
        <v>61</v>
      </c>
      <c r="F262" t="s">
        <v>63</v>
      </c>
      <c r="G262" t="s">
        <v>439</v>
      </c>
      <c r="H262" t="s">
        <v>1191</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0.10248443536314014</v>
      </c>
      <c r="U262" s="22">
        <f t="shared" si="63"/>
        <v>0.10329242458615623</v>
      </c>
      <c r="V262" s="22">
        <f t="shared" si="63"/>
        <v>0.1037378169028777</v>
      </c>
      <c r="W262" s="22">
        <f t="shared" si="63"/>
        <v>0.10391067359607317</v>
      </c>
      <c r="X262" s="22">
        <f t="shared" si="63"/>
        <v>0.10409711390991817</v>
      </c>
      <c r="Y262" s="22">
        <f t="shared" si="63"/>
        <v>0.10435500295593778</v>
      </c>
      <c r="Z262" s="22">
        <f t="shared" si="63"/>
        <v>0.10468014995657268</v>
      </c>
      <c r="AA262" s="22">
        <f t="shared" si="63"/>
        <v>0.10503560179239499</v>
      </c>
      <c r="AB262" s="22">
        <f t="shared" si="63"/>
        <v>0.10542997312222666</v>
      </c>
      <c r="AC262" s="22">
        <f t="shared" si="63"/>
        <v>0.10589053374076159</v>
      </c>
      <c r="AD262" s="22">
        <f t="shared" si="63"/>
        <v>0.10641076487597649</v>
      </c>
      <c r="AE262" s="22">
        <f t="shared" si="63"/>
        <v>0.10696189666025695</v>
      </c>
      <c r="AF262" s="22">
        <f t="shared" si="63"/>
        <v>0.10754070977582914</v>
      </c>
      <c r="AG262" s="22">
        <f t="shared" si="63"/>
        <v>0.10813173549975955</v>
      </c>
      <c r="AH262" s="22">
        <f t="shared" si="63"/>
        <v>0.10873983274260557</v>
      </c>
      <c r="AI262" s="22">
        <f t="shared" si="63"/>
        <v>0.10935753594761956</v>
      </c>
      <c r="AJ262" s="22">
        <f t="shared" si="63"/>
        <v>0.10996217143590806</v>
      </c>
      <c r="AK262" s="22">
        <f t="shared" si="63"/>
        <v>0.11058485833426822</v>
      </c>
      <c r="AL262" s="22">
        <f t="shared" si="63"/>
        <v>0.11120474827910765</v>
      </c>
      <c r="AM262" s="22">
        <f t="shared" si="63"/>
        <v>0.11182020423651956</v>
      </c>
      <c r="AN262" s="22">
        <f t="shared" si="63"/>
        <v>0.11243985955392911</v>
      </c>
      <c r="AO262" s="22">
        <f t="shared" si="63"/>
        <v>0.11304226563186594</v>
      </c>
      <c r="AP262" s="22">
        <f t="shared" si="63"/>
        <v>0.1136563563170396</v>
      </c>
      <c r="AQ262" s="22">
        <f t="shared" si="63"/>
        <v>0.1142909814736776</v>
      </c>
      <c r="AR262" s="22">
        <f t="shared" si="63"/>
        <v>0.11492803823041334</v>
      </c>
      <c r="AS262" s="22">
        <f t="shared" si="63"/>
        <v>0.11556802823093357</v>
      </c>
      <c r="AT262" s="22">
        <f t="shared" si="63"/>
        <v>0.11622779991969046</v>
      </c>
      <c r="AU262" s="22">
        <f t="shared" si="63"/>
        <v>0.11690020567017985</v>
      </c>
      <c r="AV262" s="22">
        <f t="shared" si="63"/>
        <v>0.11758043850684917</v>
      </c>
      <c r="AW262" s="22">
        <f t="shared" si="63"/>
        <v>0.11827795468154553</v>
      </c>
      <c r="AY262" s="79"/>
    </row>
    <row r="263" spans="1:51" x14ac:dyDescent="0.25">
      <c r="A263" s="95" t="str">
        <f t="shared" si="45"/>
        <v>FA Leaching</v>
      </c>
      <c r="B263" s="95" t="s">
        <v>961</v>
      </c>
      <c r="C263" s="95" t="s">
        <v>1189</v>
      </c>
      <c r="D263" t="s">
        <v>369</v>
      </c>
      <c r="E263" t="s">
        <v>61</v>
      </c>
      <c r="F263" t="s">
        <v>63</v>
      </c>
      <c r="G263" t="s">
        <v>1192</v>
      </c>
      <c r="H263" t="s">
        <v>1193</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5">
      <c r="A264" s="95" t="str">
        <f t="shared" si="45"/>
        <v>FA Leaching</v>
      </c>
      <c r="B264" s="95" t="s">
        <v>961</v>
      </c>
      <c r="C264" s="95" t="s">
        <v>1189</v>
      </c>
      <c r="D264" t="s">
        <v>369</v>
      </c>
      <c r="E264" t="s">
        <v>61</v>
      </c>
      <c r="F264" t="s">
        <v>63</v>
      </c>
      <c r="G264" t="s">
        <v>1194</v>
      </c>
      <c r="H264" t="s">
        <v>1195</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5">
      <c r="A265" s="95" t="str">
        <f t="shared" si="45"/>
        <v>FA Leaching</v>
      </c>
      <c r="B265" s="95" t="s">
        <v>961</v>
      </c>
      <c r="C265" s="95" t="s">
        <v>1189</v>
      </c>
      <c r="D265" t="s">
        <v>369</v>
      </c>
      <c r="E265" t="s">
        <v>61</v>
      </c>
      <c r="F265" t="s">
        <v>63</v>
      </c>
      <c r="G265" t="s">
        <v>1196</v>
      </c>
      <c r="H265" t="s">
        <v>1197</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5">
      <c r="A266" s="95" t="str">
        <f t="shared" si="45"/>
        <v>FA Leaching</v>
      </c>
      <c r="B266" s="95" t="s">
        <v>961</v>
      </c>
      <c r="C266" s="95" t="s">
        <v>1189</v>
      </c>
      <c r="D266" t="s">
        <v>369</v>
      </c>
      <c r="E266" t="s">
        <v>61</v>
      </c>
      <c r="F266" t="s">
        <v>63</v>
      </c>
      <c r="G266" t="s">
        <v>1198</v>
      </c>
      <c r="H266" t="s">
        <v>1199</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5">
      <c r="A267" s="95" t="str">
        <f t="shared" si="45"/>
        <v>FA Leaching</v>
      </c>
      <c r="B267" s="95" t="s">
        <v>961</v>
      </c>
      <c r="C267" s="95" t="s">
        <v>1189</v>
      </c>
      <c r="D267" t="s">
        <v>369</v>
      </c>
      <c r="E267" t="s">
        <v>61</v>
      </c>
      <c r="F267" t="s">
        <v>63</v>
      </c>
      <c r="G267" t="s">
        <v>1200</v>
      </c>
      <c r="H267" t="s">
        <v>1201</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5">
      <c r="A268" s="95" t="str">
        <f t="shared" si="45"/>
        <v>FA Leaching</v>
      </c>
      <c r="B268" s="95" t="s">
        <v>961</v>
      </c>
      <c r="C268" s="95" t="s">
        <v>1189</v>
      </c>
      <c r="D268" t="s">
        <v>369</v>
      </c>
      <c r="E268" t="s">
        <v>61</v>
      </c>
      <c r="F268" t="s">
        <v>63</v>
      </c>
      <c r="G268" t="s">
        <v>1202</v>
      </c>
      <c r="H268" t="s">
        <v>1203</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5">
      <c r="A269" s="95" t="str">
        <f t="shared" si="45"/>
        <v>FA Leaching</v>
      </c>
      <c r="B269" s="95" t="s">
        <v>961</v>
      </c>
      <c r="C269" s="95" t="s">
        <v>1189</v>
      </c>
      <c r="D269" t="s">
        <v>369</v>
      </c>
      <c r="E269" t="s">
        <v>61</v>
      </c>
      <c r="F269" t="s">
        <v>63</v>
      </c>
      <c r="G269" t="s">
        <v>1204</v>
      </c>
      <c r="H269" t="s">
        <v>1205</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5">
      <c r="A270" s="95" t="str">
        <f t="shared" si="45"/>
        <v>FA Leaching</v>
      </c>
      <c r="B270" s="95" t="s">
        <v>961</v>
      </c>
      <c r="C270" s="95" t="s">
        <v>1189</v>
      </c>
      <c r="D270" t="s">
        <v>369</v>
      </c>
      <c r="E270" t="s">
        <v>61</v>
      </c>
      <c r="F270" t="s">
        <v>63</v>
      </c>
      <c r="G270" t="s">
        <v>1206</v>
      </c>
      <c r="H270" t="s">
        <v>1207</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5">
      <c r="A271" s="95" t="str">
        <f t="shared" si="45"/>
        <v>FA Leaching</v>
      </c>
      <c r="B271" s="95" t="s">
        <v>961</v>
      </c>
      <c r="C271" s="95" t="s">
        <v>1189</v>
      </c>
      <c r="D271" t="s">
        <v>369</v>
      </c>
      <c r="E271" t="s">
        <v>61</v>
      </c>
      <c r="F271" t="s">
        <v>63</v>
      </c>
      <c r="G271" t="s">
        <v>1208</v>
      </c>
      <c r="H271" t="s">
        <v>1209</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5">
      <c r="A272" s="95" t="str">
        <f t="shared" si="45"/>
        <v>FA Leaching</v>
      </c>
      <c r="B272" s="95" t="s">
        <v>961</v>
      </c>
      <c r="C272" s="95" t="s">
        <v>1189</v>
      </c>
      <c r="D272" t="s">
        <v>369</v>
      </c>
      <c r="E272" t="s">
        <v>61</v>
      </c>
      <c r="F272" t="s">
        <v>63</v>
      </c>
      <c r="G272" t="s">
        <v>1210</v>
      </c>
      <c r="H272" t="s">
        <v>1211</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5">
      <c r="A273" s="95" t="str">
        <f t="shared" si="45"/>
        <v>FA Leaching</v>
      </c>
      <c r="B273" s="95" t="s">
        <v>961</v>
      </c>
      <c r="C273" s="95" t="s">
        <v>1189</v>
      </c>
      <c r="D273" t="s">
        <v>369</v>
      </c>
      <c r="E273" t="s">
        <v>61</v>
      </c>
      <c r="F273" t="s">
        <v>63</v>
      </c>
      <c r="G273" t="s">
        <v>1212</v>
      </c>
      <c r="H273" t="s">
        <v>1213</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5">
      <c r="A274" s="95" t="str">
        <f t="shared" si="45"/>
        <v xml:space="preserve">FA </v>
      </c>
      <c r="B274" s="95" t="s">
        <v>961</v>
      </c>
      <c r="C274" s="95"/>
      <c r="D274" t="s">
        <v>369</v>
      </c>
      <c r="E274" t="s">
        <v>61</v>
      </c>
      <c r="F274" t="s">
        <v>63</v>
      </c>
      <c r="G274" t="s">
        <v>1214</v>
      </c>
      <c r="H274" t="s">
        <v>1215</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5">
      <c r="A275" s="95" t="str">
        <f t="shared" si="45"/>
        <v>FA MM Volatilisation</v>
      </c>
      <c r="B275" s="95" t="s">
        <v>961</v>
      </c>
      <c r="C275" s="95" t="s">
        <v>1331</v>
      </c>
      <c r="D275" t="s">
        <v>369</v>
      </c>
      <c r="E275" t="s">
        <v>64</v>
      </c>
      <c r="F275" t="s">
        <v>62</v>
      </c>
      <c r="G275" t="s">
        <v>1151</v>
      </c>
      <c r="H275" t="s">
        <v>1289</v>
      </c>
      <c r="I275" t="s">
        <v>139</v>
      </c>
      <c r="J275" t="s">
        <v>287</v>
      </c>
      <c r="K275" s="22">
        <f t="shared" si="65"/>
        <v>0.39609736661915962</v>
      </c>
      <c r="L275" s="22">
        <f t="shared" si="66"/>
        <v>0.39831175345583053</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0.40855374420631202</v>
      </c>
      <c r="S275" s="22">
        <f t="shared" si="66"/>
        <v>0.39675335904637443</v>
      </c>
      <c r="T275" s="22">
        <f t="shared" si="66"/>
        <v>0.40475430836671095</v>
      </c>
      <c r="U275" s="22">
        <f t="shared" si="66"/>
        <v>0.40872605361155973</v>
      </c>
      <c r="V275" s="22">
        <f t="shared" si="66"/>
        <v>0.40976331225325113</v>
      </c>
      <c r="W275" s="22">
        <f t="shared" si="66"/>
        <v>0.41123817221629572</v>
      </c>
      <c r="X275" s="22">
        <f t="shared" si="66"/>
        <v>0.41371299835327524</v>
      </c>
      <c r="Y275" s="22">
        <f t="shared" si="66"/>
        <v>0.41698233077605895</v>
      </c>
      <c r="Z275" s="22">
        <f t="shared" si="66"/>
        <v>0.42064271286230337</v>
      </c>
      <c r="AA275" s="22">
        <f t="shared" si="66"/>
        <v>0.42480942612911948</v>
      </c>
      <c r="AB275" s="22">
        <f t="shared" si="66"/>
        <v>0.42983972534171444</v>
      </c>
      <c r="AC275" s="22">
        <f t="shared" si="66"/>
        <v>0.43570438871758699</v>
      </c>
      <c r="AD275" s="22">
        <f t="shared" si="66"/>
        <v>0.44208757106569879</v>
      </c>
      <c r="AE275" s="22">
        <f t="shared" si="66"/>
        <v>0.44898350336000287</v>
      </c>
      <c r="AF275" s="22">
        <f t="shared" si="66"/>
        <v>0.45621719419550344</v>
      </c>
      <c r="AG275" s="22">
        <f t="shared" si="66"/>
        <v>0.46386955104730232</v>
      </c>
      <c r="AH275" s="22">
        <f t="shared" si="66"/>
        <v>0.47186189087523389</v>
      </c>
      <c r="AI275" s="22">
        <f t="shared" si="66"/>
        <v>0.47988623531160551</v>
      </c>
      <c r="AJ275" s="22">
        <f t="shared" si="66"/>
        <v>0.48839393378093798</v>
      </c>
      <c r="AK275" s="22">
        <f t="shared" si="66"/>
        <v>0.49708758308730938</v>
      </c>
      <c r="AL275" s="22">
        <f t="shared" si="66"/>
        <v>0.50594507247479314</v>
      </c>
      <c r="AM275" s="22">
        <f t="shared" si="66"/>
        <v>0.51510910677271904</v>
      </c>
      <c r="AN275" s="22">
        <f t="shared" si="66"/>
        <v>0.52423757979493812</v>
      </c>
      <c r="AO275" s="22">
        <f t="shared" si="66"/>
        <v>0.53380454045789072</v>
      </c>
      <c r="AP275" s="22">
        <f t="shared" si="66"/>
        <v>0.54398662027094624</v>
      </c>
      <c r="AQ275" s="22">
        <f t="shared" si="66"/>
        <v>0.55449515288018025</v>
      </c>
      <c r="AR275" s="22">
        <f t="shared" si="66"/>
        <v>0.56534914989912133</v>
      </c>
      <c r="AS275" s="22">
        <f t="shared" si="66"/>
        <v>0.57688261473585911</v>
      </c>
      <c r="AT275" s="22">
        <f t="shared" si="66"/>
        <v>0.58899855031934889</v>
      </c>
      <c r="AU275" s="22">
        <f t="shared" si="66"/>
        <v>0.60163444677907796</v>
      </c>
      <c r="AV275" s="22">
        <f t="shared" si="66"/>
        <v>0.61501799344157537</v>
      </c>
      <c r="AW275" s="22">
        <f t="shared" si="66"/>
        <v>0.62789543257311353</v>
      </c>
      <c r="AY275" s="79"/>
    </row>
    <row r="276" spans="1:51" x14ac:dyDescent="0.25">
      <c r="A276" s="95" t="str">
        <f t="shared" si="45"/>
        <v>FA MM Volatilisation</v>
      </c>
      <c r="B276" s="95" t="s">
        <v>961</v>
      </c>
      <c r="C276" s="95" t="s">
        <v>1331</v>
      </c>
      <c r="D276" t="s">
        <v>369</v>
      </c>
      <c r="E276" t="s">
        <v>64</v>
      </c>
      <c r="F276" t="s">
        <v>62</v>
      </c>
      <c r="G276" t="s">
        <v>1153</v>
      </c>
      <c r="H276" t="s">
        <v>1290</v>
      </c>
      <c r="I276" t="s">
        <v>139</v>
      </c>
      <c r="J276" t="s">
        <v>287</v>
      </c>
      <c r="K276" s="22">
        <f t="shared" si="65"/>
        <v>3.1249813656142676E-2</v>
      </c>
      <c r="L276" s="22">
        <f t="shared" si="66"/>
        <v>3.1424516095088999E-2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3.2232550506305399E-2</v>
      </c>
      <c r="S276" s="22">
        <f t="shared" si="66"/>
        <v>3.1301567701581753E-2</v>
      </c>
      <c r="T276" s="22">
        <f t="shared" si="66"/>
        <v>3.1932796779085698E-2</v>
      </c>
      <c r="U276" s="22">
        <f t="shared" si="66"/>
        <v>3.2246144731511071E-2</v>
      </c>
      <c r="V276" s="22">
        <f t="shared" si="66"/>
        <v>3.2327978497644752E-2</v>
      </c>
      <c r="W276" s="22">
        <f t="shared" si="66"/>
        <v>3.2444336501757327E-2</v>
      </c>
      <c r="X276" s="22">
        <f t="shared" si="66"/>
        <v>3.2639586109882893E-2</v>
      </c>
      <c r="Y276" s="22">
        <f t="shared" si="66"/>
        <v>3.2897517713579225E-2</v>
      </c>
      <c r="Z276" s="22">
        <f t="shared" si="66"/>
        <v>3.318630089606224E-2</v>
      </c>
      <c r="AA276" s="22">
        <f t="shared" si="66"/>
        <v>3.3515030708779675E-2</v>
      </c>
      <c r="AB276" s="22">
        <f t="shared" si="66"/>
        <v>3.3911892506599629E-2</v>
      </c>
      <c r="AC276" s="22">
        <f t="shared" si="66"/>
        <v>3.4374580858244831E-2</v>
      </c>
      <c r="AD276" s="22">
        <f t="shared" si="66"/>
        <v>3.4878177387083813E-2</v>
      </c>
      <c r="AE276" s="22">
        <f t="shared" si="66"/>
        <v>3.5422226950002453E-2</v>
      </c>
      <c r="AF276" s="22">
        <f t="shared" si="66"/>
        <v>3.5992923727375593E-2</v>
      </c>
      <c r="AG276" s="22">
        <f t="shared" si="66"/>
        <v>3.6596650855607031E-2</v>
      </c>
      <c r="AH276" s="22">
        <f t="shared" si="66"/>
        <v>3.7227200693469409E-2</v>
      </c>
      <c r="AI276" s="22">
        <f t="shared" si="66"/>
        <v>3.7860275511637599E-2</v>
      </c>
      <c r="AJ276" s="22">
        <f t="shared" si="66"/>
        <v>3.8531484194690796E-2</v>
      </c>
      <c r="AK276" s="22">
        <f t="shared" si="66"/>
        <v>3.9217363333789369E-2</v>
      </c>
      <c r="AL276" s="22">
        <f t="shared" si="66"/>
        <v>3.9916168516925726E-2</v>
      </c>
      <c r="AM276" s="22">
        <f t="shared" si="66"/>
        <v>4.0639158337820017E-2</v>
      </c>
      <c r="AN276" s="22">
        <f t="shared" si="66"/>
        <v>4.1359342577731273E-2</v>
      </c>
      <c r="AO276" s="22">
        <f t="shared" si="66"/>
        <v>4.211412098114431E-2</v>
      </c>
      <c r="AP276" s="22">
        <f t="shared" si="66"/>
        <v>4.2917428762525973E-2</v>
      </c>
      <c r="AQ276" s="22">
        <f t="shared" si="66"/>
        <v>4.3746491799831644E-2</v>
      </c>
      <c r="AR276" s="22">
        <f t="shared" si="66"/>
        <v>4.4602810000483467E-2</v>
      </c>
      <c r="AS276" s="22">
        <f t="shared" si="66"/>
        <v>4.5512734320440534E-2</v>
      </c>
      <c r="AT276" s="22">
        <f t="shared" si="66"/>
        <v>4.64686122463292E-2</v>
      </c>
      <c r="AU276" s="22">
        <f t="shared" si="66"/>
        <v>4.7465512107379045E-2</v>
      </c>
      <c r="AV276" s="22">
        <f t="shared" si="66"/>
        <v>4.8521397287407161E-2</v>
      </c>
      <c r="AW276" s="22">
        <f t="shared" si="66"/>
        <v>4.953735348187438E-2</v>
      </c>
      <c r="AY276" s="79"/>
    </row>
    <row r="277" spans="1:51" x14ac:dyDescent="0.25">
      <c r="A277" s="95" t="str">
        <f t="shared" si="45"/>
        <v>FA MM Volatilisation</v>
      </c>
      <c r="B277" s="95" t="s">
        <v>961</v>
      </c>
      <c r="C277" s="95" t="s">
        <v>1331</v>
      </c>
      <c r="D277" t="s">
        <v>369</v>
      </c>
      <c r="E277" t="s">
        <v>64</v>
      </c>
      <c r="F277" t="s">
        <v>62</v>
      </c>
      <c r="G277" t="s">
        <v>1155</v>
      </c>
      <c r="H277" t="s">
        <v>1291</v>
      </c>
      <c r="I277" t="s">
        <v>139</v>
      </c>
      <c r="J277" t="s">
        <v>287</v>
      </c>
      <c r="K277" s="22">
        <f t="shared" si="65"/>
        <v>2.8967336997006343E-4</v>
      </c>
      <c r="L277" s="22">
        <f t="shared" si="66"/>
        <v>2.9129279224209421E-4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2.9878295053629658E-4</v>
      </c>
      <c r="S277" s="22">
        <f t="shared" si="66"/>
        <v>2.9015310943081291E-4</v>
      </c>
      <c r="T277" s="22">
        <f t="shared" si="66"/>
        <v>2.9600435245311237E-4</v>
      </c>
      <c r="U277" s="22">
        <f t="shared" si="66"/>
        <v>2.9890896360859154E-4</v>
      </c>
      <c r="V277" s="22">
        <f t="shared" si="66"/>
        <v>2.9966753014195159E-4</v>
      </c>
      <c r="W277" s="22">
        <f t="shared" si="66"/>
        <v>3.0074612265917932E-4</v>
      </c>
      <c r="X277" s="22">
        <f t="shared" si="66"/>
        <v>3.0255600903461219E-4</v>
      </c>
      <c r="Y277" s="22">
        <f t="shared" si="66"/>
        <v>3.0494693263136179E-4</v>
      </c>
      <c r="Z277" s="22">
        <f t="shared" si="66"/>
        <v>3.0762383811889561E-4</v>
      </c>
      <c r="AA277" s="22">
        <f t="shared" si="66"/>
        <v>3.1067103301443271E-4</v>
      </c>
      <c r="AB277" s="22">
        <f t="shared" si="66"/>
        <v>3.1434978437121989E-4</v>
      </c>
      <c r="AC277" s="22">
        <f t="shared" si="66"/>
        <v>3.1863872175631096E-4</v>
      </c>
      <c r="AD277" s="22">
        <f t="shared" si="66"/>
        <v>3.2330686170809402E-4</v>
      </c>
      <c r="AE277" s="22">
        <f t="shared" si="66"/>
        <v>3.2834998523054116E-4</v>
      </c>
      <c r="AF277" s="22">
        <f t="shared" si="66"/>
        <v>3.3364011785506768E-4</v>
      </c>
      <c r="AG277" s="22">
        <f t="shared" si="66"/>
        <v>3.3923642872275747E-4</v>
      </c>
      <c r="AH277" s="22">
        <f t="shared" si="66"/>
        <v>3.4508137546316036E-4</v>
      </c>
      <c r="AI277" s="22">
        <f t="shared" si="66"/>
        <v>3.5094972776886815E-4</v>
      </c>
      <c r="AJ277" s="22">
        <f t="shared" si="66"/>
        <v>3.5717156586725218E-4</v>
      </c>
      <c r="AK277" s="22">
        <f t="shared" si="66"/>
        <v>3.6352939327067397E-4</v>
      </c>
      <c r="AL277" s="22">
        <f t="shared" si="66"/>
        <v>3.7000703997215649E-4</v>
      </c>
      <c r="AM277" s="22">
        <f t="shared" si="66"/>
        <v>3.7670886866710392E-4</v>
      </c>
      <c r="AN277" s="22">
        <f t="shared" si="66"/>
        <v>3.8338469073983557E-4</v>
      </c>
      <c r="AO277" s="22">
        <f t="shared" si="66"/>
        <v>3.9038118697827962E-4</v>
      </c>
      <c r="AP277" s="22">
        <f t="shared" si="66"/>
        <v>3.9782753128984823E-4</v>
      </c>
      <c r="AQ277" s="22">
        <f t="shared" si="66"/>
        <v>4.0551261660192481E-4</v>
      </c>
      <c r="AR277" s="22">
        <f t="shared" si="66"/>
        <v>4.134503464610197E-4</v>
      </c>
      <c r="AS277" s="22">
        <f t="shared" si="66"/>
        <v>4.218849837705407E-4</v>
      </c>
      <c r="AT277" s="22">
        <f t="shared" si="66"/>
        <v>4.3074559276869194E-4</v>
      </c>
      <c r="AU277" s="22">
        <f t="shared" si="66"/>
        <v>4.3998645882474367E-4</v>
      </c>
      <c r="AV277" s="22">
        <f t="shared" si="66"/>
        <v>4.4977409537726024E-4</v>
      </c>
      <c r="AW277" s="22">
        <f t="shared" si="66"/>
        <v>4.5919160608089382E-4</v>
      </c>
      <c r="AY277" s="79"/>
    </row>
    <row r="278" spans="1:51" x14ac:dyDescent="0.25">
      <c r="A278" s="95" t="str">
        <f t="shared" si="45"/>
        <v>FA MM Volatilisation</v>
      </c>
      <c r="B278" s="95" t="s">
        <v>961</v>
      </c>
      <c r="C278" s="95" t="s">
        <v>1331</v>
      </c>
      <c r="D278" t="s">
        <v>369</v>
      </c>
      <c r="E278" t="s">
        <v>64</v>
      </c>
      <c r="F278" t="s">
        <v>62</v>
      </c>
      <c r="G278" t="s">
        <v>1157</v>
      </c>
      <c r="H278" t="s">
        <v>1292</v>
      </c>
      <c r="I278" t="s">
        <v>139</v>
      </c>
      <c r="J278" t="s">
        <v>287</v>
      </c>
      <c r="K278" s="22">
        <f t="shared" si="65"/>
        <v>3.2323215352203869E-3</v>
      </c>
      <c r="L278" s="22">
        <f t="shared" si="66"/>
        <v>3.2042886428129448E-3</v>
      </c>
      <c r="M278" s="22">
        <f t="shared" si="66"/>
        <v>3.1936173693006072E-3</v>
      </c>
      <c r="N278" s="22">
        <f t="shared" si="66"/>
        <v>3.150970789688672E-3</v>
      </c>
      <c r="O278" s="22">
        <f t="shared" si="66"/>
        <v>3.0890682378804098E-3</v>
      </c>
      <c r="P278" s="22">
        <f t="shared" si="66"/>
        <v>3.0091897617382942E-3</v>
      </c>
      <c r="Q278" s="22">
        <f t="shared" si="66"/>
        <v>2.9461872714039495E-3</v>
      </c>
      <c r="R278" s="22">
        <f t="shared" si="66"/>
        <v>2.8865797531671877E-3</v>
      </c>
      <c r="S278" s="22">
        <f t="shared" si="66"/>
        <v>2.5775843671431266E-3</v>
      </c>
      <c r="T278" s="22">
        <f t="shared" si="66"/>
        <v>2.7008194536362932E-3</v>
      </c>
      <c r="U278" s="22">
        <f t="shared" si="66"/>
        <v>2.7434834642963983E-3</v>
      </c>
      <c r="V278" s="22">
        <f t="shared" si="66"/>
        <v>2.7249559704571515E-3</v>
      </c>
      <c r="W278" s="22">
        <f t="shared" si="66"/>
        <v>2.7098851587955765E-3</v>
      </c>
      <c r="X278" s="22">
        <f t="shared" si="66"/>
        <v>2.7108751448487677E-3</v>
      </c>
      <c r="Y278" s="22">
        <f t="shared" si="66"/>
        <v>2.7267936110374771E-3</v>
      </c>
      <c r="Z278" s="22">
        <f t="shared" si="66"/>
        <v>2.7493808220457119E-3</v>
      </c>
      <c r="AA278" s="22">
        <f t="shared" si="66"/>
        <v>2.7804561510044621E-3</v>
      </c>
      <c r="AB278" s="22">
        <f t="shared" si="66"/>
        <v>2.8259754098654112E-3</v>
      </c>
      <c r="AC278" s="22">
        <f t="shared" si="66"/>
        <v>2.8846530294108553E-3</v>
      </c>
      <c r="AD278" s="22">
        <f t="shared" si="66"/>
        <v>2.9255627766607379E-3</v>
      </c>
      <c r="AE278" s="22">
        <f t="shared" si="66"/>
        <v>2.9713051294800673E-3</v>
      </c>
      <c r="AF278" s="22">
        <f t="shared" si="66"/>
        <v>3.0184328847155249E-3</v>
      </c>
      <c r="AG278" s="22">
        <f t="shared" si="66"/>
        <v>3.0679929310084191E-3</v>
      </c>
      <c r="AH278" s="22">
        <f t="shared" si="66"/>
        <v>3.1182952843922906E-3</v>
      </c>
      <c r="AI278" s="22">
        <f t="shared" si="66"/>
        <v>3.1642302715808976E-3</v>
      </c>
      <c r="AJ278" s="22">
        <f t="shared" si="66"/>
        <v>3.2126832525729617E-3</v>
      </c>
      <c r="AK278" s="22">
        <f t="shared" si="66"/>
        <v>3.2589422884996468E-3</v>
      </c>
      <c r="AL278" s="22">
        <f t="shared" si="66"/>
        <v>3.3025617246378643E-3</v>
      </c>
      <c r="AM278" s="22">
        <f t="shared" si="66"/>
        <v>3.3454061319751881E-3</v>
      </c>
      <c r="AN278" s="22">
        <f t="shared" si="66"/>
        <v>3.3998120453296449E-3</v>
      </c>
      <c r="AO278" s="22">
        <f t="shared" si="66"/>
        <v>3.4560846217306851E-3</v>
      </c>
      <c r="AP278" s="22">
        <f t="shared" si="66"/>
        <v>3.5162688695670069E-3</v>
      </c>
      <c r="AQ278" s="22">
        <f t="shared" si="66"/>
        <v>3.576218960305765E-3</v>
      </c>
      <c r="AR278" s="22">
        <f t="shared" si="66"/>
        <v>3.6360127055851286E-3</v>
      </c>
      <c r="AS278" s="22">
        <f t="shared" si="66"/>
        <v>3.6995797552595183E-3</v>
      </c>
      <c r="AT278" s="22">
        <f t="shared" si="66"/>
        <v>3.7652741980581834E-3</v>
      </c>
      <c r="AU278" s="22">
        <f t="shared" si="66"/>
        <v>3.831953873173879E-3</v>
      </c>
      <c r="AV278" s="22">
        <f t="shared" si="66"/>
        <v>3.9018879316463188E-3</v>
      </c>
      <c r="AW278" s="22">
        <f t="shared" si="66"/>
        <v>3.9605189402422969E-3</v>
      </c>
      <c r="AY278" s="79"/>
    </row>
    <row r="279" spans="1:51" x14ac:dyDescent="0.25">
      <c r="A279" s="95" t="str">
        <f t="shared" si="45"/>
        <v>FA MM Volatilisation</v>
      </c>
      <c r="B279" s="95" t="s">
        <v>961</v>
      </c>
      <c r="C279" s="95" t="s">
        <v>1331</v>
      </c>
      <c r="D279" t="s">
        <v>369</v>
      </c>
      <c r="E279" t="s">
        <v>64</v>
      </c>
      <c r="F279" t="s">
        <v>62</v>
      </c>
      <c r="G279" t="s">
        <v>1159</v>
      </c>
      <c r="H279" t="s">
        <v>1293</v>
      </c>
      <c r="I279" t="s">
        <v>139</v>
      </c>
      <c r="J279" t="s">
        <v>287</v>
      </c>
      <c r="K279" s="22">
        <f t="shared" si="65"/>
        <v>1.6090517274103568E-2</v>
      </c>
      <c r="L279" s="22">
        <f t="shared" si="66"/>
        <v>1.5950969356419605E-2</v>
      </c>
      <c r="M279" s="22">
        <f t="shared" si="66"/>
        <v>1.5897847688628834E-2</v>
      </c>
      <c r="N279" s="22">
        <f t="shared" si="66"/>
        <v>1.5685552742581484E-2</v>
      </c>
      <c r="O279" s="22">
        <f t="shared" si="66"/>
        <v>1.5377401443792453E-2</v>
      </c>
      <c r="P279" s="22">
        <f t="shared" si="66"/>
        <v>1.4979765878707444E-2</v>
      </c>
      <c r="Q279" s="22">
        <f t="shared" si="66"/>
        <v>1.4666139078901097E-2</v>
      </c>
      <c r="R279" s="22">
        <f t="shared" si="66"/>
        <v>1.4369412471908495E-2</v>
      </c>
      <c r="S279" s="22">
        <f t="shared" si="66"/>
        <v>1.283123146415196E-2</v>
      </c>
      <c r="T279" s="22">
        <f t="shared" si="66"/>
        <v>1.3444696512844507E-2</v>
      </c>
      <c r="U279" s="22">
        <f t="shared" si="66"/>
        <v>1.3657078230761113E-2</v>
      </c>
      <c r="V279" s="22">
        <f t="shared" si="66"/>
        <v>1.3564848247939834E-2</v>
      </c>
      <c r="W279" s="22">
        <f t="shared" si="66"/>
        <v>1.3489825651105632E-2</v>
      </c>
      <c r="X279" s="22">
        <f t="shared" si="66"/>
        <v>1.3494753808009711E-2</v>
      </c>
      <c r="Y279" s="22">
        <f t="shared" si="66"/>
        <v>1.3573996034501018E-2</v>
      </c>
      <c r="Z279" s="22">
        <f t="shared" si="66"/>
        <v>1.3686435315352767E-2</v>
      </c>
      <c r="AA279" s="22">
        <f t="shared" si="66"/>
        <v>1.3841128501646547E-2</v>
      </c>
      <c r="AB279" s="22">
        <f t="shared" si="66"/>
        <v>1.4067723663367223E-2</v>
      </c>
      <c r="AC279" s="22">
        <f t="shared" si="66"/>
        <v>1.4359821228727431E-2</v>
      </c>
      <c r="AD279" s="22">
        <f t="shared" si="66"/>
        <v>1.4563470212168856E-2</v>
      </c>
      <c r="AE279" s="22">
        <f t="shared" si="66"/>
        <v>1.4791175937041108E-2</v>
      </c>
      <c r="AF279" s="22">
        <f t="shared" si="66"/>
        <v>1.5025778204000962E-2</v>
      </c>
      <c r="AG279" s="22">
        <f t="shared" si="66"/>
        <v>1.5272488431400047E-2</v>
      </c>
      <c r="AH279" s="22">
        <f t="shared" si="66"/>
        <v>1.5522893868245321E-2</v>
      </c>
      <c r="AI279" s="22">
        <f t="shared" si="66"/>
        <v>1.5751558528239808E-2</v>
      </c>
      <c r="AJ279" s="22">
        <f t="shared" si="66"/>
        <v>1.5992757777491307E-2</v>
      </c>
      <c r="AK279" s="22">
        <f t="shared" si="66"/>
        <v>1.622303555417634E-2</v>
      </c>
      <c r="AL279" s="22">
        <f t="shared" si="66"/>
        <v>1.6440173386233263E-2</v>
      </c>
      <c r="AM279" s="22">
        <f t="shared" si="66"/>
        <v>1.6653453119962761E-2</v>
      </c>
      <c r="AN279" s="22">
        <f t="shared" si="66"/>
        <v>1.6924286104585243E-2</v>
      </c>
      <c r="AO279" s="22">
        <f t="shared" si="66"/>
        <v>1.7204411349791553E-2</v>
      </c>
      <c r="AP279" s="22">
        <f t="shared" si="66"/>
        <v>1.7504008920419142E-2</v>
      </c>
      <c r="AQ279" s="22">
        <f t="shared" si="66"/>
        <v>1.7802440855517548E-2</v>
      </c>
      <c r="AR279" s="22">
        <f t="shared" si="66"/>
        <v>1.8100094501919208E-2</v>
      </c>
      <c r="AS279" s="22">
        <f t="shared" si="66"/>
        <v>1.8416531681730838E-2</v>
      </c>
      <c r="AT279" s="22">
        <f t="shared" si="66"/>
        <v>1.874355903812051E-2</v>
      </c>
      <c r="AU279" s="22">
        <f t="shared" si="66"/>
        <v>1.9075490887285256E-2</v>
      </c>
      <c r="AV279" s="22">
        <f t="shared" si="66"/>
        <v>1.9423623077612737E-2</v>
      </c>
      <c r="AW279" s="22">
        <f t="shared" si="66"/>
        <v>1.9715488613368411E-2</v>
      </c>
      <c r="AY279" s="79"/>
    </row>
    <row r="280" spans="1:51" x14ac:dyDescent="0.25">
      <c r="A280" s="95" t="str">
        <f t="shared" si="45"/>
        <v>FA MM Volatilisation</v>
      </c>
      <c r="B280" s="95" t="s">
        <v>961</v>
      </c>
      <c r="C280" s="95" t="s">
        <v>1331</v>
      </c>
      <c r="D280" t="s">
        <v>369</v>
      </c>
      <c r="E280" t="s">
        <v>64</v>
      </c>
      <c r="F280" t="s">
        <v>62</v>
      </c>
      <c r="G280" t="s">
        <v>1161</v>
      </c>
      <c r="H280" t="s">
        <v>1294</v>
      </c>
      <c r="I280" t="s">
        <v>139</v>
      </c>
      <c r="J280" t="s">
        <v>287</v>
      </c>
      <c r="K280" s="22">
        <f t="shared" si="65"/>
        <v>0.15836052531214867</v>
      </c>
      <c r="L280" s="22">
        <f t="shared" si="66"/>
        <v>0.16370016056893633</v>
      </c>
      <c r="M280" s="22">
        <f t="shared" si="66"/>
        <v>0.17003774892948584</v>
      </c>
      <c r="N280" s="22">
        <f t="shared" si="66"/>
        <v>0.17476418316081965</v>
      </c>
      <c r="O280" s="22">
        <f t="shared" si="66"/>
        <v>0.17840915017095652</v>
      </c>
      <c r="P280" s="22">
        <f t="shared" si="66"/>
        <v>0.18092055691117107</v>
      </c>
      <c r="Q280" s="22">
        <f t="shared" si="66"/>
        <v>0.18434967364231716</v>
      </c>
      <c r="R280" s="22">
        <f t="shared" si="66"/>
        <v>0.18794438918293385</v>
      </c>
      <c r="S280" s="22">
        <f t="shared" si="66"/>
        <v>0.17460856438309952</v>
      </c>
      <c r="T280" s="22">
        <f t="shared" si="66"/>
        <v>0.1873645711352227</v>
      </c>
      <c r="U280" s="22">
        <f t="shared" si="66"/>
        <v>0.19484677000767164</v>
      </c>
      <c r="V280" s="22">
        <f t="shared" si="66"/>
        <v>0.19807112255457257</v>
      </c>
      <c r="W280" s="22">
        <f t="shared" si="66"/>
        <v>0.20154228480865111</v>
      </c>
      <c r="X280" s="22">
        <f t="shared" si="66"/>
        <v>0.20623914667732615</v>
      </c>
      <c r="Y280" s="22">
        <f t="shared" si="66"/>
        <v>0.21215915392676254</v>
      </c>
      <c r="Z280" s="22">
        <f t="shared" si="66"/>
        <v>0.21872684602749243</v>
      </c>
      <c r="AA280" s="22">
        <f t="shared" si="66"/>
        <v>0.22612997396880463</v>
      </c>
      <c r="AB280" s="22">
        <f t="shared" si="66"/>
        <v>0.23491426249732866</v>
      </c>
      <c r="AC280" s="22">
        <f t="shared" si="66"/>
        <v>0.24505515121890351</v>
      </c>
      <c r="AD280" s="22">
        <f t="shared" si="66"/>
        <v>0.25677243358478996</v>
      </c>
      <c r="AE280" s="22">
        <f t="shared" si="66"/>
        <v>0.26945216276183381</v>
      </c>
      <c r="AF280" s="22">
        <f t="shared" si="66"/>
        <v>0.2828440567855407</v>
      </c>
      <c r="AG280" s="22">
        <f t="shared" si="66"/>
        <v>0.29709510424120422</v>
      </c>
      <c r="AH280" s="22">
        <f t="shared" si="66"/>
        <v>0.31209530848649036</v>
      </c>
      <c r="AI280" s="22">
        <f t="shared" si="66"/>
        <v>0.32736251218808471</v>
      </c>
      <c r="AJ280" s="22">
        <f t="shared" si="66"/>
        <v>0.34362947600093458</v>
      </c>
      <c r="AK280" s="22">
        <f t="shared" si="66"/>
        <v>0.36044618553686847</v>
      </c>
      <c r="AL280" s="22">
        <f t="shared" si="66"/>
        <v>0.37778487893593249</v>
      </c>
      <c r="AM280" s="22">
        <f t="shared" si="66"/>
        <v>0.3958859410797253</v>
      </c>
      <c r="AN280" s="22">
        <f t="shared" si="66"/>
        <v>0.41367585516143429</v>
      </c>
      <c r="AO280" s="22">
        <f t="shared" si="66"/>
        <v>0.43242905153599548</v>
      </c>
      <c r="AP280" s="22">
        <f t="shared" si="66"/>
        <v>0.45246435767624088</v>
      </c>
      <c r="AQ280" s="22">
        <f t="shared" si="66"/>
        <v>0.47331488964480717</v>
      </c>
      <c r="AR280" s="22">
        <f t="shared" si="66"/>
        <v>0.49503125359509215</v>
      </c>
      <c r="AS280" s="22">
        <f t="shared" si="66"/>
        <v>0.51820746125670647</v>
      </c>
      <c r="AT280" s="22">
        <f t="shared" si="66"/>
        <v>0.54270067079521189</v>
      </c>
      <c r="AU280" s="22">
        <f t="shared" si="66"/>
        <v>0.56842164327333022</v>
      </c>
      <c r="AV280" s="22">
        <f t="shared" si="66"/>
        <v>0.59578776955032364</v>
      </c>
      <c r="AW280" s="22">
        <f t="shared" si="66"/>
        <v>0.6226172294628034</v>
      </c>
      <c r="AY280" s="79"/>
    </row>
    <row r="281" spans="1:51" x14ac:dyDescent="0.25">
      <c r="A281" s="95" t="str">
        <f t="shared" si="45"/>
        <v>FA MM Volatilisation</v>
      </c>
      <c r="B281" s="95" t="s">
        <v>961</v>
      </c>
      <c r="C281" s="95" t="s">
        <v>1331</v>
      </c>
      <c r="D281" t="s">
        <v>369</v>
      </c>
      <c r="E281" t="s">
        <v>64</v>
      </c>
      <c r="F281" t="s">
        <v>62</v>
      </c>
      <c r="G281" t="s">
        <v>1163</v>
      </c>
      <c r="H281" t="s">
        <v>1295</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1.1888884787446641E-4</v>
      </c>
      <c r="T281" s="22">
        <f t="shared" si="66"/>
        <v>1.18974421608456E-4</v>
      </c>
      <c r="U281" s="22">
        <f t="shared" si="66"/>
        <v>1.1894433570617077E-4</v>
      </c>
      <c r="V281" s="22">
        <f t="shared" si="66"/>
        <v>1.1894216976117226E-4</v>
      </c>
      <c r="W281" s="22">
        <f t="shared" si="66"/>
        <v>1.1906833284654552E-4</v>
      </c>
      <c r="X281" s="22">
        <f t="shared" si="66"/>
        <v>1.1927481036049653E-4</v>
      </c>
      <c r="Y281" s="22">
        <f t="shared" si="66"/>
        <v>1.1947292782589552E-4</v>
      </c>
      <c r="Z281" s="22">
        <f t="shared" si="66"/>
        <v>1.1966332441080059E-4</v>
      </c>
      <c r="AA281" s="22">
        <f t="shared" si="66"/>
        <v>1.198457402729256E-4</v>
      </c>
      <c r="AB281" s="22">
        <f t="shared" si="66"/>
        <v>1.2002397691702796E-4</v>
      </c>
      <c r="AC281" s="22">
        <f t="shared" si="66"/>
        <v>1.2020063791291827E-4</v>
      </c>
      <c r="AD281" s="22">
        <f t="shared" si="66"/>
        <v>1.2037395069486653E-4</v>
      </c>
      <c r="AE281" s="22">
        <f t="shared" si="66"/>
        <v>1.2054640721794917E-4</v>
      </c>
      <c r="AF281" s="22">
        <f t="shared" si="66"/>
        <v>1.2071746421078628E-4</v>
      </c>
      <c r="AG281" s="22">
        <f t="shared" si="66"/>
        <v>1.2088575105723818E-4</v>
      </c>
      <c r="AH281" s="22">
        <f t="shared" si="66"/>
        <v>1.2105200867781398E-4</v>
      </c>
      <c r="AI281" s="22">
        <f t="shared" ref="L281:AW288" si="67">AI1537</f>
        <v>1.2121641449313381E-4</v>
      </c>
      <c r="AJ281" s="22">
        <f t="shared" si="67"/>
        <v>1.2137952665146409E-4</v>
      </c>
      <c r="AK281" s="22">
        <f t="shared" si="67"/>
        <v>1.2153635424536354E-4</v>
      </c>
      <c r="AL281" s="22">
        <f t="shared" si="67"/>
        <v>1.2168671378968904E-4</v>
      </c>
      <c r="AM281" s="22">
        <f t="shared" si="67"/>
        <v>1.2183201055728766E-4</v>
      </c>
      <c r="AN281" s="22">
        <f t="shared" si="67"/>
        <v>1.2197112574763714E-4</v>
      </c>
      <c r="AO281" s="22">
        <f t="shared" si="67"/>
        <v>1.2210431172658153E-4</v>
      </c>
      <c r="AP281" s="22">
        <f t="shared" si="67"/>
        <v>1.2223096862203452E-4</v>
      </c>
      <c r="AQ281" s="22">
        <f t="shared" si="67"/>
        <v>1.2234928396390209E-4</v>
      </c>
      <c r="AR281" s="22">
        <f t="shared" si="67"/>
        <v>1.2245757817594662E-4</v>
      </c>
      <c r="AS281" s="22">
        <f t="shared" si="67"/>
        <v>1.2255574185064525E-4</v>
      </c>
      <c r="AT281" s="22">
        <f t="shared" si="67"/>
        <v>1.2264302379658788E-4</v>
      </c>
      <c r="AU281" s="22">
        <f t="shared" si="67"/>
        <v>1.2271938191890156E-4</v>
      </c>
      <c r="AV281" s="22">
        <f t="shared" si="67"/>
        <v>1.2278627747914955E-4</v>
      </c>
      <c r="AW281" s="22">
        <f t="shared" si="67"/>
        <v>1.2283502162881773E-4</v>
      </c>
      <c r="AY281" s="79"/>
    </row>
    <row r="282" spans="1:51" x14ac:dyDescent="0.25">
      <c r="A282" s="95" t="str">
        <f t="shared" si="45"/>
        <v>FA MM Volatilisation</v>
      </c>
      <c r="B282" s="95" t="s">
        <v>961</v>
      </c>
      <c r="C282" s="95" t="s">
        <v>1331</v>
      </c>
      <c r="D282" t="s">
        <v>369</v>
      </c>
      <c r="E282" t="s">
        <v>64</v>
      </c>
      <c r="F282" t="s">
        <v>62</v>
      </c>
      <c r="G282" t="s">
        <v>1165</v>
      </c>
      <c r="H282" t="s">
        <v>1296</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8.158765245643595E-4</v>
      </c>
      <c r="T282" s="22">
        <f t="shared" si="67"/>
        <v>8.1646377561380335E-4</v>
      </c>
      <c r="U282" s="22">
        <f t="shared" si="67"/>
        <v>8.1625731065233949E-4</v>
      </c>
      <c r="V282" s="22">
        <f t="shared" si="67"/>
        <v>8.1624244682188473E-4</v>
      </c>
      <c r="W282" s="22">
        <f t="shared" si="67"/>
        <v>8.1710824291178659E-4</v>
      </c>
      <c r="X282" s="22">
        <f t="shared" si="67"/>
        <v>8.1852519798784992E-4</v>
      </c>
      <c r="Y282" s="22">
        <f t="shared" si="67"/>
        <v>8.1988478210372824E-4</v>
      </c>
      <c r="Z282" s="22">
        <f t="shared" si="67"/>
        <v>8.2119138155993044E-4</v>
      </c>
      <c r="AA282" s="22">
        <f t="shared" si="67"/>
        <v>8.2244321318482034E-4</v>
      </c>
      <c r="AB282" s="22">
        <f t="shared" si="67"/>
        <v>8.2366636486254352E-4</v>
      </c>
      <c r="AC282" s="22">
        <f t="shared" si="67"/>
        <v>8.2487870363047661E-4</v>
      </c>
      <c r="AD282" s="22">
        <f t="shared" si="67"/>
        <v>8.2606806522936944E-4</v>
      </c>
      <c r="AE282" s="22">
        <f t="shared" si="67"/>
        <v>8.2725155073878963E-4</v>
      </c>
      <c r="AF282" s="22">
        <f t="shared" si="67"/>
        <v>8.2842543195064012E-4</v>
      </c>
      <c r="AG282" s="22">
        <f t="shared" si="67"/>
        <v>8.2958030299084108E-4</v>
      </c>
      <c r="AH282" s="22">
        <f t="shared" si="67"/>
        <v>8.3072124843764142E-4</v>
      </c>
      <c r="AI282" s="22">
        <f t="shared" si="67"/>
        <v>8.3184948584274219E-4</v>
      </c>
      <c r="AJ282" s="22">
        <f t="shared" si="67"/>
        <v>8.3296884550710043E-4</v>
      </c>
      <c r="AK282" s="22">
        <f t="shared" si="67"/>
        <v>8.3404507725258427E-4</v>
      </c>
      <c r="AL282" s="22">
        <f t="shared" si="67"/>
        <v>8.3507692190961139E-4</v>
      </c>
      <c r="AM282" s="22">
        <f t="shared" si="67"/>
        <v>8.3607402318444201E-4</v>
      </c>
      <c r="AN282" s="22">
        <f t="shared" si="67"/>
        <v>8.3702870329149695E-4</v>
      </c>
      <c r="AO282" s="22">
        <f t="shared" si="67"/>
        <v>8.3794269409521473E-4</v>
      </c>
      <c r="AP282" s="22">
        <f t="shared" si="67"/>
        <v>8.3881187896429009E-4</v>
      </c>
      <c r="AQ282" s="22">
        <f t="shared" si="67"/>
        <v>8.3962381979516996E-4</v>
      </c>
      <c r="AR282" s="22">
        <f t="shared" si="67"/>
        <v>8.4036699047040963E-4</v>
      </c>
      <c r="AS282" s="22">
        <f t="shared" si="67"/>
        <v>8.4104064017922141E-4</v>
      </c>
      <c r="AT282" s="22">
        <f t="shared" si="67"/>
        <v>8.4163961385914194E-4</v>
      </c>
      <c r="AU282" s="22">
        <f t="shared" si="67"/>
        <v>8.4216362263346621E-4</v>
      </c>
      <c r="AV282" s="22">
        <f t="shared" si="67"/>
        <v>8.4262269443187052E-4</v>
      </c>
      <c r="AW282" s="22">
        <f t="shared" si="67"/>
        <v>8.4295720189943475E-4</v>
      </c>
      <c r="AY282" s="79"/>
    </row>
    <row r="283" spans="1:51" x14ac:dyDescent="0.25">
      <c r="A283" s="95" t="str">
        <f t="shared" si="45"/>
        <v>FA MM Volatilisation</v>
      </c>
      <c r="B283" s="95" t="s">
        <v>961</v>
      </c>
      <c r="C283" s="95" t="s">
        <v>1331</v>
      </c>
      <c r="D283" t="s">
        <v>369</v>
      </c>
      <c r="E283" t="s">
        <v>64</v>
      </c>
      <c r="F283" t="s">
        <v>62</v>
      </c>
      <c r="G283" t="s">
        <v>1167</v>
      </c>
      <c r="H283" t="s">
        <v>1297</v>
      </c>
      <c r="I283" t="s">
        <v>139</v>
      </c>
      <c r="J283" t="s">
        <v>287</v>
      </c>
      <c r="K283" s="22">
        <f t="shared" si="65"/>
        <v>1.4486129996083081E-5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1.4890706011157255E-5</v>
      </c>
      <c r="R283" s="22">
        <f t="shared" si="67"/>
        <v>1.4988675221399694E-5</v>
      </c>
      <c r="S283" s="22">
        <f t="shared" si="67"/>
        <v>1.4951923212530766E-5</v>
      </c>
      <c r="T283" s="22">
        <f t="shared" si="67"/>
        <v>1.4977625582861877E-5</v>
      </c>
      <c r="U283" s="22">
        <f t="shared" si="67"/>
        <v>1.4980119703065675E-5</v>
      </c>
      <c r="V283" s="22">
        <f t="shared" si="67"/>
        <v>1.4986976942692676E-5</v>
      </c>
      <c r="W283" s="22">
        <f t="shared" si="67"/>
        <v>1.5017294663736538E-5</v>
      </c>
      <c r="X283" s="22">
        <f t="shared" si="67"/>
        <v>1.5061890336193319E-5</v>
      </c>
      <c r="Y283" s="22">
        <f t="shared" si="67"/>
        <v>1.5103986297595971E-5</v>
      </c>
      <c r="Z283" s="22">
        <f t="shared" si="67"/>
        <v>1.5143780477124499E-5</v>
      </c>
      <c r="AA283" s="22">
        <f t="shared" si="67"/>
        <v>1.5181293243682811E-5</v>
      </c>
      <c r="AB283" s="22">
        <f t="shared" si="67"/>
        <v>1.5217300806744068E-5</v>
      </c>
      <c r="AC283" s="22">
        <f t="shared" si="67"/>
        <v>1.5252343422195684E-5</v>
      </c>
      <c r="AD283" s="22">
        <f t="shared" si="67"/>
        <v>1.5286134993525756E-5</v>
      </c>
      <c r="AE283" s="22">
        <f t="shared" si="67"/>
        <v>1.531918306979576E-5</v>
      </c>
      <c r="AF283" s="22">
        <f t="shared" si="67"/>
        <v>1.5351423055728344E-5</v>
      </c>
      <c r="AG283" s="22">
        <f t="shared" si="67"/>
        <v>1.5382634347686873E-5</v>
      </c>
      <c r="AH283" s="22">
        <f t="shared" si="67"/>
        <v>1.5412986814805202E-5</v>
      </c>
      <c r="AI283" s="22">
        <f t="shared" si="67"/>
        <v>1.5442542460580333E-5</v>
      </c>
      <c r="AJ283" s="22">
        <f t="shared" si="67"/>
        <v>1.5471431054826288E-5</v>
      </c>
      <c r="AK283" s="22">
        <f t="shared" si="67"/>
        <v>1.5498756892033488E-5</v>
      </c>
      <c r="AL283" s="22">
        <f t="shared" si="67"/>
        <v>1.5524513513074621E-5</v>
      </c>
      <c r="AM283" s="22">
        <f t="shared" si="67"/>
        <v>1.5548984646319332E-5</v>
      </c>
      <c r="AN283" s="22">
        <f t="shared" si="67"/>
        <v>1.5571987875403361E-5</v>
      </c>
      <c r="AO283" s="22">
        <f t="shared" si="67"/>
        <v>1.5593591673600764E-5</v>
      </c>
      <c r="AP283" s="22">
        <f t="shared" si="67"/>
        <v>1.5613707165200276E-5</v>
      </c>
      <c r="AQ283" s="22">
        <f t="shared" si="67"/>
        <v>1.5632023858239551E-5</v>
      </c>
      <c r="AR283" s="22">
        <f t="shared" si="67"/>
        <v>1.5648256533695206E-5</v>
      </c>
      <c r="AS283" s="22">
        <f t="shared" si="67"/>
        <v>1.5662406299088669E-5</v>
      </c>
      <c r="AT283" s="22">
        <f t="shared" si="67"/>
        <v>1.5674356891571193E-5</v>
      </c>
      <c r="AU283" s="22">
        <f t="shared" si="67"/>
        <v>1.5684120431636331E-5</v>
      </c>
      <c r="AV283" s="22">
        <f t="shared" si="67"/>
        <v>1.5691980107154113E-5</v>
      </c>
      <c r="AW283" s="22">
        <f t="shared" si="67"/>
        <v>1.5696383554298718E-5</v>
      </c>
      <c r="AY283" s="79"/>
    </row>
    <row r="284" spans="1:51" x14ac:dyDescent="0.25">
      <c r="A284" s="95" t="str">
        <f t="shared" si="45"/>
        <v>FA MM Volatilisation</v>
      </c>
      <c r="B284" s="95" t="s">
        <v>961</v>
      </c>
      <c r="C284" s="95" t="s">
        <v>1331</v>
      </c>
      <c r="D284" t="s">
        <v>369</v>
      </c>
      <c r="E284" t="s">
        <v>64</v>
      </c>
      <c r="F284" t="s">
        <v>62</v>
      </c>
      <c r="G284" t="s">
        <v>1169</v>
      </c>
      <c r="H284" t="s">
        <v>1298</v>
      </c>
      <c r="I284" t="s">
        <v>139</v>
      </c>
      <c r="J284" t="s">
        <v>287</v>
      </c>
      <c r="K284" s="22">
        <f t="shared" si="65"/>
        <v>1.4738364076719785E-3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1.5149984613639165E-3</v>
      </c>
      <c r="R284" s="22">
        <f t="shared" si="67"/>
        <v>1.5249659674490626E-3</v>
      </c>
      <c r="S284" s="22">
        <f t="shared" si="67"/>
        <v>1.5212267735621682E-3</v>
      </c>
      <c r="T284" s="22">
        <f t="shared" si="67"/>
        <v>1.523841763843748E-3</v>
      </c>
      <c r="U284" s="22">
        <f t="shared" si="67"/>
        <v>1.5240955186535188E-3</v>
      </c>
      <c r="V284" s="22">
        <f t="shared" si="67"/>
        <v>1.5247931825168926E-3</v>
      </c>
      <c r="W284" s="22">
        <f t="shared" si="67"/>
        <v>1.5278777441689124E-3</v>
      </c>
      <c r="X284" s="22">
        <f t="shared" si="67"/>
        <v>1.53241496188746E-3</v>
      </c>
      <c r="Y284" s="22">
        <f t="shared" si="67"/>
        <v>1.536697855976355E-3</v>
      </c>
      <c r="Z284" s="22">
        <f t="shared" si="67"/>
        <v>1.5407465639900506E-3</v>
      </c>
      <c r="AA284" s="22">
        <f t="shared" si="67"/>
        <v>1.5445631582854966E-3</v>
      </c>
      <c r="AB284" s="22">
        <f t="shared" si="67"/>
        <v>1.5482266113544371E-3</v>
      </c>
      <c r="AC284" s="22">
        <f t="shared" si="67"/>
        <v>1.551791889485077E-3</v>
      </c>
      <c r="AD284" s="22">
        <f t="shared" si="67"/>
        <v>1.555229884871849E-3</v>
      </c>
      <c r="AE284" s="22">
        <f t="shared" si="67"/>
        <v>1.5585922361708792E-3</v>
      </c>
      <c r="AF284" s="22">
        <f t="shared" si="67"/>
        <v>1.561872371380429E-3</v>
      </c>
      <c r="AG284" s="22">
        <f t="shared" si="67"/>
        <v>1.5650478460193693E-3</v>
      </c>
      <c r="AH284" s="22">
        <f t="shared" si="67"/>
        <v>1.5681359427790809E-3</v>
      </c>
      <c r="AI284" s="22">
        <f t="shared" si="67"/>
        <v>1.5711429699704306E-3</v>
      </c>
      <c r="AJ284" s="22">
        <f t="shared" si="67"/>
        <v>1.5740821305314401E-3</v>
      </c>
      <c r="AK284" s="22">
        <f t="shared" si="67"/>
        <v>1.5768622942989184E-3</v>
      </c>
      <c r="AL284" s="22">
        <f t="shared" si="67"/>
        <v>1.5794828041134305E-3</v>
      </c>
      <c r="AM284" s="22">
        <f t="shared" si="67"/>
        <v>1.5819725268428828E-3</v>
      </c>
      <c r="AN284" s="22">
        <f t="shared" si="67"/>
        <v>1.5843129032254801E-3</v>
      </c>
      <c r="AO284" s="22">
        <f t="shared" si="67"/>
        <v>1.586510899815041E-3</v>
      </c>
      <c r="AP284" s="22">
        <f t="shared" si="67"/>
        <v>1.5885574742890791E-3</v>
      </c>
      <c r="AQ284" s="22">
        <f t="shared" si="67"/>
        <v>1.5904210368193567E-3</v>
      </c>
      <c r="AR284" s="22">
        <f t="shared" si="67"/>
        <v>1.592072568877052E-3</v>
      </c>
      <c r="AS284" s="22">
        <f t="shared" si="67"/>
        <v>1.5935121831427352E-3</v>
      </c>
      <c r="AT284" s="22">
        <f t="shared" si="67"/>
        <v>1.5947280508933873E-3</v>
      </c>
      <c r="AU284" s="22">
        <f t="shared" si="67"/>
        <v>1.5957214052826996E-3</v>
      </c>
      <c r="AV284" s="22">
        <f t="shared" si="67"/>
        <v>1.5965210581874944E-3</v>
      </c>
      <c r="AW284" s="22">
        <f t="shared" si="67"/>
        <v>1.596969070232308E-3</v>
      </c>
      <c r="AY284" s="79"/>
    </row>
    <row r="285" spans="1:51" x14ac:dyDescent="0.25">
      <c r="A285" s="95" t="str">
        <f t="shared" si="45"/>
        <v>FA MM Volatilisation</v>
      </c>
      <c r="B285" s="95" t="s">
        <v>961</v>
      </c>
      <c r="C285" s="95" t="s">
        <v>1331</v>
      </c>
      <c r="D285" t="s">
        <v>369</v>
      </c>
      <c r="E285" t="s">
        <v>64</v>
      </c>
      <c r="F285" t="s">
        <v>62</v>
      </c>
      <c r="G285" t="s">
        <v>1171</v>
      </c>
      <c r="H285" t="s">
        <v>1299</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5">
      <c r="A286" s="95" t="str">
        <f t="shared" si="45"/>
        <v>FA MM Volatilisation</v>
      </c>
      <c r="B286" s="95" t="s">
        <v>961</v>
      </c>
      <c r="C286" s="95" t="s">
        <v>1331</v>
      </c>
      <c r="D286" t="s">
        <v>369</v>
      </c>
      <c r="E286" t="s">
        <v>64</v>
      </c>
      <c r="F286" t="s">
        <v>62</v>
      </c>
      <c r="G286" t="s">
        <v>1173</v>
      </c>
      <c r="H286" t="s">
        <v>1300</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5">
      <c r="A287" s="95" t="str">
        <f t="shared" si="45"/>
        <v>FA MM Volatilisation</v>
      </c>
      <c r="B287" s="95" t="s">
        <v>961</v>
      </c>
      <c r="C287" s="95" t="s">
        <v>1331</v>
      </c>
      <c r="D287" t="s">
        <v>369</v>
      </c>
      <c r="E287" t="s">
        <v>64</v>
      </c>
      <c r="F287" t="s">
        <v>62</v>
      </c>
      <c r="G287" t="s">
        <v>1175</v>
      </c>
      <c r="H287" t="s">
        <v>1301</v>
      </c>
      <c r="I287" t="s">
        <v>139</v>
      </c>
      <c r="J287" t="s">
        <v>287</v>
      </c>
      <c r="K287" s="22">
        <f t="shared" si="65"/>
        <v>0.13075625264316332</v>
      </c>
      <c r="L287" s="22">
        <f t="shared" si="67"/>
        <v>0.13004550543955865</v>
      </c>
      <c r="M287" s="22">
        <f t="shared" si="67"/>
        <v>0.13010384136507705</v>
      </c>
      <c r="N287" s="22">
        <f t="shared" si="67"/>
        <v>0.12890938840294827</v>
      </c>
      <c r="O287" s="22">
        <f t="shared" si="67"/>
        <v>0.12695857121838466</v>
      </c>
      <c r="P287" s="22">
        <f t="shared" si="67"/>
        <v>0.12428257569245393</v>
      </c>
      <c r="Q287" s="22">
        <f t="shared" si="67"/>
        <v>0.12233950618032063</v>
      </c>
      <c r="R287" s="22">
        <f t="shared" si="67"/>
        <v>0.12056837226162823</v>
      </c>
      <c r="S287" s="22">
        <f t="shared" si="67"/>
        <v>0.10830895289651481</v>
      </c>
      <c r="T287" s="22">
        <f t="shared" si="67"/>
        <v>0.11320330426035914</v>
      </c>
      <c r="U287" s="22">
        <f t="shared" si="67"/>
        <v>0.11468301383498544</v>
      </c>
      <c r="V287" s="22">
        <f t="shared" si="67"/>
        <v>0.11355120382559489</v>
      </c>
      <c r="W287" s="22">
        <f t="shared" si="67"/>
        <v>0.11255578294046394</v>
      </c>
      <c r="X287" s="22">
        <f t="shared" si="67"/>
        <v>0.11224814770681171</v>
      </c>
      <c r="Y287" s="22">
        <f t="shared" si="67"/>
        <v>0.11260156809388705</v>
      </c>
      <c r="Z287" s="22">
        <f t="shared" si="67"/>
        <v>0.11325984846472106</v>
      </c>
      <c r="AA287" s="22">
        <f t="shared" si="67"/>
        <v>0.11429808983181136</v>
      </c>
      <c r="AB287" s="22">
        <f t="shared" si="67"/>
        <v>0.11596592254580176</v>
      </c>
      <c r="AC287" s="22">
        <f t="shared" si="67"/>
        <v>0.11820511582305605</v>
      </c>
      <c r="AD287" s="22">
        <f t="shared" si="67"/>
        <v>0.12075365463644311</v>
      </c>
      <c r="AE287" s="22">
        <f t="shared" si="67"/>
        <v>0.12358623956337132</v>
      </c>
      <c r="AF287" s="22">
        <f t="shared" si="67"/>
        <v>0.12656118355318</v>
      </c>
      <c r="AG287" s="22">
        <f t="shared" si="67"/>
        <v>0.12972957848678721</v>
      </c>
      <c r="AH287" s="22">
        <f t="shared" si="67"/>
        <v>0.13302313311609873</v>
      </c>
      <c r="AI287" s="22">
        <f t="shared" si="67"/>
        <v>0.13621929545186015</v>
      </c>
      <c r="AJ287" s="22">
        <f t="shared" si="67"/>
        <v>0.13962684476435561</v>
      </c>
      <c r="AK287" s="22">
        <f t="shared" si="67"/>
        <v>0.14304119066791054</v>
      </c>
      <c r="AL287" s="22">
        <f t="shared" si="67"/>
        <v>0.14644440679500975</v>
      </c>
      <c r="AM287" s="22">
        <f t="shared" si="67"/>
        <v>0.14992455211372072</v>
      </c>
      <c r="AN287" s="22">
        <f t="shared" si="67"/>
        <v>0.15325657222760428</v>
      </c>
      <c r="AO287" s="22">
        <f t="shared" si="67"/>
        <v>0.15674333681767427</v>
      </c>
      <c r="AP287" s="22">
        <f t="shared" si="67"/>
        <v>0.16048535923438295</v>
      </c>
      <c r="AQ287" s="22">
        <f t="shared" si="67"/>
        <v>0.16429277839644263</v>
      </c>
      <c r="AR287" s="22">
        <f t="shared" si="67"/>
        <v>0.16817259395975112</v>
      </c>
      <c r="AS287" s="22">
        <f t="shared" si="67"/>
        <v>0.17231652203790412</v>
      </c>
      <c r="AT287" s="22">
        <f t="shared" si="67"/>
        <v>0.17665242177214358</v>
      </c>
      <c r="AU287" s="22">
        <f t="shared" si="67"/>
        <v>0.18113086971422945</v>
      </c>
      <c r="AV287" s="22">
        <f t="shared" si="67"/>
        <v>0.18586803919890985</v>
      </c>
      <c r="AW287" s="22">
        <f t="shared" si="67"/>
        <v>0.19015603509530893</v>
      </c>
      <c r="AY287" s="79"/>
    </row>
    <row r="288" spans="1:51" x14ac:dyDescent="0.25">
      <c r="A288" s="95" t="str">
        <f t="shared" si="45"/>
        <v>FA MM Volatilisation</v>
      </c>
      <c r="B288" s="95" t="s">
        <v>961</v>
      </c>
      <c r="C288" s="95" t="s">
        <v>1331</v>
      </c>
      <c r="D288" t="s">
        <v>369</v>
      </c>
      <c r="E288" t="s">
        <v>64</v>
      </c>
      <c r="F288" t="s">
        <v>62</v>
      </c>
      <c r="G288" t="s">
        <v>1177</v>
      </c>
      <c r="H288" t="s">
        <v>1302</v>
      </c>
      <c r="I288" t="s">
        <v>139</v>
      </c>
      <c r="J288" t="s">
        <v>287</v>
      </c>
      <c r="K288" s="22">
        <f t="shared" si="65"/>
        <v>1.2724633182830876E-2</v>
      </c>
      <c r="L288" s="22">
        <f t="shared" si="67"/>
        <v>1.2655466337890211E-2</v>
      </c>
      <c r="M288" s="22">
        <f t="shared" si="67"/>
        <v>1.2661143337946403E-2</v>
      </c>
      <c r="N288" s="22">
        <f t="shared" si="67"/>
        <v>1.2544904339887072E-2</v>
      </c>
      <c r="O288" s="22">
        <f t="shared" si="67"/>
        <v>1.2355059245839609E-2</v>
      </c>
      <c r="P288" s="22">
        <f t="shared" si="67"/>
        <v>1.2094642930917438E-2</v>
      </c>
      <c r="Q288" s="22">
        <f t="shared" si="67"/>
        <v>1.1905551806853848E-2</v>
      </c>
      <c r="R288" s="22">
        <f t="shared" si="67"/>
        <v>1.1733192711380727E-2</v>
      </c>
      <c r="S288" s="22">
        <f t="shared" si="67"/>
        <v>1.0540159022343456E-2</v>
      </c>
      <c r="T288" s="22">
        <f t="shared" si="67"/>
        <v>1.1016456136354276E-2</v>
      </c>
      <c r="U288" s="22">
        <f t="shared" si="67"/>
        <v>1.1160455074635459E-2</v>
      </c>
      <c r="V288" s="22">
        <f t="shared" si="67"/>
        <v>1.1050312217899923E-2</v>
      </c>
      <c r="W288" s="22">
        <f t="shared" si="67"/>
        <v>1.0953442161059227E-2</v>
      </c>
      <c r="X288" s="22">
        <f t="shared" ref="L288:AW295" si="68">X1544</f>
        <v>1.092350443018052E-2</v>
      </c>
      <c r="Y288" s="22">
        <f t="shared" si="68"/>
        <v>1.0957897774238343E-2</v>
      </c>
      <c r="Z288" s="22">
        <f t="shared" si="68"/>
        <v>1.1021958773854017E-2</v>
      </c>
      <c r="AA288" s="22">
        <f t="shared" si="68"/>
        <v>1.1122995934864729E-2</v>
      </c>
      <c r="AB288" s="22">
        <f t="shared" si="68"/>
        <v>1.1285302203718813E-2</v>
      </c>
      <c r="AC288" s="22">
        <f t="shared" si="68"/>
        <v>1.1503210812313454E-2</v>
      </c>
      <c r="AD288" s="22">
        <f t="shared" si="68"/>
        <v>1.1751223591029727E-2</v>
      </c>
      <c r="AE288" s="22">
        <f t="shared" si="68"/>
        <v>1.2026878509443005E-2</v>
      </c>
      <c r="AF288" s="22">
        <f t="shared" si="68"/>
        <v>1.231638719636668E-2</v>
      </c>
      <c r="AG288" s="22">
        <f t="shared" si="68"/>
        <v>1.2624721692756056E-2</v>
      </c>
      <c r="AH288" s="22">
        <f t="shared" si="68"/>
        <v>1.2945236189603672E-2</v>
      </c>
      <c r="AI288" s="22">
        <f t="shared" si="68"/>
        <v>1.3256272889518386E-2</v>
      </c>
      <c r="AJ288" s="22">
        <f t="shared" si="68"/>
        <v>1.3587880856077676E-2</v>
      </c>
      <c r="AK288" s="22">
        <f t="shared" si="68"/>
        <v>1.3920150237493829E-2</v>
      </c>
      <c r="AL288" s="22">
        <f t="shared" si="68"/>
        <v>1.4251336517184878E-2</v>
      </c>
      <c r="AM288" s="22">
        <f t="shared" si="68"/>
        <v>1.459000921320037E-2</v>
      </c>
      <c r="AN288" s="22">
        <f t="shared" si="68"/>
        <v>1.4914267004701089E-2</v>
      </c>
      <c r="AO288" s="22">
        <f t="shared" si="68"/>
        <v>1.5253583859586839E-2</v>
      </c>
      <c r="AP288" s="22">
        <f t="shared" si="68"/>
        <v>1.5617741302554344E-2</v>
      </c>
      <c r="AQ288" s="22">
        <f t="shared" si="68"/>
        <v>1.5988262874036725E-2</v>
      </c>
      <c r="AR288" s="22">
        <f t="shared" si="68"/>
        <v>1.6365829750282931E-2</v>
      </c>
      <c r="AS288" s="22">
        <f t="shared" si="68"/>
        <v>1.676909891458386E-2</v>
      </c>
      <c r="AT288" s="22">
        <f t="shared" si="68"/>
        <v>1.7191049930466051E-2</v>
      </c>
      <c r="AU288" s="22">
        <f t="shared" si="68"/>
        <v>1.7626873121628955E-2</v>
      </c>
      <c r="AV288" s="22">
        <f t="shared" si="68"/>
        <v>1.8087873974735078E-2</v>
      </c>
      <c r="AW288" s="22">
        <f t="shared" si="68"/>
        <v>1.8505163196230787E-2</v>
      </c>
      <c r="AY288" s="79"/>
    </row>
    <row r="289" spans="1:51" x14ac:dyDescent="0.25">
      <c r="A289" s="95" t="str">
        <f t="shared" si="45"/>
        <v>FA MM Volatilisation</v>
      </c>
      <c r="B289" s="95" t="s">
        <v>961</v>
      </c>
      <c r="C289" s="95" t="s">
        <v>1331</v>
      </c>
      <c r="D289" t="s">
        <v>369</v>
      </c>
      <c r="E289" t="s">
        <v>64</v>
      </c>
      <c r="F289" t="s">
        <v>62</v>
      </c>
      <c r="G289" t="s">
        <v>1179</v>
      </c>
      <c r="H289" t="s">
        <v>1303</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7.1969839340941866E-2</v>
      </c>
      <c r="S289" s="22">
        <f t="shared" si="68"/>
        <v>6.9075990112688196E-2</v>
      </c>
      <c r="T289" s="22">
        <f t="shared" si="68"/>
        <v>7.1960031651071718E-2</v>
      </c>
      <c r="U289" s="22">
        <f t="shared" si="68"/>
        <v>7.3674037695468111E-2</v>
      </c>
      <c r="V289" s="22">
        <f t="shared" si="68"/>
        <v>7.4492152680205134E-2</v>
      </c>
      <c r="W289" s="22">
        <f t="shared" si="68"/>
        <v>7.5399470920563483E-2</v>
      </c>
      <c r="X289" s="22">
        <f t="shared" si="68"/>
        <v>7.6582710746940591E-2</v>
      </c>
      <c r="Y289" s="22">
        <f t="shared" si="68"/>
        <v>7.8007027191938444E-2</v>
      </c>
      <c r="Z289" s="22">
        <f t="shared" si="68"/>
        <v>7.95518212189988E-2</v>
      </c>
      <c r="AA289" s="22">
        <f t="shared" si="68"/>
        <v>8.125501320297529E-2</v>
      </c>
      <c r="AB289" s="22">
        <f t="shared" si="68"/>
        <v>8.3229375715267798E-2</v>
      </c>
      <c r="AC289" s="22">
        <f t="shared" si="68"/>
        <v>8.5468913054205911E-2</v>
      </c>
      <c r="AD289" s="22">
        <f t="shared" si="68"/>
        <v>8.7878363840128426E-2</v>
      </c>
      <c r="AE289" s="22">
        <f t="shared" si="68"/>
        <v>9.0457350276048634E-2</v>
      </c>
      <c r="AF289" s="22">
        <f t="shared" si="68"/>
        <v>9.3152543573947852E-2</v>
      </c>
      <c r="AG289" s="22">
        <f t="shared" si="68"/>
        <v>9.5991306514799535E-2</v>
      </c>
      <c r="AH289" s="22">
        <f t="shared" si="68"/>
        <v>9.8949791609125759E-2</v>
      </c>
      <c r="AI289" s="22">
        <f t="shared" si="68"/>
        <v>0.10193029518056052</v>
      </c>
      <c r="AJ289" s="22">
        <f t="shared" si="68"/>
        <v>0.10507798344014782</v>
      </c>
      <c r="AK289" s="22">
        <f t="shared" si="68"/>
        <v>0.10829971138803891</v>
      </c>
      <c r="AL289" s="22">
        <f t="shared" si="68"/>
        <v>0.11158886411942164</v>
      </c>
      <c r="AM289" s="22">
        <f t="shared" si="68"/>
        <v>0.11499192397451925</v>
      </c>
      <c r="AN289" s="22">
        <f t="shared" si="68"/>
        <v>0.11839831966593896</v>
      </c>
      <c r="AO289" s="22">
        <f t="shared" si="68"/>
        <v>0.12196310213771001</v>
      </c>
      <c r="AP289" s="22">
        <f t="shared" si="68"/>
        <v>0.12574583816913645</v>
      </c>
      <c r="AQ289" s="22">
        <f t="shared" si="68"/>
        <v>0.12965360602860704</v>
      </c>
      <c r="AR289" s="22">
        <f t="shared" si="68"/>
        <v>0.13369403699154539</v>
      </c>
      <c r="AS289" s="22">
        <f t="shared" si="68"/>
        <v>0.1379790125366526</v>
      </c>
      <c r="AT289" s="22">
        <f t="shared" si="68"/>
        <v>0.14247835199666176</v>
      </c>
      <c r="AU289" s="22">
        <f t="shared" si="68"/>
        <v>0.14717275078625591</v>
      </c>
      <c r="AV289" s="22">
        <f t="shared" si="68"/>
        <v>0.15213947342494369</v>
      </c>
      <c r="AW289" s="22">
        <f t="shared" si="68"/>
        <v>0.15696141877860778</v>
      </c>
      <c r="AY289" s="79"/>
    </row>
    <row r="290" spans="1:51" x14ac:dyDescent="0.25">
      <c r="A290" s="95" t="str">
        <f t="shared" si="45"/>
        <v>FA MM Volatilisation</v>
      </c>
      <c r="B290" s="95" t="s">
        <v>961</v>
      </c>
      <c r="C290" s="95" t="s">
        <v>1331</v>
      </c>
      <c r="D290" t="s">
        <v>369</v>
      </c>
      <c r="E290" t="s">
        <v>64</v>
      </c>
      <c r="F290" t="s">
        <v>62</v>
      </c>
      <c r="G290" t="s">
        <v>1181</v>
      </c>
      <c r="H290" t="s">
        <v>1304</v>
      </c>
      <c r="I290" t="s">
        <v>139</v>
      </c>
      <c r="J290" t="s">
        <v>287</v>
      </c>
      <c r="K290" s="22">
        <f t="shared" si="65"/>
        <v>0.31034319165291718</v>
      </c>
      <c r="L290" s="22">
        <f t="shared" si="68"/>
        <v>0.31442985679016972</v>
      </c>
      <c r="M290" s="22">
        <f t="shared" si="68"/>
        <v>0.3209942132552846</v>
      </c>
      <c r="N290" s="22">
        <f t="shared" si="68"/>
        <v>0.3228790317815291</v>
      </c>
      <c r="O290" s="22">
        <f t="shared" si="68"/>
        <v>0.3217232753588708</v>
      </c>
      <c r="P290" s="22">
        <f t="shared" si="68"/>
        <v>0.31753924052538912</v>
      </c>
      <c r="Q290" s="22">
        <f t="shared" si="68"/>
        <v>0.31577785743754239</v>
      </c>
      <c r="R290" s="22">
        <f t="shared" si="68"/>
        <v>0.31441607582114939</v>
      </c>
      <c r="S290" s="22">
        <f t="shared" si="68"/>
        <v>0.27355046715049131</v>
      </c>
      <c r="T290" s="22">
        <f t="shared" si="68"/>
        <v>0.2982999703835697</v>
      </c>
      <c r="U290" s="22">
        <f t="shared" si="68"/>
        <v>0.31020865266324016</v>
      </c>
      <c r="V290" s="22">
        <f t="shared" si="68"/>
        <v>0.31169871113596848</v>
      </c>
      <c r="W290" s="22">
        <f t="shared" si="68"/>
        <v>0.313416443296333</v>
      </c>
      <c r="X290" s="22">
        <f t="shared" si="68"/>
        <v>0.31777262865062833</v>
      </c>
      <c r="Y290" s="22">
        <f t="shared" si="68"/>
        <v>0.32494530500053975</v>
      </c>
      <c r="Z290" s="22">
        <f t="shared" si="68"/>
        <v>0.33352717212448735</v>
      </c>
      <c r="AA290" s="22">
        <f t="shared" si="68"/>
        <v>0.34389700896977449</v>
      </c>
      <c r="AB290" s="22">
        <f t="shared" si="68"/>
        <v>0.35720613223021092</v>
      </c>
      <c r="AC290" s="22">
        <f t="shared" si="68"/>
        <v>0.37330270784262232</v>
      </c>
      <c r="AD290" s="22">
        <f t="shared" si="68"/>
        <v>0.39111878330548938</v>
      </c>
      <c r="AE290" s="22">
        <f t="shared" si="68"/>
        <v>0.41059525274758124</v>
      </c>
      <c r="AF290" s="22">
        <f t="shared" si="68"/>
        <v>0.4311392832902729</v>
      </c>
      <c r="AG290" s="22">
        <f t="shared" si="68"/>
        <v>0.45302578965799745</v>
      </c>
      <c r="AH290" s="22">
        <f t="shared" si="68"/>
        <v>0.47597562229356133</v>
      </c>
      <c r="AI290" s="22">
        <f t="shared" si="68"/>
        <v>0.49895875258724764</v>
      </c>
      <c r="AJ290" s="22">
        <f t="shared" si="68"/>
        <v>0.52346175750841617</v>
      </c>
      <c r="AK290" s="22">
        <f t="shared" si="68"/>
        <v>0.54854282752031391</v>
      </c>
      <c r="AL290" s="22">
        <f t="shared" si="68"/>
        <v>0.57412757690619154</v>
      </c>
      <c r="AM290" s="22">
        <f t="shared" si="68"/>
        <v>0.60066723743034001</v>
      </c>
      <c r="AN290" s="22">
        <f t="shared" si="68"/>
        <v>0.62704755150284652</v>
      </c>
      <c r="AO290" s="22">
        <f t="shared" si="68"/>
        <v>0.65481507956811935</v>
      </c>
      <c r="AP290" s="22">
        <f t="shared" si="68"/>
        <v>0.68454150627200949</v>
      </c>
      <c r="AQ290" s="22">
        <f t="shared" si="68"/>
        <v>0.71529406948310958</v>
      </c>
      <c r="AR290" s="22">
        <f t="shared" si="68"/>
        <v>0.74714458055742761</v>
      </c>
      <c r="AS290" s="22">
        <f t="shared" si="68"/>
        <v>0.78116708322765893</v>
      </c>
      <c r="AT290" s="22">
        <f t="shared" si="68"/>
        <v>0.81704220152579388</v>
      </c>
      <c r="AU290" s="22">
        <f t="shared" si="68"/>
        <v>0.85455779039390145</v>
      </c>
      <c r="AV290" s="22">
        <f t="shared" si="68"/>
        <v>0.8944207901364416</v>
      </c>
      <c r="AW290" s="22">
        <f t="shared" si="68"/>
        <v>0.93268516809491542</v>
      </c>
      <c r="AY290" s="79"/>
    </row>
    <row r="291" spans="1:51" x14ac:dyDescent="0.25">
      <c r="A291" s="95" t="str">
        <f t="shared" si="45"/>
        <v>FA MM Leaching</v>
      </c>
      <c r="B291" s="95" t="s">
        <v>961</v>
      </c>
      <c r="C291" s="95" t="s">
        <v>1332</v>
      </c>
      <c r="D291" t="s">
        <v>369</v>
      </c>
      <c r="E291" t="s">
        <v>64</v>
      </c>
      <c r="F291" t="s">
        <v>63</v>
      </c>
      <c r="G291" t="s">
        <v>1151</v>
      </c>
      <c r="H291" t="s">
        <v>1305</v>
      </c>
      <c r="I291" t="s">
        <v>139</v>
      </c>
      <c r="J291" t="s">
        <v>287</v>
      </c>
      <c r="K291" s="22">
        <f t="shared" si="65"/>
        <v>8.9211118607918846E-2</v>
      </c>
      <c r="L291" s="22">
        <f t="shared" si="68"/>
        <v>8.9709854381943815E-2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9.2016609055475665E-2</v>
      </c>
      <c r="S291" s="22">
        <f t="shared" si="68"/>
        <v>8.9358864650084344E-2</v>
      </c>
      <c r="T291" s="22">
        <f t="shared" si="68"/>
        <v>9.1160880262772734E-2</v>
      </c>
      <c r="U291" s="22">
        <f t="shared" si="68"/>
        <v>9.2055417480081031E-2</v>
      </c>
      <c r="V291" s="22">
        <f t="shared" si="68"/>
        <v>9.2289034291272776E-2</v>
      </c>
      <c r="W291" s="22">
        <f t="shared" si="68"/>
        <v>9.2621209958625161E-2</v>
      </c>
      <c r="X291" s="22">
        <f t="shared" si="68"/>
        <v>9.3178603232719648E-2</v>
      </c>
      <c r="Y291" s="22">
        <f t="shared" si="68"/>
        <v>9.3914939363977226E-2</v>
      </c>
      <c r="Z291" s="22">
        <f t="shared" si="68"/>
        <v>9.4739349743762011E-2</v>
      </c>
      <c r="AA291" s="22">
        <f t="shared" si="68"/>
        <v>9.5677798677729631E-2</v>
      </c>
      <c r="AB291" s="22">
        <f t="shared" si="68"/>
        <v>9.6810748950836578E-2</v>
      </c>
      <c r="AC291" s="22">
        <f t="shared" si="68"/>
        <v>9.8131619080537594E-2</v>
      </c>
      <c r="AD291" s="22">
        <f t="shared" si="68"/>
        <v>9.956927276254475E-2</v>
      </c>
      <c r="AE291" s="22">
        <f t="shared" si="68"/>
        <v>0.10112241066666731</v>
      </c>
      <c r="AF291" s="22">
        <f t="shared" si="68"/>
        <v>0.10275162031430257</v>
      </c>
      <c r="AG291" s="22">
        <f t="shared" si="68"/>
        <v>0.10447512410975278</v>
      </c>
      <c r="AH291" s="22">
        <f t="shared" si="68"/>
        <v>0.10627520064757517</v>
      </c>
      <c r="AI291" s="22">
        <f t="shared" si="68"/>
        <v>0.10808248543054177</v>
      </c>
      <c r="AJ291" s="22">
        <f t="shared" si="68"/>
        <v>0.10999863373444546</v>
      </c>
      <c r="AK291" s="22">
        <f t="shared" si="68"/>
        <v>0.11195666285750208</v>
      </c>
      <c r="AL291" s="22">
        <f t="shared" si="68"/>
        <v>0.11395159289972816</v>
      </c>
      <c r="AM291" s="22">
        <f t="shared" si="68"/>
        <v>0.11601556458845022</v>
      </c>
      <c r="AN291" s="22">
        <f t="shared" si="68"/>
        <v>0.1180715269808419</v>
      </c>
      <c r="AO291" s="22">
        <f t="shared" si="68"/>
        <v>0.12022624785087629</v>
      </c>
      <c r="AP291" s="22">
        <f t="shared" si="68"/>
        <v>0.12251950907003291</v>
      </c>
      <c r="AQ291" s="22">
        <f t="shared" si="68"/>
        <v>0.12488629569373427</v>
      </c>
      <c r="AR291" s="22">
        <f t="shared" si="68"/>
        <v>0.12733088961691924</v>
      </c>
      <c r="AS291" s="22">
        <f t="shared" si="68"/>
        <v>0.1299285168324007</v>
      </c>
      <c r="AT291" s="22">
        <f t="shared" si="68"/>
        <v>0.13265733115300649</v>
      </c>
      <c r="AU291" s="22">
        <f t="shared" si="68"/>
        <v>0.1355032537790716</v>
      </c>
      <c r="AV291" s="22">
        <f t="shared" si="68"/>
        <v>0.13851756609044491</v>
      </c>
      <c r="AW291" s="22">
        <f t="shared" si="68"/>
        <v>0.1414178902191697</v>
      </c>
      <c r="AY291" s="79"/>
    </row>
    <row r="292" spans="1:51" x14ac:dyDescent="0.25">
      <c r="A292" s="95" t="str">
        <f t="shared" si="45"/>
        <v>FA MM Leaching</v>
      </c>
      <c r="B292" s="95" t="s">
        <v>961</v>
      </c>
      <c r="C292" s="95" t="s">
        <v>1332</v>
      </c>
      <c r="D292" t="s">
        <v>369</v>
      </c>
      <c r="E292" t="s">
        <v>64</v>
      </c>
      <c r="F292" t="s">
        <v>63</v>
      </c>
      <c r="G292" t="s">
        <v>1153</v>
      </c>
      <c r="H292" t="s">
        <v>1306</v>
      </c>
      <c r="I292" t="s">
        <v>139</v>
      </c>
      <c r="J292" t="s">
        <v>287</v>
      </c>
      <c r="K292" s="22">
        <f t="shared" si="65"/>
        <v>2.6939494531157477E-2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2.7786681470952937E-2</v>
      </c>
      <c r="S292" s="22">
        <f t="shared" si="68"/>
        <v>2.6984110087570477E-2</v>
      </c>
      <c r="T292" s="22">
        <f t="shared" si="68"/>
        <v>2.7528273085418706E-2</v>
      </c>
      <c r="U292" s="22">
        <f t="shared" si="68"/>
        <v>2.7798400630612993E-2</v>
      </c>
      <c r="V292" s="22">
        <f t="shared" si="68"/>
        <v>2.786894698072824E-2</v>
      </c>
      <c r="W292" s="22">
        <f t="shared" si="68"/>
        <v>2.7969255604963213E-2</v>
      </c>
      <c r="X292" s="22">
        <f t="shared" si="68"/>
        <v>2.8137574232657669E-2</v>
      </c>
      <c r="Y292" s="22">
        <f t="shared" si="68"/>
        <v>2.8359929063430364E-2</v>
      </c>
      <c r="Z292" s="22">
        <f t="shared" si="68"/>
        <v>2.8608880082812278E-2</v>
      </c>
      <c r="AA292" s="22">
        <f t="shared" si="68"/>
        <v>2.8892267852396274E-2</v>
      </c>
      <c r="AB292" s="22">
        <f t="shared" si="68"/>
        <v>2.9234390091896226E-2</v>
      </c>
      <c r="AC292" s="22">
        <f t="shared" si="68"/>
        <v>2.9633259360555886E-2</v>
      </c>
      <c r="AD292" s="22">
        <f t="shared" si="68"/>
        <v>3.0067394299210185E-2</v>
      </c>
      <c r="AE292" s="22">
        <f t="shared" si="68"/>
        <v>3.0536402543105565E-2</v>
      </c>
      <c r="AF292" s="22">
        <f t="shared" si="68"/>
        <v>3.102838252359965E-2</v>
      </c>
      <c r="AG292" s="22">
        <f t="shared" si="68"/>
        <v>3.1548836944488824E-2</v>
      </c>
      <c r="AH292" s="22">
        <f t="shared" si="68"/>
        <v>3.2092414390921906E-2</v>
      </c>
      <c r="AI292" s="22">
        <f t="shared" si="68"/>
        <v>3.2638168544515178E-2</v>
      </c>
      <c r="AJ292" s="22">
        <f t="shared" si="68"/>
        <v>3.3216796719561036E-2</v>
      </c>
      <c r="AK292" s="22">
        <f t="shared" si="68"/>
        <v>3.3808071839473604E-2</v>
      </c>
      <c r="AL292" s="22">
        <f t="shared" si="68"/>
        <v>3.4410490100798045E-2</v>
      </c>
      <c r="AM292" s="22">
        <f t="shared" si="68"/>
        <v>3.5033757187775863E-2</v>
      </c>
      <c r="AN292" s="22">
        <f t="shared" si="68"/>
        <v>3.5654605670458001E-2</v>
      </c>
      <c r="AO292" s="22">
        <f t="shared" si="68"/>
        <v>3.6305276707883034E-2</v>
      </c>
      <c r="AP292" s="22">
        <f t="shared" si="68"/>
        <v>3.699778341597066E-2</v>
      </c>
      <c r="AQ292" s="22">
        <f t="shared" si="68"/>
        <v>3.7712492930889352E-2</v>
      </c>
      <c r="AR292" s="22">
        <f t="shared" si="68"/>
        <v>3.8450698276278859E-2</v>
      </c>
      <c r="AS292" s="22">
        <f t="shared" si="68"/>
        <v>3.9235115793483218E-2</v>
      </c>
      <c r="AT292" s="22">
        <f t="shared" si="68"/>
        <v>4.0059148488214832E-2</v>
      </c>
      <c r="AU292" s="22">
        <f t="shared" si="68"/>
        <v>4.0918544920154343E-2</v>
      </c>
      <c r="AV292" s="22">
        <f t="shared" si="68"/>
        <v>4.1828790765006174E-2</v>
      </c>
      <c r="AW292" s="22">
        <f t="shared" si="68"/>
        <v>4.2704615070581362E-2</v>
      </c>
      <c r="AY292" s="79"/>
    </row>
    <row r="293" spans="1:51" x14ac:dyDescent="0.25">
      <c r="A293" s="95" t="str">
        <f t="shared" si="45"/>
        <v>FA MM Leaching</v>
      </c>
      <c r="B293" s="95" t="s">
        <v>961</v>
      </c>
      <c r="C293" s="95" t="s">
        <v>1332</v>
      </c>
      <c r="D293" t="s">
        <v>369</v>
      </c>
      <c r="E293" t="s">
        <v>64</v>
      </c>
      <c r="F293" t="s">
        <v>63</v>
      </c>
      <c r="G293" t="s">
        <v>1155</v>
      </c>
      <c r="H293" t="s">
        <v>1307</v>
      </c>
      <c r="I293" t="s">
        <v>139</v>
      </c>
      <c r="J293" t="s">
        <v>287</v>
      </c>
      <c r="K293" s="22">
        <f t="shared" si="65"/>
        <v>1.4483668498503175E-3</v>
      </c>
      <c r="L293" s="22">
        <f t="shared" si="68"/>
        <v>1.4564639612104711E-3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1.4939147526814829E-3</v>
      </c>
      <c r="S293" s="22">
        <f t="shared" si="68"/>
        <v>1.4507655471540646E-3</v>
      </c>
      <c r="T293" s="22">
        <f t="shared" si="68"/>
        <v>1.4800217622655623E-3</v>
      </c>
      <c r="U293" s="22">
        <f t="shared" si="68"/>
        <v>1.4945448180429578E-3</v>
      </c>
      <c r="V293" s="22">
        <f t="shared" si="68"/>
        <v>1.4983376507097578E-3</v>
      </c>
      <c r="W293" s="22">
        <f t="shared" si="68"/>
        <v>1.5037306132958967E-3</v>
      </c>
      <c r="X293" s="22">
        <f t="shared" si="68"/>
        <v>1.5127800451730611E-3</v>
      </c>
      <c r="Y293" s="22">
        <f t="shared" si="68"/>
        <v>1.5247346631568088E-3</v>
      </c>
      <c r="Z293" s="22">
        <f t="shared" si="68"/>
        <v>1.5381191905944778E-3</v>
      </c>
      <c r="AA293" s="22">
        <f t="shared" si="68"/>
        <v>1.5533551650721636E-3</v>
      </c>
      <c r="AB293" s="22">
        <f t="shared" si="68"/>
        <v>1.5717489218560997E-3</v>
      </c>
      <c r="AC293" s="22">
        <f t="shared" si="68"/>
        <v>1.5931936087815548E-3</v>
      </c>
      <c r="AD293" s="22">
        <f t="shared" si="68"/>
        <v>1.6165343085404703E-3</v>
      </c>
      <c r="AE293" s="22">
        <f t="shared" si="68"/>
        <v>1.641749926152706E-3</v>
      </c>
      <c r="AF293" s="22">
        <f t="shared" si="68"/>
        <v>1.6682005892753381E-3</v>
      </c>
      <c r="AG293" s="22">
        <f t="shared" si="68"/>
        <v>1.6961821436137869E-3</v>
      </c>
      <c r="AH293" s="22">
        <f t="shared" si="68"/>
        <v>1.7254068773158021E-3</v>
      </c>
      <c r="AI293" s="22">
        <f t="shared" si="68"/>
        <v>1.7547486388443409E-3</v>
      </c>
      <c r="AJ293" s="22">
        <f t="shared" si="68"/>
        <v>1.785857829336261E-3</v>
      </c>
      <c r="AK293" s="22">
        <f t="shared" si="68"/>
        <v>1.81764696635337E-3</v>
      </c>
      <c r="AL293" s="22">
        <f t="shared" si="68"/>
        <v>1.8500351998607825E-3</v>
      </c>
      <c r="AM293" s="22">
        <f t="shared" si="68"/>
        <v>1.88354434333552E-3</v>
      </c>
      <c r="AN293" s="22">
        <f t="shared" si="68"/>
        <v>1.9169234536991781E-3</v>
      </c>
      <c r="AO293" s="22">
        <f t="shared" si="68"/>
        <v>1.9519059348913977E-3</v>
      </c>
      <c r="AP293" s="22">
        <f t="shared" si="68"/>
        <v>1.9891376564492419E-3</v>
      </c>
      <c r="AQ293" s="22">
        <f t="shared" si="68"/>
        <v>2.0275630830096244E-3</v>
      </c>
      <c r="AR293" s="22">
        <f t="shared" si="68"/>
        <v>2.0672517323050989E-3</v>
      </c>
      <c r="AS293" s="22">
        <f t="shared" si="68"/>
        <v>2.1094249188527039E-3</v>
      </c>
      <c r="AT293" s="22">
        <f t="shared" si="68"/>
        <v>2.1537279638434597E-3</v>
      </c>
      <c r="AU293" s="22">
        <f t="shared" si="68"/>
        <v>2.1999322941237188E-3</v>
      </c>
      <c r="AV293" s="22">
        <f t="shared" si="68"/>
        <v>2.2488704768863013E-3</v>
      </c>
      <c r="AW293" s="22">
        <f t="shared" si="68"/>
        <v>2.2959580304044692E-3</v>
      </c>
      <c r="AY293" s="79"/>
    </row>
    <row r="294" spans="1:51" x14ac:dyDescent="0.25">
      <c r="A294" s="95" t="str">
        <f t="shared" si="45"/>
        <v>FA MM Leaching</v>
      </c>
      <c r="B294" s="95" t="s">
        <v>961</v>
      </c>
      <c r="C294" s="95" t="s">
        <v>1332</v>
      </c>
      <c r="D294" t="s">
        <v>369</v>
      </c>
      <c r="E294" t="s">
        <v>64</v>
      </c>
      <c r="F294" t="s">
        <v>63</v>
      </c>
      <c r="G294" t="s">
        <v>1157</v>
      </c>
      <c r="H294" t="s">
        <v>1308</v>
      </c>
      <c r="I294" t="s">
        <v>139</v>
      </c>
      <c r="J294" t="s">
        <v>287</v>
      </c>
      <c r="K294" s="22">
        <f t="shared" si="65"/>
        <v>3.0303014392691133E-2</v>
      </c>
      <c r="L294" s="22">
        <f t="shared" si="68"/>
        <v>3.0040206026371356E-2</v>
      </c>
      <c r="M294" s="22">
        <f t="shared" si="68"/>
        <v>2.9940162837193186E-2</v>
      </c>
      <c r="N294" s="22">
        <f t="shared" si="68"/>
        <v>2.9540351153331298E-2</v>
      </c>
      <c r="O294" s="22">
        <f t="shared" si="68"/>
        <v>2.8960014730128842E-2</v>
      </c>
      <c r="P294" s="22">
        <f t="shared" si="68"/>
        <v>2.8211154016296501E-2</v>
      </c>
      <c r="Q294" s="22">
        <f t="shared" si="68"/>
        <v>2.7620505669412022E-2</v>
      </c>
      <c r="R294" s="22">
        <f t="shared" si="68"/>
        <v>2.7061685185942385E-2</v>
      </c>
      <c r="S294" s="22">
        <f t="shared" si="68"/>
        <v>2.416485344196681E-2</v>
      </c>
      <c r="T294" s="22">
        <f t="shared" si="68"/>
        <v>2.5320182377840249E-2</v>
      </c>
      <c r="U294" s="22">
        <f t="shared" si="68"/>
        <v>2.5720157477778727E-2</v>
      </c>
      <c r="V294" s="22">
        <f t="shared" si="68"/>
        <v>2.5546462223035794E-2</v>
      </c>
      <c r="W294" s="22">
        <f t="shared" si="68"/>
        <v>2.5405173363708521E-2</v>
      </c>
      <c r="X294" s="22">
        <f t="shared" si="68"/>
        <v>2.5414454482957191E-2</v>
      </c>
      <c r="Y294" s="22">
        <f t="shared" si="68"/>
        <v>2.5563690103476349E-2</v>
      </c>
      <c r="Z294" s="22">
        <f t="shared" si="68"/>
        <v>2.5775445206678543E-2</v>
      </c>
      <c r="AA294" s="22">
        <f t="shared" si="68"/>
        <v>2.6066776415666827E-2</v>
      </c>
      <c r="AB294" s="22">
        <f t="shared" si="68"/>
        <v>2.6493519467488225E-2</v>
      </c>
      <c r="AC294" s="22">
        <f t="shared" si="68"/>
        <v>2.7043622150726768E-2</v>
      </c>
      <c r="AD294" s="22">
        <f t="shared" si="68"/>
        <v>2.7427151031194422E-2</v>
      </c>
      <c r="AE294" s="22">
        <f t="shared" si="68"/>
        <v>2.7855985588875625E-2</v>
      </c>
      <c r="AF294" s="22">
        <f t="shared" si="68"/>
        <v>2.8297808294208047E-2</v>
      </c>
      <c r="AG294" s="22">
        <f t="shared" si="68"/>
        <v>2.8762433728203925E-2</v>
      </c>
      <c r="AH294" s="22">
        <f t="shared" si="68"/>
        <v>2.9234018291177721E-2</v>
      </c>
      <c r="AI294" s="22">
        <f t="shared" si="68"/>
        <v>2.9664658796070921E-2</v>
      </c>
      <c r="AJ294" s="22">
        <f t="shared" si="68"/>
        <v>3.0118905492871519E-2</v>
      </c>
      <c r="AK294" s="22">
        <f t="shared" si="68"/>
        <v>3.0552583954684191E-2</v>
      </c>
      <c r="AL294" s="22">
        <f t="shared" si="68"/>
        <v>3.0961516168479985E-2</v>
      </c>
      <c r="AM294" s="22">
        <f t="shared" si="68"/>
        <v>3.1363182487267389E-2</v>
      </c>
      <c r="AN294" s="22">
        <f t="shared" si="68"/>
        <v>3.1873237924965422E-2</v>
      </c>
      <c r="AO294" s="22">
        <f t="shared" si="68"/>
        <v>3.2400793328725176E-2</v>
      </c>
      <c r="AP294" s="22">
        <f t="shared" si="68"/>
        <v>3.2965020652190688E-2</v>
      </c>
      <c r="AQ294" s="22">
        <f t="shared" si="68"/>
        <v>3.3527052752866549E-2</v>
      </c>
      <c r="AR294" s="22">
        <f t="shared" si="68"/>
        <v>3.4087619114860586E-2</v>
      </c>
      <c r="AS294" s="22">
        <f t="shared" si="68"/>
        <v>3.4683560205557983E-2</v>
      </c>
      <c r="AT294" s="22">
        <f t="shared" si="68"/>
        <v>3.5299445606795467E-2</v>
      </c>
      <c r="AU294" s="22">
        <f t="shared" si="68"/>
        <v>3.5924567561005115E-2</v>
      </c>
      <c r="AV294" s="22">
        <f t="shared" si="68"/>
        <v>3.6580199359184239E-2</v>
      </c>
      <c r="AW294" s="22">
        <f t="shared" si="68"/>
        <v>3.712986506477154E-2</v>
      </c>
      <c r="AY294" s="79"/>
    </row>
    <row r="295" spans="1:51" x14ac:dyDescent="0.25">
      <c r="A295" s="95" t="str">
        <f t="shared" si="45"/>
        <v>FA MM Leaching</v>
      </c>
      <c r="B295" s="95" t="s">
        <v>961</v>
      </c>
      <c r="C295" s="95" t="s">
        <v>1332</v>
      </c>
      <c r="D295" t="s">
        <v>369</v>
      </c>
      <c r="E295" t="s">
        <v>64</v>
      </c>
      <c r="F295" t="s">
        <v>63</v>
      </c>
      <c r="G295" t="s">
        <v>1159</v>
      </c>
      <c r="H295" t="s">
        <v>1309</v>
      </c>
      <c r="I295" t="s">
        <v>139</v>
      </c>
      <c r="J295" t="s">
        <v>287</v>
      </c>
      <c r="K295" s="22">
        <f t="shared" si="65"/>
        <v>4.0226293185258916E-2</v>
      </c>
      <c r="L295" s="22">
        <f t="shared" si="68"/>
        <v>3.9877423391049015E-2</v>
      </c>
      <c r="M295" s="22">
        <f t="shared" ref="L295:AW301" si="69">M1551</f>
        <v>3.9744619221572089E-2</v>
      </c>
      <c r="N295" s="22">
        <f t="shared" si="69"/>
        <v>3.9213881856453713E-2</v>
      </c>
      <c r="O295" s="22">
        <f t="shared" si="69"/>
        <v>3.8443503609481136E-2</v>
      </c>
      <c r="P295" s="22">
        <f t="shared" si="69"/>
        <v>3.7449414696768608E-2</v>
      </c>
      <c r="Q295" s="22">
        <f t="shared" si="69"/>
        <v>3.666534769725275E-2</v>
      </c>
      <c r="R295" s="22">
        <f t="shared" si="69"/>
        <v>3.5923531179771241E-2</v>
      </c>
      <c r="S295" s="22">
        <f t="shared" si="69"/>
        <v>3.20780786603799E-2</v>
      </c>
      <c r="T295" s="22">
        <f t="shared" si="69"/>
        <v>3.3611741282111272E-2</v>
      </c>
      <c r="U295" s="22">
        <f t="shared" si="69"/>
        <v>3.414269557690279E-2</v>
      </c>
      <c r="V295" s="22">
        <f t="shared" si="69"/>
        <v>3.3912120619849585E-2</v>
      </c>
      <c r="W295" s="22">
        <f t="shared" si="69"/>
        <v>3.372456412776409E-2</v>
      </c>
      <c r="X295" s="22">
        <f t="shared" si="69"/>
        <v>3.3736884520024282E-2</v>
      </c>
      <c r="Y295" s="22">
        <f t="shared" si="69"/>
        <v>3.3934990086252545E-2</v>
      </c>
      <c r="Z295" s="22">
        <f t="shared" si="69"/>
        <v>3.4216088288381921E-2</v>
      </c>
      <c r="AA295" s="22">
        <f t="shared" si="69"/>
        <v>3.4602821254116366E-2</v>
      </c>
      <c r="AB295" s="22">
        <f t="shared" si="69"/>
        <v>3.5169309158418066E-2</v>
      </c>
      <c r="AC295" s="22">
        <f t="shared" si="69"/>
        <v>3.589955307181858E-2</v>
      </c>
      <c r="AD295" s="22">
        <f t="shared" si="69"/>
        <v>3.6408675530422145E-2</v>
      </c>
      <c r="AE295" s="22">
        <f t="shared" si="69"/>
        <v>3.6977939842602774E-2</v>
      </c>
      <c r="AF295" s="22">
        <f t="shared" si="69"/>
        <v>3.7564445510002403E-2</v>
      </c>
      <c r="AG295" s="22">
        <f t="shared" si="69"/>
        <v>3.8181221078500117E-2</v>
      </c>
      <c r="AH295" s="22">
        <f t="shared" si="69"/>
        <v>3.8807234670613311E-2</v>
      </c>
      <c r="AI295" s="22">
        <f t="shared" si="69"/>
        <v>3.9378896320599516E-2</v>
      </c>
      <c r="AJ295" s="22">
        <f t="shared" si="69"/>
        <v>3.9981894443728266E-2</v>
      </c>
      <c r="AK295" s="22">
        <f t="shared" si="69"/>
        <v>4.0557588885440844E-2</v>
      </c>
      <c r="AL295" s="22">
        <f t="shared" si="69"/>
        <v>4.1100433465583154E-2</v>
      </c>
      <c r="AM295" s="22">
        <f t="shared" si="69"/>
        <v>4.1633632799906894E-2</v>
      </c>
      <c r="AN295" s="22">
        <f t="shared" si="69"/>
        <v>4.23107152614631E-2</v>
      </c>
      <c r="AO295" s="22">
        <f t="shared" si="69"/>
        <v>4.3011028374478885E-2</v>
      </c>
      <c r="AP295" s="22">
        <f t="shared" si="69"/>
        <v>4.3760022301047856E-2</v>
      </c>
      <c r="AQ295" s="22">
        <f t="shared" si="69"/>
        <v>4.4506102138793871E-2</v>
      </c>
      <c r="AR295" s="22">
        <f t="shared" si="69"/>
        <v>4.5250236254798015E-2</v>
      </c>
      <c r="AS295" s="22">
        <f t="shared" si="69"/>
        <v>4.6041329204327096E-2</v>
      </c>
      <c r="AT295" s="22">
        <f t="shared" si="69"/>
        <v>4.6858897595301277E-2</v>
      </c>
      <c r="AU295" s="22">
        <f t="shared" si="69"/>
        <v>4.7688727218213149E-2</v>
      </c>
      <c r="AV295" s="22">
        <f t="shared" si="69"/>
        <v>4.8559057694031842E-2</v>
      </c>
      <c r="AW295" s="22">
        <f t="shared" si="69"/>
        <v>4.928872153342103E-2</v>
      </c>
      <c r="AY295" s="79"/>
    </row>
    <row r="296" spans="1:51" x14ac:dyDescent="0.25">
      <c r="A296" s="95" t="str">
        <f t="shared" si="45"/>
        <v>FA MM Leaching</v>
      </c>
      <c r="B296" s="95" t="s">
        <v>961</v>
      </c>
      <c r="C296" s="95" t="s">
        <v>1332</v>
      </c>
      <c r="D296" t="s">
        <v>369</v>
      </c>
      <c r="E296" t="s">
        <v>64</v>
      </c>
      <c r="F296" t="s">
        <v>63</v>
      </c>
      <c r="G296" t="s">
        <v>1161</v>
      </c>
      <c r="H296" t="s">
        <v>1310</v>
      </c>
      <c r="I296" t="s">
        <v>139</v>
      </c>
      <c r="J296" t="s">
        <v>287</v>
      </c>
      <c r="K296" s="22">
        <f t="shared" si="65"/>
        <v>4.1968337096859189E-2</v>
      </c>
      <c r="L296" s="22">
        <f t="shared" si="69"/>
        <v>4.3383434779753448E-2</v>
      </c>
      <c r="M296" s="22">
        <f t="shared" si="69"/>
        <v>4.5063007666824861E-2</v>
      </c>
      <c r="N296" s="22">
        <f t="shared" si="69"/>
        <v>4.6315596244033488E-2</v>
      </c>
      <c r="O296" s="22">
        <f t="shared" si="69"/>
        <v>4.7281576900430174E-2</v>
      </c>
      <c r="P296" s="22">
        <f t="shared" si="69"/>
        <v>4.7947144057730852E-2</v>
      </c>
      <c r="Q296" s="22">
        <f t="shared" si="69"/>
        <v>4.8855920576585825E-2</v>
      </c>
      <c r="R296" s="22">
        <f t="shared" si="69"/>
        <v>4.9808583705724517E-2</v>
      </c>
      <c r="S296" s="22">
        <f t="shared" si="69"/>
        <v>4.6274354518489276E-2</v>
      </c>
      <c r="T296" s="22">
        <f t="shared" si="69"/>
        <v>4.9654921678945953E-2</v>
      </c>
      <c r="U296" s="22">
        <f t="shared" si="69"/>
        <v>5.1637836574471289E-2</v>
      </c>
      <c r="V296" s="22">
        <f t="shared" si="69"/>
        <v>5.2492346966759522E-2</v>
      </c>
      <c r="W296" s="22">
        <f t="shared" si="69"/>
        <v>5.3412266292045346E-2</v>
      </c>
      <c r="X296" s="22">
        <f t="shared" si="69"/>
        <v>5.4657017670669474E-2</v>
      </c>
      <c r="Y296" s="22">
        <f t="shared" si="69"/>
        <v>5.6225924185537776E-2</v>
      </c>
      <c r="Z296" s="22">
        <f t="shared" si="69"/>
        <v>5.7966478629194101E-2</v>
      </c>
      <c r="AA296" s="22">
        <f t="shared" si="69"/>
        <v>5.9928438330955298E-2</v>
      </c>
      <c r="AB296" s="22">
        <f t="shared" si="69"/>
        <v>6.2256429990458134E-2</v>
      </c>
      <c r="AC296" s="22">
        <f t="shared" si="69"/>
        <v>6.4943944669320713E-2</v>
      </c>
      <c r="AD296" s="22">
        <f t="shared" si="69"/>
        <v>6.8049231515403694E-2</v>
      </c>
      <c r="AE296" s="22">
        <f t="shared" si="69"/>
        <v>7.140958377080403E-2</v>
      </c>
      <c r="AF296" s="22">
        <f t="shared" si="69"/>
        <v>7.4958672292987819E-2</v>
      </c>
      <c r="AG296" s="22">
        <f t="shared" si="69"/>
        <v>7.8735451654029412E-2</v>
      </c>
      <c r="AH296" s="22">
        <f t="shared" si="69"/>
        <v>8.2710770800306643E-2</v>
      </c>
      <c r="AI296" s="22">
        <f t="shared" si="69"/>
        <v>8.6756849519810442E-2</v>
      </c>
      <c r="AJ296" s="22">
        <f t="shared" si="69"/>
        <v>9.1067882332403163E-2</v>
      </c>
      <c r="AK296" s="22">
        <f t="shared" si="69"/>
        <v>9.5524607474435114E-2</v>
      </c>
      <c r="AL296" s="22">
        <f t="shared" si="69"/>
        <v>0.10011966756252628</v>
      </c>
      <c r="AM296" s="22">
        <f t="shared" si="69"/>
        <v>0.10491676883738305</v>
      </c>
      <c r="AN296" s="22">
        <f t="shared" si="69"/>
        <v>0.10963141037847199</v>
      </c>
      <c r="AO296" s="22">
        <f t="shared" si="69"/>
        <v>0.11460133874628856</v>
      </c>
      <c r="AP296" s="22">
        <f t="shared" si="69"/>
        <v>0.11991104885412743</v>
      </c>
      <c r="AQ296" s="22">
        <f t="shared" si="69"/>
        <v>0.12543680820975456</v>
      </c>
      <c r="AR296" s="22">
        <f t="shared" si="69"/>
        <v>0.13119202833792193</v>
      </c>
      <c r="AS296" s="22">
        <f t="shared" si="69"/>
        <v>0.13733413284188337</v>
      </c>
      <c r="AT296" s="22">
        <f t="shared" si="69"/>
        <v>0.14382526611180527</v>
      </c>
      <c r="AU296" s="22">
        <f t="shared" si="69"/>
        <v>0.15064177825264938</v>
      </c>
      <c r="AV296" s="22">
        <f t="shared" si="69"/>
        <v>0.15789428521651691</v>
      </c>
      <c r="AW296" s="22">
        <f t="shared" si="69"/>
        <v>0.16500456611205044</v>
      </c>
      <c r="AY296" s="79"/>
    </row>
    <row r="297" spans="1:51" x14ac:dyDescent="0.25">
      <c r="A297" s="95" t="str">
        <f t="shared" si="45"/>
        <v>FA MM Leaching</v>
      </c>
      <c r="B297" s="95" t="s">
        <v>961</v>
      </c>
      <c r="C297" s="95" t="s">
        <v>1332</v>
      </c>
      <c r="D297" t="s">
        <v>369</v>
      </c>
      <c r="E297" t="s">
        <v>64</v>
      </c>
      <c r="F297" t="s">
        <v>63</v>
      </c>
      <c r="G297" t="s">
        <v>1163</v>
      </c>
      <c r="H297" t="s">
        <v>1311</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4.4583317952924901E-3</v>
      </c>
      <c r="T297" s="22">
        <f t="shared" si="69"/>
        <v>4.461540810317099E-3</v>
      </c>
      <c r="U297" s="22">
        <f t="shared" si="69"/>
        <v>4.460412588981404E-3</v>
      </c>
      <c r="V297" s="22">
        <f t="shared" si="69"/>
        <v>4.4603313660439596E-3</v>
      </c>
      <c r="W297" s="22">
        <f t="shared" si="69"/>
        <v>4.4650624817454574E-3</v>
      </c>
      <c r="X297" s="22">
        <f t="shared" si="69"/>
        <v>4.472805388518619E-3</v>
      </c>
      <c r="Y297" s="22">
        <f t="shared" si="69"/>
        <v>4.480234793471081E-3</v>
      </c>
      <c r="Z297" s="22">
        <f t="shared" si="69"/>
        <v>4.4873746654050216E-3</v>
      </c>
      <c r="AA297" s="22">
        <f t="shared" si="69"/>
        <v>4.494215260234709E-3</v>
      </c>
      <c r="AB297" s="22">
        <f t="shared" si="69"/>
        <v>4.5008991343885481E-3</v>
      </c>
      <c r="AC297" s="22">
        <f t="shared" si="69"/>
        <v>4.5075239217344356E-3</v>
      </c>
      <c r="AD297" s="22">
        <f t="shared" si="69"/>
        <v>4.5140231510574953E-3</v>
      </c>
      <c r="AE297" s="22">
        <f t="shared" si="69"/>
        <v>4.5204902706730936E-3</v>
      </c>
      <c r="AF297" s="22">
        <f t="shared" si="69"/>
        <v>4.5269049079044851E-3</v>
      </c>
      <c r="AG297" s="22">
        <f t="shared" si="69"/>
        <v>4.5332156646464309E-3</v>
      </c>
      <c r="AH297" s="22">
        <f t="shared" si="69"/>
        <v>4.5394503254180246E-3</v>
      </c>
      <c r="AI297" s="22">
        <f t="shared" si="69"/>
        <v>4.5456155434925177E-3</v>
      </c>
      <c r="AJ297" s="22">
        <f t="shared" si="69"/>
        <v>4.5517322494299031E-3</v>
      </c>
      <c r="AK297" s="22">
        <f t="shared" si="69"/>
        <v>4.5576132842011325E-3</v>
      </c>
      <c r="AL297" s="22">
        <f t="shared" si="69"/>
        <v>4.5632517671133398E-3</v>
      </c>
      <c r="AM297" s="22">
        <f t="shared" si="69"/>
        <v>4.5687003958982874E-3</v>
      </c>
      <c r="AN297" s="22">
        <f t="shared" si="69"/>
        <v>4.5739172155363928E-3</v>
      </c>
      <c r="AO297" s="22">
        <f t="shared" si="69"/>
        <v>4.5789116897468072E-3</v>
      </c>
      <c r="AP297" s="22">
        <f t="shared" si="69"/>
        <v>4.5836613233262938E-3</v>
      </c>
      <c r="AQ297" s="22">
        <f t="shared" si="69"/>
        <v>4.5880981486463275E-3</v>
      </c>
      <c r="AR297" s="22">
        <f t="shared" si="69"/>
        <v>4.592159181597999E-3</v>
      </c>
      <c r="AS297" s="22">
        <f t="shared" si="69"/>
        <v>4.5958403193991975E-3</v>
      </c>
      <c r="AT297" s="22">
        <f t="shared" si="69"/>
        <v>4.5991133923720465E-3</v>
      </c>
      <c r="AU297" s="22">
        <f t="shared" si="69"/>
        <v>4.6019768219588081E-3</v>
      </c>
      <c r="AV297" s="22">
        <f t="shared" si="69"/>
        <v>4.6044854054681089E-3</v>
      </c>
      <c r="AW297" s="22">
        <f t="shared" si="69"/>
        <v>4.6063133110806655E-3</v>
      </c>
      <c r="AY297" s="79"/>
    </row>
    <row r="298" spans="1:51" x14ac:dyDescent="0.25">
      <c r="A298" s="95" t="str">
        <f t="shared" si="45"/>
        <v>FA MM Leaching</v>
      </c>
      <c r="B298" s="95" t="s">
        <v>961</v>
      </c>
      <c r="C298" s="95" t="s">
        <v>1332</v>
      </c>
      <c r="D298" t="s">
        <v>369</v>
      </c>
      <c r="E298" t="s">
        <v>64</v>
      </c>
      <c r="F298" t="s">
        <v>63</v>
      </c>
      <c r="G298" t="s">
        <v>1165</v>
      </c>
      <c r="H298" t="s">
        <v>1312</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3.7085296571107255E-3</v>
      </c>
      <c r="T298" s="22">
        <f t="shared" si="69"/>
        <v>3.7111989800627421E-3</v>
      </c>
      <c r="U298" s="22">
        <f t="shared" si="69"/>
        <v>3.7102605029651799E-3</v>
      </c>
      <c r="V298" s="22">
        <f t="shared" si="69"/>
        <v>3.7101929400994759E-3</v>
      </c>
      <c r="W298" s="22">
        <f t="shared" si="69"/>
        <v>3.7141283768717579E-3</v>
      </c>
      <c r="X298" s="22">
        <f t="shared" si="69"/>
        <v>3.7205690817629544E-3</v>
      </c>
      <c r="Y298" s="22">
        <f t="shared" si="69"/>
        <v>3.7267490095624013E-3</v>
      </c>
      <c r="Z298" s="22">
        <f t="shared" si="69"/>
        <v>3.732688097999684E-3</v>
      </c>
      <c r="AA298" s="22">
        <f t="shared" si="69"/>
        <v>3.7383782417491837E-3</v>
      </c>
      <c r="AB298" s="22">
        <f t="shared" si="69"/>
        <v>3.7439380221024701E-3</v>
      </c>
      <c r="AC298" s="22">
        <f t="shared" si="69"/>
        <v>3.7494486528658025E-3</v>
      </c>
      <c r="AD298" s="22">
        <f t="shared" si="69"/>
        <v>3.7548548419516796E-3</v>
      </c>
      <c r="AE298" s="22">
        <f t="shared" si="69"/>
        <v>3.7602343215399525E-3</v>
      </c>
      <c r="AF298" s="22">
        <f t="shared" si="69"/>
        <v>3.7655701452301818E-3</v>
      </c>
      <c r="AG298" s="22">
        <f t="shared" si="69"/>
        <v>3.7708195590492773E-3</v>
      </c>
      <c r="AH298" s="22">
        <f t="shared" si="69"/>
        <v>3.7760056747165515E-3</v>
      </c>
      <c r="AI298" s="22">
        <f t="shared" si="69"/>
        <v>3.7811340265579189E-3</v>
      </c>
      <c r="AJ298" s="22">
        <f t="shared" si="69"/>
        <v>3.7862220250322745E-3</v>
      </c>
      <c r="AK298" s="22">
        <f t="shared" si="69"/>
        <v>3.791113987511746E-3</v>
      </c>
      <c r="AL298" s="22">
        <f t="shared" si="69"/>
        <v>3.7958041904982334E-3</v>
      </c>
      <c r="AM298" s="22">
        <f t="shared" si="69"/>
        <v>3.8003364690201913E-3</v>
      </c>
      <c r="AN298" s="22">
        <f t="shared" si="69"/>
        <v>3.8046759240522587E-3</v>
      </c>
      <c r="AO298" s="22">
        <f t="shared" si="69"/>
        <v>3.8088304277055216E-3</v>
      </c>
      <c r="AP298" s="22">
        <f t="shared" si="69"/>
        <v>3.8127812680195002E-3</v>
      </c>
      <c r="AQ298" s="22">
        <f t="shared" si="69"/>
        <v>3.8164719081598638E-3</v>
      </c>
      <c r="AR298" s="22">
        <f t="shared" si="69"/>
        <v>3.8198499566836808E-3</v>
      </c>
      <c r="AS298" s="22">
        <f t="shared" si="69"/>
        <v>3.822912000814643E-3</v>
      </c>
      <c r="AT298" s="22">
        <f t="shared" si="69"/>
        <v>3.8256346084506454E-3</v>
      </c>
      <c r="AU298" s="22">
        <f t="shared" si="69"/>
        <v>3.8280164665157558E-3</v>
      </c>
      <c r="AV298" s="22">
        <f t="shared" si="69"/>
        <v>3.830103156508502E-3</v>
      </c>
      <c r="AW298" s="22">
        <f t="shared" si="69"/>
        <v>3.831623644997431E-3</v>
      </c>
      <c r="AY298" s="79"/>
    </row>
    <row r="299" spans="1:51" x14ac:dyDescent="0.25">
      <c r="A299" s="95" t="str">
        <f t="shared" si="45"/>
        <v>FA MM Leaching</v>
      </c>
      <c r="B299" s="95" t="s">
        <v>961</v>
      </c>
      <c r="C299" s="95" t="s">
        <v>1332</v>
      </c>
      <c r="D299" t="s">
        <v>369</v>
      </c>
      <c r="E299" t="s">
        <v>64</v>
      </c>
      <c r="F299" t="s">
        <v>63</v>
      </c>
      <c r="G299" t="s">
        <v>1167</v>
      </c>
      <c r="H299" t="s">
        <v>1313</v>
      </c>
      <c r="I299" t="s">
        <v>139</v>
      </c>
      <c r="J299" t="s">
        <v>287</v>
      </c>
      <c r="K299" s="22">
        <f t="shared" si="65"/>
        <v>5.4322987485311551E-4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5.5840147541839707E-4</v>
      </c>
      <c r="R299" s="22">
        <f t="shared" si="69"/>
        <v>5.620753208024884E-4</v>
      </c>
      <c r="S299" s="22">
        <f t="shared" si="69"/>
        <v>5.6069712046990367E-4</v>
      </c>
      <c r="T299" s="22">
        <f t="shared" si="69"/>
        <v>5.6166095935732032E-4</v>
      </c>
      <c r="U299" s="22">
        <f t="shared" si="69"/>
        <v>5.6175448886496286E-4</v>
      </c>
      <c r="V299" s="22">
        <f t="shared" si="69"/>
        <v>5.6201163535097535E-4</v>
      </c>
      <c r="W299" s="22">
        <f t="shared" si="69"/>
        <v>5.6314854989012028E-4</v>
      </c>
      <c r="X299" s="22">
        <f t="shared" si="69"/>
        <v>5.6482088760724937E-4</v>
      </c>
      <c r="Y299" s="22">
        <f t="shared" si="69"/>
        <v>5.6639948615984891E-4</v>
      </c>
      <c r="Z299" s="22">
        <f t="shared" si="69"/>
        <v>5.6789176789216864E-4</v>
      </c>
      <c r="AA299" s="22">
        <f t="shared" si="69"/>
        <v>5.692984966381053E-4</v>
      </c>
      <c r="AB299" s="22">
        <f t="shared" si="69"/>
        <v>5.7064878025290242E-4</v>
      </c>
      <c r="AC299" s="22">
        <f t="shared" si="69"/>
        <v>5.7196287833233815E-4</v>
      </c>
      <c r="AD299" s="22">
        <f t="shared" si="69"/>
        <v>5.7323006225721597E-4</v>
      </c>
      <c r="AE299" s="22">
        <f t="shared" si="69"/>
        <v>5.7446936511734096E-4</v>
      </c>
      <c r="AF299" s="22">
        <f t="shared" si="69"/>
        <v>5.7567836458981281E-4</v>
      </c>
      <c r="AG299" s="22">
        <f t="shared" si="69"/>
        <v>5.7684878803825762E-4</v>
      </c>
      <c r="AH299" s="22">
        <f t="shared" si="69"/>
        <v>5.7798700555519505E-4</v>
      </c>
      <c r="AI299" s="22">
        <f t="shared" si="69"/>
        <v>5.7909534227176243E-4</v>
      </c>
      <c r="AJ299" s="22">
        <f t="shared" si="69"/>
        <v>5.8017866455598575E-4</v>
      </c>
      <c r="AK299" s="22">
        <f t="shared" si="69"/>
        <v>5.8120338345125585E-4</v>
      </c>
      <c r="AL299" s="22">
        <f t="shared" si="69"/>
        <v>5.8216925674029819E-4</v>
      </c>
      <c r="AM299" s="22">
        <f t="shared" si="69"/>
        <v>5.8308692423697495E-4</v>
      </c>
      <c r="AN299" s="22">
        <f t="shared" si="69"/>
        <v>5.839495453276261E-4</v>
      </c>
      <c r="AO299" s="22">
        <f t="shared" si="69"/>
        <v>5.8475968776002874E-4</v>
      </c>
      <c r="AP299" s="22">
        <f t="shared" si="69"/>
        <v>5.8551401869501036E-4</v>
      </c>
      <c r="AQ299" s="22">
        <f t="shared" si="69"/>
        <v>5.8620089468398309E-4</v>
      </c>
      <c r="AR299" s="22">
        <f t="shared" si="69"/>
        <v>5.868096200135702E-4</v>
      </c>
      <c r="AS299" s="22">
        <f t="shared" si="69"/>
        <v>5.87340236215825E-4</v>
      </c>
      <c r="AT299" s="22">
        <f t="shared" si="69"/>
        <v>5.8778838343391971E-4</v>
      </c>
      <c r="AU299" s="22">
        <f t="shared" si="69"/>
        <v>5.8815451618636234E-4</v>
      </c>
      <c r="AV299" s="22">
        <f t="shared" si="69"/>
        <v>5.8844925401827929E-4</v>
      </c>
      <c r="AW299" s="22">
        <f t="shared" si="69"/>
        <v>5.8861438328620193E-4</v>
      </c>
      <c r="AY299" s="79"/>
    </row>
    <row r="300" spans="1:51" x14ac:dyDescent="0.25">
      <c r="A300" s="95" t="str">
        <f t="shared" si="45"/>
        <v>FA MM Leaching</v>
      </c>
      <c r="B300" s="95" t="s">
        <v>961</v>
      </c>
      <c r="C300" s="95" t="s">
        <v>1332</v>
      </c>
      <c r="D300" t="s">
        <v>369</v>
      </c>
      <c r="E300" t="s">
        <v>64</v>
      </c>
      <c r="F300" t="s">
        <v>63</v>
      </c>
      <c r="G300" t="s">
        <v>1169</v>
      </c>
      <c r="H300" t="s">
        <v>1314</v>
      </c>
      <c r="I300" t="s">
        <v>139</v>
      </c>
      <c r="J300" t="s">
        <v>287</v>
      </c>
      <c r="K300" s="22">
        <f t="shared" si="65"/>
        <v>6.6992563985089938E-3</v>
      </c>
      <c r="L300" s="22">
        <f t="shared" si="69"/>
        <v>6.716671231449923E-3</v>
      </c>
      <c r="M300" s="22">
        <f t="shared" si="69"/>
        <v>6.7406943780734313E-3</v>
      </c>
      <c r="N300" s="22">
        <f t="shared" si="69"/>
        <v>6.769960915195136E-3</v>
      </c>
      <c r="O300" s="22">
        <f t="shared" si="69"/>
        <v>6.8044291009834836E-3</v>
      </c>
      <c r="P300" s="22">
        <f t="shared" si="69"/>
        <v>6.8438891439814974E-3</v>
      </c>
      <c r="Q300" s="22">
        <f t="shared" si="69"/>
        <v>6.8863566425632549E-3</v>
      </c>
      <c r="R300" s="22">
        <f t="shared" si="69"/>
        <v>6.9316634884048298E-3</v>
      </c>
      <c r="S300" s="22">
        <f t="shared" si="69"/>
        <v>6.9146671525553097E-3</v>
      </c>
      <c r="T300" s="22">
        <f t="shared" si="69"/>
        <v>6.9265534720170359E-3</v>
      </c>
      <c r="U300" s="22">
        <f t="shared" si="69"/>
        <v>6.92770690297054E-3</v>
      </c>
      <c r="V300" s="22">
        <f t="shared" si="69"/>
        <v>6.9308781023495105E-3</v>
      </c>
      <c r="W300" s="22">
        <f t="shared" si="69"/>
        <v>6.9448988371314212E-3</v>
      </c>
      <c r="X300" s="22">
        <f t="shared" si="69"/>
        <v>6.9655225540339091E-3</v>
      </c>
      <c r="Y300" s="22">
        <f t="shared" si="69"/>
        <v>6.9849902544379758E-3</v>
      </c>
      <c r="Z300" s="22">
        <f t="shared" si="69"/>
        <v>7.0033934726820464E-3</v>
      </c>
      <c r="AA300" s="22">
        <f t="shared" si="69"/>
        <v>7.0207416285704375E-3</v>
      </c>
      <c r="AB300" s="22">
        <f t="shared" si="69"/>
        <v>7.0373936879747148E-3</v>
      </c>
      <c r="AC300" s="22">
        <f t="shared" si="69"/>
        <v>7.0535994976594404E-3</v>
      </c>
      <c r="AD300" s="22">
        <f t="shared" si="69"/>
        <v>7.0692267494174947E-3</v>
      </c>
      <c r="AE300" s="22">
        <f t="shared" si="69"/>
        <v>7.0845101644130852E-3</v>
      </c>
      <c r="AF300" s="22">
        <f t="shared" si="69"/>
        <v>7.0994198699110417E-3</v>
      </c>
      <c r="AG300" s="22">
        <f t="shared" si="69"/>
        <v>7.113853845542588E-3</v>
      </c>
      <c r="AH300" s="22">
        <f t="shared" si="69"/>
        <v>7.1278906489958219E-3</v>
      </c>
      <c r="AI300" s="22">
        <f t="shared" si="69"/>
        <v>7.1415589544110468E-3</v>
      </c>
      <c r="AJ300" s="22">
        <f t="shared" si="69"/>
        <v>7.1549187751429096E-3</v>
      </c>
      <c r="AK300" s="22">
        <f t="shared" si="69"/>
        <v>7.1675558831769013E-3</v>
      </c>
      <c r="AL300" s="22">
        <f t="shared" si="69"/>
        <v>7.179467291424684E-3</v>
      </c>
      <c r="AM300" s="22">
        <f t="shared" si="69"/>
        <v>7.1907842129221942E-3</v>
      </c>
      <c r="AN300" s="22">
        <f t="shared" si="69"/>
        <v>7.2014222873885451E-3</v>
      </c>
      <c r="AO300" s="22">
        <f t="shared" si="69"/>
        <v>7.2114131809774594E-3</v>
      </c>
      <c r="AP300" s="22">
        <f t="shared" si="69"/>
        <v>7.2207157922230866E-3</v>
      </c>
      <c r="AQ300" s="22">
        <f t="shared" si="69"/>
        <v>7.2291865309970747E-3</v>
      </c>
      <c r="AR300" s="22">
        <f t="shared" si="69"/>
        <v>7.2366934948956893E-3</v>
      </c>
      <c r="AS300" s="22">
        <f t="shared" si="69"/>
        <v>7.2432371961033398E-3</v>
      </c>
      <c r="AT300" s="22">
        <f t="shared" si="69"/>
        <v>7.2487638676972145E-3</v>
      </c>
      <c r="AU300" s="22">
        <f t="shared" si="69"/>
        <v>7.2532791149213611E-3</v>
      </c>
      <c r="AV300" s="22">
        <f t="shared" si="69"/>
        <v>7.2569139008522455E-3</v>
      </c>
      <c r="AW300" s="22">
        <f t="shared" si="69"/>
        <v>7.258950319237764E-3</v>
      </c>
      <c r="AY300" s="79"/>
    </row>
    <row r="301" spans="1:51" x14ac:dyDescent="0.25">
      <c r="A301" s="95" t="str">
        <f t="shared" si="45"/>
        <v>FA MM Leaching</v>
      </c>
      <c r="B301" s="95" t="s">
        <v>961</v>
      </c>
      <c r="C301" s="95" t="s">
        <v>1332</v>
      </c>
      <c r="D301" t="s">
        <v>369</v>
      </c>
      <c r="E301" t="s">
        <v>64</v>
      </c>
      <c r="F301" t="s">
        <v>63</v>
      </c>
      <c r="G301" t="s">
        <v>1171</v>
      </c>
      <c r="H301" t="s">
        <v>1315</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5">
      <c r="A302" s="95" t="str">
        <f t="shared" si="45"/>
        <v>FA MM Leaching</v>
      </c>
      <c r="B302" s="95" t="s">
        <v>961</v>
      </c>
      <c r="C302" s="95" t="s">
        <v>1332</v>
      </c>
      <c r="D302" t="s">
        <v>369</v>
      </c>
      <c r="E302" t="s">
        <v>64</v>
      </c>
      <c r="F302" t="s">
        <v>63</v>
      </c>
      <c r="G302" t="s">
        <v>1173</v>
      </c>
      <c r="H302" t="s">
        <v>1316</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5">
      <c r="A303" s="95" t="str">
        <f t="shared" si="45"/>
        <v>FA MM Leaching</v>
      </c>
      <c r="B303" s="95" t="s">
        <v>961</v>
      </c>
      <c r="C303" s="95" t="s">
        <v>1332</v>
      </c>
      <c r="D303" t="s">
        <v>369</v>
      </c>
      <c r="E303" t="s">
        <v>64</v>
      </c>
      <c r="F303" t="s">
        <v>63</v>
      </c>
      <c r="G303" t="s">
        <v>1175</v>
      </c>
      <c r="H303" t="s">
        <v>1317</v>
      </c>
      <c r="I303" t="s">
        <v>139</v>
      </c>
      <c r="J303" t="s">
        <v>287</v>
      </c>
      <c r="K303" s="22">
        <f t="shared" si="65"/>
        <v>2.6875086183165937E-2</v>
      </c>
      <c r="L303" s="22">
        <f t="shared" si="70"/>
        <v>2.6729002214214575E-2</v>
      </c>
      <c r="M303" s="22">
        <f t="shared" si="70"/>
        <v>2.6740992333189311E-2</v>
      </c>
      <c r="N303" s="22">
        <f t="shared" si="70"/>
        <v>2.6495489531984436E-2</v>
      </c>
      <c r="O303" s="22">
        <f t="shared" si="70"/>
        <v>2.6094526833046999E-2</v>
      </c>
      <c r="P303" s="22">
        <f t="shared" si="70"/>
        <v>2.5544514050244028E-2</v>
      </c>
      <c r="Q303" s="22">
        <f t="shared" si="70"/>
        <v>2.5145143775072754E-2</v>
      </c>
      <c r="R303" s="22">
        <f t="shared" si="70"/>
        <v>2.4781112413324518E-2</v>
      </c>
      <c r="S303" s="22">
        <f t="shared" si="70"/>
        <v>2.2261363297447542E-2</v>
      </c>
      <c r="T303" s="22">
        <f t="shared" si="70"/>
        <v>2.326732754049585E-2</v>
      </c>
      <c r="U303" s="22">
        <f t="shared" si="70"/>
        <v>2.3571460777264748E-2</v>
      </c>
      <c r="V303" s="22">
        <f t="shared" si="70"/>
        <v>2.3338833343161457E-2</v>
      </c>
      <c r="W303" s="22">
        <f t="shared" si="70"/>
        <v>2.3134238751808155E-2</v>
      </c>
      <c r="X303" s="22">
        <f t="shared" si="70"/>
        <v>2.3071008709265216E-2</v>
      </c>
      <c r="Y303" s="22">
        <f t="shared" si="70"/>
        <v>2.3143649238261243E-2</v>
      </c>
      <c r="Z303" s="22">
        <f t="shared" si="70"/>
        <v>2.3278949396695201E-2</v>
      </c>
      <c r="AA303" s="22">
        <f t="shared" si="70"/>
        <v>2.3492345128489588E-2</v>
      </c>
      <c r="AB303" s="22">
        <f t="shared" si="70"/>
        <v>2.3835144398287569E-2</v>
      </c>
      <c r="AC303" s="22">
        <f t="shared" si="70"/>
        <v>2.4295378697531386E-2</v>
      </c>
      <c r="AD303" s="22">
        <f t="shared" si="70"/>
        <v>2.4819194567643824E-2</v>
      </c>
      <c r="AE303" s="22">
        <f t="shared" si="70"/>
        <v>2.5401392072493423E-2</v>
      </c>
      <c r="AF303" s="22">
        <f t="shared" si="70"/>
        <v>2.6012849455983828E-2</v>
      </c>
      <c r="AG303" s="22">
        <f t="shared" si="70"/>
        <v>2.6664067926854041E-2</v>
      </c>
      <c r="AH303" s="22">
        <f t="shared" si="70"/>
        <v>2.734101119130557E-2</v>
      </c>
      <c r="AI303" s="22">
        <f t="shared" si="70"/>
        <v>2.7997936856370267E-2</v>
      </c>
      <c r="AJ303" s="22">
        <f t="shared" si="70"/>
        <v>2.8698310105033351E-2</v>
      </c>
      <c r="AK303" s="22">
        <f t="shared" si="70"/>
        <v>2.9400080296227163E-2</v>
      </c>
      <c r="AL303" s="22">
        <f t="shared" si="70"/>
        <v>3.0099562920322648E-2</v>
      </c>
      <c r="AM303" s="22">
        <f t="shared" si="70"/>
        <v>3.0814857244530154E-2</v>
      </c>
      <c r="AN303" s="22">
        <f t="shared" si="70"/>
        <v>3.1499706541710935E-2</v>
      </c>
      <c r="AO303" s="22">
        <f t="shared" si="70"/>
        <v>3.2216361362909209E-2</v>
      </c>
      <c r="AP303" s="22">
        <f t="shared" si="70"/>
        <v>3.2985480796324254E-2</v>
      </c>
      <c r="AQ303" s="22">
        <f t="shared" si="70"/>
        <v>3.376804159970731E-2</v>
      </c>
      <c r="AR303" s="22">
        <f t="shared" si="70"/>
        <v>3.4565482452675621E-2</v>
      </c>
      <c r="AS303" s="22">
        <f t="shared" si="70"/>
        <v>3.5417207872959197E-2</v>
      </c>
      <c r="AT303" s="22">
        <f t="shared" si="70"/>
        <v>3.6308390334093638E-2</v>
      </c>
      <c r="AU303" s="22">
        <f t="shared" si="70"/>
        <v>3.7228871549923839E-2</v>
      </c>
      <c r="AV303" s="22">
        <f t="shared" si="70"/>
        <v>3.8202529295473395E-2</v>
      </c>
      <c r="AW303" s="22">
        <f t="shared" si="70"/>
        <v>3.9083865804736009E-2</v>
      </c>
      <c r="AY303" s="79"/>
    </row>
    <row r="304" spans="1:51" x14ac:dyDescent="0.25">
      <c r="A304" s="95" t="str">
        <f t="shared" si="45"/>
        <v>FA MM Leaching</v>
      </c>
      <c r="B304" s="95" t="s">
        <v>961</v>
      </c>
      <c r="C304" s="95" t="s">
        <v>1332</v>
      </c>
      <c r="D304" t="s">
        <v>369</v>
      </c>
      <c r="E304" t="s">
        <v>64</v>
      </c>
      <c r="F304" t="s">
        <v>63</v>
      </c>
      <c r="G304" t="s">
        <v>1177</v>
      </c>
      <c r="H304" t="s">
        <v>1318</v>
      </c>
      <c r="I304" t="s">
        <v>139</v>
      </c>
      <c r="J304" t="s">
        <v>287</v>
      </c>
      <c r="K304" s="22">
        <f t="shared" si="65"/>
        <v>4.0166140097319695E-3</v>
      </c>
      <c r="L304" s="22">
        <f t="shared" si="70"/>
        <v>3.9947810410006978E-3</v>
      </c>
      <c r="M304" s="22">
        <f t="shared" si="70"/>
        <v>3.9965730233416669E-3</v>
      </c>
      <c r="N304" s="22">
        <f t="shared" si="70"/>
        <v>3.9598814204188986E-3</v>
      </c>
      <c r="O304" s="22">
        <f t="shared" si="70"/>
        <v>3.8999555700251287E-3</v>
      </c>
      <c r="P304" s="22">
        <f t="shared" si="70"/>
        <v>3.8177534504158584E-3</v>
      </c>
      <c r="Q304" s="22">
        <f t="shared" si="70"/>
        <v>3.7580655955978051E-3</v>
      </c>
      <c r="R304" s="22">
        <f t="shared" si="70"/>
        <v>3.7036593154610876E-3</v>
      </c>
      <c r="S304" s="22">
        <f t="shared" si="70"/>
        <v>3.3270703984670008E-3</v>
      </c>
      <c r="T304" s="22">
        <f t="shared" si="70"/>
        <v>3.4774167097077883E-3</v>
      </c>
      <c r="U304" s="22">
        <f t="shared" si="70"/>
        <v>3.5228709200238193E-3</v>
      </c>
      <c r="V304" s="22">
        <f t="shared" si="70"/>
        <v>3.4881036041350764E-3</v>
      </c>
      <c r="W304" s="22">
        <f t="shared" si="70"/>
        <v>3.4575259346777865E-3</v>
      </c>
      <c r="X304" s="22">
        <f t="shared" si="70"/>
        <v>3.448075893365063E-3</v>
      </c>
      <c r="Y304" s="22">
        <f t="shared" si="70"/>
        <v>3.4589323782318001E-3</v>
      </c>
      <c r="Z304" s="22">
        <f t="shared" si="70"/>
        <v>3.4791536533630104E-3</v>
      </c>
      <c r="AA304" s="22">
        <f t="shared" si="70"/>
        <v>3.5110466966113414E-3</v>
      </c>
      <c r="AB304" s="22">
        <f t="shared" si="70"/>
        <v>3.5622797360223518E-3</v>
      </c>
      <c r="AC304" s="22">
        <f t="shared" si="70"/>
        <v>3.6310640190383376E-3</v>
      </c>
      <c r="AD304" s="22">
        <f t="shared" si="70"/>
        <v>3.7093508810068579E-3</v>
      </c>
      <c r="AE304" s="22">
        <f t="shared" si="70"/>
        <v>3.7963631658595345E-3</v>
      </c>
      <c r="AF304" s="22">
        <f t="shared" si="70"/>
        <v>3.8877484837016034E-3</v>
      </c>
      <c r="AG304" s="22">
        <f t="shared" si="70"/>
        <v>3.98507629190532E-3</v>
      </c>
      <c r="AH304" s="22">
        <f t="shared" si="70"/>
        <v>4.0862487972233809E-3</v>
      </c>
      <c r="AI304" s="22">
        <f t="shared" si="70"/>
        <v>4.1844295737116129E-3</v>
      </c>
      <c r="AJ304" s="22">
        <f t="shared" si="70"/>
        <v>4.2891038055800747E-3</v>
      </c>
      <c r="AK304" s="22">
        <f t="shared" si="70"/>
        <v>4.3939868173907288E-3</v>
      </c>
      <c r="AL304" s="22">
        <f t="shared" si="70"/>
        <v>4.4985279410305803E-3</v>
      </c>
      <c r="AM304" s="22">
        <f t="shared" si="70"/>
        <v>4.6054322011364794E-3</v>
      </c>
      <c r="AN304" s="22">
        <f t="shared" si="70"/>
        <v>4.707786301988981E-3</v>
      </c>
      <c r="AO304" s="22">
        <f t="shared" si="70"/>
        <v>4.8148938950716034E-3</v>
      </c>
      <c r="AP304" s="22">
        <f t="shared" si="70"/>
        <v>4.929842582877003E-3</v>
      </c>
      <c r="AQ304" s="22">
        <f t="shared" si="70"/>
        <v>5.046800149632805E-3</v>
      </c>
      <c r="AR304" s="22">
        <f t="shared" si="70"/>
        <v>5.1659816130943592E-3</v>
      </c>
      <c r="AS304" s="22">
        <f t="shared" si="70"/>
        <v>5.2932761725327836E-3</v>
      </c>
      <c r="AT304" s="22">
        <f t="shared" si="70"/>
        <v>5.4264677810814564E-3</v>
      </c>
      <c r="AU304" s="22">
        <f t="shared" si="70"/>
        <v>5.5640382328374224E-3</v>
      </c>
      <c r="AV304" s="22">
        <f t="shared" si="70"/>
        <v>5.7095561788936492E-3</v>
      </c>
      <c r="AW304" s="22">
        <f t="shared" si="70"/>
        <v>5.8412762614364865E-3</v>
      </c>
      <c r="AY304" s="79"/>
    </row>
    <row r="305" spans="1:51" x14ac:dyDescent="0.25">
      <c r="A305" s="95" t="str">
        <f t="shared" si="45"/>
        <v>FA MM Leaching</v>
      </c>
      <c r="B305" s="95" t="s">
        <v>961</v>
      </c>
      <c r="C305" s="95" t="s">
        <v>1332</v>
      </c>
      <c r="D305" t="s">
        <v>369</v>
      </c>
      <c r="E305" t="s">
        <v>64</v>
      </c>
      <c r="F305" t="s">
        <v>63</v>
      </c>
      <c r="G305" t="s">
        <v>1179</v>
      </c>
      <c r="H305" t="s">
        <v>1319</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1.8677293946611211E-2</v>
      </c>
      <c r="S305" s="22">
        <f t="shared" si="70"/>
        <v>1.7926295011943302E-2</v>
      </c>
      <c r="T305" s="22">
        <f t="shared" si="70"/>
        <v>1.8674748698375012E-2</v>
      </c>
      <c r="U305" s="22">
        <f t="shared" si="70"/>
        <v>1.9119559955571311E-2</v>
      </c>
      <c r="V305" s="22">
        <f t="shared" si="70"/>
        <v>1.933187353292521E-2</v>
      </c>
      <c r="W305" s="22">
        <f t="shared" si="70"/>
        <v>1.9567336744090873E-2</v>
      </c>
      <c r="X305" s="22">
        <f t="shared" si="70"/>
        <v>1.9874405903185278E-2</v>
      </c>
      <c r="Y305" s="22">
        <f t="shared" si="70"/>
        <v>2.0244038198599948E-2</v>
      </c>
      <c r="Z305" s="22">
        <f t="shared" si="70"/>
        <v>2.064493630250834E-2</v>
      </c>
      <c r="AA305" s="22">
        <f t="shared" si="70"/>
        <v>2.1086941142640651E-2</v>
      </c>
      <c r="AB305" s="22">
        <f t="shared" si="70"/>
        <v>2.1599318957249428E-2</v>
      </c>
      <c r="AC305" s="22">
        <f t="shared" si="70"/>
        <v>2.2180513768392543E-2</v>
      </c>
      <c r="AD305" s="22">
        <f t="shared" si="70"/>
        <v>2.2805803764739216E-2</v>
      </c>
      <c r="AE305" s="22">
        <f t="shared" si="70"/>
        <v>2.3475090902088748E-2</v>
      </c>
      <c r="AF305" s="22">
        <f t="shared" si="70"/>
        <v>2.4174535529571241E-2</v>
      </c>
      <c r="AG305" s="22">
        <f t="shared" si="70"/>
        <v>2.4911238714913377E-2</v>
      </c>
      <c r="AH305" s="22">
        <f t="shared" si="70"/>
        <v>2.5679011663267932E-2</v>
      </c>
      <c r="AI305" s="22">
        <f t="shared" si="70"/>
        <v>2.645249874928041E-2</v>
      </c>
      <c r="AJ305" s="22">
        <f t="shared" si="70"/>
        <v>2.7269372865090267E-2</v>
      </c>
      <c r="AK305" s="22">
        <f t="shared" si="70"/>
        <v>2.8105461432882069E-2</v>
      </c>
      <c r="AL305" s="22">
        <f t="shared" si="70"/>
        <v>2.8959047781856831E-2</v>
      </c>
      <c r="AM305" s="22">
        <f t="shared" si="70"/>
        <v>2.9842194803075938E-2</v>
      </c>
      <c r="AN305" s="22">
        <f t="shared" si="70"/>
        <v>3.0726207525762706E-2</v>
      </c>
      <c r="AO305" s="22">
        <f t="shared" si="70"/>
        <v>3.1651324084180803E-2</v>
      </c>
      <c r="AP305" s="22">
        <f t="shared" si="70"/>
        <v>3.263300298507002E-2</v>
      </c>
      <c r="AQ305" s="22">
        <f t="shared" si="70"/>
        <v>3.3647129592199072E-2</v>
      </c>
      <c r="AR305" s="22">
        <f t="shared" si="70"/>
        <v>3.4695684340366462E-2</v>
      </c>
      <c r="AS305" s="22">
        <f t="shared" si="70"/>
        <v>3.5807702215394269E-2</v>
      </c>
      <c r="AT305" s="22">
        <f t="shared" si="70"/>
        <v>3.6975350864185588E-2</v>
      </c>
      <c r="AU305" s="22">
        <f t="shared" si="70"/>
        <v>3.8193620446260186E-2</v>
      </c>
      <c r="AV305" s="22">
        <f t="shared" si="70"/>
        <v>3.9482562307511335E-2</v>
      </c>
      <c r="AW305" s="22">
        <f t="shared" si="70"/>
        <v>4.0733932208981263E-2</v>
      </c>
      <c r="AY305" s="79"/>
    </row>
    <row r="306" spans="1:51" x14ac:dyDescent="0.25">
      <c r="A306" s="95" t="str">
        <f t="shared" si="45"/>
        <v>FA MM Leaching</v>
      </c>
      <c r="B306" s="95" t="s">
        <v>961</v>
      </c>
      <c r="C306" s="95" t="s">
        <v>1332</v>
      </c>
      <c r="D306" t="s">
        <v>369</v>
      </c>
      <c r="E306" t="s">
        <v>64</v>
      </c>
      <c r="F306" t="s">
        <v>63</v>
      </c>
      <c r="G306" t="s">
        <v>1181</v>
      </c>
      <c r="H306" t="s">
        <v>1320</v>
      </c>
      <c r="I306" t="s">
        <v>139</v>
      </c>
      <c r="J306" t="s">
        <v>287</v>
      </c>
      <c r="K306" s="22">
        <f t="shared" si="65"/>
        <v>7.758579791322931E-2</v>
      </c>
      <c r="L306" s="22">
        <f t="shared" si="70"/>
        <v>7.8607464197542429E-2</v>
      </c>
      <c r="M306" s="22">
        <f t="shared" si="70"/>
        <v>8.024855331382115E-2</v>
      </c>
      <c r="N306" s="22">
        <f t="shared" si="70"/>
        <v>8.0719757945382262E-2</v>
      </c>
      <c r="O306" s="22">
        <f t="shared" si="70"/>
        <v>8.0430818839717685E-2</v>
      </c>
      <c r="P306" s="22">
        <f t="shared" si="70"/>
        <v>7.938481013134728E-2</v>
      </c>
      <c r="Q306" s="22">
        <f t="shared" si="70"/>
        <v>7.8944464359385597E-2</v>
      </c>
      <c r="R306" s="22">
        <f t="shared" si="70"/>
        <v>7.8604018955287347E-2</v>
      </c>
      <c r="S306" s="22">
        <f t="shared" si="70"/>
        <v>6.838761678762284E-2</v>
      </c>
      <c r="T306" s="22">
        <f t="shared" si="70"/>
        <v>7.4574992595892425E-2</v>
      </c>
      <c r="U306" s="22">
        <f t="shared" si="70"/>
        <v>7.755216316581004E-2</v>
      </c>
      <c r="V306" s="22">
        <f t="shared" si="70"/>
        <v>7.7924677783992133E-2</v>
      </c>
      <c r="W306" s="22">
        <f t="shared" si="70"/>
        <v>7.8354110824083251E-2</v>
      </c>
      <c r="X306" s="22">
        <f t="shared" si="70"/>
        <v>7.9443157162657083E-2</v>
      </c>
      <c r="Y306" s="22">
        <f t="shared" si="70"/>
        <v>8.1236326250134938E-2</v>
      </c>
      <c r="Z306" s="22">
        <f t="shared" si="70"/>
        <v>8.3381793031121837E-2</v>
      </c>
      <c r="AA306" s="22">
        <f t="shared" si="70"/>
        <v>8.5974252242443622E-2</v>
      </c>
      <c r="AB306" s="22">
        <f t="shared" si="70"/>
        <v>8.9301533057552729E-2</v>
      </c>
      <c r="AC306" s="22">
        <f t="shared" si="70"/>
        <v>9.3325676960655579E-2</v>
      </c>
      <c r="AD306" s="22">
        <f t="shared" si="70"/>
        <v>9.7779695826372345E-2</v>
      </c>
      <c r="AE306" s="22">
        <f t="shared" si="70"/>
        <v>0.10264881318689535</v>
      </c>
      <c r="AF306" s="22">
        <f t="shared" si="70"/>
        <v>0.1077848208225682</v>
      </c>
      <c r="AG306" s="22">
        <f t="shared" si="70"/>
        <v>0.11325644741449936</v>
      </c>
      <c r="AH306" s="22">
        <f t="shared" si="70"/>
        <v>0.11899390557339033</v>
      </c>
      <c r="AI306" s="22">
        <f t="shared" si="70"/>
        <v>0.12473968814681194</v>
      </c>
      <c r="AJ306" s="22">
        <f t="shared" si="70"/>
        <v>0.13086543937710404</v>
      </c>
      <c r="AK306" s="22">
        <f t="shared" si="70"/>
        <v>0.13713570688007848</v>
      </c>
      <c r="AL306" s="22">
        <f t="shared" si="70"/>
        <v>0.14353189422654788</v>
      </c>
      <c r="AM306" s="22">
        <f t="shared" si="70"/>
        <v>0.15016680935758497</v>
      </c>
      <c r="AN306" s="22">
        <f t="shared" si="70"/>
        <v>0.15676188787571166</v>
      </c>
      <c r="AO306" s="22">
        <f t="shared" si="70"/>
        <v>0.16370376989202984</v>
      </c>
      <c r="AP306" s="22">
        <f t="shared" si="70"/>
        <v>0.17113537656800237</v>
      </c>
      <c r="AQ306" s="22">
        <f t="shared" si="70"/>
        <v>0.17882351737077742</v>
      </c>
      <c r="AR306" s="22">
        <f t="shared" si="70"/>
        <v>0.18678614513935693</v>
      </c>
      <c r="AS306" s="22">
        <f t="shared" si="70"/>
        <v>0.19529177080691471</v>
      </c>
      <c r="AT306" s="22">
        <f t="shared" si="70"/>
        <v>0.20426055038144844</v>
      </c>
      <c r="AU306" s="22">
        <f t="shared" si="70"/>
        <v>0.21363944759847542</v>
      </c>
      <c r="AV306" s="22">
        <f t="shared" si="70"/>
        <v>0.2236051975341104</v>
      </c>
      <c r="AW306" s="22">
        <f t="shared" si="70"/>
        <v>0.23317129202372885</v>
      </c>
      <c r="AY306" s="79"/>
    </row>
    <row r="307" spans="1:51" x14ac:dyDescent="0.25">
      <c r="B307" s="101"/>
    </row>
    <row r="308" spans="1:51" x14ac:dyDescent="0.25">
      <c r="B308" s="101"/>
    </row>
    <row r="309" spans="1:51" x14ac:dyDescent="0.25">
      <c r="B309" s="101"/>
    </row>
    <row r="310" spans="1:51" x14ac:dyDescent="0.25">
      <c r="A310" s="95" t="str">
        <f t="shared" ref="A310:A373" si="71">B310&amp;" "&amp;C310</f>
        <v>GS Cattle</v>
      </c>
      <c r="B310" s="95" t="s">
        <v>1020</v>
      </c>
      <c r="C310" s="95" t="s">
        <v>1107</v>
      </c>
      <c r="D310" t="s">
        <v>15</v>
      </c>
      <c r="E310" t="s">
        <v>16</v>
      </c>
      <c r="F310" t="s">
        <v>6</v>
      </c>
      <c r="G310" t="s">
        <v>136</v>
      </c>
      <c r="H310" t="s">
        <v>1019</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72.365714675231743</v>
      </c>
      <c r="T310" s="93">
        <f>IF('Net zero activities &amp; levers'!$C$7="Off",(('Activity data'!AM5*EF!$H4)*kgtoGg),IF('Net zero activities &amp; levers'!$C$7="On",((('Net zero supporting data'!K76*EF!$H4)+('Net zero supporting data'!K71*'Net zero supporting data'!K56))*kgtoGg),"ERROR"))</f>
        <v>73.825045522582627</v>
      </c>
      <c r="U310" s="93">
        <f>IF('Net zero activities &amp; levers'!$C$7="Off",(('Activity data'!AN5*EF!$H4)*kgtoGg),IF('Net zero activities &amp; levers'!$C$7="On",((('Net zero supporting data'!L76*EF!$H4)+('Net zero supporting data'!L71*'Net zero supporting data'!L56))*kgtoGg),"ERROR"))</f>
        <v>74.549470852823731</v>
      </c>
      <c r="V310" s="93">
        <f>IF('Net zero activities &amp; levers'!$C$7="Off",(('Activity data'!AO5*EF!$H4)*kgtoGg),IF('Net zero activities &amp; levers'!$C$7="On",((('Net zero supporting data'!M76*EF!$H4)+('Net zero supporting data'!M71*'Net zero supporting data'!M56))*kgtoGg),"ERROR"))</f>
        <v>74.73866134408884</v>
      </c>
      <c r="W310" s="93">
        <f>IF('Net zero activities &amp; levers'!$C$7="Off",(('Activity data'!AP5*EF!$H4)*kgtoGg),IF('Net zero activities &amp; levers'!$C$7="On",((('Net zero supporting data'!N76*EF!$H4)+('Net zero supporting data'!N71*'Net zero supporting data'!N56))*kgtoGg),"ERROR"))</f>
        <v>75.00766800235165</v>
      </c>
      <c r="X310" s="93">
        <f>IF('Net zero activities &amp; levers'!$C$7="Off",(('Activity data'!AQ5*EF!$H4)*kgtoGg),IF('Net zero activities &amp; levers'!$C$7="On",((('Net zero supporting data'!O76*EF!$H4)+('Net zero supporting data'!O71*'Net zero supporting data'!O56))*kgtoGg),"ERROR"))</f>
        <v>75.45906320296173</v>
      </c>
      <c r="Y310" s="93">
        <f>IF('Net zero activities &amp; levers'!$C$7="Off",(('Activity data'!AR5*EF!$H4)*kgtoGg),IF('Net zero activities &amp; levers'!$C$7="On",((('Net zero supporting data'!P76*EF!$H4)+('Net zero supporting data'!P71*'Net zero supporting data'!P56))*kgtoGg),"ERROR"))</f>
        <v>76.055372148787171</v>
      </c>
      <c r="Z310" s="93">
        <f>IF('Net zero activities &amp; levers'!$C$7="Off",(('Activity data'!AS5*EF!$H4)*kgtoGg),IF('Net zero activities &amp; levers'!$C$7="On",((('Net zero supporting data'!Q76*EF!$H4)+('Net zero supporting data'!Q71*'Net zero supporting data'!Q56))*kgtoGg),"ERROR"))</f>
        <v>76.723006485373944</v>
      </c>
      <c r="AA310" s="93">
        <f>IF('Net zero activities &amp; levers'!$C$7="Off",(('Activity data'!AT5*EF!$H4)*kgtoGg),IF('Net zero activities &amp; levers'!$C$7="On",((('Net zero supporting data'!R76*EF!$H4)+('Net zero supporting data'!R71*'Net zero supporting data'!R56))*kgtoGg),"ERROR"))</f>
        <v>77.482992951839307</v>
      </c>
      <c r="AB310" s="93">
        <f>IF('Net zero activities &amp; levers'!$C$7="Off",(('Activity data'!AU5*EF!$H4)*kgtoGg),IF('Net zero activities &amp; levers'!$C$7="On",((('Net zero supporting data'!S76*EF!$H4)+('Net zero supporting data'!S71*'Net zero supporting data'!S56))*kgtoGg),"ERROR"))</f>
        <v>78.40049292820909</v>
      </c>
      <c r="AC310" s="93">
        <f>IF('Net zero activities &amp; levers'!$C$7="Off",(('Activity data'!AV5*EF!$H4)*kgtoGg),IF('Net zero activities &amp; levers'!$C$7="On",((('Net zero supporting data'!T76*EF!$H4)+('Net zero supporting data'!T71*'Net zero supporting data'!T56))*kgtoGg),"ERROR"))</f>
        <v>79.470176515878649</v>
      </c>
      <c r="AD310" s="93">
        <f>IF('Net zero activities &amp; levers'!$C$7="Off",(('Activity data'!AW5*EF!$H4)*kgtoGg),IF('Net zero activities &amp; levers'!$C$7="On",((('Net zero supporting data'!U76*EF!$H4)+('Net zero supporting data'!U71*'Net zero supporting data'!U56))*kgtoGg),"ERROR"))</f>
        <v>80.634435222178453</v>
      </c>
      <c r="AE310" s="93">
        <f>IF('Net zero activities &amp; levers'!$C$7="Off",(('Activity data'!AX5*EF!$H4)*kgtoGg),IF('Net zero activities &amp; levers'!$C$7="On",((('Net zero supporting data'!V76*EF!$H4)+('Net zero supporting data'!V71*'Net zero supporting data'!V56))*kgtoGg),"ERROR"))</f>
        <v>81.892216807263921</v>
      </c>
      <c r="AF310" s="93">
        <f>IF('Net zero activities &amp; levers'!$C$7="Off",(('Activity data'!AY5*EF!$H4)*kgtoGg),IF('Net zero activities &amp; levers'!$C$7="On",((('Net zero supporting data'!W76*EF!$H4)+('Net zero supporting data'!W71*'Net zero supporting data'!W56))*kgtoGg),"ERROR"))</f>
        <v>83.211603764210864</v>
      </c>
      <c r="AG310" s="93">
        <f>IF('Net zero activities &amp; levers'!$C$7="Off",(('Activity data'!AZ5*EF!$H4)*kgtoGg),IF('Net zero activities &amp; levers'!$C$7="On",((('Net zero supporting data'!X76*EF!$H4)+('Net zero supporting data'!X71*'Net zero supporting data'!X56))*kgtoGg),"ERROR"))</f>
        <v>84.607353188642591</v>
      </c>
      <c r="AH310" s="93">
        <f>IF('Net zero activities &amp; levers'!$C$7="Off",(('Activity data'!BA5*EF!$H4)*kgtoGg),IF('Net zero activities &amp; levers'!$C$7="On",((('Net zero supporting data'!Y76*EF!$H4)+('Net zero supporting data'!Y71*'Net zero supporting data'!Y56))*kgtoGg),"ERROR"))</f>
        <v>86.06511371010545</v>
      </c>
      <c r="AI310" s="93">
        <f>IF('Net zero activities &amp; levers'!$C$7="Off",(('Activity data'!BB5*EF!$H4)*kgtoGg),IF('Net zero activities &amp; levers'!$C$7="On",((('Net zero supporting data'!Z76*EF!$H4)+('Net zero supporting data'!Z71*'Net zero supporting data'!Z56))*kgtoGg),"ERROR"))</f>
        <v>87.52871170290878</v>
      </c>
      <c r="AJ310" s="93">
        <f>IF('Net zero activities &amp; levers'!$C$7="Off",(('Activity data'!BC5*EF!$H4)*kgtoGg),IF('Net zero activities &amp; levers'!$C$7="On",((('Net zero supporting data'!AA76*EF!$H4)+('Net zero supporting data'!AA71*'Net zero supporting data'!AA56))*kgtoGg),"ERROR"))</f>
        <v>89.080470915368679</v>
      </c>
      <c r="AK310" s="93">
        <f>IF('Net zero activities &amp; levers'!$C$7="Off",(('Activity data'!BD5*EF!$H4)*kgtoGg),IF('Net zero activities &amp; levers'!$C$7="On",((('Net zero supporting data'!AB76*EF!$H4)+('Net zero supporting data'!AB71*'Net zero supporting data'!AB56))*kgtoGg),"ERROR"))</f>
        <v>90.666146577204373</v>
      </c>
      <c r="AL310" s="93">
        <f>IF('Net zero activities &amp; levers'!$C$7="Off",(('Activity data'!BE5*EF!$H4)*kgtoGg),IF('Net zero activities &amp; levers'!$C$7="On",((('Net zero supporting data'!AC76*EF!$H4)+('Net zero supporting data'!AC71*'Net zero supporting data'!AC56))*kgtoGg),"ERROR"))</f>
        <v>92.281705803455623</v>
      </c>
      <c r="AM310" s="93">
        <f>IF('Net zero activities &amp; levers'!$C$7="Off",(('Activity data'!BF5*EF!$H4)*kgtoGg),IF('Net zero activities &amp; levers'!$C$7="On",((('Net zero supporting data'!AD76*EF!$H4)+('Net zero supporting data'!AD71*'Net zero supporting data'!AD56))*kgtoGg),"ERROR"))</f>
        <v>93.953177200375109</v>
      </c>
      <c r="AN310" s="93">
        <f>IF('Net zero activities &amp; levers'!$C$7="Off",(('Activity data'!BG5*EF!$H4)*kgtoGg),IF('Net zero activities &amp; levers'!$C$7="On",((('Net zero supporting data'!AE76*EF!$H4)+('Net zero supporting data'!AE71*'Net zero supporting data'!AE56))*kgtoGg),"ERROR"))</f>
        <v>95.618162408652182</v>
      </c>
      <c r="AO310" s="93">
        <f>IF('Net zero activities &amp; levers'!$C$7="Off",(('Activity data'!BH5*EF!$H4)*kgtoGg),IF('Net zero activities &amp; levers'!$C$7="On",((('Net zero supporting data'!AF76*EF!$H4)+('Net zero supporting data'!AF71*'Net zero supporting data'!AF56))*kgtoGg),"ERROR"))</f>
        <v>97.363125443895129</v>
      </c>
      <c r="AP310" s="93">
        <f>IF('Net zero activities &amp; levers'!$C$7="Off",(('Activity data'!BI5*EF!$H4)*kgtoGg),IF('Net zero activities &amp; levers'!$C$7="On",((('Net zero supporting data'!AG76*EF!$H4)+('Net zero supporting data'!AG71*'Net zero supporting data'!AG56))*kgtoGg),"ERROR"))</f>
        <v>99.220282959393018</v>
      </c>
      <c r="AQ310" s="93">
        <f>IF('Net zero activities &amp; levers'!$C$7="Off",(('Activity data'!BJ5*EF!$H4)*kgtoGg),IF('Net zero activities &amp; levers'!$C$7="On",((('Net zero supporting data'!AH76*EF!$H4)+('Net zero supporting data'!AH71*'Net zero supporting data'!AH56))*kgtoGg),"ERROR"))</f>
        <v>101.13698373864543</v>
      </c>
      <c r="AR310" s="93">
        <f>IF('Net zero activities &amp; levers'!$C$7="Off",(('Activity data'!BK5*EF!$H4)*kgtoGg),IF('Net zero activities &amp; levers'!$C$7="On",((('Net zero supporting data'!AI76*EF!$H4)+('Net zero supporting data'!AI71*'Net zero supporting data'!AI56))*kgtoGg),"ERROR"))</f>
        <v>103.1166953994274</v>
      </c>
      <c r="AS310" s="93">
        <f>IF('Net zero activities &amp; levers'!$C$7="Off",(('Activity data'!BL5*EF!$H4)*kgtoGg),IF('Net zero activities &amp; levers'!$C$7="On",((('Net zero supporting data'!AJ76*EF!$H4)+('Net zero supporting data'!AJ71*'Net zero supporting data'!AJ56))*kgtoGg),"ERROR"))</f>
        <v>105.22033839717858</v>
      </c>
      <c r="AT310" s="93">
        <f>IF('Net zero activities &amp; levers'!$C$7="Off",(('Activity data'!BM5*EF!$H4)*kgtoGg),IF('Net zero activities &amp; levers'!$C$7="On",((('Net zero supporting data'!AK76*EF!$H4)+('Net zero supporting data'!AK71*'Net zero supporting data'!AK56))*kgtoGg),"ERROR"))</f>
        <v>107.43022097905694</v>
      </c>
      <c r="AU310" s="93">
        <f>IF('Net zero activities &amp; levers'!$C$7="Off",(('Activity data'!BN5*EF!$H4)*kgtoGg),IF('Net zero activities &amp; levers'!$C$7="On",((('Net zero supporting data'!AL76*EF!$H4)+('Net zero supporting data'!AL71*'Net zero supporting data'!AL56))*kgtoGg),"ERROR"))</f>
        <v>109.73494167523042</v>
      </c>
      <c r="AV310" s="93">
        <f>IF('Net zero activities &amp; levers'!$C$7="Off",(('Activity data'!BO5*EF!$H4)*kgtoGg),IF('Net zero activities &amp; levers'!$C$7="On",((('Net zero supporting data'!AM76*EF!$H4)+('Net zero supporting data'!AM71*'Net zero supporting data'!AM56))*kgtoGg),"ERROR"))</f>
        <v>112.1760298148465</v>
      </c>
      <c r="AW310" s="93">
        <f>IF('Net zero activities &amp; levers'!$C$7="Off",(('Activity data'!BP5*EF!$H4)*kgtoGg),IF('Net zero activities &amp; levers'!$C$7="On",((('Net zero supporting data'!AN76*EF!$H4)+('Net zero supporting data'!AN71*'Net zero supporting data'!AN56))*kgtoGg),"ERROR"))</f>
        <v>114.52480661709059</v>
      </c>
      <c r="AY310" s="79"/>
    </row>
    <row r="311" spans="1:51" x14ac:dyDescent="0.25">
      <c r="A311" s="95" t="str">
        <f t="shared" si="71"/>
        <v>GS Cattle</v>
      </c>
      <c r="B311" s="95" t="s">
        <v>1020</v>
      </c>
      <c r="C311" s="95" t="s">
        <v>1107</v>
      </c>
      <c r="D311" t="s">
        <v>15</v>
      </c>
      <c r="E311" t="s">
        <v>16</v>
      </c>
      <c r="F311" t="s">
        <v>6</v>
      </c>
      <c r="G311" t="s">
        <v>137</v>
      </c>
      <c r="H311" t="s">
        <v>1019</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57.879296587031398</v>
      </c>
      <c r="T311" s="93">
        <f>IF('Net zero activities &amp; levers'!$C$7="Off",(('Activity data'!AM6*EF!$H5)*kgtoGg),IF('Net zero activities &amp; levers'!$C$7="On",((('Net zero supporting data'!K77*EF!$H5)+('Net zero supporting data'!K72*'Net zero supporting data'!K52))*kgtoGg),"ERROR"))</f>
        <v>59.046493557468224</v>
      </c>
      <c r="U311" s="93">
        <f>IF('Net zero activities &amp; levers'!$C$7="Off",(('Activity data'!AN6*EF!$H5)*kgtoGg),IF('Net zero activities &amp; levers'!$C$7="On",((('Net zero supporting data'!L77*EF!$H5)+('Net zero supporting data'!L72*'Net zero supporting data'!L52))*kgtoGg),"ERROR"))</f>
        <v>59.625900929209891</v>
      </c>
      <c r="V311" s="93">
        <f>IF('Net zero activities &amp; levers'!$C$7="Off",(('Activity data'!AO6*EF!$H5)*kgtoGg),IF('Net zero activities &amp; levers'!$C$7="On",((('Net zero supporting data'!M77*EF!$H5)+('Net zero supporting data'!M72*'Net zero supporting data'!M52))*kgtoGg),"ERROR"))</f>
        <v>59.777218616107909</v>
      </c>
      <c r="W311" s="93">
        <f>IF('Net zero activities &amp; levers'!$C$7="Off",(('Activity data'!AP6*EF!$H5)*kgtoGg),IF('Net zero activities &amp; levers'!$C$7="On",((('Net zero supporting data'!N77*EF!$H5)+('Net zero supporting data'!N72*'Net zero supporting data'!N52))*kgtoGg),"ERROR"))</f>
        <v>59.992374594700195</v>
      </c>
      <c r="X311" s="93">
        <f>IF('Net zero activities &amp; levers'!$C$7="Off",(('Activity data'!AQ6*EF!$H5)*kgtoGg),IF('Net zero activities &amp; levers'!$C$7="On",((('Net zero supporting data'!O77*EF!$H5)+('Net zero supporting data'!O72*'Net zero supporting data'!O52))*kgtoGg),"ERROR"))</f>
        <v>60.353407948842083</v>
      </c>
      <c r="Y311" s="93">
        <f>IF('Net zero activities &amp; levers'!$C$7="Off",(('Activity data'!AR6*EF!$H5)*kgtoGg),IF('Net zero activities &amp; levers'!$C$7="On",((('Net zero supporting data'!P77*EF!$H5)+('Net zero supporting data'!P72*'Net zero supporting data'!P52))*kgtoGg),"ERROR"))</f>
        <v>60.830345715404938</v>
      </c>
      <c r="Z311" s="93">
        <f>IF('Net zero activities &amp; levers'!$C$7="Off",(('Activity data'!AS6*EF!$H5)*kgtoGg),IF('Net zero activities &amp; levers'!$C$7="On",((('Net zero supporting data'!Q77*EF!$H5)+('Net zero supporting data'!Q72*'Net zero supporting data'!Q52))*kgtoGg),"ERROR"))</f>
        <v>61.364330710266294</v>
      </c>
      <c r="AA311" s="93">
        <f>IF('Net zero activities &amp; levers'!$C$7="Off",(('Activity data'!AT6*EF!$H5)*kgtoGg),IF('Net zero activities &amp; levers'!$C$7="On",((('Net zero supporting data'!R77*EF!$H5)+('Net zero supporting data'!R72*'Net zero supporting data'!R52))*kgtoGg),"ERROR"))</f>
        <v>61.97218046746265</v>
      </c>
      <c r="AB311" s="93">
        <f>IF('Net zero activities &amp; levers'!$C$7="Off",(('Activity data'!AU6*EF!$H5)*kgtoGg),IF('Net zero activities &amp; levers'!$C$7="On",((('Net zero supporting data'!S77*EF!$H5)+('Net zero supporting data'!S72*'Net zero supporting data'!S52))*kgtoGg),"ERROR"))</f>
        <v>62.706012137463084</v>
      </c>
      <c r="AC311" s="93">
        <f>IF('Net zero activities &amp; levers'!$C$7="Off",(('Activity data'!AV6*EF!$H5)*kgtoGg),IF('Net zero activities &amp; levers'!$C$7="On",((('Net zero supporting data'!T77*EF!$H5)+('Net zero supporting data'!T72*'Net zero supporting data'!T52))*kgtoGg),"ERROR"))</f>
        <v>63.561562779128991</v>
      </c>
      <c r="AD311" s="93">
        <f>IF('Net zero activities &amp; levers'!$C$7="Off",(('Activity data'!AW6*EF!$H5)*kgtoGg),IF('Net zero activities &amp; levers'!$C$7="On",((('Net zero supporting data'!U77*EF!$H5)+('Net zero supporting data'!U72*'Net zero supporting data'!U52))*kgtoGg),"ERROR"))</f>
        <v>64.49275616633426</v>
      </c>
      <c r="AE311" s="93">
        <f>IF('Net zero activities &amp; levers'!$C$7="Off",(('Activity data'!AX6*EF!$H5)*kgtoGg),IF('Net zero activities &amp; levers'!$C$7="On",((('Net zero supporting data'!V77*EF!$H5)+('Net zero supporting data'!V72*'Net zero supporting data'!V52))*kgtoGg),"ERROR"))</f>
        <v>65.498750700231739</v>
      </c>
      <c r="AF311" s="93">
        <f>IF('Net zero activities &amp; levers'!$C$7="Off",(('Activity data'!AY6*EF!$H5)*kgtoGg),IF('Net zero activities &amp; levers'!$C$7="On",((('Net zero supporting data'!W77*EF!$H5)+('Net zero supporting data'!W72*'Net zero supporting data'!W52))*kgtoGg),"ERROR"))</f>
        <v>66.554018230400004</v>
      </c>
      <c r="AG311" s="93">
        <f>IF('Net zero activities &amp; levers'!$C$7="Off",(('Activity data'!AZ6*EF!$H5)*kgtoGg),IF('Net zero activities &amp; levers'!$C$7="On",((('Net zero supporting data'!X77*EF!$H5)+('Net zero supporting data'!X72*'Net zero supporting data'!X52))*kgtoGg),"ERROR"))</f>
        <v>67.670361726217266</v>
      </c>
      <c r="AH311" s="93">
        <f>IF('Net zero activities &amp; levers'!$C$7="Off",(('Activity data'!BA6*EF!$H5)*kgtoGg),IF('Net zero activities &amp; levers'!$C$7="On",((('Net zero supporting data'!Y77*EF!$H5)+('Net zero supporting data'!Y72*'Net zero supporting data'!Y52))*kgtoGg),"ERROR"))</f>
        <v>68.836302724012626</v>
      </c>
      <c r="AI311" s="93">
        <f>IF('Net zero activities &amp; levers'!$C$7="Off",(('Activity data'!BB6*EF!$H5)*kgtoGg),IF('Net zero activities &amp; levers'!$C$7="On",((('Net zero supporting data'!Z77*EF!$H5)+('Net zero supporting data'!Z72*'Net zero supporting data'!Z52))*kgtoGg),"ERROR"))</f>
        <v>70.006912628023471</v>
      </c>
      <c r="AJ311" s="93">
        <f>IF('Net zero activities &amp; levers'!$C$7="Off",(('Activity data'!BC6*EF!$H5)*kgtoGg),IF('Net zero activities &amp; levers'!$C$7="On",((('Net zero supporting data'!AA77*EF!$H5)+('Net zero supporting data'!AA72*'Net zero supporting data'!AA52))*kgtoGg),"ERROR"))</f>
        <v>71.248035334994583</v>
      </c>
      <c r="AK311" s="93">
        <f>IF('Net zero activities &amp; levers'!$C$7="Off",(('Activity data'!BD6*EF!$H5)*kgtoGg),IF('Net zero activities &amp; levers'!$C$7="On",((('Net zero supporting data'!AB77*EF!$H5)+('Net zero supporting data'!AB72*'Net zero supporting data'!AB52))*kgtoGg),"ERROR"))</f>
        <v>72.516284979651772</v>
      </c>
      <c r="AL311" s="93">
        <f>IF('Net zero activities &amp; levers'!$C$7="Off",(('Activity data'!BE6*EF!$H5)*kgtoGg),IF('Net zero activities &amp; levers'!$C$7="On",((('Net zero supporting data'!AC77*EF!$H5)+('Net zero supporting data'!AC72*'Net zero supporting data'!AC52))*kgtoGg),"ERROR"))</f>
        <v>73.808435993840746</v>
      </c>
      <c r="AM311" s="93">
        <f>IF('Net zero activities &amp; levers'!$C$7="Off",(('Activity data'!BF6*EF!$H5)*kgtoGg),IF('Net zero activities &amp; levers'!$C$7="On",((('Net zero supporting data'!AD77*EF!$H5)+('Net zero supporting data'!AD72*'Net zero supporting data'!AD52))*kgtoGg),"ERROR"))</f>
        <v>75.145306487737145</v>
      </c>
      <c r="AN311" s="93">
        <f>IF('Net zero activities &amp; levers'!$C$7="Off",(('Activity data'!BG6*EF!$H5)*kgtoGg),IF('Net zero activities &amp; levers'!$C$7="On",((('Net zero supporting data'!AE77*EF!$H5)+('Net zero supporting data'!AE72*'Net zero supporting data'!AE52))*kgtoGg),"ERROR"))</f>
        <v>76.476989220580691</v>
      </c>
      <c r="AO311" s="93">
        <f>IF('Net zero activities &amp; levers'!$C$7="Off",(('Activity data'!BH6*EF!$H5)*kgtoGg),IF('Net zero activities &amp; levers'!$C$7="On",((('Net zero supporting data'!AF77*EF!$H5)+('Net zero supporting data'!AF72*'Net zero supporting data'!AF52))*kgtoGg),"ERROR"))</f>
        <v>77.872639543437259</v>
      </c>
      <c r="AP311" s="93">
        <f>IF('Net zero activities &amp; levers'!$C$7="Off",(('Activity data'!BI6*EF!$H5)*kgtoGg),IF('Net zero activities &amp; levers'!$C$7="On",((('Net zero supporting data'!AG77*EF!$H5)+('Net zero supporting data'!AG72*'Net zero supporting data'!AG52))*kgtoGg),"ERROR"))</f>
        <v>79.358024868943161</v>
      </c>
      <c r="AQ311" s="93">
        <f>IF('Net zero activities &amp; levers'!$C$7="Off",(('Activity data'!BJ6*EF!$H5)*kgtoGg),IF('Net zero activities &amp; levers'!$C$7="On",((('Net zero supporting data'!AH77*EF!$H5)+('Net zero supporting data'!AH72*'Net zero supporting data'!AH52))*kgtoGg),"ERROR"))</f>
        <v>80.891033882518414</v>
      </c>
      <c r="AR311" s="93">
        <f>IF('Net zero activities &amp; levers'!$C$7="Off",(('Activity data'!BK6*EF!$H5)*kgtoGg),IF('Net zero activities &amp; levers'!$C$7="On",((('Net zero supporting data'!AI77*EF!$H5)+('Net zero supporting data'!AI72*'Net zero supporting data'!AI52))*kgtoGg),"ERROR"))</f>
        <v>82.474440042264703</v>
      </c>
      <c r="AS311" s="93">
        <f>IF('Net zero activities &amp; levers'!$C$7="Off",(('Activity data'!BL6*EF!$H5)*kgtoGg),IF('Net zero activities &amp; levers'!$C$7="On",((('Net zero supporting data'!AJ77*EF!$H5)+('Net zero supporting data'!AJ72*'Net zero supporting data'!AJ52))*kgtoGg),"ERROR"))</f>
        <v>84.156968536960065</v>
      </c>
      <c r="AT311" s="93">
        <f>IF('Net zero activities &amp; levers'!$C$7="Off",(('Activity data'!BM6*EF!$H5)*kgtoGg),IF('Net zero activities &amp; levers'!$C$7="On",((('Net zero supporting data'!AK77*EF!$H5)+('Net zero supporting data'!AK72*'Net zero supporting data'!AK52))*kgtoGg),"ERROR"))</f>
        <v>85.924469209800506</v>
      </c>
      <c r="AU311" s="93">
        <f>IF('Net zero activities &amp; levers'!$C$7="Off",(('Activity data'!BN6*EF!$H5)*kgtoGg),IF('Net zero activities &amp; levers'!$C$7="On",((('Net zero supporting data'!AL77*EF!$H5)+('Net zero supporting data'!AL72*'Net zero supporting data'!AL52))*kgtoGg),"ERROR"))</f>
        <v>87.767822976466917</v>
      </c>
      <c r="AV311" s="93">
        <f>IF('Net zero activities &amp; levers'!$C$7="Off",(('Activity data'!BO6*EF!$H5)*kgtoGg),IF('Net zero activities &amp; levers'!$C$7="On",((('Net zero supporting data'!AM77*EF!$H5)+('Net zero supporting data'!AM72*'Net zero supporting data'!AM52))*kgtoGg),"ERROR"))</f>
        <v>89.72024568191533</v>
      </c>
      <c r="AW311" s="93">
        <f>IF('Net zero activities &amp; levers'!$C$7="Off",(('Activity data'!BP6*EF!$H5)*kgtoGg),IF('Net zero activities &amp; levers'!$C$7="On",((('Net zero supporting data'!AN77*EF!$H5)+('Net zero supporting data'!AN72*'Net zero supporting data'!AN52))*kgtoGg),"ERROR"))</f>
        <v>91.59883625155085</v>
      </c>
      <c r="AY311" s="79"/>
    </row>
    <row r="312" spans="1:51" x14ac:dyDescent="0.25">
      <c r="A312" s="95" t="str">
        <f t="shared" si="71"/>
        <v>GS Cattle</v>
      </c>
      <c r="B312" s="95" t="s">
        <v>1020</v>
      </c>
      <c r="C312" s="95" t="s">
        <v>1107</v>
      </c>
      <c r="D312" t="s">
        <v>15</v>
      </c>
      <c r="E312" t="s">
        <v>16</v>
      </c>
      <c r="F312" t="s">
        <v>67</v>
      </c>
      <c r="G312" t="s">
        <v>307</v>
      </c>
      <c r="H312" t="s">
        <v>1019</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26.169460420911491</v>
      </c>
      <c r="T312" s="93">
        <f>IF('Net zero activities &amp; levers'!$C$7="Off",(('Activity data'!AM7*EF!$H6)*kgtoGg),IF('Net zero activities &amp; levers'!$C$7="On",((('Net zero supporting data'!K78*EF!$H6)+('Net zero supporting data'!K73*'Net zero supporting data'!K58))*kgtoGg),"ERROR"))</f>
        <v>26.697195150294817</v>
      </c>
      <c r="U312" s="93">
        <f>IF('Net zero activities &amp; levers'!$C$7="Off",(('Activity data'!AN7*EF!$H6)*kgtoGg),IF('Net zero activities &amp; levers'!$C$7="On",((('Net zero supporting data'!L78*EF!$H6)+('Net zero supporting data'!L73*'Net zero supporting data'!L58))*kgtoGg),"ERROR"))</f>
        <v>26.959167551075083</v>
      </c>
      <c r="V312" s="93">
        <f>IF('Net zero activities &amp; levers'!$C$7="Off",(('Activity data'!AO7*EF!$H6)*kgtoGg),IF('Net zero activities &amp; levers'!$C$7="On",((('Net zero supporting data'!M78*EF!$H6)+('Net zero supporting data'!M73*'Net zero supporting data'!M58))*kgtoGg),"ERROR"))</f>
        <v>27.027584108493112</v>
      </c>
      <c r="W312" s="93">
        <f>IF('Net zero activities &amp; levers'!$C$7="Off",(('Activity data'!AP7*EF!$H6)*kgtoGg),IF('Net zero activities &amp; levers'!$C$7="On",((('Net zero supporting data'!N78*EF!$H6)+('Net zero supporting data'!N73*'Net zero supporting data'!N58))*kgtoGg),"ERROR"))</f>
        <v>27.124864417655591</v>
      </c>
      <c r="X312" s="93">
        <f>IF('Net zero activities &amp; levers'!$C$7="Off",(('Activity data'!AQ7*EF!$H6)*kgtoGg),IF('Net zero activities &amp; levers'!$C$7="On",((('Net zero supporting data'!O78*EF!$H6)+('Net zero supporting data'!O73*'Net zero supporting data'!O58))*kgtoGg),"ERROR"))</f>
        <v>27.288101509827889</v>
      </c>
      <c r="Y312" s="93">
        <f>IF('Net zero activities &amp; levers'!$C$7="Off",(('Activity data'!AR7*EF!$H6)*kgtoGg),IF('Net zero activities &amp; levers'!$C$7="On",((('Net zero supporting data'!P78*EF!$H6)+('Net zero supporting data'!P73*'Net zero supporting data'!P58))*kgtoGg),"ERROR"))</f>
        <v>27.503743453342821</v>
      </c>
      <c r="Z312" s="93">
        <f>IF('Net zero activities &amp; levers'!$C$7="Off",(('Activity data'!AS7*EF!$H6)*kgtoGg),IF('Net zero activities &amp; levers'!$C$7="On",((('Net zero supporting data'!Q78*EF!$H6)+('Net zero supporting data'!Q73*'Net zero supporting data'!Q58))*kgtoGg),"ERROR"))</f>
        <v>27.745178647140875</v>
      </c>
      <c r="AA312" s="93">
        <f>IF('Net zero activities &amp; levers'!$C$7="Off",(('Activity data'!AT7*EF!$H6)*kgtoGg),IF('Net zero activities &amp; levers'!$C$7="On",((('Net zero supporting data'!R78*EF!$H6)+('Net zero supporting data'!R73*'Net zero supporting data'!R58))*kgtoGg),"ERROR"))</f>
        <v>28.020010946439662</v>
      </c>
      <c r="AB312" s="93">
        <f>IF('Net zero activities &amp; levers'!$C$7="Off",(('Activity data'!AU7*EF!$H6)*kgtoGg),IF('Net zero activities &amp; levers'!$C$7="On",((('Net zero supporting data'!S78*EF!$H6)+('Net zero supporting data'!S73*'Net zero supporting data'!S58))*kgtoGg),"ERROR"))</f>
        <v>28.351804523350385</v>
      </c>
      <c r="AC312" s="93">
        <f>IF('Net zero activities &amp; levers'!$C$7="Off",(('Activity data'!AV7*EF!$H6)*kgtoGg),IF('Net zero activities &amp; levers'!$C$7="On",((('Net zero supporting data'!T78*EF!$H6)+('Net zero supporting data'!T73*'Net zero supporting data'!T58))*kgtoGg),"ERROR"))</f>
        <v>28.738631937907769</v>
      </c>
      <c r="AD312" s="93">
        <f>IF('Net zero activities &amp; levers'!$C$7="Off",(('Activity data'!AW7*EF!$H6)*kgtoGg),IF('Net zero activities &amp; levers'!$C$7="On",((('Net zero supporting data'!U78*EF!$H6)+('Net zero supporting data'!U73*'Net zero supporting data'!U58))*kgtoGg),"ERROR"))</f>
        <v>29.159660352688871</v>
      </c>
      <c r="AE312" s="93">
        <f>IF('Net zero activities &amp; levers'!$C$7="Off",(('Activity data'!AX7*EF!$H6)*kgtoGg),IF('Net zero activities &amp; levers'!$C$7="On",((('Net zero supporting data'!V78*EF!$H6)+('Net zero supporting data'!V73*'Net zero supporting data'!V58))*kgtoGg),"ERROR"))</f>
        <v>29.614509248423072</v>
      </c>
      <c r="AF312" s="93">
        <f>IF('Net zero activities &amp; levers'!$C$7="Off",(('Activity data'!AY7*EF!$H6)*kgtoGg),IF('Net zero activities &amp; levers'!$C$7="On",((('Net zero supporting data'!W78*EF!$H6)+('Net zero supporting data'!W73*'Net zero supporting data'!W58))*kgtoGg),"ERROR"))</f>
        <v>30.09163636455321</v>
      </c>
      <c r="AG312" s="93">
        <f>IF('Net zero activities &amp; levers'!$C$7="Off",(('Activity data'!AZ7*EF!$H6)*kgtoGg),IF('Net zero activities &amp; levers'!$C$7="On",((('Net zero supporting data'!X78*EF!$H6)+('Net zero supporting data'!X73*'Net zero supporting data'!X58))*kgtoGg),"ERROR"))</f>
        <v>30.596378278373869</v>
      </c>
      <c r="AH312" s="93">
        <f>IF('Net zero activities &amp; levers'!$C$7="Off",(('Activity data'!BA7*EF!$H6)*kgtoGg),IF('Net zero activities &amp; levers'!$C$7="On",((('Net zero supporting data'!Y78*EF!$H6)+('Net zero supporting data'!Y73*'Net zero supporting data'!Y58))*kgtoGg),"ERROR"))</f>
        <v>31.123545134125884</v>
      </c>
      <c r="AI312" s="93">
        <f>IF('Net zero activities &amp; levers'!$C$7="Off",(('Activity data'!BB7*EF!$H6)*kgtoGg),IF('Net zero activities &amp; levers'!$C$7="On",((('Net zero supporting data'!Z78*EF!$H6)+('Net zero supporting data'!Z73*'Net zero supporting data'!Z58))*kgtoGg),"ERROR"))</f>
        <v>31.652822982298673</v>
      </c>
      <c r="AJ312" s="93">
        <f>IF('Net zero activities &amp; levers'!$C$7="Off",(('Activity data'!BC7*EF!$H6)*kgtoGg),IF('Net zero activities &amp; levers'!$C$7="On",((('Net zero supporting data'!AA78*EF!$H6)+('Net zero supporting data'!AA73*'Net zero supporting data'!AA58))*kgtoGg),"ERROR"))</f>
        <v>32.213982385967945</v>
      </c>
      <c r="AK312" s="93">
        <f>IF('Net zero activities &amp; levers'!$C$7="Off",(('Activity data'!BD7*EF!$H6)*kgtoGg),IF('Net zero activities &amp; levers'!$C$7="On",((('Net zero supporting data'!AB78*EF!$H6)+('Net zero supporting data'!AB73*'Net zero supporting data'!AB58))*kgtoGg),"ERROR"))</f>
        <v>32.787406923527513</v>
      </c>
      <c r="AL312" s="93">
        <f>IF('Net zero activities &amp; levers'!$C$7="Off",(('Activity data'!BE7*EF!$H6)*kgtoGg),IF('Net zero activities &amp; levers'!$C$7="On",((('Net zero supporting data'!AC78*EF!$H6)+('Net zero supporting data'!AC73*'Net zero supporting data'!AC58))*kgtoGg),"ERROR"))</f>
        <v>33.371638191314474</v>
      </c>
      <c r="AM312" s="93">
        <f>IF('Net zero activities &amp; levers'!$C$7="Off",(('Activity data'!BF7*EF!$H6)*kgtoGg),IF('Net zero activities &amp; levers'!$C$7="On",((('Net zero supporting data'!AD78*EF!$H6)+('Net zero supporting data'!AD73*'Net zero supporting data'!AD58))*kgtoGg),"ERROR"))</f>
        <v>33.976088859184969</v>
      </c>
      <c r="AN312" s="93">
        <f>IF('Net zero activities &amp; levers'!$C$7="Off",(('Activity data'!BG7*EF!$H6)*kgtoGg),IF('Net zero activities &amp; levers'!$C$7="On",((('Net zero supporting data'!AE78*EF!$H6)+('Net zero supporting data'!AE73*'Net zero supporting data'!AE58))*kgtoGg),"ERROR"))</f>
        <v>34.578193940368166</v>
      </c>
      <c r="AO312" s="93">
        <f>IF('Net zero activities &amp; levers'!$C$7="Off",(('Activity data'!BH7*EF!$H6)*kgtoGg),IF('Net zero activities &amp; levers'!$C$7="On",((('Net zero supporting data'!AF78*EF!$H6)+('Net zero supporting data'!AF73*'Net zero supporting data'!AF58))*kgtoGg),"ERROR"))</f>
        <v>35.209221234048357</v>
      </c>
      <c r="AP312" s="93">
        <f>IF('Net zero activities &amp; levers'!$C$7="Off",(('Activity data'!BI7*EF!$H6)*kgtoGg),IF('Net zero activities &amp; levers'!$C$7="On",((('Net zero supporting data'!AG78*EF!$H6)+('Net zero supporting data'!AG73*'Net zero supporting data'!AG58))*kgtoGg),"ERROR"))</f>
        <v>35.880821180450241</v>
      </c>
      <c r="AQ312" s="93">
        <f>IF('Net zero activities &amp; levers'!$C$7="Off",(('Activity data'!BJ7*EF!$H6)*kgtoGg),IF('Net zero activities &amp; levers'!$C$7="On",((('Net zero supporting data'!AH78*EF!$H6)+('Net zero supporting data'!AH73*'Net zero supporting data'!AH58))*kgtoGg),"ERROR"))</f>
        <v>36.573953631452547</v>
      </c>
      <c r="AR312" s="93">
        <f>IF('Net zero activities &amp; levers'!$C$7="Off",(('Activity data'!BK7*EF!$H6)*kgtoGg),IF('Net zero activities &amp; levers'!$C$7="On",((('Net zero supporting data'!AI78*EF!$H6)+('Net zero supporting data'!AI73*'Net zero supporting data'!AI58))*kgtoGg),"ERROR"))</f>
        <v>37.289872574340869</v>
      </c>
      <c r="AS312" s="93">
        <f>IF('Net zero activities &amp; levers'!$C$7="Off",(('Activity data'!BL7*EF!$H6)*kgtoGg),IF('Net zero activities &amp; levers'!$C$7="On",((('Net zero supporting data'!AJ78*EF!$H6)+('Net zero supporting data'!AJ73*'Net zero supporting data'!AJ58))*kgtoGg),"ERROR"))</f>
        <v>38.050608544633441</v>
      </c>
      <c r="AT312" s="93">
        <f>IF('Net zero activities &amp; levers'!$C$7="Off",(('Activity data'!BM7*EF!$H6)*kgtoGg),IF('Net zero activities &amp; levers'!$C$7="On",((('Net zero supporting data'!AK78*EF!$H6)+('Net zero supporting data'!AK73*'Net zero supporting data'!AK58))*kgtoGg),"ERROR"))</f>
        <v>38.849763711149343</v>
      </c>
      <c r="AU312" s="93">
        <f>IF('Net zero activities &amp; levers'!$C$7="Off",(('Activity data'!BN7*EF!$H6)*kgtoGg),IF('Net zero activities &amp; levers'!$C$7="On",((('Net zero supporting data'!AL78*EF!$H6)+('Net zero supporting data'!AL73*'Net zero supporting data'!AL58))*kgtoGg),"ERROR"))</f>
        <v>39.683214984455297</v>
      </c>
      <c r="AV312" s="93">
        <f>IF('Net zero activities &amp; levers'!$C$7="Off",(('Activity data'!BO7*EF!$H6)*kgtoGg),IF('Net zero activities &amp; levers'!$C$7="On",((('Net zero supporting data'!AM78*EF!$H6)+('Net zero supporting data'!AM73*'Net zero supporting data'!AM58))*kgtoGg),"ERROR"))</f>
        <v>40.565980528060209</v>
      </c>
      <c r="AW312" s="93">
        <f>IF('Net zero activities &amp; levers'!$C$7="Off",(('Activity data'!BP7*EF!$H6)*kgtoGg),IF('Net zero activities &amp; levers'!$C$7="On",((('Net zero supporting data'!AN78*EF!$H6)+('Net zero supporting data'!AN73*'Net zero supporting data'!AN58))*kgtoGg),"ERROR"))</f>
        <v>41.415363717872332</v>
      </c>
      <c r="AY312" s="79"/>
    </row>
    <row r="313" spans="1:51" x14ac:dyDescent="0.25">
      <c r="A313" s="95" t="str">
        <f t="shared" si="71"/>
        <v>GS Cattle</v>
      </c>
      <c r="B313" s="95" t="s">
        <v>1020</v>
      </c>
      <c r="C313" s="95" t="s">
        <v>1107</v>
      </c>
      <c r="D313" t="s">
        <v>15</v>
      </c>
      <c r="E313" t="s">
        <v>16</v>
      </c>
      <c r="F313" t="s">
        <v>67</v>
      </c>
      <c r="G313" t="s">
        <v>122</v>
      </c>
      <c r="H313" t="s">
        <v>1019</v>
      </c>
      <c r="I313" t="s">
        <v>121</v>
      </c>
      <c r="J313" t="s">
        <v>286</v>
      </c>
      <c r="K313" s="93">
        <f>IF('Net zero activities &amp; levers'!$C$7="Off",(('Activity data'!AD8*EF!$H7)*kgtoGg),IF('Net zero activities &amp; levers'!$C$7="On",((('Net zero supporting data'!B79*EF!$H7)+('Net zero supporting data'!B74*'Net zero supporting data'!B59))*kgtoGg),"ERROR"))</f>
        <v>463.23498593143171</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457.68816035731231</v>
      </c>
      <c r="N313" s="93">
        <f>IF('Net zero activities &amp; levers'!$C$7="Off",(('Activity data'!AG8*EF!$H7)*kgtoGg),IF('Net zero activities &amp; levers'!$C$7="On",((('Net zero supporting data'!E79*EF!$H7)+('Net zero supporting data'!E74*'Net zero supporting data'!E59))*kgtoGg),"ERROR"))</f>
        <v>451.57633407663525</v>
      </c>
      <c r="O313" s="93">
        <f>IF('Net zero activities &amp; levers'!$C$7="Off",(('Activity data'!AH8*EF!$H7)*kgtoGg),IF('Net zero activities &amp; levers'!$C$7="On",((('Net zero supporting data'!F79*EF!$H7)+('Net zero supporting data'!F74*'Net zero supporting data'!F59))*kgtoGg),"ERROR"))</f>
        <v>442.704868969107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369.40237691087651</v>
      </c>
      <c r="T313" s="93">
        <f>IF('Net zero activities &amp; levers'!$C$7="Off",(('Activity data'!AM8*EF!$H7)*kgtoGg),IF('Net zero activities &amp; levers'!$C$7="On",((('Net zero supporting data'!K79*EF!$H7)+('Net zero supporting data'!K74*'Net zero supporting data'!K59))*kgtoGg),"ERROR"))</f>
        <v>387.06361603448636</v>
      </c>
      <c r="U313" s="93">
        <f>IF('Net zero activities &amp; levers'!$C$7="Off",(('Activity data'!AN8*EF!$H7)*kgtoGg),IF('Net zero activities &amp; levers'!$C$7="On",((('Net zero supporting data'!L79*EF!$H7)+('Net zero supporting data'!L74*'Net zero supporting data'!L59))*kgtoGg),"ERROR"))</f>
        <v>393.17794041792496</v>
      </c>
      <c r="V313" s="93">
        <f>IF('Net zero activities &amp; levers'!$C$7="Off",(('Activity data'!AO8*EF!$H7)*kgtoGg),IF('Net zero activities &amp; levers'!$C$7="On",((('Net zero supporting data'!M79*EF!$H7)+('Net zero supporting data'!M74*'Net zero supporting data'!M59))*kgtoGg),"ERROR"))</f>
        <v>390.52270230053807</v>
      </c>
      <c r="W313" s="93">
        <f>IF('Net zero activities &amp; levers'!$C$7="Off",(('Activity data'!AP8*EF!$H7)*kgtoGg),IF('Net zero activities &amp; levers'!$C$7="On",((('Net zero supporting data'!N79*EF!$H7)+('Net zero supporting data'!N74*'Net zero supporting data'!N59))*kgtoGg),"ERROR"))</f>
        <v>388.36285305535796</v>
      </c>
      <c r="X313" s="93">
        <f>IF('Net zero activities &amp; levers'!$C$7="Off",(('Activity data'!AQ8*EF!$H7)*kgtoGg),IF('Net zero activities &amp; levers'!$C$7="On",((('Net zero supporting data'!O79*EF!$H7)+('Net zero supporting data'!O74*'Net zero supporting data'!O59))*kgtoGg),"ERROR"))</f>
        <v>388.50473132162119</v>
      </c>
      <c r="Y313" s="93">
        <f>IF('Net zero activities &amp; levers'!$C$7="Off",(('Activity data'!AR8*EF!$H7)*kgtoGg),IF('Net zero activities &amp; levers'!$C$7="On",((('Net zero supporting data'!P79*EF!$H7)+('Net zero supporting data'!P74*'Net zero supporting data'!P59))*kgtoGg),"ERROR"))</f>
        <v>390.78606081827786</v>
      </c>
      <c r="Z313" s="93">
        <f>IF('Net zero activities &amp; levers'!$C$7="Off",(('Activity data'!AS8*EF!$H7)*kgtoGg),IF('Net zero activities &amp; levers'!$C$7="On",((('Net zero supporting data'!Q79*EF!$H7)+('Net zero supporting data'!Q74*'Net zero supporting data'!Q59))*kgtoGg),"ERROR"))</f>
        <v>394.02311080220409</v>
      </c>
      <c r="AA313" s="93">
        <f>IF('Net zero activities &amp; levers'!$C$7="Off",(('Activity data'!AT8*EF!$H7)*kgtoGg),IF('Net zero activities &amp; levers'!$C$7="On",((('Net zero supporting data'!R79*EF!$H7)+('Net zero supporting data'!R74*'Net zero supporting data'!R59))*kgtoGg),"ERROR"))</f>
        <v>398.47662182088436</v>
      </c>
      <c r="AB313" s="93">
        <f>IF('Net zero activities &amp; levers'!$C$7="Off",(('Activity data'!AU8*EF!$H7)*kgtoGg),IF('Net zero activities &amp; levers'!$C$7="On",((('Net zero supporting data'!S79*EF!$H7)+('Net zero supporting data'!S74*'Net zero supporting data'!S59))*kgtoGg),"ERROR"))</f>
        <v>405.00014152902594</v>
      </c>
      <c r="AC313" s="93">
        <f>IF('Net zero activities &amp; levers'!$C$7="Off",(('Activity data'!AV8*EF!$H7)*kgtoGg),IF('Net zero activities &amp; levers'!$C$7="On",((('Net zero supporting data'!T79*EF!$H7)+('Net zero supporting data'!T74*'Net zero supporting data'!T59))*kgtoGg),"ERROR"))</f>
        <v>413.40943063236716</v>
      </c>
      <c r="AD313" s="93">
        <f>IF('Net zero activities &amp; levers'!$C$7="Off",(('Activity data'!AW8*EF!$H7)*kgtoGg),IF('Net zero activities &amp; levers'!$C$7="On",((('Net zero supporting data'!U79*EF!$H7)+('Net zero supporting data'!U74*'Net zero supporting data'!U59))*kgtoGg),"ERROR"))</f>
        <v>419.27234556371411</v>
      </c>
      <c r="AE313" s="93">
        <f>IF('Net zero activities &amp; levers'!$C$7="Off",(('Activity data'!AX8*EF!$H7)*kgtoGg),IF('Net zero activities &amp; levers'!$C$7="On",((('Net zero supporting data'!V79*EF!$H7)+('Net zero supporting data'!V74*'Net zero supporting data'!V59))*kgtoGg),"ERROR"))</f>
        <v>425.8278376253316</v>
      </c>
      <c r="AF313" s="93">
        <f>IF('Net zero activities &amp; levers'!$C$7="Off",(('Activity data'!AY8*EF!$H7)*kgtoGg),IF('Net zero activities &amp; levers'!$C$7="On",((('Net zero supporting data'!W79*EF!$H7)+('Net zero supporting data'!W74*'Net zero supporting data'!W59))*kgtoGg),"ERROR"))</f>
        <v>432.58187641621225</v>
      </c>
      <c r="AG313" s="93">
        <f>IF('Net zero activities &amp; levers'!$C$7="Off",(('Activity data'!AZ8*EF!$H7)*kgtoGg),IF('Net zero activities &amp; levers'!$C$7="On",((('Net zero supporting data'!X79*EF!$H7)+('Net zero supporting data'!X74*'Net zero supporting data'!X59))*kgtoGg),"ERROR"))</f>
        <v>439.68449510593507</v>
      </c>
      <c r="AH313" s="93">
        <f>IF('Net zero activities &amp; levers'!$C$7="Off",(('Activity data'!BA8*EF!$H7)*kgtoGg),IF('Net zero activities &amp; levers'!$C$7="On",((('Net zero supporting data'!Y79*EF!$H7)+('Net zero supporting data'!Y74*'Net zero supporting data'!Y59))*kgtoGg),"ERROR"))</f>
        <v>446.893496347981</v>
      </c>
      <c r="AI313" s="93">
        <f>IF('Net zero activities &amp; levers'!$C$7="Off",(('Activity data'!BB8*EF!$H7)*kgtoGg),IF('Net zero activities &amp; levers'!$C$7="On",((('Net zero supporting data'!Z79*EF!$H7)+('Net zero supporting data'!Z74*'Net zero supporting data'!Z59))*kgtoGg),"ERROR"))</f>
        <v>453.4765954958275</v>
      </c>
      <c r="AJ313" s="93">
        <f>IF('Net zero activities &amp; levers'!$C$7="Off",(('Activity data'!BC8*EF!$H7)*kgtoGg),IF('Net zero activities &amp; levers'!$C$7="On",((('Net zero supporting data'!AA79*EF!$H7)+('Net zero supporting data'!AA74*'Net zero supporting data'!AA59))*kgtoGg),"ERROR"))</f>
        <v>460.42055689435347</v>
      </c>
      <c r="AK313" s="93">
        <f>IF('Net zero activities &amp; levers'!$C$7="Off",(('Activity data'!BD8*EF!$H7)*kgtoGg),IF('Net zero activities &amp; levers'!$C$7="On",((('Net zero supporting data'!AB79*EF!$H7)+('Net zero supporting data'!AB74*'Net zero supporting data'!AB59))*kgtoGg),"ERROR"))</f>
        <v>467.05009656830129</v>
      </c>
      <c r="AL313" s="93">
        <f>IF('Net zero activities &amp; levers'!$C$7="Off",(('Activity data'!BE8*EF!$H7)*kgtoGg),IF('Net zero activities &amp; levers'!$C$7="On",((('Net zero supporting data'!AC79*EF!$H7)+('Net zero supporting data'!AC74*'Net zero supporting data'!AC59))*kgtoGg),"ERROR"))</f>
        <v>473.30134622451675</v>
      </c>
      <c r="AM313" s="93">
        <f>IF('Net zero activities &amp; levers'!$C$7="Off",(('Activity data'!BF8*EF!$H7)*kgtoGg),IF('Net zero activities &amp; levers'!$C$7="On",((('Net zero supporting data'!AD79*EF!$H7)+('Net zero supporting data'!AD74*'Net zero supporting data'!AD59))*kgtoGg),"ERROR"))</f>
        <v>479.44152386893921</v>
      </c>
      <c r="AN313" s="93">
        <f>IF('Net zero activities &amp; levers'!$C$7="Off",(('Activity data'!BG8*EF!$H7)*kgtoGg),IF('Net zero activities &amp; levers'!$C$7="On",((('Net zero supporting data'!AE79*EF!$H7)+('Net zero supporting data'!AE74*'Net zero supporting data'!AE59))*kgtoGg),"ERROR"))</f>
        <v>487.2386202384439</v>
      </c>
      <c r="AO313" s="93">
        <f>IF('Net zero activities &amp; levers'!$C$7="Off",(('Activity data'!BH8*EF!$H7)*kgtoGg),IF('Net zero activities &amp; levers'!$C$7="On",((('Net zero supporting data'!AF79*EF!$H7)+('Net zero supporting data'!AF74*'Net zero supporting data'!AF59))*kgtoGg),"ERROR"))</f>
        <v>495.30323443397566</v>
      </c>
      <c r="AP313" s="93">
        <f>IF('Net zero activities &amp; levers'!$C$7="Off",(('Activity data'!BI8*EF!$H7)*kgtoGg),IF('Net zero activities &amp; levers'!$C$7="On",((('Net zero supporting data'!AG79*EF!$H7)+('Net zero supporting data'!AG74*'Net zero supporting data'!AG59))*kgtoGg),"ERROR"))</f>
        <v>503.92844355873905</v>
      </c>
      <c r="AQ313" s="93">
        <f>IF('Net zero activities &amp; levers'!$C$7="Off",(('Activity data'!BJ8*EF!$H7)*kgtoGg),IF('Net zero activities &amp; levers'!$C$7="On",((('Net zero supporting data'!AH79*EF!$H7)+('Net zero supporting data'!AH74*'Net zero supporting data'!AH59))*kgtoGg),"ERROR"))</f>
        <v>512.52009483394647</v>
      </c>
      <c r="AR313" s="93">
        <f>IF('Net zero activities &amp; levers'!$C$7="Off",(('Activity data'!BK8*EF!$H7)*kgtoGg),IF('Net zero activities &amp; levers'!$C$7="On",((('Net zero supporting data'!AI79*EF!$H7)+('Net zero supporting data'!AI74*'Net zero supporting data'!AI59))*kgtoGg),"ERROR"))</f>
        <v>521.08933970994713</v>
      </c>
      <c r="AS313" s="93">
        <f>IF('Net zero activities &amp; levers'!$C$7="Off",(('Activity data'!BL8*EF!$H7)*kgtoGg),IF('Net zero activities &amp; levers'!$C$7="On",((('Net zero supporting data'!AJ79*EF!$H7)+('Net zero supporting data'!AJ74*'Net zero supporting data'!AJ59))*kgtoGg),"ERROR"))</f>
        <v>530.19934966432822</v>
      </c>
      <c r="AT313" s="93">
        <f>IF('Net zero activities &amp; levers'!$C$7="Off",(('Activity data'!BM8*EF!$H7)*kgtoGg),IF('Net zero activities &amp; levers'!$C$7="On",((('Net zero supporting data'!AK79*EF!$H7)+('Net zero supporting data'!AK74*'Net zero supporting data'!AK59))*kgtoGg),"ERROR"))</f>
        <v>539.61424355839688</v>
      </c>
      <c r="AU313" s="93">
        <f>IF('Net zero activities &amp; levers'!$C$7="Off",(('Activity data'!BN8*EF!$H7)*kgtoGg),IF('Net zero activities &amp; levers'!$C$7="On",((('Net zero supporting data'!AL79*EF!$H7)+('Net zero supporting data'!AL74*'Net zero supporting data'!AL59))*kgtoGg),"ERROR"))</f>
        <v>549.17033444464153</v>
      </c>
      <c r="AV313" s="93">
        <f>IF('Net zero activities &amp; levers'!$C$7="Off",(('Activity data'!BO8*EF!$H7)*kgtoGg),IF('Net zero activities &amp; levers'!$C$7="On",((('Net zero supporting data'!AM79*EF!$H7)+('Net zero supporting data'!AM74*'Net zero supporting data'!AM59))*kgtoGg),"ERROR"))</f>
        <v>559.19282207144863</v>
      </c>
      <c r="AW313" s="93">
        <f>IF('Net zero activities &amp; levers'!$C$7="Off",(('Activity data'!BP8*EF!$H7)*kgtoGg),IF('Net zero activities &amp; levers'!$C$7="On",((('Net zero supporting data'!AN79*EF!$H7)+('Net zero supporting data'!AN74*'Net zero supporting data'!AN59))*kgtoGg),"ERROR"))</f>
        <v>567.59543120119042</v>
      </c>
      <c r="AY313" s="79"/>
    </row>
    <row r="314" spans="1:51" x14ac:dyDescent="0.25">
      <c r="A314" s="95" t="str">
        <f t="shared" si="71"/>
        <v>GS Cattle</v>
      </c>
      <c r="B314" s="95" t="s">
        <v>1020</v>
      </c>
      <c r="C314" s="95" t="s">
        <v>1107</v>
      </c>
      <c r="D314" t="s">
        <v>15</v>
      </c>
      <c r="E314" t="s">
        <v>16</v>
      </c>
      <c r="F314" t="s">
        <v>67</v>
      </c>
      <c r="G314" t="s">
        <v>123</v>
      </c>
      <c r="H314" t="s">
        <v>1019</v>
      </c>
      <c r="I314" t="s">
        <v>121</v>
      </c>
      <c r="J314" t="s">
        <v>286</v>
      </c>
      <c r="K314" s="27">
        <f t="shared" ref="K314:Z323" si="72">K1383</f>
        <v>326.20040935577725</v>
      </c>
      <c r="L314" s="27">
        <f t="shared" si="72"/>
        <v>323.37137738012308</v>
      </c>
      <c r="M314" s="27">
        <f t="shared" si="72"/>
        <v>322.29445054900742</v>
      </c>
      <c r="N314" s="27">
        <f t="shared" si="72"/>
        <v>317.99063003627219</v>
      </c>
      <c r="O314" s="27">
        <f t="shared" si="72"/>
        <v>311.74352945546775</v>
      </c>
      <c r="P314" s="27">
        <f t="shared" si="72"/>
        <v>303.68232906672063</v>
      </c>
      <c r="Q314" s="27">
        <f t="shared" si="72"/>
        <v>297.32422455466599</v>
      </c>
      <c r="R314" s="27">
        <f t="shared" si="72"/>
        <v>291.30873487096773</v>
      </c>
      <c r="S314" s="27">
        <f t="shared" si="72"/>
        <v>260.12544437470751</v>
      </c>
      <c r="T314" s="27">
        <f t="shared" si="72"/>
        <v>272.56212037461688</v>
      </c>
      <c r="U314" s="27">
        <f t="shared" si="72"/>
        <v>276.86769999918118</v>
      </c>
      <c r="V314" s="27">
        <f t="shared" si="72"/>
        <v>274.99793673186855</v>
      </c>
      <c r="W314" s="27">
        <f t="shared" si="72"/>
        <v>273.47701596957364</v>
      </c>
      <c r="X314" s="27">
        <f t="shared" si="72"/>
        <v>273.5769236836698</v>
      </c>
      <c r="Y314" s="27">
        <f t="shared" si="72"/>
        <v>275.18338830375563</v>
      </c>
      <c r="Z314" s="27">
        <f t="shared" si="72"/>
        <v>277.46285134504268</v>
      </c>
      <c r="AA314" s="27">
        <f t="shared" ref="AA314:AW314" si="73">AA1383</f>
        <v>280.59892085940152</v>
      </c>
      <c r="AB314" s="27">
        <f t="shared" si="73"/>
        <v>285.19264729169487</v>
      </c>
      <c r="AC314" s="27">
        <f t="shared" si="73"/>
        <v>291.11429317598692</v>
      </c>
      <c r="AD314" s="27">
        <f t="shared" si="73"/>
        <v>295.24283551131606</v>
      </c>
      <c r="AE314" s="27">
        <f t="shared" si="73"/>
        <v>299.85907620766255</v>
      </c>
      <c r="AF314" s="27">
        <f t="shared" si="73"/>
        <v>304.61512936707601</v>
      </c>
      <c r="AG314" s="27">
        <f t="shared" si="73"/>
        <v>309.61664521637437</v>
      </c>
      <c r="AH314" s="27">
        <f t="shared" si="73"/>
        <v>314.69307343880962</v>
      </c>
      <c r="AI314" s="27">
        <f t="shared" si="73"/>
        <v>319.32875446911731</v>
      </c>
      <c r="AJ314" s="27">
        <f t="shared" si="73"/>
        <v>324.21854716514042</v>
      </c>
      <c r="AK314" s="27">
        <f t="shared" si="73"/>
        <v>328.88693064471261</v>
      </c>
      <c r="AL314" s="27">
        <f t="shared" si="73"/>
        <v>333.28893018872913</v>
      </c>
      <c r="AM314" s="27">
        <f t="shared" si="73"/>
        <v>337.61271514011941</v>
      </c>
      <c r="AN314" s="27">
        <f t="shared" si="73"/>
        <v>343.10326767773648</v>
      </c>
      <c r="AO314" s="27">
        <f t="shared" si="73"/>
        <v>348.78220068533165</v>
      </c>
      <c r="AP314" s="27">
        <f t="shared" si="73"/>
        <v>354.85589294244767</v>
      </c>
      <c r="AQ314" s="27">
        <f t="shared" si="73"/>
        <v>360.90595446226047</v>
      </c>
      <c r="AR314" s="27">
        <f t="shared" si="73"/>
        <v>366.94023786337442</v>
      </c>
      <c r="AS314" s="27">
        <f t="shared" si="73"/>
        <v>373.35531674688991</v>
      </c>
      <c r="AT314" s="27">
        <f t="shared" si="73"/>
        <v>379.98508853779043</v>
      </c>
      <c r="AU314" s="27">
        <f t="shared" si="73"/>
        <v>386.71428830379313</v>
      </c>
      <c r="AV314" s="27">
        <f t="shared" si="73"/>
        <v>393.77191492077668</v>
      </c>
      <c r="AW314" s="27">
        <f t="shared" si="73"/>
        <v>399.6888569070714</v>
      </c>
      <c r="AY314" s="79"/>
    </row>
    <row r="315" spans="1:51" x14ac:dyDescent="0.25">
      <c r="A315" s="95" t="str">
        <f t="shared" si="71"/>
        <v>GS Cattle</v>
      </c>
      <c r="B315" s="95" t="s">
        <v>1020</v>
      </c>
      <c r="C315" s="95" t="s">
        <v>1107</v>
      </c>
      <c r="D315" t="s">
        <v>15</v>
      </c>
      <c r="E315" t="s">
        <v>16</v>
      </c>
      <c r="F315" t="s">
        <v>67</v>
      </c>
      <c r="G315" t="s">
        <v>135</v>
      </c>
      <c r="H315" t="s">
        <v>1019</v>
      </c>
      <c r="I315" t="s">
        <v>121</v>
      </c>
      <c r="J315" t="s">
        <v>286</v>
      </c>
      <c r="K315" s="93">
        <f>IF('Net zero activities &amp; levers'!$C$7="Off",(('Activity data'!AD10*EF!$H9)*kgtoGg),IF('Net zero activities &amp; levers'!$C$7="On",((('Net zero supporting data'!B80*EF!$H9)+('Net zero supporting data'!B75*'Net zero supporting data'!B60))*kgtoGg),"ERROR"))</f>
        <v>31.891995988947254</v>
      </c>
      <c r="L315" s="93">
        <f>IF('Net zero activities &amp; levers'!$C$7="Off",(('Activity data'!AE10*EF!$H9)*kgtoGg),IF('Net zero activities &amp; levers'!$C$7="On",((('Net zero supporting data'!C80*EF!$H9)+('Net zero supporting data'!C75*'Net zero supporting data'!C60))*kgtoGg),"ERROR"))</f>
        <v>32.967337371253521</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35.195504797614646</v>
      </c>
      <c r="O315" s="93">
        <f>IF('Net zero activities &amp; levers'!$C$7="Off",(('Activity data'!AH10*EF!$H9)*kgtoGg),IF('Net zero activities &amp; levers'!$C$7="On",((('Net zero supporting data'!F80*EF!$H9)+('Net zero supporting data'!F75*'Net zero supporting data'!F60))*kgtoGg),"ERROR"))</f>
        <v>35.929559405213325</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35.164164958187662</v>
      </c>
      <c r="T315" s="93">
        <f>IF('Net zero activities &amp; levers'!$C$7="Off",(('Activity data'!AM10*EF!$H9)*kgtoGg),IF('Net zero activities &amp; levers'!$C$7="On",((('Net zero supporting data'!K80*EF!$H9)+('Net zero supporting data'!K75*'Net zero supporting data'!K60))*kgtoGg),"ERROR"))</f>
        <v>37.733078614995847</v>
      </c>
      <c r="U315" s="93">
        <f>IF('Net zero activities &amp; levers'!$C$7="Off",(('Activity data'!AN10*EF!$H9)*kgtoGg),IF('Net zero activities &amp; levers'!$C$7="On",((('Net zero supporting data'!L80*EF!$H9)+('Net zero supporting data'!L75*'Net zero supporting data'!L60))*kgtoGg),"ERROR"))</f>
        <v>39.239907769283455</v>
      </c>
      <c r="V315" s="93">
        <f>IF('Net zero activities &amp; levers'!$C$7="Off",(('Activity data'!AO10*EF!$H9)*kgtoGg),IF('Net zero activities &amp; levers'!$C$7="On",((('Net zero supporting data'!M80*EF!$H9)+('Net zero supporting data'!M75*'Net zero supporting data'!M60))*kgtoGg),"ERROR"))</f>
        <v>39.889255441564949</v>
      </c>
      <c r="W315" s="93">
        <f>IF('Net zero activities &amp; levers'!$C$7="Off",(('Activity data'!AP10*EF!$H9)*kgtoGg),IF('Net zero activities &amp; levers'!$C$7="On",((('Net zero supporting data'!N80*EF!$H9)+('Net zero supporting data'!N75*'Net zero supporting data'!N60))*kgtoGg),"ERROR"))</f>
        <v>40.588307761995488</v>
      </c>
      <c r="X315" s="93">
        <f>IF('Net zero activities &amp; levers'!$C$7="Off",(('Activity data'!AQ10*EF!$H9)*kgtoGg),IF('Net zero activities &amp; levers'!$C$7="On",((('Net zero supporting data'!O80*EF!$H9)+('Net zero supporting data'!O75*'Net zero supporting data'!O60))*kgtoGg),"ERROR"))</f>
        <v>41.534201946049016</v>
      </c>
      <c r="Y315" s="93">
        <f>IF('Net zero activities &amp; levers'!$C$7="Off",(('Activity data'!AR10*EF!$H9)*kgtoGg),IF('Net zero activities &amp; levers'!$C$7="On",((('Net zero supporting data'!P80*EF!$H9)+('Net zero supporting data'!P75*'Net zero supporting data'!P60))*kgtoGg),"ERROR"))</f>
        <v>42.726423600286481</v>
      </c>
      <c r="Z315" s="93">
        <f>IF('Net zero activities &amp; levers'!$C$7="Off",(('Activity data'!AS10*EF!$H9)*kgtoGg),IF('Net zero activities &amp; levers'!$C$7="On",((('Net zero supporting data'!Q80*EF!$H9)+('Net zero supporting data'!Q75*'Net zero supporting data'!Q60))*kgtoGg),"ERROR"))</f>
        <v>44.049081565207047</v>
      </c>
      <c r="AA315" s="93">
        <f>IF('Net zero activities &amp; levers'!$C$7="Off",(('Activity data'!AT10*EF!$H9)*kgtoGg),IF('Net zero activities &amp; levers'!$C$7="On",((('Net zero supporting data'!R80*EF!$H9)+('Net zero supporting data'!R75*'Net zero supporting data'!R60))*kgtoGg),"ERROR"))</f>
        <v>45.539986739615941</v>
      </c>
      <c r="AB315" s="93">
        <f>IF('Net zero activities &amp; levers'!$C$7="Off",(('Activity data'!AU10*EF!$H9)*kgtoGg),IF('Net zero activities &amp; levers'!$C$7="On",((('Net zero supporting data'!S80*EF!$H9)+('Net zero supporting data'!S75*'Net zero supporting data'!S60))*kgtoGg),"ERROR"))</f>
        <v>47.309041836934135</v>
      </c>
      <c r="AC315" s="93">
        <f>IF('Net zero activities &amp; levers'!$C$7="Off",(('Activity data'!AV10*EF!$H9)*kgtoGg),IF('Net zero activities &amp; levers'!$C$7="On",((('Net zero supporting data'!T80*EF!$H9)+('Net zero supporting data'!T75*'Net zero supporting data'!T60))*kgtoGg),"ERROR"))</f>
        <v>49.351300675084218</v>
      </c>
      <c r="AD315" s="93">
        <f>IF('Net zero activities &amp; levers'!$C$7="Off",(('Activity data'!AW10*EF!$H9)*kgtoGg),IF('Net zero activities &amp; levers'!$C$7="On",((('Net zero supporting data'!U80*EF!$H9)+('Net zero supporting data'!U75*'Net zero supporting data'!U60))*kgtoGg),"ERROR"))</f>
        <v>51.711027137708825</v>
      </c>
      <c r="AE315" s="93">
        <f>IF('Net zero activities &amp; levers'!$C$7="Off",(('Activity data'!AX10*EF!$H9)*kgtoGg),IF('Net zero activities &amp; levers'!$C$7="On",((('Net zero supporting data'!V80*EF!$H9)+('Net zero supporting data'!V75*'Net zero supporting data'!V60))*kgtoGg),"ERROR"))</f>
        <v>54.264579364554088</v>
      </c>
      <c r="AF315" s="93">
        <f>IF('Net zero activities &amp; levers'!$C$7="Off",(('Activity data'!AY10*EF!$H9)*kgtoGg),IF('Net zero activities &amp; levers'!$C$7="On",((('Net zero supporting data'!W80*EF!$H9)+('Net zero supporting data'!W75*'Net zero supporting data'!W60))*kgtoGg),"ERROR"))</f>
        <v>56.961553434617372</v>
      </c>
      <c r="AG315" s="93">
        <f>IF('Net zero activities &amp; levers'!$C$7="Off",(('Activity data'!AZ10*EF!$H9)*kgtoGg),IF('Net zero activities &amp; levers'!$C$7="On",((('Net zero supporting data'!X80*EF!$H9)+('Net zero supporting data'!X75*'Net zero supporting data'!X60))*kgtoGg),"ERROR"))</f>
        <v>59.831551165418354</v>
      </c>
      <c r="AH315" s="93">
        <f>IF('Net zero activities &amp; levers'!$C$7="Off",(('Activity data'!BA10*EF!$H9)*kgtoGg),IF('Net zero activities &amp; levers'!$C$7="On",((('Net zero supporting data'!Y80*EF!$H9)+('Net zero supporting data'!Y75*'Net zero supporting data'!Y60))*kgtoGg),"ERROR"))</f>
        <v>62.852420493056009</v>
      </c>
      <c r="AI315" s="93">
        <f>IF('Net zero activities &amp; levers'!$C$7="Off",(('Activity data'!BB10*EF!$H9)*kgtoGg),IF('Net zero activities &amp; levers'!$C$7="On",((('Net zero supporting data'!Z80*EF!$H9)+('Net zero supporting data'!Z75*'Net zero supporting data'!Z60))*kgtoGg),"ERROR"))</f>
        <v>65.927060453070922</v>
      </c>
      <c r="AJ315" s="93">
        <f>IF('Net zero activities &amp; levers'!$C$7="Off",(('Activity data'!BC10*EF!$H9)*kgtoGg),IF('Net zero activities &amp; levers'!$C$7="On",((('Net zero supporting data'!AA80*EF!$H9)+('Net zero supporting data'!AA75*'Net zero supporting data'!AA60))*kgtoGg),"ERROR"))</f>
        <v>69.203040648572085</v>
      </c>
      <c r="AK315" s="93">
        <f>IF('Net zero activities &amp; levers'!$C$7="Off",(('Activity data'!BD10*EF!$H9)*kgtoGg),IF('Net zero activities &amp; levers'!$C$7="On",((('Net zero supporting data'!AB80*EF!$H9)+('Net zero supporting data'!AB75*'Net zero supporting data'!AB60))*kgtoGg),"ERROR"))</f>
        <v>72.58973333609724</v>
      </c>
      <c r="AL315" s="93">
        <f>IF('Net zero activities &amp; levers'!$C$7="Off",(('Activity data'!BE10*EF!$H9)*kgtoGg),IF('Net zero activities &amp; levers'!$C$7="On",((('Net zero supporting data'!AC80*EF!$H9)+('Net zero supporting data'!AC75*'Net zero supporting data'!AC60))*kgtoGg),"ERROR"))</f>
        <v>76.081547595026791</v>
      </c>
      <c r="AM315" s="93">
        <f>IF('Net zero activities &amp; levers'!$C$7="Off",(('Activity data'!BF10*EF!$H9)*kgtoGg),IF('Net zero activities &amp; levers'!$C$7="On",((('Net zero supporting data'!AD80*EF!$H9)+('Net zero supporting data'!AD75*'Net zero supporting data'!AD60))*kgtoGg),"ERROR"))</f>
        <v>79.726894187226051</v>
      </c>
      <c r="AN315" s="93">
        <f>IF('Net zero activities &amp; levers'!$C$7="Off",(('Activity data'!BG10*EF!$H9)*kgtoGg),IF('Net zero activities &amp; levers'!$C$7="On",((('Net zero supporting data'!AE80*EF!$H9)+('Net zero supporting data'!AE75*'Net zero supporting data'!AE60))*kgtoGg),"ERROR"))</f>
        <v>83.3095791235083</v>
      </c>
      <c r="AO315" s="93">
        <f>IF('Net zero activities &amp; levers'!$C$7="Off",(('Activity data'!BH10*EF!$H9)*kgtoGg),IF('Net zero activities &amp; levers'!$C$7="On",((('Net zero supporting data'!AF80*EF!$H9)+('Net zero supporting data'!AF75*'Net zero supporting data'!AF60))*kgtoGg),"ERROR"))</f>
        <v>87.086258080455181</v>
      </c>
      <c r="AP315" s="93">
        <f>IF('Net zero activities &amp; levers'!$C$7="Off",(('Activity data'!BI10*EF!$H9)*kgtoGg),IF('Net zero activities &amp; levers'!$C$7="On",((('Net zero supporting data'!AG80*EF!$H9)+('Net zero supporting data'!AG75*'Net zero supporting data'!AG60))*kgtoGg),"ERROR"))</f>
        <v>91.121139259350954</v>
      </c>
      <c r="AQ315" s="93">
        <f>IF('Net zero activities &amp; levers'!$C$7="Off",(('Activity data'!BJ10*EF!$H9)*kgtoGg),IF('Net zero activities &amp; levers'!$C$7="On",((('Net zero supporting data'!AH80*EF!$H9)+('Net zero supporting data'!AH75*'Net zero supporting data'!AH60))*kgtoGg),"ERROR"))</f>
        <v>95.32019758274437</v>
      </c>
      <c r="AR315" s="93">
        <f>IF('Net zero activities &amp; levers'!$C$7="Off",(('Activity data'!BK10*EF!$H9)*kgtoGg),IF('Net zero activities &amp; levers'!$C$7="On",((('Net zero supporting data'!AI80*EF!$H9)+('Net zero supporting data'!AI75*'Net zero supporting data'!AI60))*kgtoGg),"ERROR"))</f>
        <v>99.693624550303667</v>
      </c>
      <c r="AS315" s="93">
        <f>IF('Net zero activities &amp; levers'!$C$7="Off",(('Activity data'!BL10*EF!$H9)*kgtoGg),IF('Net zero activities &amp; levers'!$C$7="On",((('Net zero supporting data'!AJ80*EF!$H9)+('Net zero supporting data'!AJ75*'Net zero supporting data'!AJ60))*kgtoGg),"ERROR"))</f>
        <v>104.36104732075913</v>
      </c>
      <c r="AT315" s="93">
        <f>IF('Net zero activities &amp; levers'!$C$7="Off",(('Activity data'!BM10*EF!$H9)*kgtoGg),IF('Net zero activities &amp; levers'!$C$7="On",((('Net zero supporting data'!AK80*EF!$H9)+('Net zero supporting data'!AK75*'Net zero supporting data'!AK60))*kgtoGg),"ERROR"))</f>
        <v>109.29369918471791</v>
      </c>
      <c r="AU315" s="93">
        <f>IF('Net zero activities &amp; levers'!$C$7="Off",(('Activity data'!BN10*EF!$H9)*kgtoGg),IF('Net zero activities &amp; levers'!$C$7="On",((('Net zero supporting data'!AL80*EF!$H9)+('Net zero supporting data'!AL75*'Net zero supporting data'!AL60))*kgtoGg),"ERROR"))</f>
        <v>114.47360844232533</v>
      </c>
      <c r="AV315" s="93">
        <f>IF('Net zero activities &amp; levers'!$C$7="Off",(('Activity data'!BO10*EF!$H9)*kgtoGg),IF('Net zero activities &amp; levers'!$C$7="On",((('Net zero supporting data'!AM80*EF!$H9)+('Net zero supporting data'!AM75*'Net zero supporting data'!AM60))*kgtoGg),"ERROR"))</f>
        <v>119.9848328319804</v>
      </c>
      <c r="AW315" s="93">
        <f>IF('Net zero activities &amp; levers'!$C$7="Off",(('Activity data'!BP10*EF!$H9)*kgtoGg),IF('Net zero activities &amp; levers'!$C$7="On",((('Net zero supporting data'!AN80*EF!$H9)+('Net zero supporting data'!AN75*'Net zero supporting data'!AN60))*kgtoGg),"ERROR"))</f>
        <v>125.38797876262088</v>
      </c>
      <c r="AY315" s="79"/>
    </row>
    <row r="316" spans="1:51" x14ac:dyDescent="0.25">
      <c r="A316" s="95" t="str">
        <f t="shared" si="71"/>
        <v>GS Sheep</v>
      </c>
      <c r="B316" s="95" t="s">
        <v>1020</v>
      </c>
      <c r="C316" s="95" t="s">
        <v>152</v>
      </c>
      <c r="D316" t="s">
        <v>15</v>
      </c>
      <c r="E316" t="s">
        <v>16</v>
      </c>
      <c r="F316" t="s">
        <v>18</v>
      </c>
      <c r="G316" t="s">
        <v>122</v>
      </c>
      <c r="H316" t="s">
        <v>1019</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134.514372062219</v>
      </c>
      <c r="T316" s="27">
        <f t="shared" si="74"/>
        <v>134.61119272537138</v>
      </c>
      <c r="U316" s="27">
        <f t="shared" si="74"/>
        <v>134.57715264233437</v>
      </c>
      <c r="V316" s="27">
        <f t="shared" si="74"/>
        <v>134.57470202786035</v>
      </c>
      <c r="W316" s="27">
        <f t="shared" si="74"/>
        <v>134.71744668818661</v>
      </c>
      <c r="X316" s="27">
        <f t="shared" si="74"/>
        <v>134.95106147738375</v>
      </c>
      <c r="Y316" s="27">
        <f t="shared" si="74"/>
        <v>135.17521745945572</v>
      </c>
      <c r="Z316" s="27">
        <f t="shared" si="74"/>
        <v>135.39063780811901</v>
      </c>
      <c r="AA316" s="27">
        <f t="shared" si="74"/>
        <v>135.59702853009694</v>
      </c>
      <c r="AB316" s="27">
        <f t="shared" si="74"/>
        <v>135.7986907607312</v>
      </c>
      <c r="AC316" s="27">
        <f t="shared" si="74"/>
        <v>135.99857025620054</v>
      </c>
      <c r="AD316" s="27">
        <f t="shared" si="74"/>
        <v>136.19466148301387</v>
      </c>
      <c r="AE316" s="27">
        <f t="shared" si="74"/>
        <v>136.38978391312594</v>
      </c>
      <c r="AF316" s="27">
        <f t="shared" si="74"/>
        <v>136.58332287316895</v>
      </c>
      <c r="AG316" s="27">
        <f t="shared" si="74"/>
        <v>136.77372760735147</v>
      </c>
      <c r="AH316" s="27">
        <f t="shared" si="74"/>
        <v>136.96183641513412</v>
      </c>
      <c r="AI316" s="27">
        <f t="shared" si="74"/>
        <v>137.1478500354736</v>
      </c>
      <c r="AJ316" s="27">
        <f t="shared" si="74"/>
        <v>137.33239997388901</v>
      </c>
      <c r="AK316" s="27">
        <f t="shared" si="74"/>
        <v>137.50983936953097</v>
      </c>
      <c r="AL316" s="27">
        <f t="shared" si="74"/>
        <v>137.67996062186128</v>
      </c>
      <c r="AM316" s="27">
        <f t="shared" si="74"/>
        <v>137.84435369829882</v>
      </c>
      <c r="AN316" s="27">
        <f t="shared" si="74"/>
        <v>138.00175275471773</v>
      </c>
      <c r="AO316" s="27">
        <f t="shared" si="74"/>
        <v>138.15244332532626</v>
      </c>
      <c r="AP316" s="27">
        <f t="shared" si="74"/>
        <v>138.29574669703695</v>
      </c>
      <c r="AQ316" s="27">
        <f t="shared" si="74"/>
        <v>138.4296121873767</v>
      </c>
      <c r="AR316" s="27">
        <f t="shared" si="74"/>
        <v>138.55213947392693</v>
      </c>
      <c r="AS316" s="27">
        <f t="shared" si="74"/>
        <v>138.66320476976824</v>
      </c>
      <c r="AT316" s="27">
        <f t="shared" si="74"/>
        <v>138.76195815463774</v>
      </c>
      <c r="AU316" s="27">
        <f t="shared" si="74"/>
        <v>138.84835200114654</v>
      </c>
      <c r="AV316" s="27">
        <f t="shared" si="74"/>
        <v>138.92403962400931</v>
      </c>
      <c r="AW316" s="27">
        <f t="shared" si="74"/>
        <v>138.97919020206226</v>
      </c>
      <c r="AY316" s="79"/>
    </row>
    <row r="317" spans="1:51" x14ac:dyDescent="0.25">
      <c r="A317" s="95" t="str">
        <f t="shared" si="71"/>
        <v>GS Sheep</v>
      </c>
      <c r="B317" s="95" t="s">
        <v>1020</v>
      </c>
      <c r="C317" s="95" t="s">
        <v>152</v>
      </c>
      <c r="D317" t="s">
        <v>15</v>
      </c>
      <c r="E317" t="s">
        <v>16</v>
      </c>
      <c r="F317" t="s">
        <v>18</v>
      </c>
      <c r="G317" t="s">
        <v>123</v>
      </c>
      <c r="H317" t="s">
        <v>1019</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14.577835829783805</v>
      </c>
      <c r="T317" s="27">
        <f t="shared" si="75"/>
        <v>14.588328654533516</v>
      </c>
      <c r="U317" s="27">
        <f t="shared" si="75"/>
        <v>14.584639600832128</v>
      </c>
      <c r="V317" s="27">
        <f t="shared" si="75"/>
        <v>14.584374018389626</v>
      </c>
      <c r="W317" s="27">
        <f t="shared" si="75"/>
        <v>14.599843801966744</v>
      </c>
      <c r="X317" s="27">
        <f t="shared" si="75"/>
        <v>14.625161528185249</v>
      </c>
      <c r="Y317" s="27">
        <f t="shared" si="75"/>
        <v>14.649454167379202</v>
      </c>
      <c r="Z317" s="27">
        <f t="shared" si="75"/>
        <v>14.672800092644023</v>
      </c>
      <c r="AA317" s="27">
        <f t="shared" si="75"/>
        <v>14.695167442806378</v>
      </c>
      <c r="AB317" s="27">
        <f t="shared" si="75"/>
        <v>14.717022348317101</v>
      </c>
      <c r="AC317" s="27">
        <f t="shared" si="75"/>
        <v>14.738684052014786</v>
      </c>
      <c r="AD317" s="27">
        <f t="shared" si="75"/>
        <v>14.759935206581549</v>
      </c>
      <c r="AE317" s="27">
        <f t="shared" si="75"/>
        <v>14.781081368952709</v>
      </c>
      <c r="AF317" s="27">
        <f t="shared" si="75"/>
        <v>14.802055924629695</v>
      </c>
      <c r="AG317" s="27">
        <f t="shared" si="75"/>
        <v>14.822690812289457</v>
      </c>
      <c r="AH317" s="27">
        <f t="shared" si="75"/>
        <v>14.843076881643613</v>
      </c>
      <c r="AI317" s="27">
        <f t="shared" si="75"/>
        <v>14.863235887538975</v>
      </c>
      <c r="AJ317" s="27">
        <f t="shared" si="75"/>
        <v>14.883236268638564</v>
      </c>
      <c r="AK317" s="27">
        <f t="shared" si="75"/>
        <v>14.902466053082772</v>
      </c>
      <c r="AL317" s="27">
        <f t="shared" si="75"/>
        <v>14.920902742409034</v>
      </c>
      <c r="AM317" s="27">
        <f t="shared" si="75"/>
        <v>14.938718647454118</v>
      </c>
      <c r="AN317" s="27">
        <f t="shared" si="75"/>
        <v>14.95577658385943</v>
      </c>
      <c r="AO317" s="27">
        <f t="shared" si="75"/>
        <v>14.972107496056765</v>
      </c>
      <c r="AP317" s="27">
        <f t="shared" si="75"/>
        <v>14.98763782931875</v>
      </c>
      <c r="AQ317" s="27">
        <f t="shared" si="75"/>
        <v>15.002145343360027</v>
      </c>
      <c r="AR317" s="27">
        <f t="shared" si="75"/>
        <v>15.015424092988152</v>
      </c>
      <c r="AS317" s="27">
        <f t="shared" si="75"/>
        <v>15.027460662942268</v>
      </c>
      <c r="AT317" s="27">
        <f t="shared" si="75"/>
        <v>15.038162944120053</v>
      </c>
      <c r="AU317" s="27">
        <f t="shared" si="75"/>
        <v>15.047525774959613</v>
      </c>
      <c r="AV317" s="27">
        <f t="shared" si="75"/>
        <v>15.055728331485913</v>
      </c>
      <c r="AW317" s="27">
        <f t="shared" si="75"/>
        <v>15.061705210093363</v>
      </c>
      <c r="AY317" s="79"/>
    </row>
    <row r="318" spans="1:51" x14ac:dyDescent="0.25">
      <c r="A318" s="95" t="str">
        <f t="shared" si="71"/>
        <v>GS Goats</v>
      </c>
      <c r="B318" s="95" t="s">
        <v>1020</v>
      </c>
      <c r="C318" s="95" t="s">
        <v>153</v>
      </c>
      <c r="D318" t="s">
        <v>15</v>
      </c>
      <c r="E318" t="s">
        <v>16</v>
      </c>
      <c r="F318" t="s">
        <v>19</v>
      </c>
      <c r="G318" t="s">
        <v>122</v>
      </c>
      <c r="H318" t="s">
        <v>1019</v>
      </c>
      <c r="I318" t="s">
        <v>121</v>
      </c>
      <c r="J318" t="s">
        <v>286</v>
      </c>
      <c r="K318" s="27">
        <f t="shared" si="72"/>
        <v>15.123414197798356</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15.545788610572219</v>
      </c>
      <c r="R318" s="27">
        <f t="shared" si="76"/>
        <v>15.648067752449878</v>
      </c>
      <c r="S318" s="27">
        <f t="shared" si="76"/>
        <v>15.609698922895241</v>
      </c>
      <c r="T318" s="27">
        <f t="shared" si="76"/>
        <v>15.636532010302831</v>
      </c>
      <c r="U318" s="27">
        <f t="shared" si="76"/>
        <v>15.639135853628233</v>
      </c>
      <c r="V318" s="27">
        <f t="shared" si="76"/>
        <v>15.646294761850147</v>
      </c>
      <c r="W318" s="27">
        <f t="shared" si="76"/>
        <v>15.677946241783271</v>
      </c>
      <c r="X318" s="27">
        <f t="shared" si="76"/>
        <v>15.724503798989753</v>
      </c>
      <c r="Y318" s="27">
        <f t="shared" si="76"/>
        <v>15.768451676063824</v>
      </c>
      <c r="Z318" s="27">
        <f t="shared" si="76"/>
        <v>15.809996509627668</v>
      </c>
      <c r="AA318" s="27">
        <f t="shared" si="76"/>
        <v>15.849159564668597</v>
      </c>
      <c r="AB318" s="27">
        <f t="shared" si="76"/>
        <v>15.886751198222623</v>
      </c>
      <c r="AC318" s="27">
        <f t="shared" si="76"/>
        <v>15.923335433500936</v>
      </c>
      <c r="AD318" s="27">
        <f t="shared" si="76"/>
        <v>15.958613587829067</v>
      </c>
      <c r="AE318" s="27">
        <f t="shared" si="76"/>
        <v>15.993115538730159</v>
      </c>
      <c r="AF318" s="27">
        <f t="shared" si="76"/>
        <v>16.026773849205178</v>
      </c>
      <c r="AG318" s="27">
        <f t="shared" si="76"/>
        <v>16.059358210664367</v>
      </c>
      <c r="AH318" s="27">
        <f t="shared" si="76"/>
        <v>16.091045965246145</v>
      </c>
      <c r="AI318" s="27">
        <f t="shared" si="76"/>
        <v>16.121901844149729</v>
      </c>
      <c r="AJ318" s="27">
        <f t="shared" si="76"/>
        <v>16.152061326115707</v>
      </c>
      <c r="AK318" s="27">
        <f t="shared" si="76"/>
        <v>16.180589301116473</v>
      </c>
      <c r="AL318" s="27">
        <f t="shared" si="76"/>
        <v>16.207479025870157</v>
      </c>
      <c r="AM318" s="27">
        <f t="shared" si="76"/>
        <v>16.233026710727977</v>
      </c>
      <c r="AN318" s="27">
        <f t="shared" si="76"/>
        <v>16.257041914334369</v>
      </c>
      <c r="AO318" s="27">
        <f t="shared" si="76"/>
        <v>16.279596122288691</v>
      </c>
      <c r="AP318" s="27">
        <f t="shared" si="76"/>
        <v>16.300596548995752</v>
      </c>
      <c r="AQ318" s="27">
        <f t="shared" si="76"/>
        <v>16.31971904310852</v>
      </c>
      <c r="AR318" s="27">
        <f t="shared" si="76"/>
        <v>16.336665838044137</v>
      </c>
      <c r="AS318" s="27">
        <f t="shared" si="76"/>
        <v>16.351438090046905</v>
      </c>
      <c r="AT318" s="27">
        <f t="shared" si="76"/>
        <v>16.363914421549605</v>
      </c>
      <c r="AU318" s="27">
        <f t="shared" si="76"/>
        <v>16.374107486259209</v>
      </c>
      <c r="AV318" s="27">
        <f t="shared" si="76"/>
        <v>16.382312930249284</v>
      </c>
      <c r="AW318" s="27">
        <f t="shared" si="76"/>
        <v>16.386910096993194</v>
      </c>
      <c r="AY318" s="79"/>
    </row>
    <row r="319" spans="1:51" x14ac:dyDescent="0.25">
      <c r="A319" s="95" t="str">
        <f t="shared" si="71"/>
        <v>GS Goats</v>
      </c>
      <c r="B319" s="95" t="s">
        <v>1020</v>
      </c>
      <c r="C319" s="95" t="s">
        <v>153</v>
      </c>
      <c r="D319" t="s">
        <v>15</v>
      </c>
      <c r="E319" t="s">
        <v>16</v>
      </c>
      <c r="F319" t="s">
        <v>19</v>
      </c>
      <c r="G319" t="s">
        <v>123</v>
      </c>
      <c r="H319" t="s">
        <v>1019</v>
      </c>
      <c r="I319" t="s">
        <v>121</v>
      </c>
      <c r="J319" t="s">
        <v>286</v>
      </c>
      <c r="K319" s="27">
        <f t="shared" si="72"/>
        <v>22.381101687842737</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23.100753199022172</v>
      </c>
      <c r="T319" s="27">
        <f t="shared" si="77"/>
        <v>23.140463415909274</v>
      </c>
      <c r="U319" s="27">
        <f t="shared" si="77"/>
        <v>23.144316836934628</v>
      </c>
      <c r="V319" s="27">
        <f t="shared" si="77"/>
        <v>23.154911286758789</v>
      </c>
      <c r="W319" s="27">
        <f t="shared" si="77"/>
        <v>23.201752230324114</v>
      </c>
      <c r="X319" s="27">
        <f t="shared" si="77"/>
        <v>23.270652639223016</v>
      </c>
      <c r="Y319" s="27">
        <f t="shared" si="77"/>
        <v>23.335690989220911</v>
      </c>
      <c r="Z319" s="27">
        <f t="shared" si="77"/>
        <v>23.397173081322329</v>
      </c>
      <c r="AA319" s="27">
        <f t="shared" si="77"/>
        <v>23.455130385527173</v>
      </c>
      <c r="AB319" s="27">
        <f t="shared" si="77"/>
        <v>23.510762147124183</v>
      </c>
      <c r="AC319" s="27">
        <f t="shared" si="77"/>
        <v>23.564903062609726</v>
      </c>
      <c r="AD319" s="27">
        <f t="shared" si="77"/>
        <v>23.617111112263775</v>
      </c>
      <c r="AE319" s="27">
        <f t="shared" si="77"/>
        <v>23.668170460466953</v>
      </c>
      <c r="AF319" s="27">
        <f t="shared" si="77"/>
        <v>23.717981307378224</v>
      </c>
      <c r="AG319" s="27">
        <f t="shared" si="77"/>
        <v>23.766202819909285</v>
      </c>
      <c r="AH319" s="27">
        <f t="shared" si="77"/>
        <v>23.813097446233641</v>
      </c>
      <c r="AI319" s="27">
        <f t="shared" si="77"/>
        <v>23.858760981886149</v>
      </c>
      <c r="AJ319" s="27">
        <f t="shared" si="77"/>
        <v>23.903393921505796</v>
      </c>
      <c r="AK319" s="27">
        <f t="shared" si="77"/>
        <v>23.94561239817315</v>
      </c>
      <c r="AL319" s="27">
        <f t="shared" si="77"/>
        <v>23.985406432522741</v>
      </c>
      <c r="AM319" s="27">
        <f t="shared" si="77"/>
        <v>24.023214385489801</v>
      </c>
      <c r="AN319" s="27">
        <f t="shared" si="77"/>
        <v>24.058754423403148</v>
      </c>
      <c r="AO319" s="27">
        <f t="shared" si="77"/>
        <v>24.092132337616977</v>
      </c>
      <c r="AP319" s="27">
        <f t="shared" si="77"/>
        <v>24.123210814968164</v>
      </c>
      <c r="AQ319" s="27">
        <f t="shared" si="77"/>
        <v>24.151510144713775</v>
      </c>
      <c r="AR319" s="27">
        <f t="shared" si="77"/>
        <v>24.176589662855413</v>
      </c>
      <c r="AS319" s="27">
        <f t="shared" si="77"/>
        <v>24.198451080516016</v>
      </c>
      <c r="AT319" s="27">
        <f t="shared" si="77"/>
        <v>24.21691477134674</v>
      </c>
      <c r="AU319" s="27">
        <f t="shared" si="77"/>
        <v>24.231999461535917</v>
      </c>
      <c r="AV319" s="27">
        <f t="shared" si="77"/>
        <v>24.244142676945735</v>
      </c>
      <c r="AW319" s="27">
        <f t="shared" si="77"/>
        <v>24.250946012159979</v>
      </c>
      <c r="AY319" s="79"/>
    </row>
    <row r="320" spans="1:51" x14ac:dyDescent="0.25">
      <c r="A320" s="95" t="str">
        <f t="shared" si="71"/>
        <v>GS Horses</v>
      </c>
      <c r="B320" s="95" t="s">
        <v>1020</v>
      </c>
      <c r="C320" s="95" t="s">
        <v>3</v>
      </c>
      <c r="D320" t="s">
        <v>15</v>
      </c>
      <c r="E320" t="s">
        <v>16</v>
      </c>
      <c r="F320" t="s">
        <v>20</v>
      </c>
      <c r="G320" t="s">
        <v>3</v>
      </c>
      <c r="H320" t="s">
        <v>1019</v>
      </c>
      <c r="I320" t="s">
        <v>121</v>
      </c>
      <c r="J320" t="s">
        <v>286</v>
      </c>
      <c r="K320" s="27">
        <f t="shared" si="72"/>
        <v>5.5526214800767892</v>
      </c>
      <c r="L320" s="27">
        <f t="shared" ref="L320:AW320" si="78">L1389</f>
        <v>5.579523571019652</v>
      </c>
      <c r="M320" s="27">
        <f t="shared" si="78"/>
        <v>5.6203482259438013</v>
      </c>
      <c r="N320" s="27">
        <f t="shared" si="78"/>
        <v>5.629075655008374</v>
      </c>
      <c r="O320" s="27">
        <f t="shared" si="78"/>
        <v>5.6165815405282276</v>
      </c>
      <c r="P320" s="27">
        <f t="shared" si="78"/>
        <v>5.5833231296706103</v>
      </c>
      <c r="Q320" s="27">
        <f t="shared" si="78"/>
        <v>5.5648827699457346</v>
      </c>
      <c r="R320" s="27">
        <f t="shared" si="78"/>
        <v>5.5483103177944031</v>
      </c>
      <c r="S320" s="27">
        <f t="shared" si="78"/>
        <v>5.2971852508905934</v>
      </c>
      <c r="T320" s="27">
        <f t="shared" si="78"/>
        <v>5.4545032105207021</v>
      </c>
      <c r="U320" s="27">
        <f t="shared" si="78"/>
        <v>5.5329638064801401</v>
      </c>
      <c r="V320" s="27">
        <f t="shared" si="78"/>
        <v>5.544813640469159</v>
      </c>
      <c r="W320" s="27">
        <f t="shared" si="78"/>
        <v>5.5552394312209037</v>
      </c>
      <c r="X320" s="27">
        <f t="shared" si="78"/>
        <v>5.5805371243140618</v>
      </c>
      <c r="Y320" s="27">
        <f t="shared" si="78"/>
        <v>5.6237182797404808</v>
      </c>
      <c r="Z320" s="27">
        <f t="shared" si="78"/>
        <v>5.6758191216830927</v>
      </c>
      <c r="AA320" s="27">
        <f t="shared" si="78"/>
        <v>5.7392036522982304</v>
      </c>
      <c r="AB320" s="27">
        <f t="shared" si="78"/>
        <v>5.8209863133515896</v>
      </c>
      <c r="AC320" s="27">
        <f t="shared" si="78"/>
        <v>5.9200988769206573</v>
      </c>
      <c r="AD320" s="27">
        <f t="shared" si="78"/>
        <v>6.0298529321871719</v>
      </c>
      <c r="AE320" s="27">
        <f t="shared" si="78"/>
        <v>6.1497995952254207</v>
      </c>
      <c r="AF320" s="27">
        <f t="shared" si="78"/>
        <v>6.2762315807434783</v>
      </c>
      <c r="AG320" s="27">
        <f t="shared" si="78"/>
        <v>6.4109152413607369</v>
      </c>
      <c r="AH320" s="27">
        <f t="shared" si="78"/>
        <v>6.552086974601302</v>
      </c>
      <c r="AI320" s="27">
        <f t="shared" si="78"/>
        <v>6.6933077398392395</v>
      </c>
      <c r="AJ320" s="27">
        <f t="shared" si="78"/>
        <v>6.8438679121481307</v>
      </c>
      <c r="AK320" s="27">
        <f t="shared" si="78"/>
        <v>6.9980784680830306</v>
      </c>
      <c r="AL320" s="27">
        <f t="shared" si="78"/>
        <v>7.1555200224058177</v>
      </c>
      <c r="AM320" s="27">
        <f t="shared" si="78"/>
        <v>7.3189945558292679</v>
      </c>
      <c r="AN320" s="27">
        <f t="shared" si="78"/>
        <v>7.4816205294730294</v>
      </c>
      <c r="AO320" s="27">
        <f t="shared" si="78"/>
        <v>7.6530966093944661</v>
      </c>
      <c r="AP320" s="27">
        <f t="shared" si="78"/>
        <v>7.8370750081366163</v>
      </c>
      <c r="AQ320" s="27">
        <f t="shared" si="78"/>
        <v>8.0278701064246079</v>
      </c>
      <c r="AR320" s="27">
        <f t="shared" si="78"/>
        <v>8.2260903165664789</v>
      </c>
      <c r="AS320" s="27">
        <f t="shared" si="78"/>
        <v>8.4385648916420113</v>
      </c>
      <c r="AT320" s="27">
        <f t="shared" si="78"/>
        <v>8.6634503637197486</v>
      </c>
      <c r="AU320" s="27">
        <f t="shared" si="78"/>
        <v>8.8995458740132776</v>
      </c>
      <c r="AV320" s="27">
        <f t="shared" si="78"/>
        <v>9.151348341874078</v>
      </c>
      <c r="AW320" s="27">
        <f t="shared" si="78"/>
        <v>9.3946927055732683</v>
      </c>
      <c r="AY320" s="79"/>
    </row>
    <row r="321" spans="1:51" x14ac:dyDescent="0.25">
      <c r="A321" s="95" t="str">
        <f t="shared" si="71"/>
        <v>GS Mules&amp;Asses</v>
      </c>
      <c r="B321" s="95" t="s">
        <v>1020</v>
      </c>
      <c r="C321" s="95" t="s">
        <v>1322</v>
      </c>
      <c r="D321" t="s">
        <v>15</v>
      </c>
      <c r="E321" t="s">
        <v>16</v>
      </c>
      <c r="F321" t="s">
        <v>140</v>
      </c>
      <c r="G321" t="s">
        <v>124</v>
      </c>
      <c r="H321" t="s">
        <v>1019</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5">
      <c r="A322" s="95" t="str">
        <f t="shared" si="71"/>
        <v>GS Swine</v>
      </c>
      <c r="B322" s="95" t="s">
        <v>1020</v>
      </c>
      <c r="C322" s="95" t="s">
        <v>155</v>
      </c>
      <c r="D322" t="s">
        <v>15</v>
      </c>
      <c r="E322" t="s">
        <v>16</v>
      </c>
      <c r="F322" t="s">
        <v>21</v>
      </c>
      <c r="G322" t="s">
        <v>122</v>
      </c>
      <c r="H322" t="s">
        <v>1019</v>
      </c>
      <c r="I322" t="s">
        <v>121</v>
      </c>
      <c r="J322" t="s">
        <v>286</v>
      </c>
      <c r="K322" s="27">
        <f t="shared" si="72"/>
        <v>1.8400999552016302</v>
      </c>
      <c r="L322" s="27">
        <f t="shared" ref="L322:AW322" si="80">L1391</f>
        <v>1.8300977880312248</v>
      </c>
      <c r="M322" s="27">
        <f t="shared" si="80"/>
        <v>1.8309187348828144</v>
      </c>
      <c r="N322" s="27">
        <f t="shared" si="80"/>
        <v>1.8141094978660446</v>
      </c>
      <c r="O322" s="27">
        <f t="shared" si="80"/>
        <v>1.7866561368117291</v>
      </c>
      <c r="P322" s="27">
        <f t="shared" si="80"/>
        <v>1.7489975228040082</v>
      </c>
      <c r="Q322" s="27">
        <f t="shared" si="80"/>
        <v>1.7216531928010093</v>
      </c>
      <c r="R322" s="27">
        <f t="shared" si="80"/>
        <v>1.6967284692901876</v>
      </c>
      <c r="S322" s="27">
        <f t="shared" si="80"/>
        <v>1.524204734718916</v>
      </c>
      <c r="T322" s="27">
        <f t="shared" si="80"/>
        <v>1.593081714161948</v>
      </c>
      <c r="U322" s="27">
        <f t="shared" si="80"/>
        <v>1.6139052959558671</v>
      </c>
      <c r="V322" s="27">
        <f t="shared" si="80"/>
        <v>1.5979776175047269</v>
      </c>
      <c r="W322" s="27">
        <f t="shared" si="80"/>
        <v>1.5839693089985563</v>
      </c>
      <c r="X322" s="27">
        <f t="shared" si="80"/>
        <v>1.5796400354975273</v>
      </c>
      <c r="Y322" s="27">
        <f t="shared" si="80"/>
        <v>1.5846136319816619</v>
      </c>
      <c r="Z322" s="27">
        <f t="shared" si="80"/>
        <v>1.5938774465709915</v>
      </c>
      <c r="AA322" s="27">
        <f t="shared" si="80"/>
        <v>1.6084883569821753</v>
      </c>
      <c r="AB322" s="27">
        <f t="shared" si="80"/>
        <v>1.6319593485428836</v>
      </c>
      <c r="AC322" s="27">
        <f t="shared" si="80"/>
        <v>1.6634709540368702</v>
      </c>
      <c r="AD322" s="27">
        <f t="shared" si="80"/>
        <v>1.6993359016898217</v>
      </c>
      <c r="AE322" s="27">
        <f t="shared" si="80"/>
        <v>1.7391981590716521</v>
      </c>
      <c r="AF322" s="27">
        <f t="shared" si="80"/>
        <v>1.7810637998476497</v>
      </c>
      <c r="AG322" s="27">
        <f t="shared" si="80"/>
        <v>1.8256518272462501</v>
      </c>
      <c r="AH322" s="27">
        <f t="shared" si="80"/>
        <v>1.8720011956576361</v>
      </c>
      <c r="AI322" s="27">
        <f t="shared" si="80"/>
        <v>1.9169799867438404</v>
      </c>
      <c r="AJ322" s="27">
        <f t="shared" si="80"/>
        <v>1.9649335737465348</v>
      </c>
      <c r="AK322" s="27">
        <f t="shared" si="80"/>
        <v>2.0129828074709066</v>
      </c>
      <c r="AL322" s="27">
        <f t="shared" si="80"/>
        <v>2.0608754146421031</v>
      </c>
      <c r="AM322" s="27">
        <f t="shared" si="80"/>
        <v>2.1098506270361996</v>
      </c>
      <c r="AN322" s="27">
        <f t="shared" si="80"/>
        <v>2.1567413105664199</v>
      </c>
      <c r="AO322" s="27">
        <f t="shared" si="80"/>
        <v>2.2058096743065145</v>
      </c>
      <c r="AP322" s="27">
        <f t="shared" si="80"/>
        <v>2.258470217432818</v>
      </c>
      <c r="AQ322" s="27">
        <f t="shared" si="80"/>
        <v>2.3120510725576544</v>
      </c>
      <c r="AR322" s="27">
        <f t="shared" si="80"/>
        <v>2.3666507440832505</v>
      </c>
      <c r="AS322" s="27">
        <f t="shared" si="80"/>
        <v>2.4249672048017872</v>
      </c>
      <c r="AT322" s="27">
        <f t="shared" si="80"/>
        <v>2.4859852344978988</v>
      </c>
      <c r="AU322" s="27">
        <f t="shared" si="80"/>
        <v>2.5490093093778539</v>
      </c>
      <c r="AV322" s="27">
        <f t="shared" si="80"/>
        <v>2.6156743076501083</v>
      </c>
      <c r="AW322" s="27">
        <f t="shared" si="80"/>
        <v>2.6760181986485878</v>
      </c>
      <c r="AY322" s="79"/>
    </row>
    <row r="323" spans="1:51" x14ac:dyDescent="0.25">
      <c r="A323" s="95" t="str">
        <f t="shared" si="71"/>
        <v>GS Swine</v>
      </c>
      <c r="B323" s="95" t="s">
        <v>1020</v>
      </c>
      <c r="C323" s="95" t="s">
        <v>155</v>
      </c>
      <c r="D323" t="s">
        <v>15</v>
      </c>
      <c r="E323" t="s">
        <v>16</v>
      </c>
      <c r="F323" t="s">
        <v>21</v>
      </c>
      <c r="G323" t="s">
        <v>123</v>
      </c>
      <c r="H323" t="s">
        <v>1019</v>
      </c>
      <c r="I323" t="s">
        <v>121</v>
      </c>
      <c r="J323" t="s">
        <v>286</v>
      </c>
      <c r="K323" s="27">
        <f t="shared" si="72"/>
        <v>0.25496723934882604</v>
      </c>
      <c r="L323" s="27">
        <f t="shared" ref="L323:AW323" si="81">L1392</f>
        <v>0.25358132281546891</v>
      </c>
      <c r="M323" s="27">
        <f t="shared" si="81"/>
        <v>0.25369507454499329</v>
      </c>
      <c r="N323" s="27">
        <f t="shared" si="81"/>
        <v>0.25136595935447836</v>
      </c>
      <c r="O323" s="27">
        <f t="shared" si="81"/>
        <v>0.24756197704412694</v>
      </c>
      <c r="P323" s="27">
        <f t="shared" si="81"/>
        <v>0.24234393830437845</v>
      </c>
      <c r="Q323" s="27">
        <f t="shared" si="81"/>
        <v>0.23855506351363698</v>
      </c>
      <c r="R323" s="27">
        <f t="shared" si="81"/>
        <v>0.2351014533295149</v>
      </c>
      <c r="S323" s="27">
        <f t="shared" si="81"/>
        <v>0.21119628437309981</v>
      </c>
      <c r="T323" s="27">
        <f t="shared" si="81"/>
        <v>0.22073999054712201</v>
      </c>
      <c r="U323" s="27">
        <f t="shared" si="81"/>
        <v>0.22362533987194619</v>
      </c>
      <c r="V323" s="27">
        <f t="shared" si="81"/>
        <v>0.22141837486852711</v>
      </c>
      <c r="W323" s="27">
        <f t="shared" si="81"/>
        <v>0.21947736088302675</v>
      </c>
      <c r="X323" s="27">
        <f t="shared" si="81"/>
        <v>0.2188774897130813</v>
      </c>
      <c r="Y323" s="27">
        <f t="shared" si="81"/>
        <v>0.21956663932237841</v>
      </c>
      <c r="Z323" s="27">
        <f t="shared" si="81"/>
        <v>0.22085024852252202</v>
      </c>
      <c r="AA323" s="27">
        <f t="shared" si="81"/>
        <v>0.22287476000701054</v>
      </c>
      <c r="AB323" s="27">
        <f t="shared" si="81"/>
        <v>0.22612693873028961</v>
      </c>
      <c r="AC323" s="27">
        <f t="shared" si="81"/>
        <v>0.23049323798351176</v>
      </c>
      <c r="AD323" s="27">
        <f t="shared" si="81"/>
        <v>0.23546274339902665</v>
      </c>
      <c r="AE323" s="27">
        <f t="shared" si="81"/>
        <v>0.24098612254488616</v>
      </c>
      <c r="AF323" s="27">
        <f t="shared" si="81"/>
        <v>0.24678709374867933</v>
      </c>
      <c r="AG323" s="27">
        <f t="shared" si="81"/>
        <v>0.25296528326588152</v>
      </c>
      <c r="AH323" s="27">
        <f t="shared" si="81"/>
        <v>0.25938752705541407</v>
      </c>
      <c r="AI323" s="27">
        <f t="shared" si="81"/>
        <v>0.26561986142403288</v>
      </c>
      <c r="AJ323" s="27">
        <f t="shared" si="81"/>
        <v>0.27226438834790373</v>
      </c>
      <c r="AK323" s="27">
        <f t="shared" si="81"/>
        <v>0.27892216823692451</v>
      </c>
      <c r="AL323" s="27">
        <f t="shared" si="81"/>
        <v>0.28555824569627086</v>
      </c>
      <c r="AM323" s="27">
        <f t="shared" si="81"/>
        <v>0.29234433069417909</v>
      </c>
      <c r="AN323" s="27">
        <f t="shared" si="81"/>
        <v>0.298841579986036</v>
      </c>
      <c r="AO323" s="27">
        <f t="shared" si="81"/>
        <v>0.30564057218578583</v>
      </c>
      <c r="AP323" s="27">
        <f t="shared" si="81"/>
        <v>0.3129373025973966</v>
      </c>
      <c r="AQ323" s="27">
        <f t="shared" si="81"/>
        <v>0.32036155293472796</v>
      </c>
      <c r="AR323" s="27">
        <f t="shared" si="81"/>
        <v>0.32792697212778937</v>
      </c>
      <c r="AS323" s="27">
        <f t="shared" si="81"/>
        <v>0.33600739566998233</v>
      </c>
      <c r="AT323" s="27">
        <f t="shared" si="81"/>
        <v>0.34446215299886757</v>
      </c>
      <c r="AU323" s="27">
        <f t="shared" si="81"/>
        <v>0.35319487120758841</v>
      </c>
      <c r="AV323" s="27">
        <f t="shared" si="81"/>
        <v>0.3624320816768471</v>
      </c>
      <c r="AW323" s="27">
        <f t="shared" si="81"/>
        <v>0.37079342925253511</v>
      </c>
      <c r="AY323" s="79"/>
    </row>
    <row r="324" spans="1:51" x14ac:dyDescent="0.25">
      <c r="A324" s="95" t="str">
        <f t="shared" si="71"/>
        <v>GS Cattle MMCH4</v>
      </c>
      <c r="B324" s="95" t="s">
        <v>1020</v>
      </c>
      <c r="C324" s="95" t="s">
        <v>1228</v>
      </c>
      <c r="D324" t="s">
        <v>15</v>
      </c>
      <c r="E324" t="s">
        <v>22</v>
      </c>
      <c r="F324" t="s">
        <v>6</v>
      </c>
      <c r="G324" t="s">
        <v>136</v>
      </c>
      <c r="H324" t="s">
        <v>1226</v>
      </c>
      <c r="I324" t="s">
        <v>121</v>
      </c>
      <c r="J324" t="s">
        <v>286</v>
      </c>
      <c r="K324" s="27">
        <f>K1393</f>
        <v>7.351330651107908</v>
      </c>
      <c r="L324" s="27">
        <f t="shared" ref="L324:AW331" si="82">L1393</f>
        <v>7.3924283487896005</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7.5825135825669054</v>
      </c>
      <c r="S324" s="27">
        <f t="shared" si="82"/>
        <v>7.3635054789242087</v>
      </c>
      <c r="T324" s="27">
        <f t="shared" si="82"/>
        <v>7.5119983216779529</v>
      </c>
      <c r="U324" s="27">
        <f t="shared" si="82"/>
        <v>7.5857115422581893</v>
      </c>
      <c r="V324" s="27">
        <f t="shared" si="82"/>
        <v>7.6049624433961522</v>
      </c>
      <c r="W324" s="27">
        <f t="shared" si="82"/>
        <v>7.6323349638068887</v>
      </c>
      <c r="X324" s="27">
        <f t="shared" si="82"/>
        <v>7.6782662594179314</v>
      </c>
      <c r="Y324" s="27">
        <f t="shared" si="82"/>
        <v>7.7389431173667962</v>
      </c>
      <c r="Z324" s="27">
        <f t="shared" si="82"/>
        <v>7.8068776236096697</v>
      </c>
      <c r="AA324" s="27">
        <f t="shared" si="82"/>
        <v>7.88420933428013</v>
      </c>
      <c r="AB324" s="27">
        <f t="shared" si="82"/>
        <v>7.9775686845364202</v>
      </c>
      <c r="AC324" s="27">
        <f t="shared" si="82"/>
        <v>8.0864133355409642</v>
      </c>
      <c r="AD324" s="27">
        <f t="shared" si="82"/>
        <v>8.2048813891102359</v>
      </c>
      <c r="AE324" s="27">
        <f t="shared" si="82"/>
        <v>8.3328657755649527</v>
      </c>
      <c r="AF324" s="27">
        <f t="shared" si="82"/>
        <v>8.4671187588996872</v>
      </c>
      <c r="AG324" s="27">
        <f t="shared" si="82"/>
        <v>8.6091419335499069</v>
      </c>
      <c r="AH324" s="27">
        <f t="shared" si="82"/>
        <v>8.7574749892645496</v>
      </c>
      <c r="AI324" s="27">
        <f t="shared" si="82"/>
        <v>8.9064020314048324</v>
      </c>
      <c r="AJ324" s="27">
        <f t="shared" si="82"/>
        <v>9.0642998358305835</v>
      </c>
      <c r="AK324" s="27">
        <f t="shared" si="82"/>
        <v>9.2256487767776196</v>
      </c>
      <c r="AL324" s="27">
        <f t="shared" si="82"/>
        <v>9.3900384918162416</v>
      </c>
      <c r="AM324" s="27">
        <f t="shared" si="82"/>
        <v>9.5601174973828691</v>
      </c>
      <c r="AN324" s="27">
        <f t="shared" si="82"/>
        <v>9.7295365069027504</v>
      </c>
      <c r="AO324" s="27">
        <f t="shared" si="82"/>
        <v>9.9070935852539623</v>
      </c>
      <c r="AP324" s="27">
        <f t="shared" si="82"/>
        <v>10.096066907799957</v>
      </c>
      <c r="AQ324" s="27">
        <f t="shared" si="82"/>
        <v>10.291098999348057</v>
      </c>
      <c r="AR324" s="27">
        <f t="shared" si="82"/>
        <v>10.492542704095264</v>
      </c>
      <c r="AS324" s="27">
        <f t="shared" si="82"/>
        <v>10.706596925892969</v>
      </c>
      <c r="AT324" s="27">
        <f t="shared" si="82"/>
        <v>10.931461457010631</v>
      </c>
      <c r="AU324" s="27">
        <f t="shared" si="82"/>
        <v>11.165976151570428</v>
      </c>
      <c r="AV324" s="27">
        <f t="shared" si="82"/>
        <v>11.414366787540366</v>
      </c>
      <c r="AW324" s="27">
        <f t="shared" si="82"/>
        <v>11.653364369886001</v>
      </c>
      <c r="AY324" s="79"/>
    </row>
    <row r="325" spans="1:51" x14ac:dyDescent="0.25">
      <c r="A325" s="95" t="str">
        <f t="shared" si="71"/>
        <v>GS Cattle MMCH4</v>
      </c>
      <c r="B325" s="95" t="s">
        <v>1020</v>
      </c>
      <c r="C325" s="95" t="s">
        <v>1228</v>
      </c>
      <c r="D325" t="s">
        <v>15</v>
      </c>
      <c r="E325" t="s">
        <v>22</v>
      </c>
      <c r="F325" t="s">
        <v>6</v>
      </c>
      <c r="G325" t="s">
        <v>137</v>
      </c>
      <c r="H325" t="s">
        <v>1226</v>
      </c>
      <c r="I325" t="s">
        <v>121</v>
      </c>
      <c r="J325" t="s">
        <v>286</v>
      </c>
      <c r="K325" s="27">
        <f t="shared" ref="K325:Z359" si="83">K1394</f>
        <v>2.0944490884992821</v>
      </c>
      <c r="L325" s="27">
        <f t="shared" si="83"/>
        <v>2.1061581299686476</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2.1603148348588097</v>
      </c>
      <c r="S325" s="27">
        <f t="shared" si="83"/>
        <v>2.0979177880086217</v>
      </c>
      <c r="T325" s="27">
        <f t="shared" si="83"/>
        <v>2.1402245095961443</v>
      </c>
      <c r="U325" s="27">
        <f t="shared" si="83"/>
        <v>2.1612259574947443</v>
      </c>
      <c r="V325" s="27">
        <f t="shared" si="83"/>
        <v>2.1667106832205718</v>
      </c>
      <c r="W325" s="27">
        <f t="shared" si="83"/>
        <v>2.1745093190247649</v>
      </c>
      <c r="X325" s="27">
        <f t="shared" si="83"/>
        <v>2.1875954886982294</v>
      </c>
      <c r="Y325" s="27">
        <f t="shared" si="83"/>
        <v>2.2048827793746253</v>
      </c>
      <c r="Z325" s="27">
        <f t="shared" si="83"/>
        <v>2.224237828335264</v>
      </c>
      <c r="AA325" s="27">
        <f t="shared" si="82"/>
        <v>2.2462702111259123</v>
      </c>
      <c r="AB325" s="27">
        <f t="shared" si="82"/>
        <v>2.2728689883170463</v>
      </c>
      <c r="AC325" s="27">
        <f t="shared" si="82"/>
        <v>2.3038796435172904</v>
      </c>
      <c r="AD325" s="27">
        <f t="shared" si="82"/>
        <v>2.3376320780887165</v>
      </c>
      <c r="AE325" s="27">
        <f t="shared" si="82"/>
        <v>2.3740957870788466</v>
      </c>
      <c r="AF325" s="27">
        <f t="shared" si="82"/>
        <v>2.4123454662075314</v>
      </c>
      <c r="AG325" s="27">
        <f t="shared" si="82"/>
        <v>2.4528089309609635</v>
      </c>
      <c r="AH325" s="27">
        <f t="shared" si="82"/>
        <v>2.495070128025882</v>
      </c>
      <c r="AI325" s="27">
        <f t="shared" si="82"/>
        <v>2.537500556266326</v>
      </c>
      <c r="AJ325" s="27">
        <f t="shared" si="82"/>
        <v>2.5824868217808161</v>
      </c>
      <c r="AK325" s="27">
        <f t="shared" si="82"/>
        <v>2.6284563419038043</v>
      </c>
      <c r="AL325" s="27">
        <f t="shared" si="82"/>
        <v>2.6752922013096669</v>
      </c>
      <c r="AM325" s="27">
        <f t="shared" si="82"/>
        <v>2.7237489821413385</v>
      </c>
      <c r="AN325" s="27">
        <f t="shared" si="82"/>
        <v>2.772017725162697</v>
      </c>
      <c r="AO325" s="27">
        <f t="shared" si="82"/>
        <v>2.8226050648646934</v>
      </c>
      <c r="AP325" s="27">
        <f t="shared" si="82"/>
        <v>2.8764449779282546</v>
      </c>
      <c r="AQ325" s="27">
        <f t="shared" si="82"/>
        <v>2.9320110795984959</v>
      </c>
      <c r="AR325" s="27">
        <f t="shared" si="82"/>
        <v>2.989403897826326</v>
      </c>
      <c r="AS325" s="27">
        <f t="shared" si="82"/>
        <v>3.0503895466851563</v>
      </c>
      <c r="AT325" s="27">
        <f t="shared" si="82"/>
        <v>3.1144551335274819</v>
      </c>
      <c r="AU325" s="27">
        <f t="shared" si="82"/>
        <v>3.1812701241151289</v>
      </c>
      <c r="AV325" s="27">
        <f t="shared" si="82"/>
        <v>3.2520384741988773</v>
      </c>
      <c r="AW325" s="27">
        <f t="shared" si="82"/>
        <v>3.3201306730475184</v>
      </c>
      <c r="AY325" s="79"/>
    </row>
    <row r="326" spans="1:51" x14ac:dyDescent="0.25">
      <c r="A326" s="95" t="str">
        <f t="shared" si="71"/>
        <v>GS Cattle MMCH4</v>
      </c>
      <c r="B326" s="95" t="s">
        <v>1020</v>
      </c>
      <c r="C326" s="95" t="s">
        <v>1228</v>
      </c>
      <c r="D326" t="s">
        <v>15</v>
      </c>
      <c r="E326" t="s">
        <v>22</v>
      </c>
      <c r="F326" t="s">
        <v>67</v>
      </c>
      <c r="G326" t="s">
        <v>307</v>
      </c>
      <c r="H326" t="s">
        <v>1226</v>
      </c>
      <c r="I326" t="s">
        <v>121</v>
      </c>
      <c r="J326" t="s">
        <v>286</v>
      </c>
      <c r="K326" s="27">
        <f t="shared" si="83"/>
        <v>0.43258377187145641</v>
      </c>
      <c r="L326" s="27">
        <f t="shared" si="82"/>
        <v>0.43500213637199753</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0.44618756541973903</v>
      </c>
      <c r="S326" s="27">
        <f t="shared" si="82"/>
        <v>0.4333001908694058</v>
      </c>
      <c r="T326" s="27">
        <f t="shared" si="82"/>
        <v>0.44203814554223075</v>
      </c>
      <c r="U326" s="27">
        <f t="shared" si="82"/>
        <v>0.44637574706075117</v>
      </c>
      <c r="V326" s="27">
        <f t="shared" si="82"/>
        <v>0.44750855251073168</v>
      </c>
      <c r="W326" s="27">
        <f t="shared" si="82"/>
        <v>0.44911926881324493</v>
      </c>
      <c r="X326" s="27">
        <f t="shared" si="82"/>
        <v>0.45182206291207566</v>
      </c>
      <c r="Y326" s="27">
        <f t="shared" si="82"/>
        <v>0.45539254903527465</v>
      </c>
      <c r="Z326" s="27">
        <f t="shared" si="82"/>
        <v>0.45939010625933163</v>
      </c>
      <c r="AA326" s="27">
        <f t="shared" si="82"/>
        <v>0.46394063522813239</v>
      </c>
      <c r="AB326" s="27">
        <f t="shared" si="82"/>
        <v>0.46943429913607365</v>
      </c>
      <c r="AC326" s="27">
        <f t="shared" si="82"/>
        <v>0.47583918444380807</v>
      </c>
      <c r="AD326" s="27">
        <f t="shared" si="82"/>
        <v>0.48281035196319333</v>
      </c>
      <c r="AE326" s="27">
        <f t="shared" si="82"/>
        <v>0.49034150125585807</v>
      </c>
      <c r="AF326" s="27">
        <f t="shared" si="82"/>
        <v>0.49824152162933733</v>
      </c>
      <c r="AG326" s="27">
        <f t="shared" si="82"/>
        <v>0.50659877332962533</v>
      </c>
      <c r="AH326" s="27">
        <f t="shared" si="82"/>
        <v>0.51532732544890569</v>
      </c>
      <c r="AI326" s="27">
        <f t="shared" si="82"/>
        <v>0.52409083027275605</v>
      </c>
      <c r="AJ326" s="27">
        <f t="shared" si="82"/>
        <v>0.53338221315980094</v>
      </c>
      <c r="AK326" s="27">
        <f t="shared" si="82"/>
        <v>0.54287667569656828</v>
      </c>
      <c r="AL326" s="27">
        <f t="shared" si="82"/>
        <v>0.55255007040063653</v>
      </c>
      <c r="AM326" s="27">
        <f t="shared" si="82"/>
        <v>0.56255824731933757</v>
      </c>
      <c r="AN326" s="27">
        <f t="shared" si="82"/>
        <v>0.57252758724472796</v>
      </c>
      <c r="AO326" s="27">
        <f t="shared" si="82"/>
        <v>0.58297580598510912</v>
      </c>
      <c r="AP326" s="27">
        <f t="shared" si="82"/>
        <v>0.59409580541510443</v>
      </c>
      <c r="AQ326" s="27">
        <f t="shared" si="82"/>
        <v>0.60557232875515321</v>
      </c>
      <c r="AR326" s="27">
        <f t="shared" si="82"/>
        <v>0.61742613886858821</v>
      </c>
      <c r="AS326" s="27">
        <f t="shared" si="82"/>
        <v>0.63002200580001311</v>
      </c>
      <c r="AT326" s="27">
        <f t="shared" si="82"/>
        <v>0.64325399761857238</v>
      </c>
      <c r="AU326" s="27">
        <f t="shared" si="82"/>
        <v>0.65705384637339226</v>
      </c>
      <c r="AV326" s="27">
        <f t="shared" si="82"/>
        <v>0.6716702149337197</v>
      </c>
      <c r="AW326" s="27">
        <f t="shared" si="82"/>
        <v>0.6857338560003412</v>
      </c>
      <c r="AY326" s="79"/>
    </row>
    <row r="327" spans="1:51" x14ac:dyDescent="0.25">
      <c r="A327" s="95" t="str">
        <f t="shared" si="71"/>
        <v>GS Cattle MMCH4</v>
      </c>
      <c r="B327" s="95" t="s">
        <v>1020</v>
      </c>
      <c r="C327" s="95" t="s">
        <v>1228</v>
      </c>
      <c r="D327" t="s">
        <v>15</v>
      </c>
      <c r="E327" t="s">
        <v>22</v>
      </c>
      <c r="F327" t="s">
        <v>67</v>
      </c>
      <c r="G327" t="s">
        <v>122</v>
      </c>
      <c r="H327" t="s">
        <v>1226</v>
      </c>
      <c r="I327" t="s">
        <v>121</v>
      </c>
      <c r="J327" t="s">
        <v>286</v>
      </c>
      <c r="K327" s="27">
        <f t="shared" si="83"/>
        <v>9.4871637196006511E-2</v>
      </c>
      <c r="L327" s="27">
        <f t="shared" si="82"/>
        <v>9.404884578461549E-2</v>
      </c>
      <c r="M327" s="27">
        <f t="shared" si="82"/>
        <v>9.3735634002294205E-2</v>
      </c>
      <c r="N327" s="27">
        <f t="shared" si="82"/>
        <v>9.2483917307495084E-2</v>
      </c>
      <c r="O327" s="27">
        <f t="shared" si="82"/>
        <v>9.0667019955957301E-2</v>
      </c>
      <c r="P327" s="27">
        <f t="shared" si="82"/>
        <v>8.8322512540543865E-2</v>
      </c>
      <c r="Q327" s="27">
        <f t="shared" si="82"/>
        <v>8.6473330972337892E-2</v>
      </c>
      <c r="R327" s="27">
        <f t="shared" si="82"/>
        <v>8.4723794986300283E-2</v>
      </c>
      <c r="S327" s="27">
        <f t="shared" si="82"/>
        <v>7.5654493606876719E-2</v>
      </c>
      <c r="T327" s="27">
        <f t="shared" si="82"/>
        <v>7.9271557778310117E-2</v>
      </c>
      <c r="U327" s="27">
        <f t="shared" si="82"/>
        <v>8.0523786090551941E-2</v>
      </c>
      <c r="V327" s="27">
        <f t="shared" si="82"/>
        <v>7.9979986949743884E-2</v>
      </c>
      <c r="W327" s="27">
        <f t="shared" si="82"/>
        <v>7.953764463923213E-2</v>
      </c>
      <c r="X327" s="27">
        <f t="shared" si="82"/>
        <v>7.9566701648766641E-2</v>
      </c>
      <c r="Y327" s="27">
        <f t="shared" si="82"/>
        <v>8.0033923406415561E-2</v>
      </c>
      <c r="Z327" s="27">
        <f t="shared" si="82"/>
        <v>8.0696879014232822E-2</v>
      </c>
      <c r="AA327" s="27">
        <f t="shared" si="82"/>
        <v>8.1608968762296855E-2</v>
      </c>
      <c r="AB327" s="27">
        <f t="shared" si="82"/>
        <v>8.294500125938338E-2</v>
      </c>
      <c r="AC327" s="27">
        <f t="shared" si="82"/>
        <v>8.4667243855728658E-2</v>
      </c>
      <c r="AD327" s="27">
        <f t="shared" si="82"/>
        <v>8.5867982908629403E-2</v>
      </c>
      <c r="AE327" s="27">
        <f t="shared" si="82"/>
        <v>8.7210563420463058E-2</v>
      </c>
      <c r="AF327" s="27">
        <f t="shared" si="82"/>
        <v>8.8593806779096215E-2</v>
      </c>
      <c r="AG327" s="27">
        <f t="shared" si="82"/>
        <v>9.0048440137839775E-2</v>
      </c>
      <c r="AH327" s="27">
        <f t="shared" si="82"/>
        <v>9.1524860898689164E-2</v>
      </c>
      <c r="AI327" s="27">
        <f t="shared" si="82"/>
        <v>9.2873095408058187E-2</v>
      </c>
      <c r="AJ327" s="27">
        <f t="shared" si="82"/>
        <v>9.4295235372679823E-2</v>
      </c>
      <c r="AK327" s="27">
        <f t="shared" si="82"/>
        <v>9.5652981013283067E-2</v>
      </c>
      <c r="AL327" s="27">
        <f t="shared" si="82"/>
        <v>9.6933251950102856E-2</v>
      </c>
      <c r="AM327" s="27">
        <f t="shared" si="82"/>
        <v>9.8190775072259484E-2</v>
      </c>
      <c r="AN327" s="27">
        <f t="shared" si="82"/>
        <v>9.9787639127038461E-2</v>
      </c>
      <c r="AO327" s="27">
        <f t="shared" si="82"/>
        <v>0.1014392914748115</v>
      </c>
      <c r="AP327" s="27">
        <f t="shared" si="82"/>
        <v>0.10320575500989811</v>
      </c>
      <c r="AQ327" s="27">
        <f t="shared" si="82"/>
        <v>0.10496534581683413</v>
      </c>
      <c r="AR327" s="27">
        <f t="shared" si="82"/>
        <v>0.10672034773942209</v>
      </c>
      <c r="AS327" s="27">
        <f t="shared" si="82"/>
        <v>0.10858609964826429</v>
      </c>
      <c r="AT327" s="27">
        <f t="shared" si="82"/>
        <v>0.11051429251988212</v>
      </c>
      <c r="AU327" s="27">
        <f t="shared" si="82"/>
        <v>0.11247140287446589</v>
      </c>
      <c r="AV327" s="27">
        <f t="shared" si="82"/>
        <v>0.11452403240118444</v>
      </c>
      <c r="AW327" s="27">
        <f t="shared" si="82"/>
        <v>0.1162449069229001</v>
      </c>
      <c r="AY327" s="79"/>
    </row>
    <row r="328" spans="1:51" x14ac:dyDescent="0.25">
      <c r="A328" s="95" t="str">
        <f t="shared" si="71"/>
        <v>GS Cattle MMCH4</v>
      </c>
      <c r="B328" s="95" t="s">
        <v>1020</v>
      </c>
      <c r="C328" s="95" t="s">
        <v>1228</v>
      </c>
      <c r="D328" t="s">
        <v>15</v>
      </c>
      <c r="E328" t="s">
        <v>22</v>
      </c>
      <c r="F328" t="s">
        <v>67</v>
      </c>
      <c r="G328" t="s">
        <v>123</v>
      </c>
      <c r="H328" t="s">
        <v>1226</v>
      </c>
      <c r="I328" t="s">
        <v>121</v>
      </c>
      <c r="J328" t="s">
        <v>286</v>
      </c>
      <c r="K328" s="27">
        <f t="shared" si="83"/>
        <v>6.9689449734106276E-2</v>
      </c>
      <c r="L328" s="27">
        <f t="shared" si="82"/>
        <v>6.9085055392440989E-2</v>
      </c>
      <c r="M328" s="27">
        <f t="shared" si="82"/>
        <v>6.8854980763127779E-2</v>
      </c>
      <c r="N328" s="27">
        <f t="shared" si="82"/>
        <v>6.7935512624264269E-2</v>
      </c>
      <c r="O328" s="27">
        <f t="shared" si="82"/>
        <v>6.6600882165738229E-2</v>
      </c>
      <c r="P328" s="27">
        <f t="shared" si="82"/>
        <v>6.4878687456057696E-2</v>
      </c>
      <c r="Q328" s="27">
        <f t="shared" si="82"/>
        <v>6.3520342119606069E-2</v>
      </c>
      <c r="R328" s="27">
        <f t="shared" si="82"/>
        <v>6.2235193009075998E-2</v>
      </c>
      <c r="S328" s="27">
        <f t="shared" si="82"/>
        <v>5.5573195374324494E-2</v>
      </c>
      <c r="T328" s="27">
        <f t="shared" si="82"/>
        <v>5.8230166616839892E-2</v>
      </c>
      <c r="U328" s="27">
        <f t="shared" si="82"/>
        <v>5.9150010572323733E-2</v>
      </c>
      <c r="V328" s="27">
        <f t="shared" si="82"/>
        <v>5.8750554380685591E-2</v>
      </c>
      <c r="W328" s="27">
        <f t="shared" si="82"/>
        <v>5.8425624895701689E-2</v>
      </c>
      <c r="X328" s="27">
        <f t="shared" si="82"/>
        <v>5.8446969177989083E-2</v>
      </c>
      <c r="Y328" s="27">
        <f t="shared" si="82"/>
        <v>5.8790174251251236E-2</v>
      </c>
      <c r="Z328" s="27">
        <f t="shared" si="82"/>
        <v>5.9277158695416256E-2</v>
      </c>
      <c r="AA328" s="27">
        <f t="shared" si="82"/>
        <v>5.9947148531465801E-2</v>
      </c>
      <c r="AB328" s="27">
        <f t="shared" si="82"/>
        <v>6.0928552165899576E-2</v>
      </c>
      <c r="AC328" s="27">
        <f t="shared" si="82"/>
        <v>6.2193652488770283E-2</v>
      </c>
      <c r="AD328" s="27">
        <f t="shared" si="82"/>
        <v>6.3075674200886653E-2</v>
      </c>
      <c r="AE328" s="27">
        <f t="shared" si="82"/>
        <v>6.4061887782297905E-2</v>
      </c>
      <c r="AF328" s="27">
        <f t="shared" si="82"/>
        <v>6.5077970895866852E-2</v>
      </c>
      <c r="AG328" s="27">
        <f t="shared" si="82"/>
        <v>6.6146494654198057E-2</v>
      </c>
      <c r="AH328" s="27">
        <f t="shared" si="82"/>
        <v>6.7231022690612471E-2</v>
      </c>
      <c r="AI328" s="27">
        <f t="shared" si="82"/>
        <v>6.8221389504630262E-2</v>
      </c>
      <c r="AJ328" s="27">
        <f t="shared" si="82"/>
        <v>6.9266044730455056E-2</v>
      </c>
      <c r="AK328" s="27">
        <f t="shared" si="82"/>
        <v>7.026339809516019E-2</v>
      </c>
      <c r="AL328" s="27">
        <f t="shared" si="82"/>
        <v>7.1203841200544876E-2</v>
      </c>
      <c r="AM328" s="27">
        <f t="shared" si="82"/>
        <v>7.2127574541732534E-2</v>
      </c>
      <c r="AN328" s="27">
        <f t="shared" si="82"/>
        <v>7.3300576089579794E-2</v>
      </c>
      <c r="AO328" s="27">
        <f t="shared" si="82"/>
        <v>7.4513823237729482E-2</v>
      </c>
      <c r="AP328" s="27">
        <f t="shared" si="82"/>
        <v>7.5811406745023818E-2</v>
      </c>
      <c r="AQ328" s="27">
        <f t="shared" si="82"/>
        <v>7.7103941782015115E-2</v>
      </c>
      <c r="AR328" s="27">
        <f t="shared" si="82"/>
        <v>7.8393105982004302E-2</v>
      </c>
      <c r="AS328" s="27">
        <f t="shared" si="82"/>
        <v>7.9763623322175625E-2</v>
      </c>
      <c r="AT328" s="27">
        <f t="shared" si="82"/>
        <v>8.1180007651315583E-2</v>
      </c>
      <c r="AU328" s="27">
        <f t="shared" si="82"/>
        <v>8.2617633771312649E-2</v>
      </c>
      <c r="AV328" s="27">
        <f t="shared" si="82"/>
        <v>8.4125424997993567E-2</v>
      </c>
      <c r="AW328" s="27">
        <f t="shared" si="82"/>
        <v>8.5389520380178607E-2</v>
      </c>
      <c r="AY328" s="79"/>
    </row>
    <row r="329" spans="1:51" x14ac:dyDescent="0.25">
      <c r="A329" s="95" t="str">
        <f t="shared" si="71"/>
        <v>GS Cattle MMCH4</v>
      </c>
      <c r="B329" s="95" t="s">
        <v>1020</v>
      </c>
      <c r="C329" s="95" t="s">
        <v>1228</v>
      </c>
      <c r="D329" t="s">
        <v>15</v>
      </c>
      <c r="E329" t="s">
        <v>22</v>
      </c>
      <c r="F329" t="s">
        <v>67</v>
      </c>
      <c r="G329" t="s">
        <v>135</v>
      </c>
      <c r="H329" t="s">
        <v>1226</v>
      </c>
      <c r="I329" t="s">
        <v>121</v>
      </c>
      <c r="J329" t="s">
        <v>286</v>
      </c>
      <c r="K329" s="27">
        <f t="shared" si="83"/>
        <v>0.47107022937833815</v>
      </c>
      <c r="L329" s="27">
        <f t="shared" si="82"/>
        <v>0.48695387967725917</v>
      </c>
      <c r="M329" s="27">
        <f t="shared" si="82"/>
        <v>0.50580611066616787</v>
      </c>
      <c r="N329" s="27">
        <f t="shared" si="82"/>
        <v>0.5198656905589939</v>
      </c>
      <c r="O329" s="27">
        <f t="shared" si="82"/>
        <v>0.53070826286138517</v>
      </c>
      <c r="P329" s="27">
        <f t="shared" si="82"/>
        <v>0.53817886796858128</v>
      </c>
      <c r="Q329" s="27">
        <f t="shared" si="82"/>
        <v>0.54837935702304741</v>
      </c>
      <c r="R329" s="27">
        <f t="shared" si="82"/>
        <v>0.55907244781022658</v>
      </c>
      <c r="S329" s="27">
        <f t="shared" si="82"/>
        <v>0.51940277612263608</v>
      </c>
      <c r="T329" s="27">
        <f t="shared" si="82"/>
        <v>0.55734768073083851</v>
      </c>
      <c r="U329" s="27">
        <f t="shared" si="82"/>
        <v>0.57960474973304943</v>
      </c>
      <c r="V329" s="27">
        <f t="shared" si="82"/>
        <v>0.58919613300783547</v>
      </c>
      <c r="W329" s="27">
        <f t="shared" si="82"/>
        <v>0.59952169359823548</v>
      </c>
      <c r="X329" s="27">
        <f t="shared" si="82"/>
        <v>0.61349330548493453</v>
      </c>
      <c r="Y329" s="27">
        <f t="shared" si="82"/>
        <v>0.63110337066637079</v>
      </c>
      <c r="Z329" s="27">
        <f t="shared" si="82"/>
        <v>0.65064008423990027</v>
      </c>
      <c r="AA329" s="27">
        <f t="shared" si="82"/>
        <v>0.67266194335256146</v>
      </c>
      <c r="AB329" s="27">
        <f t="shared" si="82"/>
        <v>0.69879229877984206</v>
      </c>
      <c r="AC329" s="27">
        <f t="shared" si="82"/>
        <v>0.72895809146559021</v>
      </c>
      <c r="AD329" s="27">
        <f t="shared" si="82"/>
        <v>0.76381313429213382</v>
      </c>
      <c r="AE329" s="27">
        <f t="shared" si="82"/>
        <v>0.80153113832193645</v>
      </c>
      <c r="AF329" s="27">
        <f t="shared" si="82"/>
        <v>0.84136759742134326</v>
      </c>
      <c r="AG329" s="27">
        <f t="shared" si="82"/>
        <v>0.88375975405626439</v>
      </c>
      <c r="AH329" s="27">
        <f t="shared" si="82"/>
        <v>0.92838040456636217</v>
      </c>
      <c r="AI329" s="27">
        <f t="shared" si="82"/>
        <v>0.97379529022362832</v>
      </c>
      <c r="AJ329" s="27">
        <f t="shared" si="82"/>
        <v>1.0221841318210139</v>
      </c>
      <c r="AK329" s="27">
        <f t="shared" si="82"/>
        <v>1.072208285270027</v>
      </c>
      <c r="AL329" s="27">
        <f t="shared" si="82"/>
        <v>1.123785168211771</v>
      </c>
      <c r="AM329" s="27">
        <f t="shared" si="82"/>
        <v>1.1776298462289758</v>
      </c>
      <c r="AN329" s="27">
        <f t="shared" si="82"/>
        <v>1.2305489615866252</v>
      </c>
      <c r="AO329" s="27">
        <f t="shared" si="82"/>
        <v>1.2863335234294737</v>
      </c>
      <c r="AP329" s="27">
        <f t="shared" si="82"/>
        <v>1.3459319381262367</v>
      </c>
      <c r="AQ329" s="27">
        <f t="shared" si="82"/>
        <v>1.4079553802544587</v>
      </c>
      <c r="AR329" s="27">
        <f t="shared" si="82"/>
        <v>1.4725543863966755</v>
      </c>
      <c r="AS329" s="27">
        <f t="shared" si="82"/>
        <v>1.5414959451453387</v>
      </c>
      <c r="AT329" s="27">
        <f t="shared" si="82"/>
        <v>1.6143551492479555</v>
      </c>
      <c r="AU329" s="27">
        <f t="shared" si="82"/>
        <v>1.6908665423569276</v>
      </c>
      <c r="AV329" s="27">
        <f t="shared" si="82"/>
        <v>1.7722717243433437</v>
      </c>
      <c r="AW329" s="27">
        <f t="shared" si="82"/>
        <v>1.852080501247541</v>
      </c>
      <c r="AY329" s="79"/>
    </row>
    <row r="330" spans="1:51" x14ac:dyDescent="0.25">
      <c r="A330" s="95" t="str">
        <f t="shared" si="71"/>
        <v>GS Sheep MMCH4</v>
      </c>
      <c r="B330" s="95" t="s">
        <v>1020</v>
      </c>
      <c r="C330" s="95" t="s">
        <v>1323</v>
      </c>
      <c r="D330" t="s">
        <v>15</v>
      </c>
      <c r="E330" t="s">
        <v>22</v>
      </c>
      <c r="F330" t="s">
        <v>18</v>
      </c>
      <c r="G330" t="s">
        <v>122</v>
      </c>
      <c r="H330" t="s">
        <v>1226</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3.6577867645106926E-2</v>
      </c>
      <c r="T330" s="27">
        <f t="shared" si="82"/>
        <v>3.6604195637780168E-2</v>
      </c>
      <c r="U330" s="27">
        <f t="shared" si="82"/>
        <v>3.6594939276300961E-2</v>
      </c>
      <c r="V330" s="27">
        <f t="shared" si="82"/>
        <v>3.6594272892103465E-2</v>
      </c>
      <c r="W330" s="27">
        <f t="shared" si="82"/>
        <v>3.663308878376182E-2</v>
      </c>
      <c r="X330" s="27">
        <f t="shared" si="82"/>
        <v>3.66966145669788E-2</v>
      </c>
      <c r="Y330" s="27">
        <f t="shared" si="82"/>
        <v>3.6757568260761757E-2</v>
      </c>
      <c r="Z330" s="27">
        <f t="shared" si="82"/>
        <v>3.6816146514376355E-2</v>
      </c>
      <c r="AA330" s="27">
        <f t="shared" si="82"/>
        <v>3.6872269383598041E-2</v>
      </c>
      <c r="AB330" s="27">
        <f t="shared" si="82"/>
        <v>3.6927106456158189E-2</v>
      </c>
      <c r="AC330" s="27">
        <f t="shared" si="82"/>
        <v>3.6981458757835407E-2</v>
      </c>
      <c r="AD330" s="27">
        <f t="shared" si="82"/>
        <v>3.7034780933234084E-2</v>
      </c>
      <c r="AE330" s="27">
        <f t="shared" si="82"/>
        <v>3.7087839668251105E-2</v>
      </c>
      <c r="AF330" s="27">
        <f t="shared" si="82"/>
        <v>3.7140467817616069E-2</v>
      </c>
      <c r="AG330" s="27">
        <f t="shared" si="82"/>
        <v>3.7192243691518308E-2</v>
      </c>
      <c r="AH330" s="27">
        <f t="shared" si="82"/>
        <v>3.7243395244831647E-2</v>
      </c>
      <c r="AI330" s="27">
        <f t="shared" si="82"/>
        <v>3.7293977063567109E-2</v>
      </c>
      <c r="AJ330" s="27">
        <f t="shared" si="82"/>
        <v>3.7344160870083701E-2</v>
      </c>
      <c r="AK330" s="27">
        <f t="shared" si="82"/>
        <v>3.7392411139770994E-2</v>
      </c>
      <c r="AL330" s="27">
        <f t="shared" si="82"/>
        <v>3.743867142078007E-2</v>
      </c>
      <c r="AM330" s="27">
        <f t="shared" si="82"/>
        <v>3.7483374065557115E-2</v>
      </c>
      <c r="AN330" s="27">
        <f t="shared" si="82"/>
        <v>3.7526174858995696E-2</v>
      </c>
      <c r="AO330" s="27">
        <f t="shared" si="82"/>
        <v>3.7567151445085212E-2</v>
      </c>
      <c r="AP330" s="27">
        <f t="shared" si="82"/>
        <v>3.7606119264532091E-2</v>
      </c>
      <c r="AQ330" s="27">
        <f t="shared" si="82"/>
        <v>3.7642520684787982E-2</v>
      </c>
      <c r="AR330" s="27">
        <f t="shared" si="82"/>
        <v>3.7675838960014932E-2</v>
      </c>
      <c r="AS330" s="27">
        <f t="shared" si="82"/>
        <v>3.7706040429411586E-2</v>
      </c>
      <c r="AT330" s="27">
        <f t="shared" si="82"/>
        <v>3.7732893978113372E-2</v>
      </c>
      <c r="AU330" s="27">
        <f t="shared" si="82"/>
        <v>3.7756386655025911E-2</v>
      </c>
      <c r="AV330" s="27">
        <f t="shared" si="82"/>
        <v>3.7776968038330937E-2</v>
      </c>
      <c r="AW330" s="27">
        <f t="shared" si="82"/>
        <v>3.7791964878546927E-2</v>
      </c>
      <c r="AY330" s="79"/>
    </row>
    <row r="331" spans="1:51" x14ac:dyDescent="0.25">
      <c r="A331" s="95" t="str">
        <f t="shared" si="71"/>
        <v>GS Sheep MMCH4</v>
      </c>
      <c r="B331" s="95" t="s">
        <v>1020</v>
      </c>
      <c r="C331" s="95" t="s">
        <v>1323</v>
      </c>
      <c r="D331" t="s">
        <v>15</v>
      </c>
      <c r="E331" t="s">
        <v>22</v>
      </c>
      <c r="F331" t="s">
        <v>18</v>
      </c>
      <c r="G331" t="s">
        <v>123</v>
      </c>
      <c r="H331" t="s">
        <v>1226</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4.1773668344855536E-3</v>
      </c>
      <c r="T331" s="27">
        <f t="shared" si="84"/>
        <v>4.1803736167419408E-3</v>
      </c>
      <c r="U331" s="27">
        <f t="shared" si="84"/>
        <v>4.1793164961403135E-3</v>
      </c>
      <c r="V331" s="27">
        <f t="shared" si="84"/>
        <v>4.1792403918886204E-3</v>
      </c>
      <c r="W331" s="27">
        <f t="shared" si="84"/>
        <v>4.1836733517330218E-3</v>
      </c>
      <c r="X331" s="27">
        <f t="shared" si="84"/>
        <v>4.190928298973798E-3</v>
      </c>
      <c r="Y331" s="27">
        <f t="shared" si="84"/>
        <v>4.197889501341273E-3</v>
      </c>
      <c r="Z331" s="27">
        <f t="shared" si="84"/>
        <v>4.204579417118921E-3</v>
      </c>
      <c r="AA331" s="27">
        <f t="shared" si="84"/>
        <v>4.2109889162952416E-3</v>
      </c>
      <c r="AB331" s="27">
        <f t="shared" si="84"/>
        <v>4.2172515713640264E-3</v>
      </c>
      <c r="AC331" s="27">
        <f t="shared" si="84"/>
        <v>4.2234588632873099E-3</v>
      </c>
      <c r="AD331" s="27">
        <f t="shared" si="84"/>
        <v>4.2295485098794577E-3</v>
      </c>
      <c r="AE331" s="27">
        <f t="shared" si="84"/>
        <v>4.2356080703243246E-3</v>
      </c>
      <c r="AF331" s="27">
        <f t="shared" si="84"/>
        <v>4.2416184558353278E-3</v>
      </c>
      <c r="AG331" s="27">
        <f t="shared" si="84"/>
        <v>4.247531507426093E-3</v>
      </c>
      <c r="AH331" s="27">
        <f t="shared" si="84"/>
        <v>4.2533732586297656E-3</v>
      </c>
      <c r="AI331" s="27">
        <f t="shared" si="84"/>
        <v>4.2591499434289888E-3</v>
      </c>
      <c r="AJ331" s="27">
        <f t="shared" si="84"/>
        <v>4.2648811733356808E-3</v>
      </c>
      <c r="AK331" s="27">
        <f t="shared" si="84"/>
        <v>4.2703915841202098E-3</v>
      </c>
      <c r="AL331" s="27">
        <f t="shared" si="84"/>
        <v>4.2756747287123493E-3</v>
      </c>
      <c r="AM331" s="27">
        <f t="shared" si="84"/>
        <v>4.2807799838222773E-3</v>
      </c>
      <c r="AN331" s="27">
        <f t="shared" si="84"/>
        <v>4.2856680384441249E-3</v>
      </c>
      <c r="AO331" s="27">
        <f t="shared" si="84"/>
        <v>4.2903477598915749E-3</v>
      </c>
      <c r="AP331" s="27">
        <f t="shared" si="84"/>
        <v>4.2947980706135938E-3</v>
      </c>
      <c r="AQ331" s="27">
        <f t="shared" si="84"/>
        <v>4.2989552863151904E-3</v>
      </c>
      <c r="AR331" s="27">
        <f t="shared" si="84"/>
        <v>4.3027603921585852E-3</v>
      </c>
      <c r="AS331" s="27">
        <f t="shared" si="84"/>
        <v>4.3062095439198199E-3</v>
      </c>
      <c r="AT331" s="27">
        <f t="shared" si="84"/>
        <v>4.3092763471797441E-3</v>
      </c>
      <c r="AU331" s="27">
        <f t="shared" si="84"/>
        <v>4.3119593228616469E-3</v>
      </c>
      <c r="AV331" s="27">
        <f t="shared" si="84"/>
        <v>4.3143098149368113E-3</v>
      </c>
      <c r="AW331" s="27">
        <f t="shared" si="84"/>
        <v>4.3160225255723297E-3</v>
      </c>
      <c r="AY331" s="79"/>
    </row>
    <row r="332" spans="1:51" x14ac:dyDescent="0.25">
      <c r="A332" s="95" t="str">
        <f t="shared" si="71"/>
        <v>GS Goats MMCH4</v>
      </c>
      <c r="B332" s="95" t="s">
        <v>1020</v>
      </c>
      <c r="C332" s="95" t="s">
        <v>1324</v>
      </c>
      <c r="D332" t="s">
        <v>15</v>
      </c>
      <c r="E332" t="s">
        <v>22</v>
      </c>
      <c r="F332" t="s">
        <v>19</v>
      </c>
      <c r="G332" t="s">
        <v>122</v>
      </c>
      <c r="H332" t="s">
        <v>1226</v>
      </c>
      <c r="I332" t="s">
        <v>121</v>
      </c>
      <c r="J332" t="s">
        <v>286</v>
      </c>
      <c r="K332" s="27">
        <f t="shared" si="83"/>
        <v>1.5789672763163298E-2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1.623065478441902E-2</v>
      </c>
      <c r="R332" s="27">
        <f t="shared" si="84"/>
        <v>1.6337439810579345E-2</v>
      </c>
      <c r="S332" s="27">
        <f t="shared" si="84"/>
        <v>1.6297380650984187E-2</v>
      </c>
      <c r="T332" s="27">
        <f t="shared" si="84"/>
        <v>1.6325395863941383E-2</v>
      </c>
      <c r="U332" s="27">
        <f t="shared" si="84"/>
        <v>1.6328114418990985E-2</v>
      </c>
      <c r="V332" s="27">
        <f t="shared" si="84"/>
        <v>1.6335588711282864E-2</v>
      </c>
      <c r="W332" s="27">
        <f t="shared" si="84"/>
        <v>1.6368634589950044E-2</v>
      </c>
      <c r="X332" s="27">
        <f t="shared" si="84"/>
        <v>1.641724322972727E-2</v>
      </c>
      <c r="Y332" s="27">
        <f t="shared" si="84"/>
        <v>1.6463127220508685E-2</v>
      </c>
      <c r="Z332" s="27">
        <f t="shared" si="84"/>
        <v>1.6506502302245762E-2</v>
      </c>
      <c r="AA332" s="27">
        <f t="shared" si="84"/>
        <v>1.6547390676749981E-2</v>
      </c>
      <c r="AB332" s="27">
        <f t="shared" si="84"/>
        <v>1.6586638401151873E-2</v>
      </c>
      <c r="AC332" s="27">
        <f t="shared" si="84"/>
        <v>1.6624834346576634E-2</v>
      </c>
      <c r="AD332" s="27">
        <f t="shared" si="84"/>
        <v>1.6661666671952648E-2</v>
      </c>
      <c r="AE332" s="27">
        <f t="shared" si="84"/>
        <v>1.669768859843657E-2</v>
      </c>
      <c r="AF332" s="27">
        <f t="shared" si="84"/>
        <v>1.6732829718107738E-2</v>
      </c>
      <c r="AG332" s="27">
        <f t="shared" si="84"/>
        <v>1.6766849576183976E-2</v>
      </c>
      <c r="AH332" s="27">
        <f t="shared" si="84"/>
        <v>1.6799933327571178E-2</v>
      </c>
      <c r="AI332" s="27">
        <f t="shared" si="84"/>
        <v>1.6832148555186801E-2</v>
      </c>
      <c r="AJ332" s="27">
        <f t="shared" si="84"/>
        <v>1.6863636706256461E-2</v>
      </c>
      <c r="AK332" s="27">
        <f t="shared" si="84"/>
        <v>1.6893421474693429E-2</v>
      </c>
      <c r="AL332" s="27">
        <f t="shared" si="84"/>
        <v>1.6921495820142095E-2</v>
      </c>
      <c r="AM332" s="27">
        <f t="shared" si="84"/>
        <v>1.6948169002433171E-2</v>
      </c>
      <c r="AN332" s="27">
        <f t="shared" si="84"/>
        <v>1.6973242190360595E-2</v>
      </c>
      <c r="AO332" s="27">
        <f t="shared" si="84"/>
        <v>1.699679001880551E-2</v>
      </c>
      <c r="AP332" s="27">
        <f t="shared" si="84"/>
        <v>1.701871561452447E-2</v>
      </c>
      <c r="AQ332" s="27">
        <f t="shared" si="84"/>
        <v>1.7038680545756732E-2</v>
      </c>
      <c r="AR332" s="27">
        <f t="shared" si="84"/>
        <v>1.7056373927880512E-2</v>
      </c>
      <c r="AS332" s="27">
        <f t="shared" si="84"/>
        <v>1.7071796968078184E-2</v>
      </c>
      <c r="AT332" s="27">
        <f t="shared" si="84"/>
        <v>1.7084822941521471E-2</v>
      </c>
      <c r="AU332" s="27">
        <f t="shared" si="84"/>
        <v>1.7095465059373528E-2</v>
      </c>
      <c r="AV332" s="27">
        <f t="shared" si="84"/>
        <v>1.7104031992328298E-2</v>
      </c>
      <c r="AW332" s="27">
        <f t="shared" si="84"/>
        <v>1.7108831686205268E-2</v>
      </c>
      <c r="AY332" s="79"/>
    </row>
    <row r="333" spans="1:51" x14ac:dyDescent="0.25">
      <c r="A333" s="95" t="str">
        <f t="shared" si="71"/>
        <v>GS Goats MMCH4</v>
      </c>
      <c r="B333" s="95" t="s">
        <v>1020</v>
      </c>
      <c r="C333" s="95" t="s">
        <v>1324</v>
      </c>
      <c r="D333" t="s">
        <v>15</v>
      </c>
      <c r="E333" t="s">
        <v>22</v>
      </c>
      <c r="F333" t="s">
        <v>19</v>
      </c>
      <c r="G333" t="s">
        <v>123</v>
      </c>
      <c r="H333" t="s">
        <v>1226</v>
      </c>
      <c r="I333" t="s">
        <v>121</v>
      </c>
      <c r="J333" t="s">
        <v>286</v>
      </c>
      <c r="K333" s="27">
        <f t="shared" si="83"/>
        <v>2.6592218800664796E-2</v>
      </c>
      <c r="L333" s="27">
        <f t="shared" si="84"/>
        <v>2.6661345733624896E-2</v>
      </c>
      <c r="M333" s="27">
        <f t="shared" si="84"/>
        <v>2.6756703894783639E-2</v>
      </c>
      <c r="N333" s="27">
        <f t="shared" si="84"/>
        <v>2.6872875319249701E-2</v>
      </c>
      <c r="O333" s="27">
        <f t="shared" si="84"/>
        <v>2.7009694315810229E-2</v>
      </c>
      <c r="P333" s="27">
        <f t="shared" si="84"/>
        <v>2.7166328132291764E-2</v>
      </c>
      <c r="Q333" s="27">
        <f t="shared" si="84"/>
        <v>2.7334899828466049E-2</v>
      </c>
      <c r="R333" s="27">
        <f t="shared" si="84"/>
        <v>2.7514742110372921E-2</v>
      </c>
      <c r="S333" s="27">
        <f t="shared" si="84"/>
        <v>2.7447276371664872E-2</v>
      </c>
      <c r="T333" s="27">
        <f t="shared" si="84"/>
        <v>2.7494458266051122E-2</v>
      </c>
      <c r="U333" s="27">
        <f t="shared" si="84"/>
        <v>2.7499036727668718E-2</v>
      </c>
      <c r="V333" s="27">
        <f t="shared" si="84"/>
        <v>2.7511624576637288E-2</v>
      </c>
      <c r="W333" s="27">
        <f t="shared" si="84"/>
        <v>2.7567278879874528E-2</v>
      </c>
      <c r="X333" s="27">
        <f t="shared" si="84"/>
        <v>2.7649143248056639E-2</v>
      </c>
      <c r="Y333" s="27">
        <f t="shared" si="84"/>
        <v>2.7726418891485655E-2</v>
      </c>
      <c r="Z333" s="27">
        <f t="shared" si="84"/>
        <v>2.7799469149166745E-2</v>
      </c>
      <c r="AA333" s="27">
        <f t="shared" si="84"/>
        <v>2.7868331412338937E-2</v>
      </c>
      <c r="AB333" s="27">
        <f t="shared" si="84"/>
        <v>2.7934430570337832E-2</v>
      </c>
      <c r="AC333" s="27">
        <f t="shared" si="84"/>
        <v>2.7998758372013564E-2</v>
      </c>
      <c r="AD333" s="27">
        <f t="shared" si="84"/>
        <v>2.8060789629407407E-2</v>
      </c>
      <c r="AE333" s="27">
        <f t="shared" si="84"/>
        <v>2.8121456051381433E-2</v>
      </c>
      <c r="AF333" s="27">
        <f t="shared" si="84"/>
        <v>2.8180639060251388E-2</v>
      </c>
      <c r="AG333" s="27">
        <f t="shared" si="84"/>
        <v>2.8237933693465157E-2</v>
      </c>
      <c r="AH333" s="27">
        <f t="shared" si="84"/>
        <v>2.8293651780143172E-2</v>
      </c>
      <c r="AI333" s="27">
        <f t="shared" si="84"/>
        <v>2.8347907140233115E-2</v>
      </c>
      <c r="AJ333" s="27">
        <f t="shared" si="84"/>
        <v>2.8400937992451046E-2</v>
      </c>
      <c r="AK333" s="27">
        <f t="shared" si="84"/>
        <v>2.845110008834013E-2</v>
      </c>
      <c r="AL333" s="27">
        <f t="shared" si="84"/>
        <v>2.8498381570866985E-2</v>
      </c>
      <c r="AM333" s="27">
        <f t="shared" si="84"/>
        <v>2.8543303280786723E-2</v>
      </c>
      <c r="AN333" s="27">
        <f t="shared" si="84"/>
        <v>2.8585530356002101E-2</v>
      </c>
      <c r="AO333" s="27">
        <f t="shared" si="84"/>
        <v>2.8625188493043956E-2</v>
      </c>
      <c r="AP333" s="27">
        <f t="shared" si="84"/>
        <v>2.8662114542585253E-2</v>
      </c>
      <c r="AQ333" s="27">
        <f t="shared" si="84"/>
        <v>2.8695738533888428E-2</v>
      </c>
      <c r="AR333" s="27">
        <f t="shared" si="84"/>
        <v>2.8725536889802242E-2</v>
      </c>
      <c r="AS333" s="27">
        <f t="shared" si="84"/>
        <v>2.8751511643406051E-2</v>
      </c>
      <c r="AT333" s="27">
        <f t="shared" si="84"/>
        <v>2.8773449370747915E-2</v>
      </c>
      <c r="AU333" s="27">
        <f t="shared" si="84"/>
        <v>2.8791372321442913E-2</v>
      </c>
      <c r="AV333" s="27">
        <f t="shared" si="84"/>
        <v>2.8805800344049892E-2</v>
      </c>
      <c r="AW333" s="27">
        <f t="shared" si="84"/>
        <v>2.8813883761082477E-2</v>
      </c>
      <c r="AY333" s="79"/>
    </row>
    <row r="334" spans="1:51" x14ac:dyDescent="0.25">
      <c r="A334" s="95" t="str">
        <f t="shared" si="71"/>
        <v>GS Horses MMCH4</v>
      </c>
      <c r="B334" s="95" t="s">
        <v>1020</v>
      </c>
      <c r="C334" s="95" t="s">
        <v>1325</v>
      </c>
      <c r="D334" t="s">
        <v>15</v>
      </c>
      <c r="E334" t="s">
        <v>22</v>
      </c>
      <c r="F334" t="s">
        <v>20</v>
      </c>
      <c r="G334" t="s">
        <v>3</v>
      </c>
      <c r="H334" t="s">
        <v>1226</v>
      </c>
      <c r="I334" t="s">
        <v>121</v>
      </c>
      <c r="J334" t="s">
        <v>286</v>
      </c>
      <c r="K334" s="27">
        <f t="shared" si="83"/>
        <v>4.1336182129460544E-3</v>
      </c>
      <c r="L334" s="27">
        <f t="shared" si="84"/>
        <v>4.1536453250924079E-3</v>
      </c>
      <c r="M334" s="27">
        <f t="shared" si="84"/>
        <v>4.1840370126470525E-3</v>
      </c>
      <c r="N334" s="27">
        <f t="shared" si="84"/>
        <v>4.1905340987284569E-3</v>
      </c>
      <c r="O334" s="27">
        <f t="shared" si="84"/>
        <v>4.1812329246154589E-3</v>
      </c>
      <c r="P334" s="27">
        <f t="shared" si="84"/>
        <v>4.1564738854214548E-3</v>
      </c>
      <c r="Q334" s="27">
        <f t="shared" si="84"/>
        <v>4.1427460620707141E-3</v>
      </c>
      <c r="R334" s="27">
        <f t="shared" si="84"/>
        <v>4.130408792135833E-3</v>
      </c>
      <c r="S334" s="27">
        <f t="shared" si="84"/>
        <v>3.9434601312185527E-3</v>
      </c>
      <c r="T334" s="27">
        <f t="shared" si="84"/>
        <v>4.0605746122765228E-3</v>
      </c>
      <c r="U334" s="27">
        <f t="shared" si="84"/>
        <v>4.1189841670463273E-3</v>
      </c>
      <c r="V334" s="27">
        <f t="shared" si="84"/>
        <v>4.1278057101270405E-3</v>
      </c>
      <c r="W334" s="27">
        <f t="shared" si="84"/>
        <v>4.1355671321311174E-3</v>
      </c>
      <c r="X334" s="27">
        <f t="shared" si="84"/>
        <v>4.1543998592115791E-3</v>
      </c>
      <c r="Y334" s="27">
        <f t="shared" si="84"/>
        <v>4.1865458304734694E-3</v>
      </c>
      <c r="Z334" s="27">
        <f t="shared" si="84"/>
        <v>4.2253320128085251E-3</v>
      </c>
      <c r="AA334" s="27">
        <f t="shared" si="84"/>
        <v>4.272518274488683E-3</v>
      </c>
      <c r="AB334" s="27">
        <f t="shared" si="84"/>
        <v>4.3334009221617396E-3</v>
      </c>
      <c r="AC334" s="27">
        <f t="shared" si="84"/>
        <v>4.4071847194853781E-3</v>
      </c>
      <c r="AD334" s="27">
        <f t="shared" si="84"/>
        <v>4.4888905161837847E-3</v>
      </c>
      <c r="AE334" s="27">
        <f t="shared" si="84"/>
        <v>4.5781841431122572E-3</v>
      </c>
      <c r="AF334" s="27">
        <f t="shared" si="84"/>
        <v>4.6723057323312554E-3</v>
      </c>
      <c r="AG334" s="27">
        <f t="shared" si="84"/>
        <v>4.7725702352352153E-3</v>
      </c>
      <c r="AH334" s="27">
        <f t="shared" si="84"/>
        <v>4.8776647477587476E-3</v>
      </c>
      <c r="AI334" s="27">
        <f t="shared" si="84"/>
        <v>4.9827957618803235E-3</v>
      </c>
      <c r="AJ334" s="27">
        <f t="shared" si="84"/>
        <v>5.0948794457102743E-3</v>
      </c>
      <c r="AK334" s="27">
        <f t="shared" si="84"/>
        <v>5.2096806373507004E-3</v>
      </c>
      <c r="AL334" s="27">
        <f t="shared" si="84"/>
        <v>5.326887127790998E-3</v>
      </c>
      <c r="AM334" s="27">
        <f t="shared" si="84"/>
        <v>5.4485848360062324E-3</v>
      </c>
      <c r="AN334" s="27">
        <f t="shared" si="84"/>
        <v>5.5696508386077004E-3</v>
      </c>
      <c r="AO334" s="27">
        <f t="shared" si="84"/>
        <v>5.6973052536603251E-3</v>
      </c>
      <c r="AP334" s="27">
        <f t="shared" si="84"/>
        <v>5.8342669505017037E-3</v>
      </c>
      <c r="AQ334" s="27">
        <f t="shared" si="84"/>
        <v>5.9763033014494302E-3</v>
      </c>
      <c r="AR334" s="27">
        <f t="shared" si="84"/>
        <v>6.1238672356661557E-3</v>
      </c>
      <c r="AS334" s="27">
        <f t="shared" si="84"/>
        <v>6.2820427526668306E-3</v>
      </c>
      <c r="AT334" s="27">
        <f t="shared" si="84"/>
        <v>6.4494574929913678E-3</v>
      </c>
      <c r="AU334" s="27">
        <f t="shared" si="84"/>
        <v>6.6252174839876625E-3</v>
      </c>
      <c r="AV334" s="27">
        <f t="shared" si="84"/>
        <v>6.8126704322840365E-3</v>
      </c>
      <c r="AW334" s="27">
        <f t="shared" si="84"/>
        <v>6.9938267919267671E-3</v>
      </c>
      <c r="AY334" s="79"/>
    </row>
    <row r="335" spans="1:51" x14ac:dyDescent="0.25">
      <c r="A335" s="95" t="str">
        <f t="shared" si="71"/>
        <v>GS Mules MMCH4</v>
      </c>
      <c r="B335" s="95" t="s">
        <v>1020</v>
      </c>
      <c r="C335" s="95" t="s">
        <v>1326</v>
      </c>
      <c r="D335" t="s">
        <v>15</v>
      </c>
      <c r="E335" t="s">
        <v>22</v>
      </c>
      <c r="F335" t="s">
        <v>140</v>
      </c>
      <c r="G335" t="s">
        <v>124</v>
      </c>
      <c r="H335" t="s">
        <v>1226</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5">
      <c r="A336" s="95" t="str">
        <f t="shared" si="71"/>
        <v>GS Swine MMCH4</v>
      </c>
      <c r="B336" s="95" t="s">
        <v>1020</v>
      </c>
      <c r="C336" s="95" t="s">
        <v>1229</v>
      </c>
      <c r="D336" t="s">
        <v>15</v>
      </c>
      <c r="E336" t="s">
        <v>22</v>
      </c>
      <c r="F336" t="s">
        <v>21</v>
      </c>
      <c r="G336" t="s">
        <v>122</v>
      </c>
      <c r="H336" t="s">
        <v>1226</v>
      </c>
      <c r="I336" t="s">
        <v>121</v>
      </c>
      <c r="J336" t="s">
        <v>286</v>
      </c>
      <c r="K336" s="27">
        <f t="shared" si="83"/>
        <v>23.279067868377393</v>
      </c>
      <c r="L336" s="27">
        <f t="shared" si="84"/>
        <v>23.152530650802596</v>
      </c>
      <c r="M336" s="27">
        <f t="shared" si="84"/>
        <v>23.1629164330643</v>
      </c>
      <c r="N336" s="27">
        <f t="shared" si="84"/>
        <v>22.950263110497293</v>
      </c>
      <c r="O336" s="27">
        <f t="shared" si="84"/>
        <v>22.60295118682059</v>
      </c>
      <c r="P336" s="27">
        <f t="shared" si="84"/>
        <v>22.12653281137495</v>
      </c>
      <c r="Q336" s="27">
        <f t="shared" si="84"/>
        <v>21.780600237355966</v>
      </c>
      <c r="R336" s="27">
        <f t="shared" si="84"/>
        <v>21.465278056857684</v>
      </c>
      <c r="S336" s="27">
        <f t="shared" si="84"/>
        <v>19.28268372841509</v>
      </c>
      <c r="T336" s="27">
        <f t="shared" si="84"/>
        <v>20.154045022941879</v>
      </c>
      <c r="U336" s="27">
        <f t="shared" si="84"/>
        <v>20.417483741296842</v>
      </c>
      <c r="V336" s="27">
        <f t="shared" si="84"/>
        <v>20.215982998578138</v>
      </c>
      <c r="W336" s="27">
        <f t="shared" si="84"/>
        <v>20.038764166788877</v>
      </c>
      <c r="X336" s="27">
        <f t="shared" si="84"/>
        <v>19.983994613990216</v>
      </c>
      <c r="Y336" s="27">
        <f t="shared" si="84"/>
        <v>20.046915484009698</v>
      </c>
      <c r="Z336" s="27">
        <f t="shared" si="84"/>
        <v>20.164111817793334</v>
      </c>
      <c r="AA336" s="27">
        <f t="shared" si="84"/>
        <v>20.348954154275784</v>
      </c>
      <c r="AB336" s="27">
        <f t="shared" si="84"/>
        <v>20.645885200839494</v>
      </c>
      <c r="AC336" s="27">
        <f t="shared" si="84"/>
        <v>21.044537894059989</v>
      </c>
      <c r="AD336" s="27">
        <f t="shared" si="84"/>
        <v>21.498264632191113</v>
      </c>
      <c r="AE336" s="27">
        <f t="shared" si="84"/>
        <v>22.002561256053959</v>
      </c>
      <c r="AF336" s="27">
        <f t="shared" si="84"/>
        <v>22.532202643318037</v>
      </c>
      <c r="AG336" s="27">
        <f t="shared" si="84"/>
        <v>23.096284889499795</v>
      </c>
      <c r="AH336" s="27">
        <f t="shared" si="84"/>
        <v>23.682649825738739</v>
      </c>
      <c r="AI336" s="27">
        <f t="shared" si="84"/>
        <v>24.251675615546215</v>
      </c>
      <c r="AJ336" s="27">
        <f t="shared" si="84"/>
        <v>24.858335489218973</v>
      </c>
      <c r="AK336" s="27">
        <f t="shared" si="84"/>
        <v>25.466205387661859</v>
      </c>
      <c r="AL336" s="27">
        <f t="shared" si="84"/>
        <v>26.072093806701385</v>
      </c>
      <c r="AM336" s="27">
        <f t="shared" si="84"/>
        <v>26.691678242844393</v>
      </c>
      <c r="AN336" s="27">
        <f t="shared" si="84"/>
        <v>27.284891345865745</v>
      </c>
      <c r="AO336" s="27">
        <f t="shared" si="84"/>
        <v>27.905654237830884</v>
      </c>
      <c r="AP336" s="27">
        <f t="shared" si="84"/>
        <v>28.571861719635045</v>
      </c>
      <c r="AQ336" s="27">
        <f t="shared" si="84"/>
        <v>29.249712050194997</v>
      </c>
      <c r="AR336" s="27">
        <f t="shared" si="84"/>
        <v>29.940451406740536</v>
      </c>
      <c r="AS336" s="27">
        <f t="shared" si="84"/>
        <v>30.678211789307159</v>
      </c>
      <c r="AT336" s="27">
        <f t="shared" si="84"/>
        <v>31.450149667179016</v>
      </c>
      <c r="AU336" s="27">
        <f t="shared" si="84"/>
        <v>32.247465982700263</v>
      </c>
      <c r="AV336" s="27">
        <f t="shared" si="84"/>
        <v>33.090843547510339</v>
      </c>
      <c r="AW336" s="27">
        <f t="shared" si="84"/>
        <v>33.85425291015099</v>
      </c>
      <c r="AY336" s="79"/>
    </row>
    <row r="337" spans="1:51" x14ac:dyDescent="0.25">
      <c r="A337" s="95" t="str">
        <f t="shared" si="71"/>
        <v>GS Swine MMCH4</v>
      </c>
      <c r="B337" s="95" t="s">
        <v>1020</v>
      </c>
      <c r="C337" s="95" t="s">
        <v>1229</v>
      </c>
      <c r="D337" t="s">
        <v>15</v>
      </c>
      <c r="E337" t="s">
        <v>22</v>
      </c>
      <c r="F337" t="s">
        <v>21</v>
      </c>
      <c r="G337" t="s">
        <v>123</v>
      </c>
      <c r="H337" t="s">
        <v>1226</v>
      </c>
      <c r="I337" t="s">
        <v>121</v>
      </c>
      <c r="J337" t="s">
        <v>286</v>
      </c>
      <c r="K337" s="27">
        <f t="shared" si="83"/>
        <v>7.7932061732677776E-2</v>
      </c>
      <c r="L337" s="27">
        <f t="shared" si="84"/>
        <v>7.7508449141861113E-2</v>
      </c>
      <c r="M337" s="27">
        <f t="shared" si="84"/>
        <v>7.7543217949140569E-2</v>
      </c>
      <c r="N337" s="27">
        <f t="shared" si="84"/>
        <v>7.6831311787104603E-2</v>
      </c>
      <c r="O337" s="27">
        <f t="shared" si="84"/>
        <v>7.5668604825231994E-2</v>
      </c>
      <c r="P337" s="27">
        <f t="shared" si="84"/>
        <v>7.4073684167079393E-2</v>
      </c>
      <c r="Q337" s="27">
        <f t="shared" si="84"/>
        <v>7.291559489708703E-2</v>
      </c>
      <c r="R337" s="27">
        <f t="shared" si="84"/>
        <v>7.1859980996426709E-2</v>
      </c>
      <c r="S337" s="27">
        <f t="shared" si="84"/>
        <v>6.455324187339509E-2</v>
      </c>
      <c r="T337" s="27">
        <f t="shared" si="84"/>
        <v>6.7470325262664888E-2</v>
      </c>
      <c r="U337" s="27">
        <f t="shared" si="84"/>
        <v>6.8352247278516104E-2</v>
      </c>
      <c r="V337" s="27">
        <f t="shared" si="84"/>
        <v>6.767767695596183E-2</v>
      </c>
      <c r="W337" s="27">
        <f t="shared" si="84"/>
        <v>6.7084395944141104E-2</v>
      </c>
      <c r="X337" s="27">
        <f t="shared" si="84"/>
        <v>6.6901042203608638E-2</v>
      </c>
      <c r="Y337" s="27">
        <f t="shared" si="84"/>
        <v>6.7111684363095322E-2</v>
      </c>
      <c r="Z337" s="27">
        <f t="shared" si="84"/>
        <v>6.7504026185839727E-2</v>
      </c>
      <c r="AA337" s="27">
        <f t="shared" si="84"/>
        <v>6.8122828642149871E-2</v>
      </c>
      <c r="AB337" s="27">
        <f t="shared" si="84"/>
        <v>6.9116873969995066E-2</v>
      </c>
      <c r="AC337" s="27">
        <f t="shared" si="84"/>
        <v>7.0451456027731174E-2</v>
      </c>
      <c r="AD337" s="27">
        <f t="shared" si="84"/>
        <v>7.1970411183742145E-2</v>
      </c>
      <c r="AE337" s="27">
        <f t="shared" si="84"/>
        <v>7.3658660723829941E-2</v>
      </c>
      <c r="AF337" s="27">
        <f t="shared" si="84"/>
        <v>7.5431757719028575E-2</v>
      </c>
      <c r="AG337" s="27">
        <f t="shared" si="84"/>
        <v>7.7320153452066526E-2</v>
      </c>
      <c r="AH337" s="27">
        <f t="shared" si="84"/>
        <v>7.9283145641754912E-2</v>
      </c>
      <c r="AI337" s="27">
        <f t="shared" si="84"/>
        <v>8.1188091030010831E-2</v>
      </c>
      <c r="AJ337" s="27">
        <f t="shared" si="84"/>
        <v>8.3219025214881143E-2</v>
      </c>
      <c r="AK337" s="27">
        <f t="shared" si="84"/>
        <v>8.525401023742317E-2</v>
      </c>
      <c r="AL337" s="27">
        <f t="shared" si="84"/>
        <v>8.7282361799551011E-2</v>
      </c>
      <c r="AM337" s="27">
        <f t="shared" si="84"/>
        <v>8.9356563945406475E-2</v>
      </c>
      <c r="AN337" s="27">
        <f t="shared" si="84"/>
        <v>9.1342481956672425E-2</v>
      </c>
      <c r="AO337" s="27">
        <f t="shared" si="84"/>
        <v>9.3420629255847557E-2</v>
      </c>
      <c r="AP337" s="27">
        <f t="shared" si="84"/>
        <v>9.5650912826147239E-2</v>
      </c>
      <c r="AQ337" s="27">
        <f t="shared" ref="L337:AW344" si="85">AQ1406</f>
        <v>9.7920173524444973E-2</v>
      </c>
      <c r="AR337" s="27">
        <f t="shared" si="85"/>
        <v>0.10023258321712952</v>
      </c>
      <c r="AS337" s="27">
        <f t="shared" si="85"/>
        <v>0.1027024066655249</v>
      </c>
      <c r="AT337" s="27">
        <f t="shared" si="85"/>
        <v>0.10528664718117813</v>
      </c>
      <c r="AU337" s="27">
        <f t="shared" si="85"/>
        <v>0.10795584788427327</v>
      </c>
      <c r="AV337" s="27">
        <f t="shared" si="85"/>
        <v>0.11077924926857086</v>
      </c>
      <c r="AW337" s="27">
        <f t="shared" si="85"/>
        <v>0.11333493860772317</v>
      </c>
      <c r="AY337" s="79"/>
    </row>
    <row r="338" spans="1:51" x14ac:dyDescent="0.25">
      <c r="A338" s="95" t="str">
        <f t="shared" si="71"/>
        <v>GS Poultry MMCH4</v>
      </c>
      <c r="B338" s="95" t="s">
        <v>1020</v>
      </c>
      <c r="C338" s="95" t="s">
        <v>1230</v>
      </c>
      <c r="D338" t="s">
        <v>15</v>
      </c>
      <c r="E338" t="s">
        <v>22</v>
      </c>
      <c r="F338" t="s">
        <v>28</v>
      </c>
      <c r="G338" t="s">
        <v>131</v>
      </c>
      <c r="H338" t="s">
        <v>1226</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0.62068986953889782</v>
      </c>
      <c r="S338" s="27">
        <f t="shared" si="85"/>
        <v>0.59573243019488353</v>
      </c>
      <c r="T338" s="27">
        <f t="shared" si="85"/>
        <v>0.62060528502680601</v>
      </c>
      <c r="U338" s="27">
        <f t="shared" si="85"/>
        <v>0.63538739650332932</v>
      </c>
      <c r="V338" s="27">
        <f t="shared" si="85"/>
        <v>0.64244306993256506</v>
      </c>
      <c r="W338" s="27">
        <f t="shared" si="85"/>
        <v>0.65026805947534316</v>
      </c>
      <c r="X338" s="27">
        <f t="shared" si="85"/>
        <v>0.66047268102504608</v>
      </c>
      <c r="Y338" s="27">
        <f t="shared" si="85"/>
        <v>0.67275642094337218</v>
      </c>
      <c r="Z338" s="27">
        <f t="shared" si="85"/>
        <v>0.68607919631568115</v>
      </c>
      <c r="AA338" s="27">
        <f t="shared" si="85"/>
        <v>0.70076804403320936</v>
      </c>
      <c r="AB338" s="27">
        <f t="shared" si="85"/>
        <v>0.71779554918535993</v>
      </c>
      <c r="AC338" s="27">
        <f t="shared" si="85"/>
        <v>0.73711000301021679</v>
      </c>
      <c r="AD338" s="27">
        <f t="shared" si="85"/>
        <v>0.75788984228274747</v>
      </c>
      <c r="AE338" s="27">
        <f t="shared" si="85"/>
        <v>0.78013180876638377</v>
      </c>
      <c r="AF338" s="27">
        <f t="shared" si="85"/>
        <v>0.80337597870999389</v>
      </c>
      <c r="AG338" s="27">
        <f t="shared" si="85"/>
        <v>0.82785833709156575</v>
      </c>
      <c r="AH338" s="27">
        <f t="shared" si="85"/>
        <v>0.85337321588031811</v>
      </c>
      <c r="AI338" s="27">
        <f t="shared" si="85"/>
        <v>0.87907798873871268</v>
      </c>
      <c r="AJ338" s="27">
        <f t="shared" si="85"/>
        <v>0.90622461339542404</v>
      </c>
      <c r="AK338" s="27">
        <f t="shared" si="85"/>
        <v>0.93400977893113157</v>
      </c>
      <c r="AL338" s="27">
        <f t="shared" si="85"/>
        <v>0.96237643638695936</v>
      </c>
      <c r="AM338" s="27">
        <f t="shared" si="85"/>
        <v>0.99172546365777581</v>
      </c>
      <c r="AN338" s="27">
        <f t="shared" si="85"/>
        <v>1.0211032601995891</v>
      </c>
      <c r="AO338" s="27">
        <f t="shared" si="85"/>
        <v>1.0518470326965137</v>
      </c>
      <c r="AP338" s="27">
        <f t="shared" si="85"/>
        <v>1.0844705032412159</v>
      </c>
      <c r="AQ338" s="27">
        <f t="shared" si="85"/>
        <v>1.1181722864478278</v>
      </c>
      <c r="AR338" s="27">
        <f t="shared" si="85"/>
        <v>1.1530181967657136</v>
      </c>
      <c r="AS338" s="27">
        <f t="shared" si="85"/>
        <v>1.1899731342287589</v>
      </c>
      <c r="AT338" s="27">
        <f t="shared" si="85"/>
        <v>1.2287768115471775</v>
      </c>
      <c r="AU338" s="27">
        <f t="shared" si="85"/>
        <v>1.2692627400827883</v>
      </c>
      <c r="AV338" s="27">
        <f t="shared" si="85"/>
        <v>1.3120972726435587</v>
      </c>
      <c r="AW338" s="27">
        <f t="shared" si="85"/>
        <v>1.3536832016924076</v>
      </c>
      <c r="AY338" s="79"/>
    </row>
    <row r="339" spans="1:51" x14ac:dyDescent="0.25">
      <c r="A339" s="95" t="str">
        <f t="shared" si="71"/>
        <v>GS Poultry MMCH4</v>
      </c>
      <c r="B339" s="95" t="s">
        <v>1020</v>
      </c>
      <c r="C339" s="95" t="s">
        <v>1230</v>
      </c>
      <c r="D339" t="s">
        <v>15</v>
      </c>
      <c r="E339" t="s">
        <v>22</v>
      </c>
      <c r="F339" t="s">
        <v>28</v>
      </c>
      <c r="G339" t="s">
        <v>132</v>
      </c>
      <c r="H339" t="s">
        <v>1226</v>
      </c>
      <c r="I339" t="s">
        <v>121</v>
      </c>
      <c r="J339" t="s">
        <v>286</v>
      </c>
      <c r="K339" s="27">
        <f t="shared" si="83"/>
        <v>2.2100196981344111</v>
      </c>
      <c r="L339" s="27">
        <f t="shared" si="85"/>
        <v>2.2391217074451477</v>
      </c>
      <c r="M339" s="27">
        <f t="shared" si="85"/>
        <v>2.2858678822724814</v>
      </c>
      <c r="N339" s="27">
        <f t="shared" si="85"/>
        <v>2.2992900748078591</v>
      </c>
      <c r="O339" s="27">
        <f t="shared" si="85"/>
        <v>2.2910596881616558</v>
      </c>
      <c r="P339" s="27">
        <f t="shared" si="85"/>
        <v>2.2612642885898917</v>
      </c>
      <c r="Q339" s="27">
        <f t="shared" si="85"/>
        <v>2.2487211059946204</v>
      </c>
      <c r="R339" s="27">
        <f t="shared" si="85"/>
        <v>2.2390235702415184</v>
      </c>
      <c r="S339" s="27">
        <f t="shared" si="85"/>
        <v>1.9480109024353172</v>
      </c>
      <c r="T339" s="27">
        <f t="shared" si="85"/>
        <v>2.1242573648526935</v>
      </c>
      <c r="U339" s="27">
        <f t="shared" si="85"/>
        <v>2.2090616174503466</v>
      </c>
      <c r="V339" s="27">
        <f t="shared" si="85"/>
        <v>2.219672639907655</v>
      </c>
      <c r="W339" s="27">
        <f t="shared" si="85"/>
        <v>2.2319049749890385</v>
      </c>
      <c r="X339" s="27">
        <f t="shared" si="85"/>
        <v>2.2629262949362925</v>
      </c>
      <c r="Y339" s="27">
        <f t="shared" si="85"/>
        <v>2.3140044447008137</v>
      </c>
      <c r="Z339" s="27">
        <f t="shared" si="85"/>
        <v>2.3751177408865005</v>
      </c>
      <c r="AA339" s="27">
        <f t="shared" si="85"/>
        <v>2.4489635487241519</v>
      </c>
      <c r="AB339" s="27">
        <f t="shared" si="85"/>
        <v>2.5437406386090786</v>
      </c>
      <c r="AC339" s="27">
        <f t="shared" si="85"/>
        <v>2.6583677679701894</v>
      </c>
      <c r="AD339" s="27">
        <f t="shared" si="85"/>
        <v>2.7852398205087883</v>
      </c>
      <c r="AE339" s="27">
        <f t="shared" si="85"/>
        <v>2.9239358907782309</v>
      </c>
      <c r="AF339" s="27">
        <f t="shared" si="85"/>
        <v>3.0702342900973978</v>
      </c>
      <c r="AG339" s="27">
        <f t="shared" si="85"/>
        <v>3.2260927445342245</v>
      </c>
      <c r="AH339" s="27">
        <f t="shared" si="85"/>
        <v>3.3895233708783912</v>
      </c>
      <c r="AI339" s="27">
        <f t="shared" si="85"/>
        <v>3.5531911169091885</v>
      </c>
      <c r="AJ339" s="27">
        <f t="shared" si="85"/>
        <v>3.7276822125599338</v>
      </c>
      <c r="AK339" s="27">
        <f t="shared" si="85"/>
        <v>3.9062898323416295</v>
      </c>
      <c r="AL339" s="27">
        <f t="shared" si="85"/>
        <v>4.0884842597865152</v>
      </c>
      <c r="AM339" s="27">
        <f t="shared" si="85"/>
        <v>4.2774788120039364</v>
      </c>
      <c r="AN339" s="27">
        <f t="shared" si="85"/>
        <v>4.4653386243384539</v>
      </c>
      <c r="AO339" s="27">
        <f t="shared" si="85"/>
        <v>4.6630770817729719</v>
      </c>
      <c r="AP339" s="27">
        <f t="shared" si="85"/>
        <v>4.8747652719370373</v>
      </c>
      <c r="AQ339" s="27">
        <f t="shared" si="85"/>
        <v>5.0937607978342658</v>
      </c>
      <c r="AR339" s="27">
        <f t="shared" si="85"/>
        <v>5.3205750433635002</v>
      </c>
      <c r="AS339" s="27">
        <f t="shared" si="85"/>
        <v>5.5628565017727221</v>
      </c>
      <c r="AT339" s="27">
        <f t="shared" si="85"/>
        <v>5.8183308290473201</v>
      </c>
      <c r="AU339" s="27">
        <f t="shared" si="85"/>
        <v>6.0854872952292993</v>
      </c>
      <c r="AV339" s="27">
        <f t="shared" si="85"/>
        <v>6.3693601721837521</v>
      </c>
      <c r="AW339" s="27">
        <f t="shared" si="85"/>
        <v>6.641848924312276</v>
      </c>
      <c r="AY339" s="79"/>
    </row>
    <row r="340" spans="1:51" x14ac:dyDescent="0.25">
      <c r="A340" s="95" t="str">
        <f t="shared" si="71"/>
        <v>GS Poultry MMCH4</v>
      </c>
      <c r="B340" s="95" t="s">
        <v>1020</v>
      </c>
      <c r="C340" s="95" t="s">
        <v>1230</v>
      </c>
      <c r="D340" t="s">
        <v>15</v>
      </c>
      <c r="E340" t="s">
        <v>22</v>
      </c>
      <c r="F340" t="s">
        <v>28</v>
      </c>
      <c r="G340" t="s">
        <v>134</v>
      </c>
      <c r="H340" t="s">
        <v>1226</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2.4944242822745922E-2</v>
      </c>
      <c r="P340" s="27">
        <f t="shared" si="85"/>
        <v>2.5198104828966561E-2</v>
      </c>
      <c r="Q340" s="27">
        <f t="shared" si="85"/>
        <v>2.5523625995077459E-2</v>
      </c>
      <c r="R340" s="27">
        <f t="shared" si="85"/>
        <v>2.5862077897454101E-2</v>
      </c>
      <c r="S340" s="27">
        <f t="shared" si="85"/>
        <v>2.4822184591453505E-2</v>
      </c>
      <c r="T340" s="27">
        <f t="shared" si="85"/>
        <v>2.5858553542783609E-2</v>
      </c>
      <c r="U340" s="27">
        <f t="shared" si="85"/>
        <v>2.6474474854305419E-2</v>
      </c>
      <c r="V340" s="27">
        <f t="shared" si="85"/>
        <v>2.6768461247190234E-2</v>
      </c>
      <c r="W340" s="27">
        <f t="shared" si="85"/>
        <v>2.709450247813933E-2</v>
      </c>
      <c r="X340" s="27">
        <f t="shared" si="85"/>
        <v>2.751969504271028E-2</v>
      </c>
      <c r="Y340" s="27">
        <f t="shared" si="85"/>
        <v>2.8031517539307202E-2</v>
      </c>
      <c r="Z340" s="27">
        <f t="shared" si="85"/>
        <v>2.8586633179820076E-2</v>
      </c>
      <c r="AA340" s="27">
        <f t="shared" si="85"/>
        <v>2.9198668501383751E-2</v>
      </c>
      <c r="AB340" s="27">
        <f t="shared" si="85"/>
        <v>2.9908147882723356E-2</v>
      </c>
      <c r="AC340" s="27">
        <f t="shared" si="85"/>
        <v>3.0712916792092395E-2</v>
      </c>
      <c r="AD340" s="27">
        <f t="shared" si="85"/>
        <v>3.1578743428447839E-2</v>
      </c>
      <c r="AE340" s="27">
        <f t="shared" si="85"/>
        <v>3.250549203193269E-2</v>
      </c>
      <c r="AF340" s="27">
        <f t="shared" si="85"/>
        <v>3.3473999112916437E-2</v>
      </c>
      <c r="AG340" s="27">
        <f t="shared" si="85"/>
        <v>3.4494097378815265E-2</v>
      </c>
      <c r="AH340" s="27">
        <f t="shared" si="85"/>
        <v>3.5557217328346623E-2</v>
      </c>
      <c r="AI340" s="27">
        <f t="shared" si="85"/>
        <v>3.6628249530779734E-2</v>
      </c>
      <c r="AJ340" s="27">
        <f t="shared" si="85"/>
        <v>3.7759358891476039E-2</v>
      </c>
      <c r="AK340" s="27">
        <f t="shared" si="85"/>
        <v>3.8917074122130517E-2</v>
      </c>
      <c r="AL340" s="27">
        <f t="shared" si="85"/>
        <v>4.0099018182790006E-2</v>
      </c>
      <c r="AM340" s="27">
        <f t="shared" si="85"/>
        <v>4.1321894319074036E-2</v>
      </c>
      <c r="AN340" s="27">
        <f t="shared" si="85"/>
        <v>4.2545969174982913E-2</v>
      </c>
      <c r="AO340" s="27">
        <f t="shared" si="85"/>
        <v>4.382695969568811E-2</v>
      </c>
      <c r="AP340" s="27">
        <f t="shared" si="85"/>
        <v>4.5186270968384026E-2</v>
      </c>
      <c r="AQ340" s="27">
        <f t="shared" si="85"/>
        <v>4.6590511935326193E-2</v>
      </c>
      <c r="AR340" s="27">
        <f t="shared" si="85"/>
        <v>4.8042424865238111E-2</v>
      </c>
      <c r="AS340" s="27">
        <f t="shared" si="85"/>
        <v>4.958221392619834E-2</v>
      </c>
      <c r="AT340" s="27">
        <f t="shared" si="85"/>
        <v>5.1199033814465784E-2</v>
      </c>
      <c r="AU340" s="27">
        <f t="shared" si="85"/>
        <v>5.2885947503449555E-2</v>
      </c>
      <c r="AV340" s="27">
        <f t="shared" si="85"/>
        <v>5.4670719693481661E-2</v>
      </c>
      <c r="AW340" s="27">
        <f t="shared" si="85"/>
        <v>5.6403466737183702E-2</v>
      </c>
      <c r="AY340" s="79"/>
    </row>
    <row r="341" spans="1:51" x14ac:dyDescent="0.25">
      <c r="A341" s="95" t="str">
        <f t="shared" si="71"/>
        <v>GS Poultry MMCH4</v>
      </c>
      <c r="B341" s="95" t="s">
        <v>1020</v>
      </c>
      <c r="C341" s="95" t="s">
        <v>1230</v>
      </c>
      <c r="D341" t="s">
        <v>15</v>
      </c>
      <c r="E341" t="s">
        <v>22</v>
      </c>
      <c r="F341" t="s">
        <v>28</v>
      </c>
      <c r="G341" t="s">
        <v>133</v>
      </c>
      <c r="H341" t="s">
        <v>1226</v>
      </c>
      <c r="I341" t="s">
        <v>121</v>
      </c>
      <c r="J341" t="s">
        <v>286</v>
      </c>
      <c r="K341" s="27">
        <f t="shared" si="83"/>
        <v>9.2084154088933862E-2</v>
      </c>
      <c r="L341" s="27">
        <f t="shared" si="85"/>
        <v>9.3296737810214581E-2</v>
      </c>
      <c r="M341" s="27">
        <f t="shared" si="85"/>
        <v>9.5244495094686812E-2</v>
      </c>
      <c r="N341" s="27">
        <f t="shared" si="85"/>
        <v>9.5803753116994184E-2</v>
      </c>
      <c r="O341" s="27">
        <f t="shared" si="85"/>
        <v>9.5460820340069058E-2</v>
      </c>
      <c r="P341" s="27">
        <f t="shared" si="85"/>
        <v>9.4219345357912251E-2</v>
      </c>
      <c r="Q341" s="27">
        <f t="shared" si="85"/>
        <v>9.3696712749775937E-2</v>
      </c>
      <c r="R341" s="27">
        <f t="shared" si="85"/>
        <v>9.3292648760063338E-2</v>
      </c>
      <c r="S341" s="27">
        <f t="shared" si="85"/>
        <v>8.1167120934804951E-2</v>
      </c>
      <c r="T341" s="27">
        <f t="shared" si="85"/>
        <v>8.8510723535528968E-2</v>
      </c>
      <c r="U341" s="27">
        <f t="shared" si="85"/>
        <v>9.2044234060431204E-2</v>
      </c>
      <c r="V341" s="27">
        <f t="shared" si="85"/>
        <v>9.2486359996152387E-2</v>
      </c>
      <c r="W341" s="27">
        <f t="shared" si="85"/>
        <v>9.299604062454335E-2</v>
      </c>
      <c r="X341" s="27">
        <f t="shared" si="85"/>
        <v>9.4288595622345608E-2</v>
      </c>
      <c r="Y341" s="27">
        <f t="shared" si="85"/>
        <v>9.6416851862533987E-2</v>
      </c>
      <c r="Z341" s="27">
        <f t="shared" si="85"/>
        <v>9.8963239203604281E-2</v>
      </c>
      <c r="AA341" s="27">
        <f t="shared" si="85"/>
        <v>0.1020401478635064</v>
      </c>
      <c r="AB341" s="27">
        <f t="shared" si="85"/>
        <v>0.10598919327537835</v>
      </c>
      <c r="AC341" s="27">
        <f t="shared" si="85"/>
        <v>0.11076532366542467</v>
      </c>
      <c r="AD341" s="27">
        <f t="shared" si="85"/>
        <v>0.11605165918786628</v>
      </c>
      <c r="AE341" s="27">
        <f t="shared" si="85"/>
        <v>0.12183066211575974</v>
      </c>
      <c r="AF341" s="27">
        <f t="shared" si="85"/>
        <v>0.12792642875405835</v>
      </c>
      <c r="AG341" s="27">
        <f t="shared" si="85"/>
        <v>0.13442053102225948</v>
      </c>
      <c r="AH341" s="27">
        <f t="shared" si="85"/>
        <v>0.1412301404532664</v>
      </c>
      <c r="AI341" s="27">
        <f t="shared" si="85"/>
        <v>0.14804962987121634</v>
      </c>
      <c r="AJ341" s="27">
        <f t="shared" si="85"/>
        <v>0.15532009218999737</v>
      </c>
      <c r="AK341" s="27">
        <f t="shared" si="85"/>
        <v>0.16276207634756804</v>
      </c>
      <c r="AL341" s="27">
        <f t="shared" si="85"/>
        <v>0.17035351082443828</v>
      </c>
      <c r="AM341" s="27">
        <f t="shared" si="85"/>
        <v>0.17822828383349751</v>
      </c>
      <c r="AN341" s="27">
        <f t="shared" si="85"/>
        <v>0.18605577601410239</v>
      </c>
      <c r="AO341" s="27">
        <f t="shared" si="85"/>
        <v>0.19429487840720733</v>
      </c>
      <c r="AP341" s="27">
        <f t="shared" si="85"/>
        <v>0.20311521966404342</v>
      </c>
      <c r="AQ341" s="27">
        <f t="shared" si="85"/>
        <v>0.21224003324309459</v>
      </c>
      <c r="AR341" s="27">
        <f t="shared" si="85"/>
        <v>0.22169062680681273</v>
      </c>
      <c r="AS341" s="27">
        <f t="shared" si="85"/>
        <v>0.23178568757386364</v>
      </c>
      <c r="AT341" s="27">
        <f t="shared" si="85"/>
        <v>0.24243045121030524</v>
      </c>
      <c r="AU341" s="27">
        <f t="shared" si="85"/>
        <v>0.25356197063455443</v>
      </c>
      <c r="AV341" s="27">
        <f t="shared" si="85"/>
        <v>0.26539000717432326</v>
      </c>
      <c r="AW341" s="27">
        <f t="shared" si="85"/>
        <v>0.27674370517967845</v>
      </c>
      <c r="AY341" s="79"/>
    </row>
    <row r="342" spans="1:51" x14ac:dyDescent="0.25">
      <c r="A342" s="95" t="str">
        <f t="shared" si="71"/>
        <v>GS Cattle MMN2O</v>
      </c>
      <c r="B342" s="95" t="s">
        <v>1020</v>
      </c>
      <c r="C342" s="95" t="s">
        <v>1231</v>
      </c>
      <c r="D342" t="s">
        <v>15</v>
      </c>
      <c r="E342" t="s">
        <v>657</v>
      </c>
      <c r="F342" t="s">
        <v>6</v>
      </c>
      <c r="G342" t="s">
        <v>136</v>
      </c>
      <c r="H342" t="s">
        <v>1226</v>
      </c>
      <c r="I342" t="s">
        <v>139</v>
      </c>
      <c r="J342" t="s">
        <v>287</v>
      </c>
      <c r="K342" s="27">
        <f t="shared" si="83"/>
        <v>5.9474079071945893E-2</v>
      </c>
      <c r="L342" s="27">
        <f t="shared" si="85"/>
        <v>5.9806569587962537E-2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6.1344406036983781E-2</v>
      </c>
      <c r="S342" s="27">
        <f t="shared" si="85"/>
        <v>5.9572576433389555E-2</v>
      </c>
      <c r="T342" s="27">
        <f t="shared" si="85"/>
        <v>6.0773920175181823E-2</v>
      </c>
      <c r="U342" s="27">
        <f t="shared" si="85"/>
        <v>6.1370278320054004E-2</v>
      </c>
      <c r="V342" s="27">
        <f t="shared" si="85"/>
        <v>6.1526022860848524E-2</v>
      </c>
      <c r="W342" s="27">
        <f t="shared" si="85"/>
        <v>6.174747330575011E-2</v>
      </c>
      <c r="X342" s="27">
        <f t="shared" si="85"/>
        <v>6.2119068821813103E-2</v>
      </c>
      <c r="Y342" s="27">
        <f t="shared" si="85"/>
        <v>6.2609959575984822E-2</v>
      </c>
      <c r="Z342" s="27">
        <f t="shared" si="85"/>
        <v>6.3159566495841341E-2</v>
      </c>
      <c r="AA342" s="27">
        <f t="shared" si="85"/>
        <v>6.3785199118486416E-2</v>
      </c>
      <c r="AB342" s="27">
        <f t="shared" si="85"/>
        <v>6.4540499300557705E-2</v>
      </c>
      <c r="AC342" s="27">
        <f t="shared" si="85"/>
        <v>6.5421079387025072E-2</v>
      </c>
      <c r="AD342" s="27">
        <f t="shared" si="85"/>
        <v>6.6379515175029838E-2</v>
      </c>
      <c r="AE342" s="27">
        <f t="shared" si="85"/>
        <v>6.7414940444444876E-2</v>
      </c>
      <c r="AF342" s="27">
        <f t="shared" si="85"/>
        <v>6.8501080209535048E-2</v>
      </c>
      <c r="AG342" s="27">
        <f t="shared" si="85"/>
        <v>6.9650082739835181E-2</v>
      </c>
      <c r="AH342" s="27">
        <f t="shared" si="85"/>
        <v>7.085013376505013E-2</v>
      </c>
      <c r="AI342" s="27">
        <f t="shared" si="85"/>
        <v>7.2054990287027845E-2</v>
      </c>
      <c r="AJ342" s="27">
        <f t="shared" si="85"/>
        <v>7.3332422489630317E-2</v>
      </c>
      <c r="AK342" s="27">
        <f t="shared" si="85"/>
        <v>7.4637775238334716E-2</v>
      </c>
      <c r="AL342" s="27">
        <f t="shared" si="85"/>
        <v>7.596772859981879E-2</v>
      </c>
      <c r="AM342" s="27">
        <f t="shared" si="85"/>
        <v>7.734370972563348E-2</v>
      </c>
      <c r="AN342" s="27">
        <f t="shared" si="85"/>
        <v>7.871435132056126E-2</v>
      </c>
      <c r="AO342" s="27">
        <f t="shared" si="85"/>
        <v>8.0150831900584182E-2</v>
      </c>
      <c r="AP342" s="27">
        <f t="shared" si="85"/>
        <v>8.1679672713355286E-2</v>
      </c>
      <c r="AQ342" s="27">
        <f t="shared" si="85"/>
        <v>8.3257530462489515E-2</v>
      </c>
      <c r="AR342" s="27">
        <f t="shared" si="85"/>
        <v>8.4887259744612836E-2</v>
      </c>
      <c r="AS342" s="27">
        <f t="shared" si="85"/>
        <v>8.6619011221600456E-2</v>
      </c>
      <c r="AT342" s="27">
        <f t="shared" si="85"/>
        <v>8.8438220768671E-2</v>
      </c>
      <c r="AU342" s="27">
        <f t="shared" si="85"/>
        <v>9.0335502519381064E-2</v>
      </c>
      <c r="AV342" s="27">
        <f t="shared" si="85"/>
        <v>9.2345044060296602E-2</v>
      </c>
      <c r="AW342" s="27">
        <f t="shared" si="85"/>
        <v>9.4278593479446449E-2</v>
      </c>
      <c r="AY342" s="79"/>
    </row>
    <row r="343" spans="1:51" x14ac:dyDescent="0.25">
      <c r="A343" s="95" t="str">
        <f t="shared" si="71"/>
        <v>GS Cattle MMN2O</v>
      </c>
      <c r="B343" s="95" t="s">
        <v>1020</v>
      </c>
      <c r="C343" s="95" t="s">
        <v>1231</v>
      </c>
      <c r="D343" t="s">
        <v>15</v>
      </c>
      <c r="E343" t="s">
        <v>657</v>
      </c>
      <c r="F343" t="s">
        <v>6</v>
      </c>
      <c r="G343" t="s">
        <v>137</v>
      </c>
      <c r="H343" t="s">
        <v>1226</v>
      </c>
      <c r="I343" t="s">
        <v>139</v>
      </c>
      <c r="J343" t="s">
        <v>287</v>
      </c>
      <c r="K343" s="27">
        <f t="shared" si="83"/>
        <v>0.26041511380118898</v>
      </c>
      <c r="L343" s="27">
        <f t="shared" si="85"/>
        <v>0.26187096745907495</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0.26860458755254507</v>
      </c>
      <c r="S343" s="27">
        <f t="shared" si="85"/>
        <v>0.26084639751318123</v>
      </c>
      <c r="T343" s="27">
        <f t="shared" si="85"/>
        <v>0.26610663982571414</v>
      </c>
      <c r="U343" s="27">
        <f t="shared" si="85"/>
        <v>0.26871787276259229</v>
      </c>
      <c r="V343" s="27">
        <f t="shared" si="85"/>
        <v>0.26939982081370628</v>
      </c>
      <c r="W343" s="27">
        <f t="shared" si="85"/>
        <v>0.27036947084797774</v>
      </c>
      <c r="X343" s="27">
        <f t="shared" si="85"/>
        <v>0.27199655091569075</v>
      </c>
      <c r="Y343" s="27">
        <f t="shared" si="85"/>
        <v>0.27414598094649351</v>
      </c>
      <c r="Z343" s="27">
        <f t="shared" si="85"/>
        <v>0.27655250746718535</v>
      </c>
      <c r="AA343" s="27">
        <f t="shared" si="85"/>
        <v>0.27929192257316399</v>
      </c>
      <c r="AB343" s="27">
        <f t="shared" si="85"/>
        <v>0.28259910422166357</v>
      </c>
      <c r="AC343" s="27">
        <f t="shared" si="85"/>
        <v>0.28645484048537356</v>
      </c>
      <c r="AD343" s="27">
        <f t="shared" si="85"/>
        <v>0.29065147822569842</v>
      </c>
      <c r="AE343" s="27">
        <f t="shared" si="85"/>
        <v>0.29518522458335378</v>
      </c>
      <c r="AF343" s="27">
        <f t="shared" si="85"/>
        <v>0.2999410310614633</v>
      </c>
      <c r="AG343" s="27">
        <f t="shared" si="85"/>
        <v>0.30497209046339202</v>
      </c>
      <c r="AH343" s="27">
        <f t="shared" si="85"/>
        <v>0.31022667244557844</v>
      </c>
      <c r="AI343" s="27">
        <f t="shared" si="85"/>
        <v>0.31550229593031343</v>
      </c>
      <c r="AJ343" s="27">
        <f t="shared" si="85"/>
        <v>0.32109570162242335</v>
      </c>
      <c r="AK343" s="27">
        <f t="shared" si="85"/>
        <v>0.32681136111491149</v>
      </c>
      <c r="AL343" s="27">
        <f t="shared" si="85"/>
        <v>0.33263473764104773</v>
      </c>
      <c r="AM343" s="27">
        <f t="shared" si="85"/>
        <v>0.33865965281516675</v>
      </c>
      <c r="AN343" s="27">
        <f t="shared" si="85"/>
        <v>0.34466118814776064</v>
      </c>
      <c r="AO343" s="27">
        <f t="shared" si="85"/>
        <v>0.35095100817620256</v>
      </c>
      <c r="AP343" s="27">
        <f t="shared" si="85"/>
        <v>0.35764523968771644</v>
      </c>
      <c r="AQ343" s="27">
        <f t="shared" si="85"/>
        <v>0.36455409833193048</v>
      </c>
      <c r="AR343" s="27">
        <f t="shared" si="85"/>
        <v>0.37169008333736225</v>
      </c>
      <c r="AS343" s="27">
        <f t="shared" si="85"/>
        <v>0.37927278600367109</v>
      </c>
      <c r="AT343" s="27">
        <f t="shared" si="85"/>
        <v>0.38723843538607666</v>
      </c>
      <c r="AU343" s="27">
        <f t="shared" si="85"/>
        <v>0.39554593422815865</v>
      </c>
      <c r="AV343" s="27">
        <f t="shared" si="85"/>
        <v>0.4043449773950597</v>
      </c>
      <c r="AW343" s="27">
        <f t="shared" si="85"/>
        <v>0.41281127901561981</v>
      </c>
      <c r="AY343" s="79"/>
    </row>
    <row r="344" spans="1:51" x14ac:dyDescent="0.25">
      <c r="A344" s="95" t="str">
        <f t="shared" si="71"/>
        <v>GS Cattle MMN2O</v>
      </c>
      <c r="B344" s="95" t="s">
        <v>1020</v>
      </c>
      <c r="C344" s="95" t="s">
        <v>1231</v>
      </c>
      <c r="D344" t="s">
        <v>15</v>
      </c>
      <c r="E344" t="s">
        <v>657</v>
      </c>
      <c r="F344" t="s">
        <v>67</v>
      </c>
      <c r="G344" t="s">
        <v>307</v>
      </c>
      <c r="H344" t="s">
        <v>1226</v>
      </c>
      <c r="I344" t="s">
        <v>139</v>
      </c>
      <c r="J344" t="s">
        <v>287</v>
      </c>
      <c r="K344" s="27">
        <f t="shared" si="83"/>
        <v>1.1586934798802538E-2</v>
      </c>
      <c r="L344" s="27">
        <f t="shared" si="85"/>
        <v>1.1651711689683767E-2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1.1951318021451862E-2</v>
      </c>
      <c r="S344" s="27">
        <f t="shared" si="85"/>
        <v>1.1606124377232515E-2</v>
      </c>
      <c r="T344" s="27">
        <f t="shared" si="85"/>
        <v>1.1840174098124497E-2</v>
      </c>
      <c r="U344" s="27">
        <f t="shared" si="85"/>
        <v>1.1956358544343662E-2</v>
      </c>
      <c r="V344" s="27">
        <f t="shared" si="85"/>
        <v>1.198670120567806E-2</v>
      </c>
      <c r="W344" s="27">
        <f t="shared" si="85"/>
        <v>1.2029844906367174E-2</v>
      </c>
      <c r="X344" s="27">
        <f t="shared" si="85"/>
        <v>1.2102240361384485E-2</v>
      </c>
      <c r="Y344" s="27">
        <f t="shared" si="85"/>
        <v>1.2197877305254469E-2</v>
      </c>
      <c r="Z344" s="27">
        <f t="shared" si="85"/>
        <v>1.2304953524755821E-2</v>
      </c>
      <c r="AA344" s="27">
        <f t="shared" si="85"/>
        <v>1.2426841320577307E-2</v>
      </c>
      <c r="AB344" s="27">
        <f t="shared" si="85"/>
        <v>1.2573991374848796E-2</v>
      </c>
      <c r="AC344" s="27">
        <f t="shared" si="85"/>
        <v>1.2745548870252437E-2</v>
      </c>
      <c r="AD344" s="27">
        <f t="shared" si="85"/>
        <v>1.2932274468323759E-2</v>
      </c>
      <c r="AE344" s="27">
        <f t="shared" si="85"/>
        <v>1.3133999409221648E-2</v>
      </c>
      <c r="AF344" s="27">
        <f t="shared" ref="L344:AW351" si="86">AF1413</f>
        <v>1.3345604714202703E-2</v>
      </c>
      <c r="AG344" s="27">
        <f t="shared" si="86"/>
        <v>1.3569457148910296E-2</v>
      </c>
      <c r="AH344" s="27">
        <f t="shared" si="86"/>
        <v>1.3803255018526413E-2</v>
      </c>
      <c r="AI344" s="27">
        <f t="shared" si="86"/>
        <v>1.4037989110754724E-2</v>
      </c>
      <c r="AJ344" s="27">
        <f t="shared" si="86"/>
        <v>1.4286862634690086E-2</v>
      </c>
      <c r="AK344" s="27">
        <f t="shared" si="86"/>
        <v>1.4541175730826956E-2</v>
      </c>
      <c r="AL344" s="27">
        <f t="shared" si="86"/>
        <v>1.4800281598886257E-2</v>
      </c>
      <c r="AM344" s="27">
        <f t="shared" si="86"/>
        <v>1.5068354746684156E-2</v>
      </c>
      <c r="AN344" s="27">
        <f t="shared" si="86"/>
        <v>1.533538762959342E-2</v>
      </c>
      <c r="AO344" s="27">
        <f t="shared" si="86"/>
        <v>1.5615247479131181E-2</v>
      </c>
      <c r="AP344" s="27">
        <f t="shared" si="86"/>
        <v>1.5913101251593929E-2</v>
      </c>
      <c r="AQ344" s="27">
        <f t="shared" si="86"/>
        <v>1.6220504664076991E-2</v>
      </c>
      <c r="AR344" s="27">
        <f t="shared" si="86"/>
        <v>1.6538013858440784E-2</v>
      </c>
      <c r="AS344" s="27">
        <f t="shared" si="86"/>
        <v>1.6875399350821628E-2</v>
      </c>
      <c r="AT344" s="27">
        <f t="shared" si="86"/>
        <v>1.7229823710747674E-2</v>
      </c>
      <c r="AU344" s="27">
        <f t="shared" si="86"/>
        <v>1.7599458352989747E-2</v>
      </c>
      <c r="AV344" s="27">
        <f t="shared" si="86"/>
        <v>1.7990963815090407E-2</v>
      </c>
      <c r="AW344" s="27">
        <f t="shared" si="86"/>
        <v>1.836766424323575E-2</v>
      </c>
      <c r="AY344" s="79"/>
    </row>
    <row r="345" spans="1:51" x14ac:dyDescent="0.25">
      <c r="A345" s="95" t="str">
        <f t="shared" si="71"/>
        <v>GS Cattle MMN2O</v>
      </c>
      <c r="B345" s="95" t="s">
        <v>1020</v>
      </c>
      <c r="C345" s="95" t="s">
        <v>1231</v>
      </c>
      <c r="D345" t="s">
        <v>15</v>
      </c>
      <c r="E345" t="s">
        <v>657</v>
      </c>
      <c r="F345" t="s">
        <v>67</v>
      </c>
      <c r="G345" t="s">
        <v>122</v>
      </c>
      <c r="H345" t="s">
        <v>1226</v>
      </c>
      <c r="I345" t="s">
        <v>139</v>
      </c>
      <c r="J345" t="s">
        <v>287</v>
      </c>
      <c r="K345" s="27">
        <f t="shared" si="83"/>
        <v>0.52525224947331295</v>
      </c>
      <c r="L345" s="27">
        <f t="shared" si="86"/>
        <v>0.52069690445710348</v>
      </c>
      <c r="M345" s="27">
        <f t="shared" si="86"/>
        <v>0.51896282251134851</v>
      </c>
      <c r="N345" s="27">
        <f t="shared" si="86"/>
        <v>0.51203275332440912</v>
      </c>
      <c r="O345" s="27">
        <f t="shared" si="86"/>
        <v>0.50197358865556663</v>
      </c>
      <c r="P345" s="27">
        <f t="shared" si="86"/>
        <v>0.48899333628247271</v>
      </c>
      <c r="Q345" s="27">
        <f t="shared" si="86"/>
        <v>0.47875543160314177</v>
      </c>
      <c r="R345" s="27">
        <f t="shared" si="86"/>
        <v>0.46906920988966794</v>
      </c>
      <c r="S345" s="27">
        <f t="shared" si="86"/>
        <v>0.41885745966075799</v>
      </c>
      <c r="T345" s="27">
        <f t="shared" si="86"/>
        <v>0.43888316121589754</v>
      </c>
      <c r="U345" s="27">
        <f t="shared" si="86"/>
        <v>0.44581606294816456</v>
      </c>
      <c r="V345" s="27">
        <f t="shared" si="86"/>
        <v>0.4428053451992871</v>
      </c>
      <c r="W345" s="27">
        <f t="shared" si="86"/>
        <v>0.44035633830428106</v>
      </c>
      <c r="X345" s="27">
        <f t="shared" si="86"/>
        <v>0.44051721103792468</v>
      </c>
      <c r="Y345" s="27">
        <f t="shared" si="86"/>
        <v>0.44310396179359002</v>
      </c>
      <c r="Z345" s="27">
        <f t="shared" si="86"/>
        <v>0.4467743835824281</v>
      </c>
      <c r="AA345" s="27">
        <f t="shared" si="86"/>
        <v>0.45182412453822507</v>
      </c>
      <c r="AB345" s="27">
        <f t="shared" si="86"/>
        <v>0.4592210041031291</v>
      </c>
      <c r="AC345" s="27">
        <f t="shared" si="86"/>
        <v>0.46875611727926397</v>
      </c>
      <c r="AD345" s="27">
        <f t="shared" si="86"/>
        <v>0.47540395120736983</v>
      </c>
      <c r="AE345" s="27">
        <f t="shared" si="86"/>
        <v>0.48283708354051091</v>
      </c>
      <c r="AF345" s="27">
        <f t="shared" si="86"/>
        <v>0.49049534376627268</v>
      </c>
      <c r="AG345" s="27">
        <f t="shared" si="86"/>
        <v>0.49854885128886806</v>
      </c>
      <c r="AH345" s="27">
        <f t="shared" si="86"/>
        <v>0.50672298371374713</v>
      </c>
      <c r="AI345" s="27">
        <f t="shared" si="86"/>
        <v>0.51418741913189581</v>
      </c>
      <c r="AJ345" s="27">
        <f t="shared" si="86"/>
        <v>0.52206102854310632</v>
      </c>
      <c r="AK345" s="27">
        <f t="shared" si="86"/>
        <v>0.52957812188119258</v>
      </c>
      <c r="AL345" s="27">
        <f t="shared" si="86"/>
        <v>0.53666628025365293</v>
      </c>
      <c r="AM345" s="27">
        <f t="shared" si="86"/>
        <v>0.543628496445968</v>
      </c>
      <c r="AN345" s="27">
        <f t="shared" si="86"/>
        <v>0.55246945736606723</v>
      </c>
      <c r="AO345" s="27">
        <f t="shared" si="86"/>
        <v>0.56161375103123634</v>
      </c>
      <c r="AP345" s="27">
        <f t="shared" si="86"/>
        <v>0.57139369130463846</v>
      </c>
      <c r="AQ345" s="27">
        <f t="shared" si="86"/>
        <v>0.58113558104968666</v>
      </c>
      <c r="AR345" s="27">
        <f t="shared" si="86"/>
        <v>0.59085206465758344</v>
      </c>
      <c r="AS345" s="27">
        <f t="shared" si="86"/>
        <v>0.6011817102296716</v>
      </c>
      <c r="AT345" s="27">
        <f t="shared" si="86"/>
        <v>0.61185705718445471</v>
      </c>
      <c r="AU345" s="27">
        <f t="shared" si="86"/>
        <v>0.6226925043907553</v>
      </c>
      <c r="AV345" s="27">
        <f t="shared" si="86"/>
        <v>0.63405678889252681</v>
      </c>
      <c r="AW345" s="27">
        <f t="shared" si="86"/>
        <v>0.64358432778937325</v>
      </c>
      <c r="AY345" s="79"/>
    </row>
    <row r="346" spans="1:51" x14ac:dyDescent="0.25">
      <c r="A346" s="95" t="str">
        <f t="shared" si="71"/>
        <v>GS Cattle MMN2O</v>
      </c>
      <c r="B346" s="95" t="s">
        <v>1020</v>
      </c>
      <c r="C346" s="95" t="s">
        <v>1231</v>
      </c>
      <c r="D346" t="s">
        <v>15</v>
      </c>
      <c r="E346" t="s">
        <v>657</v>
      </c>
      <c r="F346" t="s">
        <v>67</v>
      </c>
      <c r="G346" t="s">
        <v>123</v>
      </c>
      <c r="H346" t="s">
        <v>1226</v>
      </c>
      <c r="I346" t="s">
        <v>139</v>
      </c>
      <c r="J346" t="s">
        <v>287</v>
      </c>
      <c r="K346" s="27">
        <f t="shared" si="83"/>
        <v>0.80452586370517842</v>
      </c>
      <c r="L346" s="27">
        <f t="shared" si="86"/>
        <v>0.79754846782098032</v>
      </c>
      <c r="M346" s="27">
        <f t="shared" si="86"/>
        <v>0.79489238443144161</v>
      </c>
      <c r="N346" s="27">
        <f t="shared" si="86"/>
        <v>0.78427763712907439</v>
      </c>
      <c r="O346" s="27">
        <f t="shared" si="86"/>
        <v>0.76887007218962278</v>
      </c>
      <c r="P346" s="27">
        <f t="shared" si="86"/>
        <v>0.74898829393537225</v>
      </c>
      <c r="Q346" s="27">
        <f t="shared" si="86"/>
        <v>0.73330695394505496</v>
      </c>
      <c r="R346" s="27">
        <f t="shared" si="86"/>
        <v>0.71847062359542491</v>
      </c>
      <c r="S346" s="27">
        <f t="shared" si="86"/>
        <v>0.64156157320759799</v>
      </c>
      <c r="T346" s="27">
        <f t="shared" si="86"/>
        <v>0.67223482564222559</v>
      </c>
      <c r="U346" s="27">
        <f t="shared" si="86"/>
        <v>0.68285391153805586</v>
      </c>
      <c r="V346" s="27">
        <f t="shared" si="86"/>
        <v>0.67824241239699168</v>
      </c>
      <c r="W346" s="27">
        <f t="shared" si="86"/>
        <v>0.67449128255528179</v>
      </c>
      <c r="X346" s="27">
        <f t="shared" si="86"/>
        <v>0.67473769040048559</v>
      </c>
      <c r="Y346" s="27">
        <f t="shared" si="86"/>
        <v>0.67869980172505096</v>
      </c>
      <c r="Z346" s="27">
        <f t="shared" si="86"/>
        <v>0.68432176576763859</v>
      </c>
      <c r="AA346" s="27">
        <f t="shared" si="86"/>
        <v>0.69205642508232745</v>
      </c>
      <c r="AB346" s="27">
        <f t="shared" si="86"/>
        <v>0.70338618316836132</v>
      </c>
      <c r="AC346" s="27">
        <f t="shared" si="86"/>
        <v>0.71799106143637159</v>
      </c>
      <c r="AD346" s="27">
        <f t="shared" si="86"/>
        <v>0.72817351060844282</v>
      </c>
      <c r="AE346" s="27">
        <f t="shared" si="86"/>
        <v>0.7395587968520555</v>
      </c>
      <c r="AF346" s="27">
        <f t="shared" si="86"/>
        <v>0.75128891020004818</v>
      </c>
      <c r="AG346" s="27">
        <f t="shared" si="86"/>
        <v>0.76362442157000243</v>
      </c>
      <c r="AH346" s="27">
        <f t="shared" si="86"/>
        <v>0.77614469341226622</v>
      </c>
      <c r="AI346" s="27">
        <f t="shared" si="86"/>
        <v>0.78757792641199043</v>
      </c>
      <c r="AJ346" s="27">
        <f t="shared" si="86"/>
        <v>0.79963788887456544</v>
      </c>
      <c r="AK346" s="27">
        <f t="shared" si="86"/>
        <v>0.81115177770881697</v>
      </c>
      <c r="AL346" s="27">
        <f t="shared" si="86"/>
        <v>0.82200866931166305</v>
      </c>
      <c r="AM346" s="27">
        <f t="shared" si="86"/>
        <v>0.83267265599813822</v>
      </c>
      <c r="AN346" s="27">
        <f t="shared" si="86"/>
        <v>0.84621430522926222</v>
      </c>
      <c r="AO346" s="27">
        <f t="shared" si="86"/>
        <v>0.86022056748957776</v>
      </c>
      <c r="AP346" s="27">
        <f t="shared" si="86"/>
        <v>0.87520044602095726</v>
      </c>
      <c r="AQ346" s="27">
        <f t="shared" si="86"/>
        <v>0.89012204277587748</v>
      </c>
      <c r="AR346" s="27">
        <f t="shared" si="86"/>
        <v>0.90500472509596042</v>
      </c>
      <c r="AS346" s="27">
        <f t="shared" si="86"/>
        <v>0.92082658408654217</v>
      </c>
      <c r="AT346" s="27">
        <f t="shared" si="86"/>
        <v>0.93717795190602593</v>
      </c>
      <c r="AU346" s="27">
        <f t="shared" si="86"/>
        <v>0.95377454436426301</v>
      </c>
      <c r="AV346" s="27">
        <f t="shared" si="86"/>
        <v>0.97118115388063697</v>
      </c>
      <c r="AW346" s="27">
        <f t="shared" si="86"/>
        <v>0.98577443066842085</v>
      </c>
      <c r="AY346" s="79"/>
    </row>
    <row r="347" spans="1:51" x14ac:dyDescent="0.25">
      <c r="A347" s="95" t="str">
        <f t="shared" si="71"/>
        <v>GS Cattle MMN2O</v>
      </c>
      <c r="B347" s="95" t="s">
        <v>1020</v>
      </c>
      <c r="C347" s="95" t="s">
        <v>1231</v>
      </c>
      <c r="D347" t="s">
        <v>15</v>
      </c>
      <c r="E347" t="s">
        <v>657</v>
      </c>
      <c r="F347" t="s">
        <v>67</v>
      </c>
      <c r="G347" t="s">
        <v>135</v>
      </c>
      <c r="H347" t="s">
        <v>1226</v>
      </c>
      <c r="I347" t="s">
        <v>139</v>
      </c>
      <c r="J347" t="s">
        <v>287</v>
      </c>
      <c r="K347" s="27">
        <f t="shared" si="83"/>
        <v>0.97926119892671459</v>
      </c>
      <c r="L347" s="27">
        <f t="shared" si="86"/>
        <v>1.0122801448609138</v>
      </c>
      <c r="M347" s="27">
        <f t="shared" si="86"/>
        <v>1.0514701788925804</v>
      </c>
      <c r="N347" s="27">
        <f t="shared" si="86"/>
        <v>1.0806972456941148</v>
      </c>
      <c r="O347" s="27">
        <f t="shared" si="86"/>
        <v>1.103236794343371</v>
      </c>
      <c r="P347" s="27">
        <f t="shared" si="86"/>
        <v>1.1187666946803865</v>
      </c>
      <c r="Q347" s="27">
        <f t="shared" si="86"/>
        <v>1.1399714801203362</v>
      </c>
      <c r="R347" s="27">
        <f t="shared" si="86"/>
        <v>1.1622002864669057</v>
      </c>
      <c r="S347" s="27">
        <f t="shared" si="86"/>
        <v>1.0797349387647497</v>
      </c>
      <c r="T347" s="27">
        <f t="shared" si="86"/>
        <v>1.1586148391754056</v>
      </c>
      <c r="U347" s="27">
        <f t="shared" si="86"/>
        <v>1.2048828534043301</v>
      </c>
      <c r="V347" s="27">
        <f t="shared" si="86"/>
        <v>1.2248214292243891</v>
      </c>
      <c r="W347" s="27">
        <f t="shared" si="86"/>
        <v>1.2462862134810584</v>
      </c>
      <c r="X347" s="27">
        <f t="shared" si="86"/>
        <v>1.2753304123156213</v>
      </c>
      <c r="Y347" s="27">
        <f t="shared" si="86"/>
        <v>1.3119382309958816</v>
      </c>
      <c r="Z347" s="27">
        <f t="shared" si="86"/>
        <v>1.352551168014529</v>
      </c>
      <c r="AA347" s="27">
        <f t="shared" si="86"/>
        <v>1.3983302277222904</v>
      </c>
      <c r="AB347" s="27">
        <f t="shared" si="86"/>
        <v>1.45265003311069</v>
      </c>
      <c r="AC347" s="27">
        <f t="shared" si="86"/>
        <v>1.5153587089508171</v>
      </c>
      <c r="AD347" s="27">
        <f t="shared" si="86"/>
        <v>1.5878154020260862</v>
      </c>
      <c r="AE347" s="27">
        <f t="shared" si="86"/>
        <v>1.6662236213187609</v>
      </c>
      <c r="AF347" s="27">
        <f t="shared" si="86"/>
        <v>1.7490356868363826</v>
      </c>
      <c r="AG347" s="27">
        <f t="shared" si="86"/>
        <v>1.8371605385940195</v>
      </c>
      <c r="AH347" s="27">
        <f t="shared" si="86"/>
        <v>1.9299179853404884</v>
      </c>
      <c r="AI347" s="27">
        <f t="shared" si="86"/>
        <v>2.0243264887955772</v>
      </c>
      <c r="AJ347" s="27">
        <f t="shared" si="86"/>
        <v>2.1249172544227406</v>
      </c>
      <c r="AK347" s="27">
        <f t="shared" si="86"/>
        <v>2.2289075077368197</v>
      </c>
      <c r="AL347" s="27">
        <f t="shared" si="86"/>
        <v>2.3361255764589468</v>
      </c>
      <c r="AM347" s="27">
        <f t="shared" si="86"/>
        <v>2.4480579395389377</v>
      </c>
      <c r="AN347" s="27">
        <f t="shared" si="86"/>
        <v>2.5580662421643461</v>
      </c>
      <c r="AO347" s="27">
        <f t="shared" si="86"/>
        <v>2.6740312374133999</v>
      </c>
      <c r="AP347" s="27">
        <f t="shared" si="86"/>
        <v>2.7979244732629738</v>
      </c>
      <c r="AQ347" s="27">
        <f t="shared" si="86"/>
        <v>2.9268588582276069</v>
      </c>
      <c r="AR347" s="27">
        <f t="shared" si="86"/>
        <v>3.0611473278848456</v>
      </c>
      <c r="AS347" s="27">
        <f t="shared" si="86"/>
        <v>3.2044630996439452</v>
      </c>
      <c r="AT347" s="27">
        <f t="shared" si="86"/>
        <v>3.3559228759421229</v>
      </c>
      <c r="AU347" s="27">
        <f t="shared" si="86"/>
        <v>3.5149748258951519</v>
      </c>
      <c r="AV347" s="27">
        <f t="shared" si="86"/>
        <v>3.6841999883853953</v>
      </c>
      <c r="AW347" s="27">
        <f t="shared" si="86"/>
        <v>3.8501065426145096</v>
      </c>
      <c r="AY347" s="79"/>
    </row>
    <row r="348" spans="1:51" x14ac:dyDescent="0.25">
      <c r="A348" s="95" t="str">
        <f t="shared" si="71"/>
        <v>GS Sheep MMN2O</v>
      </c>
      <c r="B348" s="95" t="s">
        <v>1020</v>
      </c>
      <c r="C348" s="95" t="s">
        <v>1327</v>
      </c>
      <c r="D348" t="s">
        <v>15</v>
      </c>
      <c r="E348" t="s">
        <v>657</v>
      </c>
      <c r="F348" t="s">
        <v>18</v>
      </c>
      <c r="G348" t="s">
        <v>122</v>
      </c>
      <c r="H348" t="s">
        <v>1226</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0.11888884787446641</v>
      </c>
      <c r="T348" s="27">
        <f t="shared" si="86"/>
        <v>0.11897442160845599</v>
      </c>
      <c r="U348" s="27">
        <f t="shared" si="86"/>
        <v>0.11894433570617077</v>
      </c>
      <c r="V348" s="27">
        <f t="shared" si="86"/>
        <v>0.11894216976117228</v>
      </c>
      <c r="W348" s="27">
        <f t="shared" si="86"/>
        <v>0.11906833284654554</v>
      </c>
      <c r="X348" s="27">
        <f t="shared" si="86"/>
        <v>0.1192748103604965</v>
      </c>
      <c r="Y348" s="27">
        <f t="shared" si="86"/>
        <v>0.11947292782589553</v>
      </c>
      <c r="Z348" s="27">
        <f t="shared" si="86"/>
        <v>0.11966332441080059</v>
      </c>
      <c r="AA348" s="27">
        <f t="shared" si="86"/>
        <v>0.11984574027292559</v>
      </c>
      <c r="AB348" s="27">
        <f t="shared" si="86"/>
        <v>0.12002397691702794</v>
      </c>
      <c r="AC348" s="27">
        <f t="shared" si="86"/>
        <v>0.12020063791291828</v>
      </c>
      <c r="AD348" s="27">
        <f t="shared" si="86"/>
        <v>0.12037395069486655</v>
      </c>
      <c r="AE348" s="27">
        <f t="shared" si="86"/>
        <v>0.12054640721794915</v>
      </c>
      <c r="AF348" s="27">
        <f t="shared" si="86"/>
        <v>0.12071746421078627</v>
      </c>
      <c r="AG348" s="27">
        <f t="shared" si="86"/>
        <v>0.12088575105723816</v>
      </c>
      <c r="AH348" s="27">
        <f t="shared" si="86"/>
        <v>0.12105200867781399</v>
      </c>
      <c r="AI348" s="27">
        <f t="shared" si="86"/>
        <v>0.12121641449313381</v>
      </c>
      <c r="AJ348" s="27">
        <f t="shared" si="86"/>
        <v>0.12137952665146406</v>
      </c>
      <c r="AK348" s="27">
        <f t="shared" si="86"/>
        <v>0.12153635424536353</v>
      </c>
      <c r="AL348" s="27">
        <f t="shared" si="86"/>
        <v>0.12168671378968904</v>
      </c>
      <c r="AM348" s="27">
        <f t="shared" si="86"/>
        <v>0.12183201055728769</v>
      </c>
      <c r="AN348" s="27">
        <f t="shared" si="86"/>
        <v>0.12197112574763715</v>
      </c>
      <c r="AO348" s="27">
        <f t="shared" si="86"/>
        <v>0.12210431172658152</v>
      </c>
      <c r="AP348" s="27">
        <f t="shared" si="86"/>
        <v>0.12223096862203452</v>
      </c>
      <c r="AQ348" s="27">
        <f t="shared" si="86"/>
        <v>0.12234928396390207</v>
      </c>
      <c r="AR348" s="27">
        <f t="shared" si="86"/>
        <v>0.12245757817594662</v>
      </c>
      <c r="AS348" s="27">
        <f t="shared" si="86"/>
        <v>0.12255574185064526</v>
      </c>
      <c r="AT348" s="27">
        <f t="shared" si="86"/>
        <v>0.12264302379658787</v>
      </c>
      <c r="AU348" s="27">
        <f t="shared" si="86"/>
        <v>0.12271938191890155</v>
      </c>
      <c r="AV348" s="27">
        <f t="shared" si="86"/>
        <v>0.12278627747914957</v>
      </c>
      <c r="AW348" s="27">
        <f t="shared" si="86"/>
        <v>0.12283502162881774</v>
      </c>
      <c r="AY348" s="79"/>
    </row>
    <row r="349" spans="1:51" x14ac:dyDescent="0.25">
      <c r="A349" s="95" t="str">
        <f t="shared" si="71"/>
        <v>GS Sheep MMN2O</v>
      </c>
      <c r="B349" s="95" t="s">
        <v>1020</v>
      </c>
      <c r="C349" s="95" t="s">
        <v>1327</v>
      </c>
      <c r="D349" t="s">
        <v>15</v>
      </c>
      <c r="E349" t="s">
        <v>657</v>
      </c>
      <c r="F349" t="s">
        <v>18</v>
      </c>
      <c r="G349" t="s">
        <v>123</v>
      </c>
      <c r="H349" t="s">
        <v>1226</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6.3574794121898134E-2</v>
      </c>
      <c r="T349" s="27">
        <f t="shared" si="86"/>
        <v>6.362055394393272E-2</v>
      </c>
      <c r="U349" s="27">
        <f t="shared" si="86"/>
        <v>6.3604465765117371E-2</v>
      </c>
      <c r="V349" s="27">
        <f t="shared" si="86"/>
        <v>6.3603307544562435E-2</v>
      </c>
      <c r="W349" s="27">
        <f t="shared" si="86"/>
        <v>6.3670772174944407E-2</v>
      </c>
      <c r="X349" s="27">
        <f t="shared" si="86"/>
        <v>6.3781184258793491E-2</v>
      </c>
      <c r="Y349" s="27">
        <f t="shared" si="86"/>
        <v>6.3887125878212575E-2</v>
      </c>
      <c r="Z349" s="27">
        <f t="shared" si="86"/>
        <v>6.3988938822851713E-2</v>
      </c>
      <c r="AA349" s="27">
        <f t="shared" si="86"/>
        <v>6.4086484144271705E-2</v>
      </c>
      <c r="AB349" s="27">
        <f t="shared" si="86"/>
        <v>6.4181794664613767E-2</v>
      </c>
      <c r="AC349" s="27">
        <f t="shared" si="86"/>
        <v>6.4276262620556607E-2</v>
      </c>
      <c r="AD349" s="27">
        <f t="shared" si="86"/>
        <v>6.4368940147743067E-2</v>
      </c>
      <c r="AE349" s="27">
        <f t="shared" si="86"/>
        <v>6.4461159797827752E-2</v>
      </c>
      <c r="AF349" s="27">
        <f t="shared" si="86"/>
        <v>6.4552631061088828E-2</v>
      </c>
      <c r="AG349" s="27">
        <f t="shared" si="86"/>
        <v>6.4642621012273305E-2</v>
      </c>
      <c r="AH349" s="27">
        <f t="shared" si="86"/>
        <v>6.4731525852283742E-2</v>
      </c>
      <c r="AI349" s="27">
        <f t="shared" si="86"/>
        <v>6.4819440455278599E-2</v>
      </c>
      <c r="AJ349" s="27">
        <f t="shared" si="86"/>
        <v>6.4906663286267555E-2</v>
      </c>
      <c r="AK349" s="27">
        <f t="shared" si="86"/>
        <v>6.499052550020136E-2</v>
      </c>
      <c r="AL349" s="27">
        <f t="shared" si="86"/>
        <v>6.5070928979969703E-2</v>
      </c>
      <c r="AM349" s="27">
        <f t="shared" si="86"/>
        <v>6.5148625183203274E-2</v>
      </c>
      <c r="AN349" s="27">
        <f t="shared" si="86"/>
        <v>6.5223015840895862E-2</v>
      </c>
      <c r="AO349" s="27">
        <f t="shared" si="86"/>
        <v>6.5294235903523207E-2</v>
      </c>
      <c r="AP349" s="27">
        <f t="shared" si="86"/>
        <v>6.5361964594620001E-2</v>
      </c>
      <c r="AQ349" s="27">
        <f t="shared" si="86"/>
        <v>6.542523271131194E-2</v>
      </c>
      <c r="AR349" s="27">
        <f t="shared" si="86"/>
        <v>6.548314211457737E-2</v>
      </c>
      <c r="AS349" s="27">
        <f t="shared" si="86"/>
        <v>6.5535634299679582E-2</v>
      </c>
      <c r="AT349" s="27">
        <f t="shared" si="86"/>
        <v>6.5582307573439622E-2</v>
      </c>
      <c r="AU349" s="27">
        <f t="shared" si="86"/>
        <v>6.5623139425984384E-2</v>
      </c>
      <c r="AV349" s="27">
        <f t="shared" si="86"/>
        <v>6.5658911254431448E-2</v>
      </c>
      <c r="AW349" s="27">
        <f t="shared" si="86"/>
        <v>6.5684976771384518E-2</v>
      </c>
      <c r="AY349" s="79"/>
    </row>
    <row r="350" spans="1:51" x14ac:dyDescent="0.25">
      <c r="A350" s="95" t="str">
        <f t="shared" si="71"/>
        <v>GS Goats MMN2O</v>
      </c>
      <c r="B350" s="95" t="s">
        <v>1020</v>
      </c>
      <c r="C350" s="95" t="s">
        <v>1328</v>
      </c>
      <c r="D350" t="s">
        <v>15</v>
      </c>
      <c r="E350" t="s">
        <v>657</v>
      </c>
      <c r="F350" t="s">
        <v>19</v>
      </c>
      <c r="G350" t="s">
        <v>122</v>
      </c>
      <c r="H350" t="s">
        <v>1226</v>
      </c>
      <c r="I350" t="s">
        <v>139</v>
      </c>
      <c r="J350" t="s">
        <v>287</v>
      </c>
      <c r="K350" s="27">
        <f t="shared" si="83"/>
        <v>1.4486129996083083E-2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1.4890706011157254E-2</v>
      </c>
      <c r="R350" s="27">
        <f t="shared" si="86"/>
        <v>1.4988675221399694E-2</v>
      </c>
      <c r="S350" s="27">
        <f t="shared" si="86"/>
        <v>1.4951923212530764E-2</v>
      </c>
      <c r="T350" s="27">
        <f t="shared" si="86"/>
        <v>1.4977625582861876E-2</v>
      </c>
      <c r="U350" s="27">
        <f t="shared" si="86"/>
        <v>1.4980119703065675E-2</v>
      </c>
      <c r="V350" s="27">
        <f t="shared" si="86"/>
        <v>1.4986976942692673E-2</v>
      </c>
      <c r="W350" s="27">
        <f t="shared" si="86"/>
        <v>1.5017294663736542E-2</v>
      </c>
      <c r="X350" s="27">
        <f t="shared" si="86"/>
        <v>1.5061890336193319E-2</v>
      </c>
      <c r="Y350" s="27">
        <f t="shared" si="86"/>
        <v>1.5103986297595969E-2</v>
      </c>
      <c r="Z350" s="27">
        <f t="shared" si="86"/>
        <v>1.5143780477124499E-2</v>
      </c>
      <c r="AA350" s="27">
        <f t="shared" si="86"/>
        <v>1.518129324368281E-2</v>
      </c>
      <c r="AB350" s="27">
        <f t="shared" si="86"/>
        <v>1.5217300806744069E-2</v>
      </c>
      <c r="AC350" s="27">
        <f t="shared" si="86"/>
        <v>1.5252343422195683E-2</v>
      </c>
      <c r="AD350" s="27">
        <f t="shared" si="86"/>
        <v>1.528613499352576E-2</v>
      </c>
      <c r="AE350" s="27">
        <f t="shared" si="86"/>
        <v>1.5319183069795761E-2</v>
      </c>
      <c r="AF350" s="27">
        <f t="shared" si="86"/>
        <v>1.5351423055728343E-2</v>
      </c>
      <c r="AG350" s="27">
        <f t="shared" si="86"/>
        <v>1.5382634347686872E-2</v>
      </c>
      <c r="AH350" s="27">
        <f t="shared" si="86"/>
        <v>1.5412986814805201E-2</v>
      </c>
      <c r="AI350" s="27">
        <f t="shared" si="86"/>
        <v>1.5442542460580333E-2</v>
      </c>
      <c r="AJ350" s="27">
        <f t="shared" si="86"/>
        <v>1.5471431054826285E-2</v>
      </c>
      <c r="AK350" s="27">
        <f t="shared" si="86"/>
        <v>1.5498756892033489E-2</v>
      </c>
      <c r="AL350" s="27">
        <f t="shared" si="86"/>
        <v>1.5524513513074619E-2</v>
      </c>
      <c r="AM350" s="27">
        <f t="shared" si="86"/>
        <v>1.5548984646319333E-2</v>
      </c>
      <c r="AN350" s="27">
        <f t="shared" si="86"/>
        <v>1.5571987875403363E-2</v>
      </c>
      <c r="AO350" s="27">
        <f t="shared" si="86"/>
        <v>1.5593591673600768E-2</v>
      </c>
      <c r="AP350" s="27">
        <f t="shared" si="86"/>
        <v>1.5613707165200276E-2</v>
      </c>
      <c r="AQ350" s="27">
        <f t="shared" si="86"/>
        <v>1.5632023858239551E-2</v>
      </c>
      <c r="AR350" s="27">
        <f t="shared" si="86"/>
        <v>1.5648256533695205E-2</v>
      </c>
      <c r="AS350" s="27">
        <f t="shared" si="86"/>
        <v>1.5662406299088667E-2</v>
      </c>
      <c r="AT350" s="27">
        <f t="shared" si="86"/>
        <v>1.5674356891571192E-2</v>
      </c>
      <c r="AU350" s="27">
        <f t="shared" si="86"/>
        <v>1.568412043163633E-2</v>
      </c>
      <c r="AV350" s="27">
        <f t="shared" si="86"/>
        <v>1.5691980107154113E-2</v>
      </c>
      <c r="AW350" s="27">
        <f t="shared" si="86"/>
        <v>1.5696383554298719E-2</v>
      </c>
      <c r="AY350" s="79"/>
    </row>
    <row r="351" spans="1:51" x14ac:dyDescent="0.25">
      <c r="A351" s="95" t="str">
        <f t="shared" si="71"/>
        <v>GS Goats MMN2O</v>
      </c>
      <c r="B351" s="95" t="s">
        <v>1020</v>
      </c>
      <c r="C351" s="95" t="s">
        <v>1328</v>
      </c>
      <c r="D351" t="s">
        <v>15</v>
      </c>
      <c r="E351" t="s">
        <v>657</v>
      </c>
      <c r="F351" t="s">
        <v>19</v>
      </c>
      <c r="G351" t="s">
        <v>123</v>
      </c>
      <c r="H351" t="s">
        <v>1226</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0.11664735601685972</v>
      </c>
      <c r="P351" s="27">
        <f t="shared" si="86"/>
        <v>0.11732381389682567</v>
      </c>
      <c r="Q351" s="27">
        <f t="shared" si="86"/>
        <v>0.11805182815822723</v>
      </c>
      <c r="R351" s="27">
        <f t="shared" si="86"/>
        <v>0.11882851694408277</v>
      </c>
      <c r="S351" s="27">
        <f t="shared" si="86"/>
        <v>0.11853715118666242</v>
      </c>
      <c r="T351" s="27">
        <f t="shared" si="86"/>
        <v>0.11874091666314918</v>
      </c>
      <c r="U351" s="27">
        <f t="shared" ref="L351:AW357" si="87">U1420</f>
        <v>0.11876068976520925</v>
      </c>
      <c r="V351" s="27">
        <f t="shared" si="87"/>
        <v>0.11881505318313448</v>
      </c>
      <c r="W351" s="27">
        <f t="shared" si="87"/>
        <v>0.11905540863653861</v>
      </c>
      <c r="X351" s="27">
        <f t="shared" si="87"/>
        <v>0.11940895806915272</v>
      </c>
      <c r="Y351" s="27">
        <f t="shared" si="87"/>
        <v>0.11974269007607956</v>
      </c>
      <c r="Z351" s="27">
        <f t="shared" si="87"/>
        <v>0.12005817381740651</v>
      </c>
      <c r="AA351" s="27">
        <f t="shared" si="87"/>
        <v>0.12035557077549322</v>
      </c>
      <c r="AB351" s="27">
        <f t="shared" si="87"/>
        <v>0.12064103465099509</v>
      </c>
      <c r="AC351" s="27">
        <f t="shared" si="87"/>
        <v>0.12091884853130468</v>
      </c>
      <c r="AD351" s="27">
        <f t="shared" si="87"/>
        <v>0.12118674427572847</v>
      </c>
      <c r="AE351" s="27">
        <f t="shared" si="87"/>
        <v>0.12144874567565288</v>
      </c>
      <c r="AF351" s="27">
        <f t="shared" si="87"/>
        <v>0.1217043406270464</v>
      </c>
      <c r="AG351" s="27">
        <f t="shared" si="87"/>
        <v>0.12195178020930149</v>
      </c>
      <c r="AH351" s="27">
        <f t="shared" si="87"/>
        <v>0.12219241112564265</v>
      </c>
      <c r="AI351" s="27">
        <f t="shared" si="87"/>
        <v>0.1224267249327608</v>
      </c>
      <c r="AJ351" s="27">
        <f t="shared" si="87"/>
        <v>0.1226557504310213</v>
      </c>
      <c r="AK351" s="27">
        <f t="shared" si="87"/>
        <v>0.12287238656874688</v>
      </c>
      <c r="AL351" s="27">
        <f t="shared" si="87"/>
        <v>0.12307658213870883</v>
      </c>
      <c r="AM351" s="27">
        <f t="shared" si="87"/>
        <v>0.1232705865072376</v>
      </c>
      <c r="AN351" s="27">
        <f t="shared" si="87"/>
        <v>0.12345295349808931</v>
      </c>
      <c r="AO351" s="27">
        <f t="shared" si="87"/>
        <v>0.12362422595961356</v>
      </c>
      <c r="AP351" s="27">
        <f t="shared" si="87"/>
        <v>0.12378369929525287</v>
      </c>
      <c r="AQ351" s="27">
        <f t="shared" si="87"/>
        <v>0.12392891195994982</v>
      </c>
      <c r="AR351" s="27">
        <f t="shared" si="87"/>
        <v>0.12405760276964035</v>
      </c>
      <c r="AS351" s="27">
        <f t="shared" si="87"/>
        <v>0.12416978050462869</v>
      </c>
      <c r="AT351" s="27">
        <f t="shared" si="87"/>
        <v>0.12426452344623794</v>
      </c>
      <c r="AU351" s="27">
        <f t="shared" si="87"/>
        <v>0.12434192768436619</v>
      </c>
      <c r="AV351" s="27">
        <f t="shared" si="87"/>
        <v>0.1244042383003242</v>
      </c>
      <c r="AW351" s="27">
        <f t="shared" si="87"/>
        <v>0.12443914832979021</v>
      </c>
      <c r="AY351" s="79"/>
    </row>
    <row r="352" spans="1:51" x14ac:dyDescent="0.25">
      <c r="A352" s="95" t="str">
        <f t="shared" si="71"/>
        <v>GS Horses MMN2O</v>
      </c>
      <c r="B352" s="95" t="s">
        <v>1020</v>
      </c>
      <c r="C352" s="95" t="s">
        <v>1329</v>
      </c>
      <c r="D352" t="s">
        <v>15</v>
      </c>
      <c r="E352" t="s">
        <v>657</v>
      </c>
      <c r="F352" t="s">
        <v>20</v>
      </c>
      <c r="G352" t="s">
        <v>3</v>
      </c>
      <c r="H352" t="s">
        <v>1226</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5">
      <c r="A353" s="95" t="str">
        <f t="shared" si="71"/>
        <v>GS Mules MMN2O</v>
      </c>
      <c r="B353" s="95" t="s">
        <v>1020</v>
      </c>
      <c r="C353" s="95" t="s">
        <v>1330</v>
      </c>
      <c r="D353" t="s">
        <v>15</v>
      </c>
      <c r="E353" t="s">
        <v>657</v>
      </c>
      <c r="F353" t="s">
        <v>140</v>
      </c>
      <c r="G353" t="s">
        <v>124</v>
      </c>
      <c r="H353" t="s">
        <v>1226</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5">
      <c r="A354" s="95" t="str">
        <f t="shared" si="71"/>
        <v>GS Swine MMN2O</v>
      </c>
      <c r="B354" s="95" t="s">
        <v>1020</v>
      </c>
      <c r="C354" s="95" t="s">
        <v>1232</v>
      </c>
      <c r="D354" t="s">
        <v>15</v>
      </c>
      <c r="E354" t="s">
        <v>657</v>
      </c>
      <c r="F354" t="s">
        <v>21</v>
      </c>
      <c r="G354" t="s">
        <v>122</v>
      </c>
      <c r="H354" t="s">
        <v>1226</v>
      </c>
      <c r="I354" t="s">
        <v>139</v>
      </c>
      <c r="J354" t="s">
        <v>287</v>
      </c>
      <c r="K354" s="27">
        <f t="shared" si="83"/>
        <v>9.7466979224281824E-2</v>
      </c>
      <c r="L354" s="27">
        <f t="shared" si="87"/>
        <v>9.6937181363551519E-2</v>
      </c>
      <c r="M354" s="27">
        <f t="shared" si="87"/>
        <v>9.6980665528366566E-2</v>
      </c>
      <c r="N354" s="27">
        <f t="shared" si="87"/>
        <v>9.6090308702663552E-2</v>
      </c>
      <c r="O354" s="27">
        <f t="shared" si="87"/>
        <v>9.4636150647850456E-2</v>
      </c>
      <c r="P354" s="27">
        <f t="shared" si="87"/>
        <v>9.2641437622218339E-2</v>
      </c>
      <c r="Q354" s="27">
        <f t="shared" si="87"/>
        <v>9.1193054757597189E-2</v>
      </c>
      <c r="R354" s="27">
        <f t="shared" si="87"/>
        <v>8.9872834352323586E-2</v>
      </c>
      <c r="S354" s="27">
        <f t="shared" si="87"/>
        <v>8.0734544225409766E-2</v>
      </c>
      <c r="T354" s="27">
        <f t="shared" si="87"/>
        <v>8.4382841213531623E-2</v>
      </c>
      <c r="U354" s="27">
        <f t="shared" si="87"/>
        <v>8.5485831085546846E-2</v>
      </c>
      <c r="V354" s="27">
        <f t="shared" si="87"/>
        <v>8.4642168924532232E-2</v>
      </c>
      <c r="W354" s="27">
        <f t="shared" si="87"/>
        <v>8.3900172539890919E-2</v>
      </c>
      <c r="X354" s="27">
        <f t="shared" si="87"/>
        <v>8.3670858252268526E-2</v>
      </c>
      <c r="Y354" s="27">
        <f t="shared" si="87"/>
        <v>8.3934301237427442E-2</v>
      </c>
      <c r="Z354" s="27">
        <f t="shared" si="87"/>
        <v>8.44249898120146E-2</v>
      </c>
      <c r="AA354" s="27">
        <f t="shared" si="87"/>
        <v>8.5198904999322256E-2</v>
      </c>
      <c r="AB354" s="27">
        <f t="shared" si="87"/>
        <v>8.6442123684456251E-2</v>
      </c>
      <c r="AC354" s="27">
        <f t="shared" si="87"/>
        <v>8.8111240076380506E-2</v>
      </c>
      <c r="AD354" s="27">
        <f t="shared" si="87"/>
        <v>9.001094563198829E-2</v>
      </c>
      <c r="AE354" s="27">
        <f t="shared" si="87"/>
        <v>9.2122381916242821E-2</v>
      </c>
      <c r="AF354" s="27">
        <f t="shared" si="87"/>
        <v>9.433993402703468E-2</v>
      </c>
      <c r="AG354" s="27">
        <f t="shared" si="87"/>
        <v>9.6701686348057328E-2</v>
      </c>
      <c r="AH354" s="27">
        <f t="shared" si="87"/>
        <v>9.9156733920468212E-2</v>
      </c>
      <c r="AI354" s="27">
        <f t="shared" si="87"/>
        <v>0.10153918433243618</v>
      </c>
      <c r="AJ354" s="27">
        <f t="shared" si="87"/>
        <v>0.10407920464758763</v>
      </c>
      <c r="AK354" s="27">
        <f t="shared" si="87"/>
        <v>0.10662429120765052</v>
      </c>
      <c r="AL354" s="27">
        <f t="shared" si="87"/>
        <v>0.10916108152437015</v>
      </c>
      <c r="AM354" s="27">
        <f t="shared" si="87"/>
        <v>0.11175521560682936</v>
      </c>
      <c r="AN354" s="27">
        <f t="shared" si="87"/>
        <v>0.11423893572460501</v>
      </c>
      <c r="AO354" s="27">
        <f t="shared" si="87"/>
        <v>0.11683800387615073</v>
      </c>
      <c r="AP354" s="27">
        <f t="shared" si="87"/>
        <v>0.11962734368800265</v>
      </c>
      <c r="AQ354" s="27">
        <f t="shared" si="87"/>
        <v>0.12246543086827189</v>
      </c>
      <c r="AR354" s="27">
        <f t="shared" si="87"/>
        <v>0.12535748302837027</v>
      </c>
      <c r="AS354" s="27">
        <f t="shared" si="87"/>
        <v>0.12844640721926534</v>
      </c>
      <c r="AT354" s="27">
        <f t="shared" si="87"/>
        <v>0.13167842894497958</v>
      </c>
      <c r="AU354" s="27">
        <f t="shared" si="87"/>
        <v>0.13501670748772379</v>
      </c>
      <c r="AV354" s="27">
        <f t="shared" si="87"/>
        <v>0.13854783957825018</v>
      </c>
      <c r="AW354" s="27">
        <f t="shared" si="87"/>
        <v>0.14174415331850926</v>
      </c>
      <c r="AY354" s="79"/>
    </row>
    <row r="355" spans="1:51" x14ac:dyDescent="0.25">
      <c r="A355" s="95" t="str">
        <f t="shared" si="71"/>
        <v>GS Swine MMN2O</v>
      </c>
      <c r="B355" s="95" t="s">
        <v>1020</v>
      </c>
      <c r="C355" s="95" t="s">
        <v>1232</v>
      </c>
      <c r="D355" t="s">
        <v>15</v>
      </c>
      <c r="E355" t="s">
        <v>657</v>
      </c>
      <c r="F355" t="s">
        <v>21</v>
      </c>
      <c r="G355" t="s">
        <v>123</v>
      </c>
      <c r="H355" t="s">
        <v>1226</v>
      </c>
      <c r="I355" t="s">
        <v>139</v>
      </c>
      <c r="J355" t="s">
        <v>287</v>
      </c>
      <c r="K355" s="27">
        <f t="shared" si="83"/>
        <v>3.8131055665722169E-2</v>
      </c>
      <c r="L355" s="27">
        <f t="shared" si="87"/>
        <v>3.7923788015899962E-2</v>
      </c>
      <c r="M355" s="27">
        <f t="shared" si="87"/>
        <v>3.794079990159023E-2</v>
      </c>
      <c r="N355" s="27">
        <f t="shared" si="87"/>
        <v>3.7592474284510076E-2</v>
      </c>
      <c r="O355" s="27">
        <f t="shared" si="87"/>
        <v>3.7023578211438556E-2</v>
      </c>
      <c r="P355" s="27">
        <f t="shared" si="87"/>
        <v>3.6243206089281214E-2</v>
      </c>
      <c r="Q355" s="27">
        <f t="shared" si="87"/>
        <v>3.5676569387541837E-2</v>
      </c>
      <c r="R355" s="27">
        <f t="shared" si="87"/>
        <v>3.5160072434777263E-2</v>
      </c>
      <c r="S355" s="27">
        <f t="shared" si="87"/>
        <v>3.1584988316113387E-2</v>
      </c>
      <c r="T355" s="27">
        <f t="shared" si="87"/>
        <v>3.3012275964159274E-2</v>
      </c>
      <c r="U355" s="27">
        <f t="shared" si="87"/>
        <v>3.3443787934092799E-2</v>
      </c>
      <c r="V355" s="27">
        <f t="shared" si="87"/>
        <v>3.3113730215255661E-2</v>
      </c>
      <c r="W355" s="27">
        <f t="shared" si="87"/>
        <v>3.2823446206541117E-2</v>
      </c>
      <c r="X355" s="27">
        <f t="shared" si="87"/>
        <v>3.2733733814345668E-2</v>
      </c>
      <c r="Y355" s="27">
        <f t="shared" si="87"/>
        <v>3.2836798044013883E-2</v>
      </c>
      <c r="Z355" s="27">
        <f t="shared" si="87"/>
        <v>3.3028765349259512E-2</v>
      </c>
      <c r="AA355" s="27">
        <f t="shared" si="87"/>
        <v>3.3331536639830336E-2</v>
      </c>
      <c r="AB355" s="27">
        <f t="shared" si="87"/>
        <v>3.3817908960638868E-2</v>
      </c>
      <c r="AC355" s="27">
        <f t="shared" si="87"/>
        <v>3.4470901087403957E-2</v>
      </c>
      <c r="AD355" s="27">
        <f t="shared" si="87"/>
        <v>3.5214104363691767E-2</v>
      </c>
      <c r="AE355" s="27">
        <f t="shared" si="87"/>
        <v>3.6040140987893189E-2</v>
      </c>
      <c r="AF355" s="27">
        <f t="shared" si="87"/>
        <v>3.6907692271940552E-2</v>
      </c>
      <c r="AG355" s="27">
        <f t="shared" si="87"/>
        <v>3.7831657597821179E-2</v>
      </c>
      <c r="AH355" s="27">
        <f t="shared" si="87"/>
        <v>3.879212191497397E-2</v>
      </c>
      <c r="AI355" s="27">
        <f t="shared" si="87"/>
        <v>3.9724184753102243E-2</v>
      </c>
      <c r="AJ355" s="27">
        <f t="shared" si="87"/>
        <v>4.0717892127640175E-2</v>
      </c>
      <c r="AK355" s="27">
        <f t="shared" si="87"/>
        <v>4.1713581519762656E-2</v>
      </c>
      <c r="AL355" s="27">
        <f t="shared" si="87"/>
        <v>4.270602525351698E-2</v>
      </c>
      <c r="AM355" s="27">
        <f t="shared" si="87"/>
        <v>4.3720903029455652E-2</v>
      </c>
      <c r="AN355" s="27">
        <f t="shared" si="87"/>
        <v>4.4692584626882061E-2</v>
      </c>
      <c r="AO355" s="27">
        <f t="shared" si="87"/>
        <v>4.5709392710546422E-2</v>
      </c>
      <c r="AP355" s="27">
        <f t="shared" si="87"/>
        <v>4.6800638920112353E-2</v>
      </c>
      <c r="AQ355" s="27">
        <f t="shared" si="87"/>
        <v>4.791095608718076E-2</v>
      </c>
      <c r="AR355" s="27">
        <f t="shared" si="87"/>
        <v>4.9042385446975784E-2</v>
      </c>
      <c r="AS355" s="27">
        <f t="shared" si="87"/>
        <v>5.0250835131244558E-2</v>
      </c>
      <c r="AT355" s="27">
        <f t="shared" si="87"/>
        <v>5.1515267468399954E-2</v>
      </c>
      <c r="AU355" s="27">
        <f t="shared" si="87"/>
        <v>5.2821269623736601E-2</v>
      </c>
      <c r="AV355" s="27">
        <f t="shared" si="87"/>
        <v>5.4202719991630371E-2</v>
      </c>
      <c r="AW355" s="27">
        <f t="shared" si="87"/>
        <v>5.5453182641903707E-2</v>
      </c>
      <c r="AY355" s="79"/>
    </row>
    <row r="356" spans="1:51" x14ac:dyDescent="0.25">
      <c r="A356" s="95" t="str">
        <f t="shared" si="71"/>
        <v>GS Poultry MMN2O</v>
      </c>
      <c r="B356" s="95" t="s">
        <v>1020</v>
      </c>
      <c r="C356" s="95" t="s">
        <v>1233</v>
      </c>
      <c r="D356" t="s">
        <v>15</v>
      </c>
      <c r="E356" t="s">
        <v>657</v>
      </c>
      <c r="F356" t="s">
        <v>28</v>
      </c>
      <c r="G356" t="s">
        <v>131</v>
      </c>
      <c r="H356" t="s">
        <v>1226</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0.36607496135357975</v>
      </c>
      <c r="S356" s="27">
        <f t="shared" si="87"/>
        <v>0.35135538223408885</v>
      </c>
      <c r="T356" s="27">
        <f t="shared" si="87"/>
        <v>0.3660250744881503</v>
      </c>
      <c r="U356" s="27">
        <f t="shared" si="87"/>
        <v>0.3747433751291977</v>
      </c>
      <c r="V356" s="27">
        <f t="shared" si="87"/>
        <v>0.37890472124533414</v>
      </c>
      <c r="W356" s="27">
        <f t="shared" si="87"/>
        <v>0.38351980018418114</v>
      </c>
      <c r="X356" s="27">
        <f t="shared" si="87"/>
        <v>0.38953835570243145</v>
      </c>
      <c r="Y356" s="27">
        <f t="shared" si="87"/>
        <v>0.39678314869255904</v>
      </c>
      <c r="Z356" s="27">
        <f t="shared" si="87"/>
        <v>0.40464075152916346</v>
      </c>
      <c r="AA356" s="27">
        <f t="shared" si="87"/>
        <v>0.41330404639575669</v>
      </c>
      <c r="AB356" s="27">
        <f t="shared" si="87"/>
        <v>0.42334665156208889</v>
      </c>
      <c r="AC356" s="27">
        <f t="shared" si="87"/>
        <v>0.43473806986049379</v>
      </c>
      <c r="AD356" s="27">
        <f t="shared" si="87"/>
        <v>0.44699375378888861</v>
      </c>
      <c r="AE356" s="27">
        <f t="shared" si="87"/>
        <v>0.46011178168093952</v>
      </c>
      <c r="AF356" s="27">
        <f t="shared" si="87"/>
        <v>0.47382089637959635</v>
      </c>
      <c r="AG356" s="27">
        <f t="shared" si="87"/>
        <v>0.48826027881230222</v>
      </c>
      <c r="AH356" s="27">
        <f t="shared" si="87"/>
        <v>0.50330862860005154</v>
      </c>
      <c r="AI356" s="27">
        <f t="shared" si="87"/>
        <v>0.5184689754858961</v>
      </c>
      <c r="AJ356" s="27">
        <f t="shared" si="87"/>
        <v>0.53447970815576928</v>
      </c>
      <c r="AK356" s="27">
        <f t="shared" si="87"/>
        <v>0.55086704408448872</v>
      </c>
      <c r="AL356" s="27">
        <f t="shared" si="87"/>
        <v>0.56759733652439393</v>
      </c>
      <c r="AM356" s="27">
        <f t="shared" si="87"/>
        <v>0.58490701814028823</v>
      </c>
      <c r="AN356" s="27">
        <f t="shared" si="87"/>
        <v>0.60223366750494911</v>
      </c>
      <c r="AO356" s="27">
        <f t="shared" si="87"/>
        <v>0.62036595204994383</v>
      </c>
      <c r="AP356" s="27">
        <f t="shared" si="87"/>
        <v>0.63960685850737242</v>
      </c>
      <c r="AQ356" s="27">
        <f t="shared" si="87"/>
        <v>0.65948374000710175</v>
      </c>
      <c r="AR356" s="27">
        <f t="shared" si="87"/>
        <v>0.68003541307118265</v>
      </c>
      <c r="AS356" s="27">
        <f t="shared" si="87"/>
        <v>0.70183096342172768</v>
      </c>
      <c r="AT356" s="27">
        <f t="shared" si="87"/>
        <v>0.72471687693803755</v>
      </c>
      <c r="AU356" s="27">
        <f t="shared" si="87"/>
        <v>0.74859496074669962</v>
      </c>
      <c r="AV356" s="27">
        <f t="shared" si="87"/>
        <v>0.77385822122722236</v>
      </c>
      <c r="AW356" s="27">
        <f t="shared" si="87"/>
        <v>0.79838507129603287</v>
      </c>
      <c r="AY356" s="79"/>
    </row>
    <row r="357" spans="1:51" x14ac:dyDescent="0.25">
      <c r="A357" s="95" t="str">
        <f t="shared" si="71"/>
        <v>GS Poultry MMN2O</v>
      </c>
      <c r="B357" s="95" t="s">
        <v>1020</v>
      </c>
      <c r="C357" s="95" t="s">
        <v>1233</v>
      </c>
      <c r="D357" t="s">
        <v>15</v>
      </c>
      <c r="E357" t="s">
        <v>657</v>
      </c>
      <c r="F357" t="s">
        <v>28</v>
      </c>
      <c r="G357" t="s">
        <v>132</v>
      </c>
      <c r="H357" t="s">
        <v>1226</v>
      </c>
      <c r="I357" t="s">
        <v>139</v>
      </c>
      <c r="J357" t="s">
        <v>287</v>
      </c>
      <c r="K357" s="27">
        <f t="shared" si="83"/>
        <v>1.7017151675634961</v>
      </c>
      <c r="L357" s="27">
        <f t="shared" si="87"/>
        <v>1.7241237147327637</v>
      </c>
      <c r="M357" s="27">
        <f t="shared" si="87"/>
        <v>1.7601182693498105</v>
      </c>
      <c r="N357" s="27">
        <f t="shared" si="87"/>
        <v>1.7704533576020511</v>
      </c>
      <c r="O357" s="27">
        <f t="shared" si="87"/>
        <v>1.7641159598844747</v>
      </c>
      <c r="P357" s="27">
        <f t="shared" si="87"/>
        <v>1.7411735022142167</v>
      </c>
      <c r="Q357" s="27">
        <f t="shared" si="87"/>
        <v>1.7315152516158574</v>
      </c>
      <c r="R357" s="27">
        <f t="shared" si="87"/>
        <v>1.7240481490859689</v>
      </c>
      <c r="S357" s="27">
        <f t="shared" si="87"/>
        <v>1.4999683948751941</v>
      </c>
      <c r="T357" s="27">
        <f t="shared" si="87"/>
        <v>1.635678170936574</v>
      </c>
      <c r="U357" s="27">
        <f t="shared" si="87"/>
        <v>1.7009774454367668</v>
      </c>
      <c r="V357" s="27">
        <f t="shared" si="87"/>
        <v>1.7091479327288939</v>
      </c>
      <c r="W357" s="27">
        <f t="shared" si="87"/>
        <v>1.7185668307415591</v>
      </c>
      <c r="X357" s="27">
        <f t="shared" si="87"/>
        <v>1.7424532471009451</v>
      </c>
      <c r="Y357" s="27">
        <f t="shared" si="87"/>
        <v>1.7817834224196265</v>
      </c>
      <c r="Z357" s="27">
        <f t="shared" si="87"/>
        <v>1.8288406604826053</v>
      </c>
      <c r="AA357" s="27">
        <f t="shared" si="87"/>
        <v>1.885701932517597</v>
      </c>
      <c r="AB357" s="27">
        <f t="shared" si="87"/>
        <v>1.9586802917289898</v>
      </c>
      <c r="AC357" s="27">
        <f t="shared" si="87"/>
        <v>2.0469431813370456</v>
      </c>
      <c r="AD357" s="27">
        <f t="shared" si="87"/>
        <v>2.1446346617917671</v>
      </c>
      <c r="AE357" s="27">
        <f t="shared" si="87"/>
        <v>2.2514306358992373</v>
      </c>
      <c r="AF357" s="27">
        <f t="shared" si="87"/>
        <v>2.364080403374996</v>
      </c>
      <c r="AG357" s="27">
        <f t="shared" si="87"/>
        <v>2.4840914132913525</v>
      </c>
      <c r="AH357" s="27">
        <f t="shared" si="87"/>
        <v>2.609932995576361</v>
      </c>
      <c r="AI357" s="27">
        <f t="shared" si="87"/>
        <v>2.7359571600200745</v>
      </c>
      <c r="AJ357" s="27">
        <f t="shared" si="87"/>
        <v>2.870315303671148</v>
      </c>
      <c r="AK357" s="27">
        <f t="shared" si="87"/>
        <v>3.0078431709030542</v>
      </c>
      <c r="AL357" s="27">
        <f t="shared" si="87"/>
        <v>3.1481328800356168</v>
      </c>
      <c r="AM357" s="27">
        <f t="shared" si="87"/>
        <v>3.293658685243031</v>
      </c>
      <c r="AN357" s="27">
        <f t="shared" si="87"/>
        <v>3.4383107407406079</v>
      </c>
      <c r="AO357" s="27">
        <f t="shared" si="87"/>
        <v>3.5905693529651876</v>
      </c>
      <c r="AP357" s="27">
        <f t="shared" si="87"/>
        <v>3.7535692593915186</v>
      </c>
      <c r="AQ357" s="27">
        <f t="shared" si="87"/>
        <v>3.922195814332385</v>
      </c>
      <c r="AR357" s="27">
        <f t="shared" si="87"/>
        <v>4.0968427833898948</v>
      </c>
      <c r="AS357" s="27">
        <f t="shared" si="87"/>
        <v>4.2833995063649954</v>
      </c>
      <c r="AT357" s="27">
        <f t="shared" si="87"/>
        <v>4.4801147383664359</v>
      </c>
      <c r="AU357" s="27">
        <f t="shared" si="87"/>
        <v>4.6858252173265607</v>
      </c>
      <c r="AV357" s="27">
        <f t="shared" ref="L357:AW359" si="88">AV1426</f>
        <v>4.9044073325814885</v>
      </c>
      <c r="AW357" s="27">
        <f t="shared" si="88"/>
        <v>5.1142236717204526</v>
      </c>
      <c r="AY357" s="79"/>
    </row>
    <row r="358" spans="1:51" x14ac:dyDescent="0.25">
      <c r="A358" s="95" t="str">
        <f t="shared" si="71"/>
        <v>GS Poultry MMN2O</v>
      </c>
      <c r="B358" s="95" t="s">
        <v>1020</v>
      </c>
      <c r="C358" s="95" t="s">
        <v>1233</v>
      </c>
      <c r="D358" t="s">
        <v>15</v>
      </c>
      <c r="E358" t="s">
        <v>657</v>
      </c>
      <c r="F358" t="s">
        <v>28</v>
      </c>
      <c r="G358" t="s">
        <v>134</v>
      </c>
      <c r="H358" t="s">
        <v>1226</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1.4711795979713126E-2</v>
      </c>
      <c r="P358" s="27">
        <f t="shared" si="88"/>
        <v>1.4861520550190493E-2</v>
      </c>
      <c r="Q358" s="27">
        <f t="shared" si="88"/>
        <v>1.5053508778373347E-2</v>
      </c>
      <c r="R358" s="27">
        <f t="shared" si="88"/>
        <v>1.5253123389732505E-2</v>
      </c>
      <c r="S358" s="27">
        <f t="shared" si="88"/>
        <v>1.4639807593087044E-2</v>
      </c>
      <c r="T358" s="27">
        <f t="shared" si="88"/>
        <v>1.525104477033961E-2</v>
      </c>
      <c r="U358" s="27">
        <f t="shared" si="88"/>
        <v>1.5614307297049917E-2</v>
      </c>
      <c r="V358" s="27">
        <f t="shared" si="88"/>
        <v>1.5787696718555604E-2</v>
      </c>
      <c r="W358" s="27">
        <f t="shared" si="88"/>
        <v>1.5979991674340898E-2</v>
      </c>
      <c r="X358" s="27">
        <f t="shared" si="88"/>
        <v>1.6230764820934659E-2</v>
      </c>
      <c r="Y358" s="27">
        <f t="shared" si="88"/>
        <v>1.6532631195523312E-2</v>
      </c>
      <c r="Z358" s="27">
        <f t="shared" si="88"/>
        <v>1.6860031313715163E-2</v>
      </c>
      <c r="AA358" s="27">
        <f t="shared" si="88"/>
        <v>1.7221001933156545E-2</v>
      </c>
      <c r="AB358" s="27">
        <f t="shared" si="88"/>
        <v>1.7639443815087055E-2</v>
      </c>
      <c r="AC358" s="27">
        <f t="shared" si="88"/>
        <v>1.8114086244187262E-2</v>
      </c>
      <c r="AD358" s="27">
        <f t="shared" si="88"/>
        <v>1.8624739741203704E-2</v>
      </c>
      <c r="AE358" s="27">
        <f t="shared" si="88"/>
        <v>1.9171324236705832E-2</v>
      </c>
      <c r="AF358" s="27">
        <f t="shared" si="88"/>
        <v>1.9742537349149866E-2</v>
      </c>
      <c r="AG358" s="27">
        <f t="shared" si="88"/>
        <v>2.0344178283845944E-2</v>
      </c>
      <c r="AH358" s="27">
        <f t="shared" si="88"/>
        <v>2.09711928583355E-2</v>
      </c>
      <c r="AI358" s="27">
        <f t="shared" si="88"/>
        <v>2.1602873978579022E-2</v>
      </c>
      <c r="AJ358" s="27">
        <f t="shared" si="88"/>
        <v>2.226998783982374E-2</v>
      </c>
      <c r="AK358" s="27">
        <f t="shared" si="88"/>
        <v>2.2952793503520384E-2</v>
      </c>
      <c r="AL358" s="27">
        <f t="shared" si="88"/>
        <v>2.3649889021849769E-2</v>
      </c>
      <c r="AM358" s="27">
        <f t="shared" si="88"/>
        <v>2.4371125755845373E-2</v>
      </c>
      <c r="AN358" s="27">
        <f t="shared" si="88"/>
        <v>2.5093069479372905E-2</v>
      </c>
      <c r="AO358" s="27">
        <f t="shared" si="88"/>
        <v>2.5848581335414348E-2</v>
      </c>
      <c r="AP358" s="27">
        <f t="shared" si="88"/>
        <v>2.665028577114054E-2</v>
      </c>
      <c r="AQ358" s="27">
        <f t="shared" si="88"/>
        <v>2.7478489166962602E-2</v>
      </c>
      <c r="AR358" s="27">
        <f t="shared" si="88"/>
        <v>2.8334808877965974E-2</v>
      </c>
      <c r="AS358" s="27">
        <f t="shared" si="88"/>
        <v>2.924295680923868E-2</v>
      </c>
      <c r="AT358" s="27">
        <f t="shared" si="88"/>
        <v>3.0196536539084926E-2</v>
      </c>
      <c r="AU358" s="27">
        <f t="shared" si="88"/>
        <v>3.1191456697779184E-2</v>
      </c>
      <c r="AV358" s="27">
        <f t="shared" si="88"/>
        <v>3.2244092551134286E-2</v>
      </c>
      <c r="AW358" s="27">
        <f t="shared" si="88"/>
        <v>3.3266044637334728E-2</v>
      </c>
      <c r="AY358" s="79"/>
    </row>
    <row r="359" spans="1:51" x14ac:dyDescent="0.25">
      <c r="A359" s="95" t="str">
        <f t="shared" si="71"/>
        <v>GS Poultry MMN2O</v>
      </c>
      <c r="B359" s="95" t="s">
        <v>1020</v>
      </c>
      <c r="C359" s="95" t="s">
        <v>1233</v>
      </c>
      <c r="D359" t="s">
        <v>15</v>
      </c>
      <c r="E359" t="s">
        <v>657</v>
      </c>
      <c r="F359" t="s">
        <v>28</v>
      </c>
      <c r="G359" t="s">
        <v>133</v>
      </c>
      <c r="H359" t="s">
        <v>1226</v>
      </c>
      <c r="I359" t="s">
        <v>139</v>
      </c>
      <c r="J359" t="s">
        <v>287</v>
      </c>
      <c r="K359" s="27">
        <f t="shared" si="83"/>
        <v>7.0904798648479067E-2</v>
      </c>
      <c r="L359" s="27">
        <f t="shared" si="88"/>
        <v>7.1838488113865229E-2</v>
      </c>
      <c r="M359" s="27">
        <f t="shared" si="88"/>
        <v>7.3338261222908846E-2</v>
      </c>
      <c r="N359" s="27">
        <f t="shared" si="88"/>
        <v>7.3768889900085524E-2</v>
      </c>
      <c r="O359" s="27">
        <f t="shared" si="88"/>
        <v>7.3504831661853176E-2</v>
      </c>
      <c r="P359" s="27">
        <f t="shared" si="88"/>
        <v>7.2548895925592424E-2</v>
      </c>
      <c r="Q359" s="27">
        <f t="shared" si="88"/>
        <v>7.2146468817327461E-2</v>
      </c>
      <c r="R359" s="27">
        <f t="shared" si="88"/>
        <v>7.1835339545248775E-2</v>
      </c>
      <c r="S359" s="27">
        <f t="shared" si="88"/>
        <v>6.2498683119799801E-2</v>
      </c>
      <c r="T359" s="27">
        <f t="shared" si="88"/>
        <v>6.81532571223573E-2</v>
      </c>
      <c r="U359" s="27">
        <f t="shared" si="88"/>
        <v>7.0874060226532018E-2</v>
      </c>
      <c r="V359" s="27">
        <f t="shared" si="88"/>
        <v>7.1214497197037332E-2</v>
      </c>
      <c r="W359" s="27">
        <f t="shared" si="88"/>
        <v>7.1606951280898362E-2</v>
      </c>
      <c r="X359" s="27">
        <f t="shared" si="88"/>
        <v>7.26022186292061E-2</v>
      </c>
      <c r="Y359" s="27">
        <f t="shared" si="88"/>
        <v>7.4240975934151174E-2</v>
      </c>
      <c r="Z359" s="27">
        <f t="shared" si="88"/>
        <v>7.620169418677529E-2</v>
      </c>
      <c r="AA359" s="27">
        <f t="shared" si="88"/>
        <v>7.8570913854899935E-2</v>
      </c>
      <c r="AB359" s="27">
        <f t="shared" si="88"/>
        <v>8.1611678822041331E-2</v>
      </c>
      <c r="AC359" s="27">
        <f t="shared" si="88"/>
        <v>8.5289299222376991E-2</v>
      </c>
      <c r="AD359" s="27">
        <f t="shared" si="88"/>
        <v>8.9359777574657032E-2</v>
      </c>
      <c r="AE359" s="27">
        <f t="shared" si="88"/>
        <v>9.3809609829134971E-2</v>
      </c>
      <c r="AF359" s="27">
        <f t="shared" si="88"/>
        <v>9.8503350140624904E-2</v>
      </c>
      <c r="AG359" s="27">
        <f t="shared" si="88"/>
        <v>0.10350380888713978</v>
      </c>
      <c r="AH359" s="27">
        <f t="shared" si="88"/>
        <v>0.10874720814901513</v>
      </c>
      <c r="AI359" s="27">
        <f t="shared" si="88"/>
        <v>0.11399821500083657</v>
      </c>
      <c r="AJ359" s="27">
        <f t="shared" si="88"/>
        <v>0.11959647098629794</v>
      </c>
      <c r="AK359" s="27">
        <f t="shared" si="88"/>
        <v>0.12532679878762737</v>
      </c>
      <c r="AL359" s="27">
        <f t="shared" si="88"/>
        <v>0.13117220333481747</v>
      </c>
      <c r="AM359" s="27">
        <f t="shared" si="88"/>
        <v>0.13723577855179306</v>
      </c>
      <c r="AN359" s="27">
        <f t="shared" si="88"/>
        <v>0.1432629475308588</v>
      </c>
      <c r="AO359" s="27">
        <f t="shared" si="88"/>
        <v>0.14960705637354962</v>
      </c>
      <c r="AP359" s="27">
        <f t="shared" si="88"/>
        <v>0.15639871914131342</v>
      </c>
      <c r="AQ359" s="27">
        <f t="shared" si="88"/>
        <v>0.16342482559718283</v>
      </c>
      <c r="AR359" s="27">
        <f t="shared" si="88"/>
        <v>0.1707017826412458</v>
      </c>
      <c r="AS359" s="27">
        <f t="shared" si="88"/>
        <v>0.17847497943187501</v>
      </c>
      <c r="AT359" s="27">
        <f t="shared" si="88"/>
        <v>0.18667144743193501</v>
      </c>
      <c r="AU359" s="27">
        <f t="shared" si="88"/>
        <v>0.19524271738860685</v>
      </c>
      <c r="AV359" s="27">
        <f t="shared" si="88"/>
        <v>0.20435030552422884</v>
      </c>
      <c r="AW359" s="27">
        <f t="shared" si="88"/>
        <v>0.21309265298835234</v>
      </c>
      <c r="AY359" s="79"/>
    </row>
    <row r="360" spans="1:51" x14ac:dyDescent="0.25">
      <c r="A360" s="95" t="str">
        <f t="shared" si="71"/>
        <v>GS Synthetic</v>
      </c>
      <c r="B360" s="95" t="s">
        <v>1020</v>
      </c>
      <c r="C360" s="95" t="s">
        <v>1125</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6.603634243590573</v>
      </c>
      <c r="U360" s="22">
        <f t="shared" si="89"/>
        <v>6.6004971859529533</v>
      </c>
      <c r="V360" s="22">
        <f t="shared" si="89"/>
        <v>6.5987679285209158</v>
      </c>
      <c r="W360" s="22">
        <f t="shared" si="89"/>
        <v>6.5980968039636112</v>
      </c>
      <c r="X360" s="22">
        <f t="shared" si="89"/>
        <v>6.5973729403354264</v>
      </c>
      <c r="Y360" s="22">
        <f t="shared" si="89"/>
        <v>6.5963716735135058</v>
      </c>
      <c r="Z360" s="22">
        <f t="shared" si="89"/>
        <v>6.5951092743964939</v>
      </c>
      <c r="AA360" s="22">
        <f t="shared" si="89"/>
        <v>6.5937292152761398</v>
      </c>
      <c r="AB360" s="22">
        <f t="shared" si="89"/>
        <v>6.5921980493186423</v>
      </c>
      <c r="AC360" s="22">
        <f t="shared" si="89"/>
        <v>6.5904099002136718</v>
      </c>
      <c r="AD360" s="22">
        <f t="shared" si="89"/>
        <v>6.5883900774121225</v>
      </c>
      <c r="AE360" s="22">
        <f t="shared" si="89"/>
        <v>6.5862502813307362</v>
      </c>
      <c r="AF360" s="22">
        <f t="shared" si="89"/>
        <v>6.5840030111280692</v>
      </c>
      <c r="AG360" s="22">
        <f t="shared" si="89"/>
        <v>6.5817083248767299</v>
      </c>
      <c r="AH360" s="22">
        <f t="shared" si="89"/>
        <v>6.5793473576190653</v>
      </c>
      <c r="AI360" s="22">
        <f t="shared" si="89"/>
        <v>6.5769490947439282</v>
      </c>
      <c r="AJ360" s="22">
        <f t="shared" si="89"/>
        <v>6.5746015679174796</v>
      </c>
      <c r="AK360" s="22">
        <f t="shared" si="89"/>
        <v>6.5721839556094164</v>
      </c>
      <c r="AL360" s="22">
        <f t="shared" si="89"/>
        <v>6.5697772026100587</v>
      </c>
      <c r="AM360" s="22">
        <f t="shared" si="89"/>
        <v>6.5673876647835385</v>
      </c>
      <c r="AN360" s="22">
        <f t="shared" si="89"/>
        <v>6.5649818227366428</v>
      </c>
      <c r="AO360" s="22">
        <f t="shared" si="89"/>
        <v>6.5626429517048157</v>
      </c>
      <c r="AP360" s="22">
        <f t="shared" si="89"/>
        <v>6.5602587146144691</v>
      </c>
      <c r="AQ360" s="22">
        <f t="shared" si="89"/>
        <v>6.557794751435325</v>
      </c>
      <c r="AR360" s="22">
        <f t="shared" si="89"/>
        <v>6.5553213474499907</v>
      </c>
      <c r="AS360" s="22">
        <f t="shared" si="89"/>
        <v>6.552836555002342</v>
      </c>
      <c r="AT360" s="22">
        <f t="shared" si="89"/>
        <v>6.5502749591835583</v>
      </c>
      <c r="AU360" s="22">
        <f t="shared" si="89"/>
        <v>6.5476643110027855</v>
      </c>
      <c r="AV360" s="22">
        <f t="shared" si="89"/>
        <v>6.5450232737774749</v>
      </c>
      <c r="AW360" s="22">
        <f t="shared" si="89"/>
        <v>6.5423151331477944</v>
      </c>
      <c r="AY360" s="79"/>
    </row>
    <row r="361" spans="1:51" x14ac:dyDescent="0.25">
      <c r="A361" s="95" t="str">
        <f t="shared" si="71"/>
        <v>GS Organic</v>
      </c>
      <c r="B361" s="95" t="s">
        <v>1020</v>
      </c>
      <c r="C361" s="95" t="s">
        <v>1126</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4.3583986007697799E-2</v>
      </c>
      <c r="U361" s="22">
        <f t="shared" si="90"/>
        <v>4.3563281427289505E-2</v>
      </c>
      <c r="V361" s="22">
        <f t="shared" si="90"/>
        <v>4.3551868328238041E-2</v>
      </c>
      <c r="W361" s="22">
        <f t="shared" si="90"/>
        <v>4.3547438906159849E-2</v>
      </c>
      <c r="X361" s="22">
        <f t="shared" si="90"/>
        <v>4.3542661406213816E-2</v>
      </c>
      <c r="Y361" s="22">
        <f t="shared" si="90"/>
        <v>4.3536053045189142E-2</v>
      </c>
      <c r="Z361" s="22">
        <f t="shared" si="90"/>
        <v>4.3527721211016876E-2</v>
      </c>
      <c r="AA361" s="22">
        <f t="shared" si="89"/>
        <v>4.3518612820822526E-2</v>
      </c>
      <c r="AB361" s="22">
        <f t="shared" si="89"/>
        <v>4.3508507125503047E-2</v>
      </c>
      <c r="AC361" s="22">
        <f t="shared" si="89"/>
        <v>4.349670534141023E-2</v>
      </c>
      <c r="AD361" s="22">
        <f t="shared" si="89"/>
        <v>4.3483374510920013E-2</v>
      </c>
      <c r="AE361" s="22">
        <f t="shared" si="89"/>
        <v>4.3469251856782874E-2</v>
      </c>
      <c r="AF361" s="22">
        <f t="shared" si="89"/>
        <v>4.3454419873445269E-2</v>
      </c>
      <c r="AG361" s="22">
        <f t="shared" si="89"/>
        <v>4.3439274944186416E-2</v>
      </c>
      <c r="AH361" s="22">
        <f t="shared" si="89"/>
        <v>4.3423692560285852E-2</v>
      </c>
      <c r="AI361" s="22">
        <f t="shared" si="89"/>
        <v>4.3407864025309932E-2</v>
      </c>
      <c r="AJ361" s="22">
        <f t="shared" si="89"/>
        <v>4.3392370348255375E-2</v>
      </c>
      <c r="AK361" s="22">
        <f t="shared" si="89"/>
        <v>4.3376414107022157E-2</v>
      </c>
      <c r="AL361" s="22">
        <f t="shared" si="89"/>
        <v>4.336052953722639E-2</v>
      </c>
      <c r="AM361" s="22">
        <f t="shared" si="89"/>
        <v>4.3344758587571364E-2</v>
      </c>
      <c r="AN361" s="22">
        <f t="shared" si="89"/>
        <v>4.3328880030061849E-2</v>
      </c>
      <c r="AO361" s="22">
        <f t="shared" si="89"/>
        <v>4.3313443481251802E-2</v>
      </c>
      <c r="AP361" s="22">
        <f t="shared" si="89"/>
        <v>4.3297707516455515E-2</v>
      </c>
      <c r="AQ361" s="22">
        <f t="shared" si="89"/>
        <v>4.3281445359473161E-2</v>
      </c>
      <c r="AR361" s="22">
        <f t="shared" si="89"/>
        <v>4.3265120893169952E-2</v>
      </c>
      <c r="AS361" s="22">
        <f t="shared" si="89"/>
        <v>4.324872126301546E-2</v>
      </c>
      <c r="AT361" s="22">
        <f t="shared" si="89"/>
        <v>4.3231814730611481E-2</v>
      </c>
      <c r="AU361" s="22">
        <f t="shared" si="89"/>
        <v>4.3214584452618394E-2</v>
      </c>
      <c r="AV361" s="22">
        <f t="shared" si="89"/>
        <v>4.3197153606931347E-2</v>
      </c>
      <c r="AW361" s="22">
        <f t="shared" si="89"/>
        <v>4.3179279878775449E-2</v>
      </c>
      <c r="AY361" s="79"/>
    </row>
    <row r="362" spans="1:51" x14ac:dyDescent="0.25">
      <c r="A362" s="95" t="str">
        <f t="shared" si="71"/>
        <v>GS Crop residues</v>
      </c>
      <c r="B362" s="95" t="s">
        <v>1020</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2.9705633438591348</v>
      </c>
      <c r="U362" s="22">
        <f t="shared" si="89"/>
        <v>2.9939833213378622</v>
      </c>
      <c r="V362" s="22">
        <f t="shared" si="89"/>
        <v>3.0068932435616724</v>
      </c>
      <c r="W362" s="22">
        <f t="shared" si="89"/>
        <v>3.0119035824948748</v>
      </c>
      <c r="X362" s="22">
        <f t="shared" si="89"/>
        <v>3.0173076495628459</v>
      </c>
      <c r="Y362" s="22">
        <f t="shared" si="89"/>
        <v>3.0247826943750078</v>
      </c>
      <c r="Z362" s="22">
        <f t="shared" si="89"/>
        <v>3.0342072451180488</v>
      </c>
      <c r="AA362" s="22">
        <f t="shared" si="89"/>
        <v>3.0445101968810144</v>
      </c>
      <c r="AB362" s="22">
        <f t="shared" si="89"/>
        <v>3.0559412499196137</v>
      </c>
      <c r="AC362" s="22">
        <f t="shared" si="89"/>
        <v>3.0692908330655531</v>
      </c>
      <c r="AD362" s="22">
        <f t="shared" si="89"/>
        <v>3.0843699964051159</v>
      </c>
      <c r="AE362" s="22">
        <f t="shared" si="89"/>
        <v>3.1003448307320856</v>
      </c>
      <c r="AF362" s="22">
        <f t="shared" si="89"/>
        <v>3.1171220224878007</v>
      </c>
      <c r="AG362" s="22">
        <f t="shared" si="89"/>
        <v>3.1342532028915815</v>
      </c>
      <c r="AH362" s="22">
        <f t="shared" si="89"/>
        <v>3.1518792099305966</v>
      </c>
      <c r="AI362" s="22">
        <f t="shared" si="89"/>
        <v>3.1697836506556398</v>
      </c>
      <c r="AJ362" s="22">
        <f t="shared" si="89"/>
        <v>3.1873093169828417</v>
      </c>
      <c r="AK362" s="22">
        <f t="shared" si="89"/>
        <v>3.2053582125874849</v>
      </c>
      <c r="AL362" s="22">
        <f t="shared" si="89"/>
        <v>3.2233260370755845</v>
      </c>
      <c r="AM362" s="22">
        <f t="shared" si="89"/>
        <v>3.2411653401889731</v>
      </c>
      <c r="AN362" s="22">
        <f t="shared" si="89"/>
        <v>3.2591263638820034</v>
      </c>
      <c r="AO362" s="22">
        <f t="shared" si="89"/>
        <v>3.2765874096193026</v>
      </c>
      <c r="AP362" s="22">
        <f t="shared" si="89"/>
        <v>3.294387139624336</v>
      </c>
      <c r="AQ362" s="22">
        <f t="shared" si="89"/>
        <v>3.3127820717007999</v>
      </c>
      <c r="AR362" s="22">
        <f t="shared" si="89"/>
        <v>3.3312474849395168</v>
      </c>
      <c r="AS362" s="22">
        <f t="shared" si="89"/>
        <v>3.3497979197372052</v>
      </c>
      <c r="AT362" s="22">
        <f t="shared" si="89"/>
        <v>3.3689217368026219</v>
      </c>
      <c r="AU362" s="22">
        <f t="shared" si="89"/>
        <v>3.3884117585559377</v>
      </c>
      <c r="AV362" s="22">
        <f t="shared" si="89"/>
        <v>3.4081286523724397</v>
      </c>
      <c r="AW362" s="22">
        <f t="shared" si="89"/>
        <v>3.4283465125085661</v>
      </c>
      <c r="AY362" s="79"/>
    </row>
    <row r="363" spans="1:51" x14ac:dyDescent="0.25">
      <c r="A363" s="95" t="str">
        <f t="shared" si="71"/>
        <v>GS Organic</v>
      </c>
      <c r="B363" s="95" t="s">
        <v>1020</v>
      </c>
      <c r="C363" s="95" t="s">
        <v>1126</v>
      </c>
      <c r="D363" t="s">
        <v>369</v>
      </c>
      <c r="E363" t="s">
        <v>55</v>
      </c>
      <c r="F363" t="s">
        <v>421</v>
      </c>
      <c r="G363" t="s">
        <v>1151</v>
      </c>
      <c r="H363" t="s">
        <v>1152</v>
      </c>
      <c r="I363" t="s">
        <v>139</v>
      </c>
      <c r="J363" t="s">
        <v>287</v>
      </c>
      <c r="K363" s="22">
        <f t="shared" si="90"/>
        <v>0.31878106382562998</v>
      </c>
      <c r="L363" s="22">
        <f t="shared" si="89"/>
        <v>0.32056321299147922</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0.32880601635823309</v>
      </c>
      <c r="S363" s="22">
        <f t="shared" si="89"/>
        <v>0.31930900968296799</v>
      </c>
      <c r="T363" s="22">
        <f t="shared" si="89"/>
        <v>0.32574821213897459</v>
      </c>
      <c r="U363" s="22">
        <f t="shared" si="89"/>
        <v>0.32894469179548952</v>
      </c>
      <c r="V363" s="22">
        <f t="shared" si="89"/>
        <v>0.32977948253414807</v>
      </c>
      <c r="W363" s="22">
        <f t="shared" si="89"/>
        <v>0.3309664569188206</v>
      </c>
      <c r="X363" s="22">
        <f t="shared" si="89"/>
        <v>0.33295820888491823</v>
      </c>
      <c r="Y363" s="22">
        <f t="shared" si="89"/>
        <v>0.33558938332727861</v>
      </c>
      <c r="Z363" s="22">
        <f t="shared" si="89"/>
        <v>0.33853527641770959</v>
      </c>
      <c r="AA363" s="22">
        <f t="shared" si="89"/>
        <v>0.34188866727508727</v>
      </c>
      <c r="AB363" s="22">
        <f t="shared" si="89"/>
        <v>0.34593707625098935</v>
      </c>
      <c r="AC363" s="22">
        <f t="shared" si="89"/>
        <v>0.35065698551445434</v>
      </c>
      <c r="AD363" s="22">
        <f t="shared" si="89"/>
        <v>0.35579420133815998</v>
      </c>
      <c r="AE363" s="22">
        <f t="shared" si="89"/>
        <v>0.36134408078222452</v>
      </c>
      <c r="AF363" s="22">
        <f t="shared" si="89"/>
        <v>0.36716578992310794</v>
      </c>
      <c r="AG363" s="22">
        <f t="shared" si="89"/>
        <v>0.37332444348551658</v>
      </c>
      <c r="AH363" s="22">
        <f t="shared" si="89"/>
        <v>0.37975671698066876</v>
      </c>
      <c r="AI363" s="22">
        <f t="shared" si="89"/>
        <v>0.38621474793846927</v>
      </c>
      <c r="AJ363" s="22">
        <f t="shared" si="89"/>
        <v>0.39306178454441848</v>
      </c>
      <c r="AK363" s="22">
        <f t="shared" si="89"/>
        <v>0.40005847527747412</v>
      </c>
      <c r="AL363" s="22">
        <f t="shared" si="89"/>
        <v>0.4071870252950287</v>
      </c>
      <c r="AM363" s="22">
        <f t="shared" si="89"/>
        <v>0.41456228412939544</v>
      </c>
      <c r="AN363" s="22">
        <f t="shared" si="89"/>
        <v>0.42190892307820843</v>
      </c>
      <c r="AO363" s="22">
        <f t="shared" si="89"/>
        <v>0.42960845898713129</v>
      </c>
      <c r="AP363" s="22">
        <f t="shared" si="89"/>
        <v>0.43780304574358431</v>
      </c>
      <c r="AQ363" s="22">
        <f t="shared" si="89"/>
        <v>0.44626036327894386</v>
      </c>
      <c r="AR363" s="22">
        <f t="shared" si="89"/>
        <v>0.45499571223112473</v>
      </c>
      <c r="AS363" s="22">
        <f t="shared" si="89"/>
        <v>0.46427790014777842</v>
      </c>
      <c r="AT363" s="22">
        <f t="shared" si="89"/>
        <v>0.4740288633200766</v>
      </c>
      <c r="AU363" s="22">
        <f t="shared" si="89"/>
        <v>0.48419829350388255</v>
      </c>
      <c r="AV363" s="22">
        <f t="shared" si="89"/>
        <v>0.49496943616318984</v>
      </c>
      <c r="AW363" s="22">
        <f t="shared" si="89"/>
        <v>0.50533326104983312</v>
      </c>
      <c r="AY363" s="79"/>
    </row>
    <row r="364" spans="1:51" x14ac:dyDescent="0.25">
      <c r="A364" s="95" t="str">
        <f t="shared" si="71"/>
        <v>GS Organic</v>
      </c>
      <c r="B364" s="95" t="s">
        <v>1020</v>
      </c>
      <c r="C364" s="95" t="s">
        <v>1126</v>
      </c>
      <c r="D364" t="s">
        <v>369</v>
      </c>
      <c r="E364" t="s">
        <v>55</v>
      </c>
      <c r="F364" t="s">
        <v>421</v>
      </c>
      <c r="G364" t="s">
        <v>1153</v>
      </c>
      <c r="H364" t="s">
        <v>1154</v>
      </c>
      <c r="I364" t="s">
        <v>139</v>
      </c>
      <c r="J364" t="s">
        <v>287</v>
      </c>
      <c r="K364" s="22">
        <f t="shared" si="90"/>
        <v>0.93210651077804862</v>
      </c>
      <c r="L364" s="22">
        <f t="shared" si="89"/>
        <v>0.93731746283627526</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0.96141917889497153</v>
      </c>
      <c r="S364" s="22">
        <f t="shared" si="89"/>
        <v>0.93365020902993845</v>
      </c>
      <c r="T364" s="22">
        <f t="shared" si="89"/>
        <v>0.95247824875548714</v>
      </c>
      <c r="U364" s="22">
        <f t="shared" si="89"/>
        <v>0.96182466181920945</v>
      </c>
      <c r="V364" s="22">
        <f t="shared" si="89"/>
        <v>0.96426556553319687</v>
      </c>
      <c r="W364" s="22">
        <f t="shared" si="89"/>
        <v>0.96773624393172708</v>
      </c>
      <c r="X364" s="22">
        <f t="shared" si="89"/>
        <v>0.97356006844995502</v>
      </c>
      <c r="Y364" s="22">
        <f t="shared" si="89"/>
        <v>0.98125354559469047</v>
      </c>
      <c r="Z364" s="22">
        <f t="shared" si="89"/>
        <v>0.9898672508653048</v>
      </c>
      <c r="AA364" s="22">
        <f t="shared" si="89"/>
        <v>0.99967246769291085</v>
      </c>
      <c r="AB364" s="22">
        <f t="shared" si="89"/>
        <v>1.0115098971796095</v>
      </c>
      <c r="AC364" s="22">
        <f t="shared" si="89"/>
        <v>1.0253107738752334</v>
      </c>
      <c r="AD364" s="22">
        <f t="shared" si="89"/>
        <v>1.0403318427526722</v>
      </c>
      <c r="AE364" s="22">
        <f t="shared" si="89"/>
        <v>1.0565595279914524</v>
      </c>
      <c r="AF364" s="22">
        <f t="shared" si="89"/>
        <v>1.0735820353165477</v>
      </c>
      <c r="AG364" s="22">
        <f t="shared" si="89"/>
        <v>1.0915897582793135</v>
      </c>
      <c r="AH364" s="22">
        <f t="shared" si="89"/>
        <v>1.1103975379258981</v>
      </c>
      <c r="AI364" s="22">
        <f t="shared" si="89"/>
        <v>1.1292806316402249</v>
      </c>
      <c r="AJ364" s="22">
        <f t="shared" si="89"/>
        <v>1.1493011664968118</v>
      </c>
      <c r="AK364" s="22">
        <f t="shared" si="89"/>
        <v>1.1697592856457866</v>
      </c>
      <c r="AL364" s="22">
        <f t="shared" si="89"/>
        <v>1.190602957487612</v>
      </c>
      <c r="AM364" s="22">
        <f t="shared" si="89"/>
        <v>1.2121679986970451</v>
      </c>
      <c r="AN364" s="22">
        <f t="shared" si="89"/>
        <v>1.2336493561978465</v>
      </c>
      <c r="AO364" s="22">
        <f t="shared" si="89"/>
        <v>1.2561625740927527</v>
      </c>
      <c r="AP364" s="22">
        <f t="shared" si="89"/>
        <v>1.2801233061925847</v>
      </c>
      <c r="AQ364" s="22">
        <f t="shared" si="89"/>
        <v>1.3048522554087716</v>
      </c>
      <c r="AR364" s="22">
        <f t="shared" si="89"/>
        <v>1.3303941603592482</v>
      </c>
      <c r="AS364" s="22">
        <f t="shared" si="89"/>
        <v>1.3575350064545193</v>
      </c>
      <c r="AT364" s="22">
        <f t="shared" si="89"/>
        <v>1.3860465376922328</v>
      </c>
      <c r="AU364" s="22">
        <f t="shared" si="89"/>
        <v>1.4157816542373405</v>
      </c>
      <c r="AV364" s="22">
        <f t="shared" si="89"/>
        <v>1.4472761604692133</v>
      </c>
      <c r="AW364" s="22">
        <f t="shared" si="89"/>
        <v>1.4775796814421152</v>
      </c>
      <c r="AY364" s="79"/>
    </row>
    <row r="365" spans="1:51" x14ac:dyDescent="0.25">
      <c r="A365" s="95" t="str">
        <f t="shared" si="71"/>
        <v>GS Organic</v>
      </c>
      <c r="B365" s="95" t="s">
        <v>1020</v>
      </c>
      <c r="C365" s="95" t="s">
        <v>1126</v>
      </c>
      <c r="D365" t="s">
        <v>369</v>
      </c>
      <c r="E365" t="s">
        <v>55</v>
      </c>
      <c r="F365" t="s">
        <v>421</v>
      </c>
      <c r="G365" t="s">
        <v>1155</v>
      </c>
      <c r="H365" t="s">
        <v>1156</v>
      </c>
      <c r="I365" t="s">
        <v>139</v>
      </c>
      <c r="J365" t="s">
        <v>287</v>
      </c>
      <c r="K365" s="22">
        <f t="shared" si="90"/>
        <v>4.9862442750846919E-2</v>
      </c>
      <c r="L365" s="22">
        <f t="shared" si="89"/>
        <v>5.0141199304605817E-2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5.1430505218981189E-2</v>
      </c>
      <c r="S365" s="22">
        <f t="shared" si="89"/>
        <v>4.9945021903357263E-2</v>
      </c>
      <c r="T365" s="22">
        <f t="shared" si="89"/>
        <v>5.0952215868929084E-2</v>
      </c>
      <c r="U365" s="22">
        <f t="shared" si="89"/>
        <v>5.1452196269158888E-2</v>
      </c>
      <c r="V365" s="22">
        <f t="shared" si="89"/>
        <v>5.1582770855101254E-2</v>
      </c>
      <c r="W365" s="22">
        <f t="shared" si="89"/>
        <v>5.1768432580400064E-2</v>
      </c>
      <c r="X365" s="22">
        <f t="shared" si="89"/>
        <v>5.2079974355157911E-2</v>
      </c>
      <c r="Y365" s="22">
        <f t="shared" si="89"/>
        <v>5.2491532003611736E-2</v>
      </c>
      <c r="Z365" s="22">
        <f t="shared" si="89"/>
        <v>5.2952316668199217E-2</v>
      </c>
      <c r="AA365" s="22">
        <f t="shared" si="89"/>
        <v>5.3476840482884362E-2</v>
      </c>
      <c r="AB365" s="22">
        <f t="shared" si="89"/>
        <v>5.4110076216432663E-2</v>
      </c>
      <c r="AC365" s="22">
        <f t="shared" si="89"/>
        <v>5.4848345304986328E-2</v>
      </c>
      <c r="AD365" s="22">
        <f t="shared" si="89"/>
        <v>5.5651887795353253E-2</v>
      </c>
      <c r="AE365" s="22">
        <f t="shared" si="89"/>
        <v>5.651997745768382E-2</v>
      </c>
      <c r="AF365" s="22">
        <f t="shared" si="89"/>
        <v>5.7430585620118969E-2</v>
      </c>
      <c r="AG365" s="22">
        <f t="shared" si="89"/>
        <v>5.8393897264143985E-2</v>
      </c>
      <c r="AH365" s="22">
        <f t="shared" si="89"/>
        <v>5.9400007429725336E-2</v>
      </c>
      <c r="AI365" s="22">
        <f t="shared" si="89"/>
        <v>6.0410146473281176E-2</v>
      </c>
      <c r="AJ365" s="22">
        <f t="shared" si="89"/>
        <v>6.1481132204616346E-2</v>
      </c>
      <c r="AK365" s="22">
        <f t="shared" si="89"/>
        <v>6.2575526228325351E-2</v>
      </c>
      <c r="AL365" s="22">
        <f t="shared" si="89"/>
        <v>6.3690545147207192E-2</v>
      </c>
      <c r="AM365" s="22">
        <f t="shared" si="89"/>
        <v>6.4844153259897494E-2</v>
      </c>
      <c r="AN365" s="22">
        <f t="shared" si="89"/>
        <v>6.5993284766017041E-2</v>
      </c>
      <c r="AO365" s="22">
        <f t="shared" si="89"/>
        <v>6.7197614985194512E-2</v>
      </c>
      <c r="AP365" s="22">
        <f t="shared" si="89"/>
        <v>6.8479379052692538E-2</v>
      </c>
      <c r="AQ365" s="22">
        <f t="shared" si="89"/>
        <v>6.9802238404411326E-2</v>
      </c>
      <c r="AR365" s="22">
        <f t="shared" si="89"/>
        <v>7.1168586304156845E-2</v>
      </c>
      <c r="AS365" s="22">
        <f t="shared" si="89"/>
        <v>7.2620468539702415E-2</v>
      </c>
      <c r="AT365" s="22">
        <f t="shared" si="89"/>
        <v>7.4145674701917505E-2</v>
      </c>
      <c r="AU365" s="22">
        <f t="shared" si="89"/>
        <v>7.5736335779032549E-2</v>
      </c>
      <c r="AV365" s="22">
        <f t="shared" si="89"/>
        <v>7.742111428427241E-2</v>
      </c>
      <c r="AW365" s="22">
        <f t="shared" si="89"/>
        <v>7.9042181793391189E-2</v>
      </c>
      <c r="AY365" s="79"/>
    </row>
    <row r="366" spans="1:51" x14ac:dyDescent="0.25">
      <c r="A366" s="95" t="str">
        <f t="shared" si="71"/>
        <v>GS Organic</v>
      </c>
      <c r="B366" s="95" t="s">
        <v>1020</v>
      </c>
      <c r="C366" s="95" t="s">
        <v>1126</v>
      </c>
      <c r="D366" t="s">
        <v>369</v>
      </c>
      <c r="E366" t="s">
        <v>55</v>
      </c>
      <c r="F366" t="s">
        <v>421</v>
      </c>
      <c r="G366" t="s">
        <v>1157</v>
      </c>
      <c r="H366" t="s">
        <v>1158</v>
      </c>
      <c r="I366" t="s">
        <v>139</v>
      </c>
      <c r="J366" t="s">
        <v>287</v>
      </c>
      <c r="K366" s="22">
        <f t="shared" si="90"/>
        <v>0.39999978998352292</v>
      </c>
      <c r="L366" s="22">
        <f t="shared" si="89"/>
        <v>0.39653071954810187</v>
      </c>
      <c r="M366" s="22">
        <f t="shared" si="89"/>
        <v>0.39521014945095007</v>
      </c>
      <c r="N366" s="22">
        <f t="shared" si="89"/>
        <v>0.38993263522397309</v>
      </c>
      <c r="O366" s="22">
        <f t="shared" si="89"/>
        <v>0.38227219443770077</v>
      </c>
      <c r="P366" s="22">
        <f t="shared" si="89"/>
        <v>0.37238723301511378</v>
      </c>
      <c r="Q366" s="22">
        <f t="shared" si="89"/>
        <v>0.36459067483623875</v>
      </c>
      <c r="R366" s="22">
        <f t="shared" si="89"/>
        <v>0.3572142444544395</v>
      </c>
      <c r="S366" s="22">
        <f t="shared" si="89"/>
        <v>0.31897606543396184</v>
      </c>
      <c r="T366" s="22">
        <f t="shared" si="89"/>
        <v>0.33422640738749132</v>
      </c>
      <c r="U366" s="22">
        <f t="shared" si="89"/>
        <v>0.3395060787066792</v>
      </c>
      <c r="V366" s="22">
        <f t="shared" si="89"/>
        <v>0.33721330134407257</v>
      </c>
      <c r="W366" s="22">
        <f t="shared" si="89"/>
        <v>0.33534828840095249</v>
      </c>
      <c r="X366" s="22">
        <f t="shared" si="89"/>
        <v>0.33547079917503503</v>
      </c>
      <c r="Y366" s="22">
        <f t="shared" si="89"/>
        <v>0.33744070936588777</v>
      </c>
      <c r="Z366" s="22">
        <f t="shared" si="89"/>
        <v>0.34023587672815686</v>
      </c>
      <c r="AA366" s="22">
        <f t="shared" si="89"/>
        <v>0.34408144868680218</v>
      </c>
      <c r="AB366" s="22">
        <f t="shared" si="89"/>
        <v>0.34971445697084458</v>
      </c>
      <c r="AC366" s="22">
        <f t="shared" si="89"/>
        <v>0.35697581238959336</v>
      </c>
      <c r="AD366" s="22">
        <f t="shared" si="89"/>
        <v>0.36203839361176637</v>
      </c>
      <c r="AE366" s="22">
        <f t="shared" si="89"/>
        <v>0.36769900977315834</v>
      </c>
      <c r="AF366" s="22">
        <f t="shared" si="89"/>
        <v>0.37353106948354631</v>
      </c>
      <c r="AG366" s="22">
        <f t="shared" si="89"/>
        <v>0.37966412521229187</v>
      </c>
      <c r="AH366" s="22">
        <f t="shared" si="89"/>
        <v>0.38588904144354591</v>
      </c>
      <c r="AI366" s="22">
        <f t="shared" si="89"/>
        <v>0.39157349610813613</v>
      </c>
      <c r="AJ366" s="22">
        <f t="shared" si="89"/>
        <v>0.39756955250590403</v>
      </c>
      <c r="AK366" s="22">
        <f t="shared" si="89"/>
        <v>0.40329410820183131</v>
      </c>
      <c r="AL366" s="22">
        <f t="shared" si="89"/>
        <v>0.4086920134239358</v>
      </c>
      <c r="AM366" s="22">
        <f t="shared" si="89"/>
        <v>0.41399400883192944</v>
      </c>
      <c r="AN366" s="22">
        <f t="shared" si="89"/>
        <v>0.42072674060954357</v>
      </c>
      <c r="AO366" s="22">
        <f t="shared" si="89"/>
        <v>0.42769047193917231</v>
      </c>
      <c r="AP366" s="22">
        <f t="shared" si="89"/>
        <v>0.43513827260891708</v>
      </c>
      <c r="AQ366" s="22">
        <f t="shared" si="89"/>
        <v>0.44255709633783841</v>
      </c>
      <c r="AR366" s="22">
        <f t="shared" si="89"/>
        <v>0.44995657231615971</v>
      </c>
      <c r="AS366" s="22">
        <f t="shared" si="89"/>
        <v>0.45782299471336541</v>
      </c>
      <c r="AT366" s="22">
        <f t="shared" si="89"/>
        <v>0.46595268200970025</v>
      </c>
      <c r="AU366" s="22">
        <f t="shared" si="89"/>
        <v>0.47420429180526752</v>
      </c>
      <c r="AV366" s="22">
        <f t="shared" si="89"/>
        <v>0.48285863154123199</v>
      </c>
      <c r="AW366" s="22">
        <f t="shared" si="89"/>
        <v>0.4901142188549843</v>
      </c>
      <c r="AY366" s="79"/>
    </row>
    <row r="367" spans="1:51" x14ac:dyDescent="0.25">
      <c r="A367" s="95" t="str">
        <f t="shared" si="71"/>
        <v>GS Organic</v>
      </c>
      <c r="B367" s="95" t="s">
        <v>1020</v>
      </c>
      <c r="C367" s="95" t="s">
        <v>1126</v>
      </c>
      <c r="D367" t="s">
        <v>369</v>
      </c>
      <c r="E367" t="s">
        <v>55</v>
      </c>
      <c r="F367" t="s">
        <v>421</v>
      </c>
      <c r="G367" t="s">
        <v>1159</v>
      </c>
      <c r="H367" t="s">
        <v>1160</v>
      </c>
      <c r="I367" t="s">
        <v>139</v>
      </c>
      <c r="J367" t="s">
        <v>287</v>
      </c>
      <c r="K367" s="22">
        <f t="shared" si="90"/>
        <v>2.6602988559851233</v>
      </c>
      <c r="L367" s="22">
        <f t="shared" si="89"/>
        <v>2.6372269335947083</v>
      </c>
      <c r="M367" s="22">
        <f t="shared" si="89"/>
        <v>2.6284441511866339</v>
      </c>
      <c r="N367" s="22">
        <f t="shared" si="89"/>
        <v>2.5933447201068058</v>
      </c>
      <c r="O367" s="22">
        <f t="shared" si="89"/>
        <v>2.5423970387070192</v>
      </c>
      <c r="P367" s="22">
        <f t="shared" ref="L367:AW373" si="91">P1470</f>
        <v>2.4766546252796311</v>
      </c>
      <c r="Q367" s="22">
        <f t="shared" si="91"/>
        <v>2.4248016610449818</v>
      </c>
      <c r="R367" s="22">
        <f t="shared" si="91"/>
        <v>2.3757428620222045</v>
      </c>
      <c r="S367" s="22">
        <f t="shared" si="91"/>
        <v>2.1214302687397906</v>
      </c>
      <c r="T367" s="22">
        <f t="shared" si="91"/>
        <v>2.2228564901236254</v>
      </c>
      <c r="U367" s="22">
        <f t="shared" si="91"/>
        <v>2.2579702674858382</v>
      </c>
      <c r="V367" s="22">
        <f t="shared" si="91"/>
        <v>2.2427215769927198</v>
      </c>
      <c r="W367" s="22">
        <f t="shared" si="91"/>
        <v>2.230317840982798</v>
      </c>
      <c r="X367" s="22">
        <f t="shared" si="91"/>
        <v>2.2311326295909391</v>
      </c>
      <c r="Y367" s="22">
        <f t="shared" si="91"/>
        <v>2.2442340110375012</v>
      </c>
      <c r="Z367" s="22">
        <f t="shared" si="91"/>
        <v>2.2628239721383245</v>
      </c>
      <c r="AA367" s="22">
        <f t="shared" si="91"/>
        <v>2.2883999122722289</v>
      </c>
      <c r="AB367" s="22">
        <f t="shared" si="91"/>
        <v>2.3258636456767143</v>
      </c>
      <c r="AC367" s="22">
        <f t="shared" si="91"/>
        <v>2.3741571098162688</v>
      </c>
      <c r="AD367" s="22">
        <f t="shared" si="91"/>
        <v>2.4078270750785844</v>
      </c>
      <c r="AE367" s="22">
        <f t="shared" si="91"/>
        <v>2.4454744215907969</v>
      </c>
      <c r="AF367" s="22">
        <f t="shared" si="91"/>
        <v>2.4842619963948258</v>
      </c>
      <c r="AG367" s="22">
        <f t="shared" si="91"/>
        <v>2.5250514206581411</v>
      </c>
      <c r="AH367" s="22">
        <f t="shared" si="91"/>
        <v>2.5664517862165597</v>
      </c>
      <c r="AI367" s="22">
        <f t="shared" si="91"/>
        <v>2.6042576766689809</v>
      </c>
      <c r="AJ367" s="22">
        <f t="shared" si="91"/>
        <v>2.6441359525452293</v>
      </c>
      <c r="AK367" s="22">
        <f t="shared" si="91"/>
        <v>2.6822085449571547</v>
      </c>
      <c r="AL367" s="22">
        <f t="shared" si="91"/>
        <v>2.7181086665238992</v>
      </c>
      <c r="AM367" s="22">
        <f t="shared" si="91"/>
        <v>2.7533709158338433</v>
      </c>
      <c r="AN367" s="22">
        <f t="shared" si="91"/>
        <v>2.7981486359580932</v>
      </c>
      <c r="AO367" s="22">
        <f t="shared" si="91"/>
        <v>2.8444626764988703</v>
      </c>
      <c r="AP367" s="22">
        <f t="shared" si="91"/>
        <v>2.8939961415092981</v>
      </c>
      <c r="AQ367" s="22">
        <f t="shared" si="91"/>
        <v>2.9433368881122353</v>
      </c>
      <c r="AR367" s="22">
        <f t="shared" si="91"/>
        <v>2.9925489576506421</v>
      </c>
      <c r="AS367" s="22">
        <f t="shared" si="91"/>
        <v>3.0448665713794991</v>
      </c>
      <c r="AT367" s="22">
        <f t="shared" si="91"/>
        <v>3.0989350943025911</v>
      </c>
      <c r="AU367" s="22">
        <f t="shared" si="91"/>
        <v>3.1538144933644965</v>
      </c>
      <c r="AV367" s="22">
        <f t="shared" si="91"/>
        <v>3.211372348831973</v>
      </c>
      <c r="AW367" s="22">
        <f t="shared" si="91"/>
        <v>3.2596274507435776</v>
      </c>
      <c r="AY367" s="79"/>
    </row>
    <row r="368" spans="1:51" x14ac:dyDescent="0.25">
      <c r="A368" s="95" t="str">
        <f t="shared" si="71"/>
        <v>GS Organic</v>
      </c>
      <c r="B368" s="95" t="s">
        <v>1020</v>
      </c>
      <c r="C368" s="95" t="s">
        <v>1126</v>
      </c>
      <c r="D368" t="s">
        <v>369</v>
      </c>
      <c r="E368" t="s">
        <v>55</v>
      </c>
      <c r="F368" t="s">
        <v>421</v>
      </c>
      <c r="G368" t="s">
        <v>1161</v>
      </c>
      <c r="H368" t="s">
        <v>1162</v>
      </c>
      <c r="I368" t="s">
        <v>139</v>
      </c>
      <c r="J368" t="s">
        <v>287</v>
      </c>
      <c r="K368" s="22">
        <f t="shared" si="90"/>
        <v>0.34358078636628725</v>
      </c>
      <c r="L368" s="22">
        <f t="shared" si="91"/>
        <v>0.35516571939691488</v>
      </c>
      <c r="M368" s="22">
        <f t="shared" si="91"/>
        <v>0.36891582276573964</v>
      </c>
      <c r="N368" s="22">
        <f t="shared" si="91"/>
        <v>0.37917034791782084</v>
      </c>
      <c r="O368" s="22">
        <f t="shared" si="91"/>
        <v>0.3870785095581884</v>
      </c>
      <c r="P368" s="22">
        <f t="shared" si="91"/>
        <v>0.39252728601928993</v>
      </c>
      <c r="Q368" s="22">
        <f t="shared" si="91"/>
        <v>0.39996713645364929</v>
      </c>
      <c r="R368" s="22">
        <f t="shared" si="91"/>
        <v>0.40776627193753145</v>
      </c>
      <c r="S368" s="22">
        <f t="shared" si="91"/>
        <v>0.37883271565803223</v>
      </c>
      <c r="T368" s="22">
        <f t="shared" si="91"/>
        <v>0.40650829214497081</v>
      </c>
      <c r="U368" s="22">
        <f t="shared" si="91"/>
        <v>0.42274175542300491</v>
      </c>
      <c r="V368" s="22">
        <f t="shared" si="91"/>
        <v>0.42973734716787138</v>
      </c>
      <c r="W368" s="22">
        <f t="shared" si="91"/>
        <v>0.43726842004421129</v>
      </c>
      <c r="X368" s="22">
        <f t="shared" si="91"/>
        <v>0.44745878466388073</v>
      </c>
      <c r="Y368" s="22">
        <f t="shared" si="91"/>
        <v>0.46030289933226931</v>
      </c>
      <c r="Z368" s="22">
        <f t="shared" si="91"/>
        <v>0.47455223837766919</v>
      </c>
      <c r="AA368" s="22">
        <f t="shared" si="91"/>
        <v>0.4906141484694207</v>
      </c>
      <c r="AB368" s="22">
        <f t="shared" si="91"/>
        <v>0.50967264018855052</v>
      </c>
      <c r="AC368" s="22">
        <f t="shared" si="91"/>
        <v>0.53167442702617229</v>
      </c>
      <c r="AD368" s="22">
        <f t="shared" si="91"/>
        <v>0.55709637533943834</v>
      </c>
      <c r="AE368" s="22">
        <f t="shared" si="91"/>
        <v>0.58460645913698228</v>
      </c>
      <c r="AF368" s="22">
        <f t="shared" si="91"/>
        <v>0.61366166383859366</v>
      </c>
      <c r="AG368" s="22">
        <f t="shared" si="91"/>
        <v>0.64458089754098746</v>
      </c>
      <c r="AH368" s="22">
        <f t="shared" si="91"/>
        <v>0.67712551028517698</v>
      </c>
      <c r="AI368" s="22">
        <f t="shared" si="91"/>
        <v>0.71024940806884818</v>
      </c>
      <c r="AJ368" s="22">
        <f t="shared" si="91"/>
        <v>0.74554239669460731</v>
      </c>
      <c r="AK368" s="22">
        <f t="shared" si="91"/>
        <v>0.78202811985737553</v>
      </c>
      <c r="AL368" s="22">
        <f t="shared" si="91"/>
        <v>0.81964634511188172</v>
      </c>
      <c r="AM368" s="22">
        <f t="shared" si="91"/>
        <v>0.85891861421537574</v>
      </c>
      <c r="AN368" s="22">
        <f t="shared" si="91"/>
        <v>0.89751581296509064</v>
      </c>
      <c r="AO368" s="22">
        <f t="shared" si="91"/>
        <v>0.93820295986961577</v>
      </c>
      <c r="AP368" s="22">
        <f t="shared" si="91"/>
        <v>0.98167178661912335</v>
      </c>
      <c r="AQ368" s="22">
        <f t="shared" si="91"/>
        <v>1.0269093365438573</v>
      </c>
      <c r="AR368" s="22">
        <f t="shared" si="91"/>
        <v>1.0740254053264544</v>
      </c>
      <c r="AS368" s="22">
        <f t="shared" si="91"/>
        <v>1.1243087675322185</v>
      </c>
      <c r="AT368" s="22">
        <f t="shared" si="91"/>
        <v>1.1774495119019792</v>
      </c>
      <c r="AU368" s="22">
        <f t="shared" si="91"/>
        <v>1.2332540246283563</v>
      </c>
      <c r="AV368" s="22">
        <f t="shared" si="91"/>
        <v>1.2926278816392183</v>
      </c>
      <c r="AW368" s="22">
        <f t="shared" si="91"/>
        <v>1.3508373812373191</v>
      </c>
      <c r="AY368" s="79"/>
    </row>
    <row r="369" spans="1:51" x14ac:dyDescent="0.25">
      <c r="A369" s="95" t="str">
        <f t="shared" si="71"/>
        <v>GS Organic</v>
      </c>
      <c r="B369" s="95" t="s">
        <v>1020</v>
      </c>
      <c r="C369" s="95" t="s">
        <v>1126</v>
      </c>
      <c r="D369" t="s">
        <v>369</v>
      </c>
      <c r="E369" t="s">
        <v>55</v>
      </c>
      <c r="F369" t="s">
        <v>421</v>
      </c>
      <c r="G369" t="s">
        <v>1163</v>
      </c>
      <c r="H369" t="s">
        <v>1164</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5.9206646241484272E-2</v>
      </c>
      <c r="T369" s="22">
        <f t="shared" si="91"/>
        <v>5.9249261961011081E-2</v>
      </c>
      <c r="U369" s="22">
        <f t="shared" si="91"/>
        <v>5.9234279181673045E-2</v>
      </c>
      <c r="V369" s="22">
        <f t="shared" si="91"/>
        <v>5.9233200541063784E-2</v>
      </c>
      <c r="W369" s="22">
        <f t="shared" si="91"/>
        <v>5.9296029757579687E-2</v>
      </c>
      <c r="X369" s="22">
        <f t="shared" si="91"/>
        <v>5.9398855559527265E-2</v>
      </c>
      <c r="Y369" s="22">
        <f t="shared" si="91"/>
        <v>5.9497518057295966E-2</v>
      </c>
      <c r="Z369" s="22">
        <f t="shared" si="91"/>
        <v>5.9592335556578689E-2</v>
      </c>
      <c r="AA369" s="22">
        <f t="shared" si="91"/>
        <v>5.9683178655916949E-2</v>
      </c>
      <c r="AB369" s="22">
        <f t="shared" si="91"/>
        <v>5.9771940504679918E-2</v>
      </c>
      <c r="AC369" s="22">
        <f t="shared" si="91"/>
        <v>5.9859917680633305E-2</v>
      </c>
      <c r="AD369" s="22">
        <f t="shared" si="91"/>
        <v>5.994622744604354E-2</v>
      </c>
      <c r="AE369" s="22">
        <f t="shared" si="91"/>
        <v>6.0032110794538678E-2</v>
      </c>
      <c r="AF369" s="22">
        <f t="shared" si="91"/>
        <v>6.0117297176971563E-2</v>
      </c>
      <c r="AG369" s="22">
        <f t="shared" si="91"/>
        <v>6.0201104026504609E-2</v>
      </c>
      <c r="AH369" s="22">
        <f t="shared" si="91"/>
        <v>6.0283900321551377E-2</v>
      </c>
      <c r="AI369" s="22">
        <f t="shared" si="91"/>
        <v>6.0365774417580641E-2</v>
      </c>
      <c r="AJ369" s="22">
        <f t="shared" si="91"/>
        <v>6.0447004272429113E-2</v>
      </c>
      <c r="AK369" s="22">
        <f t="shared" si="91"/>
        <v>6.0525104414191039E-2</v>
      </c>
      <c r="AL369" s="22">
        <f t="shared" si="91"/>
        <v>6.0599983467265146E-2</v>
      </c>
      <c r="AM369" s="22">
        <f t="shared" si="91"/>
        <v>6.0672341257529266E-2</v>
      </c>
      <c r="AN369" s="22">
        <f t="shared" si="91"/>
        <v>6.0741620622323307E-2</v>
      </c>
      <c r="AO369" s="22">
        <f t="shared" si="91"/>
        <v>6.0807947239837602E-2</v>
      </c>
      <c r="AP369" s="22">
        <f t="shared" si="91"/>
        <v>6.0871022373773183E-2</v>
      </c>
      <c r="AQ369" s="22">
        <f t="shared" si="91"/>
        <v>6.0929943414023247E-2</v>
      </c>
      <c r="AR369" s="22">
        <f t="shared" si="91"/>
        <v>6.098387393162142E-2</v>
      </c>
      <c r="AS369" s="22">
        <f t="shared" si="91"/>
        <v>6.1032759441621343E-2</v>
      </c>
      <c r="AT369" s="22">
        <f t="shared" si="91"/>
        <v>6.1076225850700765E-2</v>
      </c>
      <c r="AU369" s="22">
        <f t="shared" si="91"/>
        <v>6.1114252195612971E-2</v>
      </c>
      <c r="AV369" s="22">
        <f t="shared" si="91"/>
        <v>6.1147566184616489E-2</v>
      </c>
      <c r="AW369" s="22">
        <f t="shared" si="91"/>
        <v>6.1171840771151238E-2</v>
      </c>
      <c r="AY369" s="79"/>
    </row>
    <row r="370" spans="1:51" x14ac:dyDescent="0.25">
      <c r="A370" s="95" t="str">
        <f t="shared" si="71"/>
        <v>GS Organic</v>
      </c>
      <c r="B370" s="95" t="s">
        <v>1020</v>
      </c>
      <c r="C370" s="95" t="s">
        <v>1126</v>
      </c>
      <c r="D370" t="s">
        <v>369</v>
      </c>
      <c r="E370" t="s">
        <v>55</v>
      </c>
      <c r="F370" t="s">
        <v>421</v>
      </c>
      <c r="G370" t="s">
        <v>1165</v>
      </c>
      <c r="H370" t="s">
        <v>1166</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4.8186162011392024E-2</v>
      </c>
      <c r="T370" s="22">
        <f t="shared" si="91"/>
        <v>4.8220845414281899E-2</v>
      </c>
      <c r="U370" s="22">
        <f t="shared" si="91"/>
        <v>4.8208651468527576E-2</v>
      </c>
      <c r="V370" s="22">
        <f t="shared" si="91"/>
        <v>4.8207773601692518E-2</v>
      </c>
      <c r="W370" s="22">
        <f t="shared" si="91"/>
        <v>4.8258908043487037E-2</v>
      </c>
      <c r="X370" s="22">
        <f t="shared" si="91"/>
        <v>4.8342594269039987E-2</v>
      </c>
      <c r="Y370" s="22">
        <f t="shared" si="91"/>
        <v>4.8422892130914143E-2</v>
      </c>
      <c r="Z370" s="22">
        <f t="shared" si="91"/>
        <v>4.8500060686675887E-2</v>
      </c>
      <c r="AA370" s="22">
        <f t="shared" si="91"/>
        <v>4.8573994621127721E-2</v>
      </c>
      <c r="AB370" s="22">
        <f t="shared" si="91"/>
        <v>4.8646234700518105E-2</v>
      </c>
      <c r="AC370" s="22">
        <f t="shared" si="91"/>
        <v>4.8717836162902997E-2</v>
      </c>
      <c r="AD370" s="22">
        <f t="shared" si="91"/>
        <v>4.8788080579758822E-2</v>
      </c>
      <c r="AE370" s="22">
        <f t="shared" si="91"/>
        <v>4.8857977951209122E-2</v>
      </c>
      <c r="AF370" s="22">
        <f t="shared" si="91"/>
        <v>4.8927308087024161E-2</v>
      </c>
      <c r="AG370" s="22">
        <f t="shared" si="91"/>
        <v>4.8995515470580273E-2</v>
      </c>
      <c r="AH370" s="22">
        <f t="shared" si="91"/>
        <v>4.9062900400150392E-2</v>
      </c>
      <c r="AI370" s="22">
        <f t="shared" si="91"/>
        <v>4.9129534785075896E-2</v>
      </c>
      <c r="AJ370" s="22">
        <f t="shared" si="91"/>
        <v>4.9195644845252684E-2</v>
      </c>
      <c r="AK370" s="22">
        <f t="shared" si="91"/>
        <v>4.9259207744402629E-2</v>
      </c>
      <c r="AL370" s="22">
        <f t="shared" si="91"/>
        <v>4.9320149115207046E-2</v>
      </c>
      <c r="AM370" s="22">
        <f t="shared" si="91"/>
        <v>4.9379038520802346E-2</v>
      </c>
      <c r="AN370" s="22">
        <f t="shared" si="91"/>
        <v>4.9435422506519014E-2</v>
      </c>
      <c r="AO370" s="22">
        <f t="shared" si="91"/>
        <v>4.9489403357320404E-2</v>
      </c>
      <c r="AP370" s="22">
        <f t="shared" si="91"/>
        <v>4.9540737942466703E-2</v>
      </c>
      <c r="AQ370" s="22">
        <f t="shared" si="91"/>
        <v>4.9588691660023831E-2</v>
      </c>
      <c r="AR370" s="22">
        <f t="shared" si="91"/>
        <v>4.9632583770509955E-2</v>
      </c>
      <c r="AS370" s="22">
        <f t="shared" si="91"/>
        <v>4.9672369930584929E-2</v>
      </c>
      <c r="AT370" s="22">
        <f t="shared" si="91"/>
        <v>4.9707745679135391E-2</v>
      </c>
      <c r="AU370" s="22">
        <f t="shared" si="91"/>
        <v>4.9738693954928054E-2</v>
      </c>
      <c r="AV370" s="22">
        <f t="shared" si="91"/>
        <v>4.9765807013567136E-2</v>
      </c>
      <c r="AW370" s="22">
        <f t="shared" si="91"/>
        <v>4.9785563227333289E-2</v>
      </c>
      <c r="AY370" s="79"/>
    </row>
    <row r="371" spans="1:51" x14ac:dyDescent="0.25">
      <c r="A371" s="95" t="str">
        <f t="shared" si="71"/>
        <v>GS Organic</v>
      </c>
      <c r="B371" s="95" t="s">
        <v>1020</v>
      </c>
      <c r="C371" s="95" t="s">
        <v>1126</v>
      </c>
      <c r="D371" t="s">
        <v>369</v>
      </c>
      <c r="E371" t="s">
        <v>55</v>
      </c>
      <c r="F371" t="s">
        <v>421</v>
      </c>
      <c r="G371" t="s">
        <v>1167</v>
      </c>
      <c r="H371" t="s">
        <v>1168</v>
      </c>
      <c r="I371" t="s">
        <v>139</v>
      </c>
      <c r="J371" t="s">
        <v>287</v>
      </c>
      <c r="K371" s="22">
        <f t="shared" si="90"/>
        <v>7.2140927380493743E-3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7.4155715935563127E-3</v>
      </c>
      <c r="R371" s="22">
        <f t="shared" si="91"/>
        <v>7.4643602602570466E-3</v>
      </c>
      <c r="S371" s="22">
        <f t="shared" si="91"/>
        <v>7.446057759840319E-3</v>
      </c>
      <c r="T371" s="22">
        <f t="shared" si="91"/>
        <v>7.4588575402652147E-3</v>
      </c>
      <c r="U371" s="22">
        <f t="shared" si="91"/>
        <v>7.4600996121267065E-3</v>
      </c>
      <c r="V371" s="22">
        <f t="shared" si="91"/>
        <v>7.4635145174609509E-3</v>
      </c>
      <c r="W371" s="22">
        <f t="shared" si="91"/>
        <v>7.478612742540797E-3</v>
      </c>
      <c r="X371" s="22">
        <f t="shared" si="91"/>
        <v>7.5008213874242727E-3</v>
      </c>
      <c r="Y371" s="22">
        <f t="shared" si="91"/>
        <v>7.521785176202795E-3</v>
      </c>
      <c r="Z371" s="22">
        <f t="shared" si="91"/>
        <v>7.5416026776079998E-3</v>
      </c>
      <c r="AA371" s="22">
        <f t="shared" si="91"/>
        <v>7.5602840353540396E-3</v>
      </c>
      <c r="AB371" s="22">
        <f t="shared" si="91"/>
        <v>7.5782158017585468E-3</v>
      </c>
      <c r="AC371" s="22">
        <f t="shared" si="91"/>
        <v>7.5956670242534503E-3</v>
      </c>
      <c r="AD371" s="22">
        <f t="shared" si="91"/>
        <v>7.6124952267758277E-3</v>
      </c>
      <c r="AE371" s="22">
        <f t="shared" si="91"/>
        <v>7.6289531687582885E-3</v>
      </c>
      <c r="AF371" s="22">
        <f t="shared" si="91"/>
        <v>7.6450086817527159E-3</v>
      </c>
      <c r="AG371" s="22">
        <f t="shared" si="91"/>
        <v>7.6605519051480614E-3</v>
      </c>
      <c r="AH371" s="22">
        <f t="shared" si="91"/>
        <v>7.6756674337729895E-3</v>
      </c>
      <c r="AI371" s="22">
        <f t="shared" si="91"/>
        <v>7.6903861453690046E-3</v>
      </c>
      <c r="AJ371" s="22">
        <f t="shared" si="91"/>
        <v>7.7047726653034906E-3</v>
      </c>
      <c r="AK371" s="22">
        <f t="shared" si="91"/>
        <v>7.7183809322326768E-3</v>
      </c>
      <c r="AL371" s="22">
        <f t="shared" si="91"/>
        <v>7.7312077295111602E-3</v>
      </c>
      <c r="AM371" s="22">
        <f t="shared" si="91"/>
        <v>7.7433943538670266E-3</v>
      </c>
      <c r="AN371" s="22">
        <f t="shared" si="91"/>
        <v>7.7548499619508725E-3</v>
      </c>
      <c r="AO371" s="22">
        <f t="shared" si="91"/>
        <v>7.7656086534531824E-3</v>
      </c>
      <c r="AP371" s="22">
        <f t="shared" si="91"/>
        <v>7.7756261682697366E-3</v>
      </c>
      <c r="AQ371" s="22">
        <f t="shared" si="91"/>
        <v>7.7847478814032966E-3</v>
      </c>
      <c r="AR371" s="22">
        <f t="shared" si="91"/>
        <v>7.7928317537802119E-3</v>
      </c>
      <c r="AS371" s="22">
        <f t="shared" si="91"/>
        <v>7.7998783369461555E-3</v>
      </c>
      <c r="AT371" s="22">
        <f t="shared" si="91"/>
        <v>7.8058297320024528E-3</v>
      </c>
      <c r="AU371" s="22">
        <f t="shared" si="91"/>
        <v>7.8106919749548918E-3</v>
      </c>
      <c r="AV371" s="22">
        <f t="shared" si="91"/>
        <v>7.8146060933627498E-3</v>
      </c>
      <c r="AW371" s="22">
        <f t="shared" si="91"/>
        <v>7.8167990100407609E-3</v>
      </c>
      <c r="AY371" s="79"/>
    </row>
    <row r="372" spans="1:51" x14ac:dyDescent="0.25">
      <c r="A372" s="95" t="str">
        <f t="shared" si="71"/>
        <v>GS Organic</v>
      </c>
      <c r="B372" s="95" t="s">
        <v>1020</v>
      </c>
      <c r="C372" s="95" t="s">
        <v>1126</v>
      </c>
      <c r="D372" t="s">
        <v>369</v>
      </c>
      <c r="E372" t="s">
        <v>55</v>
      </c>
      <c r="F372" t="s">
        <v>421</v>
      </c>
      <c r="G372" t="s">
        <v>1169</v>
      </c>
      <c r="H372" t="s">
        <v>1170</v>
      </c>
      <c r="I372" t="s">
        <v>139</v>
      </c>
      <c r="J372" t="s">
        <v>287</v>
      </c>
      <c r="K372" s="22">
        <f t="shared" si="90"/>
        <v>8.7045671471293523E-2</v>
      </c>
      <c r="L372" s="22">
        <f t="shared" si="91"/>
        <v>8.7271948200639354E-2</v>
      </c>
      <c r="M372" s="22">
        <f t="shared" si="91"/>
        <v>8.7584088952434122E-2</v>
      </c>
      <c r="N372" s="22">
        <f t="shared" si="91"/>
        <v>8.7964358824768801E-2</v>
      </c>
      <c r="O372" s="22">
        <f t="shared" si="91"/>
        <v>8.8412215452112072E-2</v>
      </c>
      <c r="P372" s="22">
        <f t="shared" si="91"/>
        <v>8.8924932944132923E-2</v>
      </c>
      <c r="Q372" s="22">
        <f t="shared" si="91"/>
        <v>8.9476727309038565E-2</v>
      </c>
      <c r="R372" s="22">
        <f t="shared" si="91"/>
        <v>9.0065414259340087E-2</v>
      </c>
      <c r="S372" s="22">
        <f t="shared" si="91"/>
        <v>8.9844575202202001E-2</v>
      </c>
      <c r="T372" s="22">
        <f t="shared" si="91"/>
        <v>8.9999018113074689E-2</v>
      </c>
      <c r="U372" s="22">
        <f t="shared" si="91"/>
        <v>9.0014005025930557E-2</v>
      </c>
      <c r="V372" s="22">
        <f t="shared" si="91"/>
        <v>9.0055209476527981E-2</v>
      </c>
      <c r="W372" s="22">
        <f t="shared" si="91"/>
        <v>9.0237385557127583E-2</v>
      </c>
      <c r="X372" s="22">
        <f t="shared" si="91"/>
        <v>9.0505356385413932E-2</v>
      </c>
      <c r="Y372" s="22">
        <f t="shared" si="91"/>
        <v>9.0758306705997438E-2</v>
      </c>
      <c r="Z372" s="22">
        <f t="shared" si="91"/>
        <v>9.0997425855048733E-2</v>
      </c>
      <c r="AA372" s="22">
        <f t="shared" si="91"/>
        <v>9.122283622722524E-2</v>
      </c>
      <c r="AB372" s="22">
        <f t="shared" si="91"/>
        <v>9.1439201985751464E-2</v>
      </c>
      <c r="AC372" s="22">
        <f t="shared" si="91"/>
        <v>9.1649769472921652E-2</v>
      </c>
      <c r="AD372" s="22">
        <f t="shared" si="91"/>
        <v>9.1852819564097965E-2</v>
      </c>
      <c r="AE372" s="22">
        <f t="shared" si="91"/>
        <v>9.2051402069607366E-2</v>
      </c>
      <c r="AF372" s="22">
        <f t="shared" si="91"/>
        <v>9.224512884304413E-2</v>
      </c>
      <c r="AG372" s="22">
        <f t="shared" si="91"/>
        <v>9.2432674299750023E-2</v>
      </c>
      <c r="AH372" s="22">
        <f t="shared" si="91"/>
        <v>9.261505916595239E-2</v>
      </c>
      <c r="AI372" s="22">
        <f t="shared" si="91"/>
        <v>9.2792656014314204E-2</v>
      </c>
      <c r="AJ372" s="22">
        <f t="shared" si="91"/>
        <v>9.2966244618356883E-2</v>
      </c>
      <c r="AK372" s="22">
        <f t="shared" si="91"/>
        <v>9.3130442775411881E-2</v>
      </c>
      <c r="AL372" s="22">
        <f t="shared" si="91"/>
        <v>9.3285211673244717E-2</v>
      </c>
      <c r="AM372" s="22">
        <f t="shared" si="91"/>
        <v>9.3432256206569059E-2</v>
      </c>
      <c r="AN372" s="22">
        <f t="shared" si="91"/>
        <v>9.3570480254135169E-2</v>
      </c>
      <c r="AO372" s="22">
        <f t="shared" si="91"/>
        <v>9.3700295264833783E-2</v>
      </c>
      <c r="AP372" s="22">
        <f t="shared" si="91"/>
        <v>9.3821167193618646E-2</v>
      </c>
      <c r="AQ372" s="22">
        <f t="shared" si="91"/>
        <v>9.3931230326088647E-2</v>
      </c>
      <c r="AR372" s="22">
        <f t="shared" si="91"/>
        <v>9.4028770810344664E-2</v>
      </c>
      <c r="AS372" s="22">
        <f t="shared" si="91"/>
        <v>9.4113795301369402E-2</v>
      </c>
      <c r="AT372" s="22">
        <f t="shared" si="91"/>
        <v>9.4185605187612459E-2</v>
      </c>
      <c r="AU372" s="22">
        <f t="shared" si="91"/>
        <v>9.4244273299878237E-2</v>
      </c>
      <c r="AV372" s="22">
        <f t="shared" si="91"/>
        <v>9.429150128507352E-2</v>
      </c>
      <c r="AW372" s="22">
        <f t="shared" si="91"/>
        <v>9.4317961147962676E-2</v>
      </c>
      <c r="AY372" s="79"/>
    </row>
    <row r="373" spans="1:51" x14ac:dyDescent="0.25">
      <c r="A373" s="95" t="str">
        <f t="shared" si="71"/>
        <v>GS Organic</v>
      </c>
      <c r="B373" s="95" t="s">
        <v>1020</v>
      </c>
      <c r="C373" s="95" t="s">
        <v>1126</v>
      </c>
      <c r="D373" t="s">
        <v>369</v>
      </c>
      <c r="E373" t="s">
        <v>55</v>
      </c>
      <c r="F373" t="s">
        <v>421</v>
      </c>
      <c r="G373" t="s">
        <v>1171</v>
      </c>
      <c r="H373" t="s">
        <v>1172</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5">
      <c r="A374" s="95" t="str">
        <f t="shared" ref="A374:A437" si="93">B374&amp;" "&amp;C374</f>
        <v>GS Organic</v>
      </c>
      <c r="B374" s="95" t="s">
        <v>1020</v>
      </c>
      <c r="C374" s="95" t="s">
        <v>1126</v>
      </c>
      <c r="D374" t="s">
        <v>369</v>
      </c>
      <c r="E374" t="s">
        <v>55</v>
      </c>
      <c r="F374" t="s">
        <v>421</v>
      </c>
      <c r="G374" t="s">
        <v>1173</v>
      </c>
      <c r="H374" t="s">
        <v>1174</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5">
      <c r="A375" s="95" t="str">
        <f t="shared" si="93"/>
        <v>GS Organic</v>
      </c>
      <c r="B375" s="95" t="s">
        <v>1020</v>
      </c>
      <c r="C375" s="95" t="s">
        <v>1126</v>
      </c>
      <c r="D375" t="s">
        <v>369</v>
      </c>
      <c r="E375" t="s">
        <v>55</v>
      </c>
      <c r="F375" t="s">
        <v>421</v>
      </c>
      <c r="G375" t="s">
        <v>1175</v>
      </c>
      <c r="H375" t="s">
        <v>1176</v>
      </c>
      <c r="I375" t="s">
        <v>139</v>
      </c>
      <c r="J375" t="s">
        <v>287</v>
      </c>
      <c r="K375" s="22">
        <f t="shared" si="90"/>
        <v>0.12462873299340151</v>
      </c>
      <c r="L375" s="22">
        <f t="shared" si="92"/>
        <v>0.12395129293471774</v>
      </c>
      <c r="M375" s="22">
        <f t="shared" si="92"/>
        <v>0.1240068951131099</v>
      </c>
      <c r="N375" s="22">
        <f t="shared" si="92"/>
        <v>0.12286841678965583</v>
      </c>
      <c r="O375" s="22">
        <f t="shared" si="92"/>
        <v>0.12100901910044995</v>
      </c>
      <c r="P375" s="22">
        <f t="shared" si="92"/>
        <v>0.11845842648899831</v>
      </c>
      <c r="Q375" s="22">
        <f t="shared" si="92"/>
        <v>0.11660641339960404</v>
      </c>
      <c r="R375" s="22">
        <f t="shared" si="92"/>
        <v>0.11491827863139022</v>
      </c>
      <c r="S375" s="22">
        <f t="shared" si="92"/>
        <v>0.10323336206469676</v>
      </c>
      <c r="T375" s="22">
        <f t="shared" si="92"/>
        <v>0.10789835358112609</v>
      </c>
      <c r="U375" s="22">
        <f t="shared" si="92"/>
        <v>0.10930872077776907</v>
      </c>
      <c r="V375" s="22">
        <f t="shared" si="92"/>
        <v>0.10822994982335406</v>
      </c>
      <c r="W375" s="22">
        <f t="shared" si="92"/>
        <v>0.10728117650505167</v>
      </c>
      <c r="X375" s="22">
        <f t="shared" si="92"/>
        <v>0.10698795772109922</v>
      </c>
      <c r="Y375" s="22">
        <f t="shared" si="92"/>
        <v>0.10732481606756347</v>
      </c>
      <c r="Z375" s="22">
        <f t="shared" si="92"/>
        <v>0.10795224800227457</v>
      </c>
      <c r="AA375" s="22">
        <f t="shared" si="92"/>
        <v>0.10894183514251574</v>
      </c>
      <c r="AB375" s="22">
        <f t="shared" si="92"/>
        <v>0.11053150962299221</v>
      </c>
      <c r="AC375" s="22">
        <f t="shared" si="92"/>
        <v>0.1126657694800189</v>
      </c>
      <c r="AD375" s="22">
        <f t="shared" si="92"/>
        <v>0.11509487827502032</v>
      </c>
      <c r="AE375" s="22">
        <f t="shared" si="92"/>
        <v>0.11779472217084282</v>
      </c>
      <c r="AF375" s="22">
        <f t="shared" si="92"/>
        <v>0.12063025387721567</v>
      </c>
      <c r="AG375" s="22">
        <f t="shared" si="92"/>
        <v>0.12365017099946446</v>
      </c>
      <c r="AH375" s="22">
        <f t="shared" si="92"/>
        <v>0.12678938256448105</v>
      </c>
      <c r="AI375" s="22">
        <f t="shared" si="92"/>
        <v>0.1298357658486077</v>
      </c>
      <c r="AJ375" s="22">
        <f t="shared" si="92"/>
        <v>0.13308363006040799</v>
      </c>
      <c r="AK375" s="22">
        <f t="shared" si="92"/>
        <v>0.13633797236037076</v>
      </c>
      <c r="AL375" s="22">
        <f t="shared" si="92"/>
        <v>0.1395817064491762</v>
      </c>
      <c r="AM375" s="22">
        <f t="shared" si="92"/>
        <v>0.1428987646619678</v>
      </c>
      <c r="AN375" s="22">
        <f t="shared" si="92"/>
        <v>0.14607463913609417</v>
      </c>
      <c r="AO375" s="22">
        <f t="shared" si="92"/>
        <v>0.14939800642693096</v>
      </c>
      <c r="AP375" s="22">
        <f t="shared" si="92"/>
        <v>0.15296466961282101</v>
      </c>
      <c r="AQ375" s="22">
        <f t="shared" si="92"/>
        <v>0.1565936649117094</v>
      </c>
      <c r="AR375" s="22">
        <f t="shared" si="92"/>
        <v>0.16029166396054106</v>
      </c>
      <c r="AS375" s="22">
        <f t="shared" si="92"/>
        <v>0.16424139864286944</v>
      </c>
      <c r="AT375" s="22">
        <f t="shared" si="92"/>
        <v>0.1683741087759702</v>
      </c>
      <c r="AU375" s="22">
        <f t="shared" si="92"/>
        <v>0.17264268700084681</v>
      </c>
      <c r="AV375" s="22">
        <f t="shared" si="92"/>
        <v>0.17715786251954191</v>
      </c>
      <c r="AW375" s="22">
        <f t="shared" si="92"/>
        <v>0.1812449136918291</v>
      </c>
      <c r="AY375" s="79"/>
    </row>
    <row r="376" spans="1:51" x14ac:dyDescent="0.25">
      <c r="A376" s="95" t="str">
        <f t="shared" si="93"/>
        <v>GS Organic</v>
      </c>
      <c r="B376" s="95" t="s">
        <v>1020</v>
      </c>
      <c r="C376" s="95" t="s">
        <v>1126</v>
      </c>
      <c r="D376" t="s">
        <v>369</v>
      </c>
      <c r="E376" t="s">
        <v>55</v>
      </c>
      <c r="F376" t="s">
        <v>421</v>
      </c>
      <c r="G376" t="s">
        <v>1177</v>
      </c>
      <c r="H376" t="s">
        <v>1178</v>
      </c>
      <c r="I376" t="s">
        <v>139</v>
      </c>
      <c r="J376" t="s">
        <v>287</v>
      </c>
      <c r="K376" s="22">
        <f t="shared" si="90"/>
        <v>3.1618785484610064E-2</v>
      </c>
      <c r="L376" s="22">
        <f t="shared" si="92"/>
        <v>3.1446916354757493E-2</v>
      </c>
      <c r="M376" s="22">
        <f t="shared" si="92"/>
        <v>3.1461022839745605E-2</v>
      </c>
      <c r="N376" s="22">
        <f t="shared" si="92"/>
        <v>3.1172186541537569E-2</v>
      </c>
      <c r="O376" s="22">
        <f t="shared" si="92"/>
        <v>3.0700450247237818E-2</v>
      </c>
      <c r="P376" s="22">
        <f t="shared" si="92"/>
        <v>3.0053355161673637E-2</v>
      </c>
      <c r="Q376" s="22">
        <f t="shared" si="92"/>
        <v>2.9583492368545926E-2</v>
      </c>
      <c r="R376" s="22">
        <f t="shared" si="92"/>
        <v>2.9155206131309685E-2</v>
      </c>
      <c r="S376" s="22">
        <f t="shared" si="92"/>
        <v>2.6190698176732228E-2</v>
      </c>
      <c r="T376" s="22">
        <f t="shared" si="92"/>
        <v>2.7374224338819714E-2</v>
      </c>
      <c r="U376" s="22">
        <f t="shared" si="92"/>
        <v>2.773203988242751E-2</v>
      </c>
      <c r="V376" s="22">
        <f t="shared" si="92"/>
        <v>2.7458351571751329E-2</v>
      </c>
      <c r="W376" s="22">
        <f t="shared" si="92"/>
        <v>2.7217644157783535E-2</v>
      </c>
      <c r="X376" s="22">
        <f t="shared" si="92"/>
        <v>2.7143253432569785E-2</v>
      </c>
      <c r="Y376" s="22">
        <f t="shared" si="92"/>
        <v>2.7228715681440727E-2</v>
      </c>
      <c r="Z376" s="22">
        <f t="shared" si="92"/>
        <v>2.7387897559273622E-2</v>
      </c>
      <c r="AA376" s="22">
        <f t="shared" si="92"/>
        <v>2.7638959595724485E-2</v>
      </c>
      <c r="AB376" s="22">
        <f t="shared" si="92"/>
        <v>2.8042266081967953E-2</v>
      </c>
      <c r="AC376" s="22">
        <f t="shared" si="92"/>
        <v>2.8583735957869796E-2</v>
      </c>
      <c r="AD376" s="22">
        <f t="shared" si="92"/>
        <v>2.9200010135285986E-2</v>
      </c>
      <c r="AE376" s="22">
        <f t="shared" si="92"/>
        <v>2.988497084164626E-2</v>
      </c>
      <c r="AF376" s="22">
        <f t="shared" si="92"/>
        <v>3.0604356063699028E-2</v>
      </c>
      <c r="AG376" s="22">
        <f t="shared" si="92"/>
        <v>3.1370520569878685E-2</v>
      </c>
      <c r="AH376" s="22">
        <f t="shared" si="92"/>
        <v>3.2166950531742462E-2</v>
      </c>
      <c r="AI376" s="22">
        <f t="shared" si="92"/>
        <v>3.2939829604257814E-2</v>
      </c>
      <c r="AJ376" s="22">
        <f t="shared" si="92"/>
        <v>3.376382515752635E-2</v>
      </c>
      <c r="AK376" s="22">
        <f t="shared" si="92"/>
        <v>3.4589464226499819E-2</v>
      </c>
      <c r="AL376" s="22">
        <f t="shared" si="92"/>
        <v>3.5412411951792733E-2</v>
      </c>
      <c r="AM376" s="22">
        <f t="shared" si="92"/>
        <v>3.625396228734637E-2</v>
      </c>
      <c r="AN376" s="22">
        <f t="shared" si="92"/>
        <v>3.705969376925726E-2</v>
      </c>
      <c r="AO376" s="22">
        <f t="shared" si="92"/>
        <v>3.7902844742003665E-2</v>
      </c>
      <c r="AP376" s="22">
        <f t="shared" si="92"/>
        <v>3.8807720812407763E-2</v>
      </c>
      <c r="AQ376" s="22">
        <f t="shared" si="92"/>
        <v>3.9728410777909444E-2</v>
      </c>
      <c r="AR376" s="22">
        <f t="shared" si="92"/>
        <v>4.0666607258278795E-2</v>
      </c>
      <c r="AS376" s="22">
        <f t="shared" si="92"/>
        <v>4.1668670030178073E-2</v>
      </c>
      <c r="AT376" s="22">
        <f t="shared" si="92"/>
        <v>4.2717154372673226E-2</v>
      </c>
      <c r="AU376" s="22">
        <f t="shared" si="92"/>
        <v>4.380010896889619E-2</v>
      </c>
      <c r="AV376" s="22">
        <f t="shared" si="92"/>
        <v>4.4945626240250815E-2</v>
      </c>
      <c r="AW376" s="22">
        <f t="shared" si="92"/>
        <v>4.5982526730028013E-2</v>
      </c>
      <c r="AY376" s="79"/>
    </row>
    <row r="377" spans="1:51" x14ac:dyDescent="0.25">
      <c r="A377" s="95" t="str">
        <f t="shared" si="93"/>
        <v>GS Organic</v>
      </c>
      <c r="B377" s="95" t="s">
        <v>1020</v>
      </c>
      <c r="C377" s="95" t="s">
        <v>1126</v>
      </c>
      <c r="D377" t="s">
        <v>369</v>
      </c>
      <c r="E377" t="s">
        <v>55</v>
      </c>
      <c r="F377" t="s">
        <v>421</v>
      </c>
      <c r="G377" t="s">
        <v>1179</v>
      </c>
      <c r="H377" t="s">
        <v>1180</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0.17531753251219057</v>
      </c>
      <c r="S377" s="22">
        <f t="shared" si="92"/>
        <v>0.16826815584544114</v>
      </c>
      <c r="T377" s="22">
        <f t="shared" si="92"/>
        <v>0.17529364111541346</v>
      </c>
      <c r="U377" s="22">
        <f t="shared" si="92"/>
        <v>0.179468936116296</v>
      </c>
      <c r="V377" s="22">
        <f t="shared" si="92"/>
        <v>0.18146185289572461</v>
      </c>
      <c r="W377" s="22">
        <f t="shared" si="92"/>
        <v>0.18367206757119967</v>
      </c>
      <c r="X377" s="22">
        <f t="shared" si="92"/>
        <v>0.18655442341123246</v>
      </c>
      <c r="Y377" s="22">
        <f t="shared" si="92"/>
        <v>0.19002403855752484</v>
      </c>
      <c r="Z377" s="22">
        <f t="shared" si="92"/>
        <v>0.19378713542621159</v>
      </c>
      <c r="AA377" s="22">
        <f t="shared" si="92"/>
        <v>0.19793608752558689</v>
      </c>
      <c r="AB377" s="22">
        <f t="shared" si="92"/>
        <v>0.20274560727871463</v>
      </c>
      <c r="AC377" s="22">
        <f t="shared" si="92"/>
        <v>0.2082010892393113</v>
      </c>
      <c r="AD377" s="22">
        <f t="shared" si="92"/>
        <v>0.21407047800501874</v>
      </c>
      <c r="AE377" s="22">
        <f t="shared" si="92"/>
        <v>0.22035285326760637</v>
      </c>
      <c r="AF377" s="22">
        <f t="shared" si="92"/>
        <v>0.22691830683757538</v>
      </c>
      <c r="AG377" s="22">
        <f t="shared" si="92"/>
        <v>0.23383349407065357</v>
      </c>
      <c r="AH377" s="22">
        <f t="shared" si="92"/>
        <v>0.24104032281254165</v>
      </c>
      <c r="AI377" s="22">
        <f t="shared" si="92"/>
        <v>0.24830078825991211</v>
      </c>
      <c r="AJ377" s="22">
        <f t="shared" si="92"/>
        <v>0.25596851329364728</v>
      </c>
      <c r="AK377" s="22">
        <f t="shared" si="92"/>
        <v>0.26381659798331969</v>
      </c>
      <c r="AL377" s="22">
        <f t="shared" si="92"/>
        <v>0.27182892851236273</v>
      </c>
      <c r="AM377" s="22">
        <f t="shared" si="92"/>
        <v>0.28011873521820613</v>
      </c>
      <c r="AN377" s="22">
        <f t="shared" si="92"/>
        <v>0.28841666797515925</v>
      </c>
      <c r="AO377" s="22">
        <f t="shared" si="92"/>
        <v>0.29710042873684378</v>
      </c>
      <c r="AP377" s="22">
        <f t="shared" si="92"/>
        <v>0.30631512135319056</v>
      </c>
      <c r="AQ377" s="22">
        <f t="shared" si="92"/>
        <v>0.31583438977210859</v>
      </c>
      <c r="AR377" s="22">
        <f t="shared" si="92"/>
        <v>0.32567682367490652</v>
      </c>
      <c r="AS377" s="22">
        <f t="shared" si="92"/>
        <v>0.33611496479516756</v>
      </c>
      <c r="AT377" s="22">
        <f t="shared" si="92"/>
        <v>0.34707529344515536</v>
      </c>
      <c r="AU377" s="22">
        <f t="shared" si="92"/>
        <v>0.35851078392222901</v>
      </c>
      <c r="AV377" s="22">
        <f t="shared" si="92"/>
        <v>0.37060965152650638</v>
      </c>
      <c r="AW377" s="22">
        <f t="shared" si="92"/>
        <v>0.38235584366830411</v>
      </c>
      <c r="AY377" s="79"/>
    </row>
    <row r="378" spans="1:51" x14ac:dyDescent="0.25">
      <c r="A378" s="95" t="str">
        <f t="shared" si="93"/>
        <v>GS Organic</v>
      </c>
      <c r="B378" s="95" t="s">
        <v>1020</v>
      </c>
      <c r="C378" s="95" t="s">
        <v>1126</v>
      </c>
      <c r="D378" t="s">
        <v>369</v>
      </c>
      <c r="E378" t="s">
        <v>55</v>
      </c>
      <c r="F378" t="s">
        <v>421</v>
      </c>
      <c r="G378" t="s">
        <v>1181</v>
      </c>
      <c r="H378" t="s">
        <v>1182</v>
      </c>
      <c r="I378" t="s">
        <v>139</v>
      </c>
      <c r="J378" t="s">
        <v>287</v>
      </c>
      <c r="K378" s="22">
        <f t="shared" si="90"/>
        <v>0.78620275218739033</v>
      </c>
      <c r="L378" s="22">
        <f t="shared" si="92"/>
        <v>0.79655563720176326</v>
      </c>
      <c r="M378" s="22">
        <f t="shared" si="92"/>
        <v>0.81318534024672107</v>
      </c>
      <c r="N378" s="22">
        <f t="shared" si="92"/>
        <v>0.81796021384654038</v>
      </c>
      <c r="O378" s="22">
        <f t="shared" si="92"/>
        <v>0.81503229757580586</v>
      </c>
      <c r="P378" s="22">
        <f t="shared" si="92"/>
        <v>0.80443274266431908</v>
      </c>
      <c r="Q378" s="22">
        <f t="shared" si="92"/>
        <v>0.79997057217510736</v>
      </c>
      <c r="R378" s="22">
        <f t="shared" si="92"/>
        <v>0.79652072541357855</v>
      </c>
      <c r="S378" s="22">
        <f t="shared" si="92"/>
        <v>0.6929945167812448</v>
      </c>
      <c r="T378" s="22">
        <f t="shared" si="92"/>
        <v>0.75569325830504319</v>
      </c>
      <c r="U378" s="22">
        <f t="shared" si="92"/>
        <v>0.78586192008020839</v>
      </c>
      <c r="V378" s="22">
        <f t="shared" si="92"/>
        <v>0.78963673487778696</v>
      </c>
      <c r="W378" s="22">
        <f t="shared" si="92"/>
        <v>0.79398832301737687</v>
      </c>
      <c r="X378" s="22">
        <f t="shared" si="92"/>
        <v>0.80502399258159163</v>
      </c>
      <c r="Y378" s="22">
        <f t="shared" si="92"/>
        <v>0.82319477266803398</v>
      </c>
      <c r="Z378" s="22">
        <f t="shared" si="92"/>
        <v>0.84493550271536799</v>
      </c>
      <c r="AA378" s="22">
        <f t="shared" si="92"/>
        <v>0.87120575605676209</v>
      </c>
      <c r="AB378" s="22">
        <f t="shared" si="92"/>
        <v>0.90492220164986781</v>
      </c>
      <c r="AC378" s="22">
        <f t="shared" si="92"/>
        <v>0.94570019320131005</v>
      </c>
      <c r="AD378" s="22">
        <f t="shared" si="92"/>
        <v>0.9908342510405731</v>
      </c>
      <c r="AE378" s="22">
        <f t="shared" si="92"/>
        <v>1.0401746402938727</v>
      </c>
      <c r="AF378" s="22">
        <f t="shared" si="92"/>
        <v>1.0922195176686915</v>
      </c>
      <c r="AG378" s="22">
        <f t="shared" si="92"/>
        <v>1.1476653338002605</v>
      </c>
      <c r="AH378" s="22">
        <f t="shared" si="92"/>
        <v>1.2058049098103554</v>
      </c>
      <c r="AI378" s="22">
        <f t="shared" si="92"/>
        <v>1.2640288398876942</v>
      </c>
      <c r="AJ378" s="22">
        <f t="shared" si="92"/>
        <v>1.3261031190213208</v>
      </c>
      <c r="AK378" s="22">
        <f t="shared" si="92"/>
        <v>1.3896418297181288</v>
      </c>
      <c r="AL378" s="22">
        <f t="shared" si="92"/>
        <v>1.4544565281623518</v>
      </c>
      <c r="AM378" s="22">
        <f t="shared" si="92"/>
        <v>1.521690334823528</v>
      </c>
      <c r="AN378" s="22">
        <f t="shared" si="92"/>
        <v>1.5885204638072115</v>
      </c>
      <c r="AO378" s="22">
        <f t="shared" si="92"/>
        <v>1.6588648682392355</v>
      </c>
      <c r="AP378" s="22">
        <f t="shared" si="92"/>
        <v>1.7341718158890906</v>
      </c>
      <c r="AQ378" s="22">
        <f t="shared" si="92"/>
        <v>1.812078309357211</v>
      </c>
      <c r="AR378" s="22">
        <f t="shared" si="92"/>
        <v>1.8927662707454833</v>
      </c>
      <c r="AS378" s="22">
        <f t="shared" si="92"/>
        <v>1.9789566108434027</v>
      </c>
      <c r="AT378" s="22">
        <f t="shared" si="92"/>
        <v>2.0698402438653445</v>
      </c>
      <c r="AU378" s="22">
        <f t="shared" si="92"/>
        <v>2.1648797356645511</v>
      </c>
      <c r="AV378" s="22">
        <f t="shared" si="92"/>
        <v>2.2658660016789853</v>
      </c>
      <c r="AW378" s="22">
        <f t="shared" si="92"/>
        <v>2.3628024258404521</v>
      </c>
      <c r="AY378" s="79"/>
    </row>
    <row r="379" spans="1:51" x14ac:dyDescent="0.25">
      <c r="A379" s="95" t="str">
        <f t="shared" si="93"/>
        <v>GS U&amp;D</v>
      </c>
      <c r="B379" s="95" t="s">
        <v>1020</v>
      </c>
      <c r="C379" s="95" t="s">
        <v>1335</v>
      </c>
      <c r="D379" t="s">
        <v>369</v>
      </c>
      <c r="E379" t="s">
        <v>55</v>
      </c>
      <c r="F379" t="s">
        <v>422</v>
      </c>
      <c r="G379" t="s">
        <v>1151</v>
      </c>
      <c r="H379" t="s">
        <v>1239</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5">
      <c r="A380" s="95" t="str">
        <f t="shared" si="93"/>
        <v>GS U&amp;D</v>
      </c>
      <c r="B380" s="95" t="s">
        <v>1020</v>
      </c>
      <c r="C380" s="95" t="s">
        <v>1335</v>
      </c>
      <c r="D380" t="s">
        <v>369</v>
      </c>
      <c r="E380" t="s">
        <v>55</v>
      </c>
      <c r="F380" t="s">
        <v>422</v>
      </c>
      <c r="G380" t="s">
        <v>1153</v>
      </c>
      <c r="H380" t="s">
        <v>1240</v>
      </c>
      <c r="I380" t="s">
        <v>139</v>
      </c>
      <c r="J380" t="s">
        <v>287</v>
      </c>
      <c r="K380" s="22">
        <f t="shared" si="90"/>
        <v>1.0775797812462991</v>
      </c>
      <c r="L380" s="22">
        <f t="shared" si="92"/>
        <v>1.0836040032789309</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1.1114672588381174</v>
      </c>
      <c r="S380" s="22">
        <f t="shared" si="92"/>
        <v>1.0793644035028189</v>
      </c>
      <c r="T380" s="22">
        <f t="shared" si="92"/>
        <v>1.1011309234167481</v>
      </c>
      <c r="U380" s="22">
        <f t="shared" si="92"/>
        <v>1.1119360252245196</v>
      </c>
      <c r="V380" s="22">
        <f t="shared" si="92"/>
        <v>1.1147578792291293</v>
      </c>
      <c r="W380" s="22">
        <f t="shared" si="92"/>
        <v>1.1187702241985282</v>
      </c>
      <c r="X380" s="22">
        <f t="shared" si="92"/>
        <v>1.1255029693063063</v>
      </c>
      <c r="Y380" s="22">
        <f t="shared" si="92"/>
        <v>1.1343971625372145</v>
      </c>
      <c r="Z380" s="22">
        <f t="shared" si="92"/>
        <v>1.1443552033124911</v>
      </c>
      <c r="AA380" s="22">
        <f t="shared" si="92"/>
        <v>1.1556907140958508</v>
      </c>
      <c r="AB380" s="22">
        <f t="shared" si="92"/>
        <v>1.1693756036758489</v>
      </c>
      <c r="AC380" s="22">
        <f t="shared" si="92"/>
        <v>1.1853303744222352</v>
      </c>
      <c r="AD380" s="22">
        <f t="shared" si="92"/>
        <v>1.202695771968407</v>
      </c>
      <c r="AE380" s="22">
        <f t="shared" si="92"/>
        <v>1.2214561017242225</v>
      </c>
      <c r="AF380" s="22">
        <f t="shared" ref="L380:AW387" si="94">AF1483</f>
        <v>1.2411353009439861</v>
      </c>
      <c r="AG380" s="22">
        <f t="shared" si="94"/>
        <v>1.2619534777795529</v>
      </c>
      <c r="AH380" s="22">
        <f t="shared" si="94"/>
        <v>1.2836965756368759</v>
      </c>
      <c r="AI380" s="22">
        <f t="shared" si="94"/>
        <v>1.3055267417806069</v>
      </c>
      <c r="AJ380" s="22">
        <f t="shared" si="94"/>
        <v>1.3286718687824415</v>
      </c>
      <c r="AK380" s="22">
        <f t="shared" si="94"/>
        <v>1.3523228735789439</v>
      </c>
      <c r="AL380" s="22">
        <f t="shared" si="94"/>
        <v>1.3764196040319214</v>
      </c>
      <c r="AM380" s="22">
        <f t="shared" si="94"/>
        <v>1.4013502875110349</v>
      </c>
      <c r="AN380" s="22">
        <f t="shared" si="94"/>
        <v>1.4261842268183196</v>
      </c>
      <c r="AO380" s="22">
        <f t="shared" si="94"/>
        <v>1.4522110683153209</v>
      </c>
      <c r="AP380" s="22">
        <f t="shared" si="94"/>
        <v>1.4799113366388263</v>
      </c>
      <c r="AQ380" s="22">
        <f t="shared" si="94"/>
        <v>1.5084997172355739</v>
      </c>
      <c r="AR380" s="22">
        <f t="shared" si="94"/>
        <v>1.538027931051154</v>
      </c>
      <c r="AS380" s="22">
        <f t="shared" si="94"/>
        <v>1.5694046317393286</v>
      </c>
      <c r="AT380" s="22">
        <f t="shared" si="94"/>
        <v>1.602365939528593</v>
      </c>
      <c r="AU380" s="22">
        <f t="shared" si="94"/>
        <v>1.6367417968061735</v>
      </c>
      <c r="AV380" s="22">
        <f t="shared" si="94"/>
        <v>1.673151630600247</v>
      </c>
      <c r="AW380" s="22">
        <f t="shared" si="94"/>
        <v>1.7081846028232541</v>
      </c>
      <c r="AY380" s="79"/>
    </row>
    <row r="381" spans="1:51" x14ac:dyDescent="0.25">
      <c r="A381" s="95" t="str">
        <f t="shared" si="93"/>
        <v>GS U&amp;D</v>
      </c>
      <c r="B381" s="95" t="s">
        <v>1020</v>
      </c>
      <c r="C381" s="95" t="s">
        <v>1335</v>
      </c>
      <c r="D381" t="s">
        <v>369</v>
      </c>
      <c r="E381" t="s">
        <v>55</v>
      </c>
      <c r="F381" t="s">
        <v>422</v>
      </c>
      <c r="G381" t="s">
        <v>1155</v>
      </c>
      <c r="H381" t="s">
        <v>1241</v>
      </c>
      <c r="I381" t="s">
        <v>139</v>
      </c>
      <c r="J381" t="s">
        <v>287</v>
      </c>
      <c r="K381" s="22">
        <f t="shared" si="90"/>
        <v>0.73383920392416069</v>
      </c>
      <c r="L381" s="22">
        <f t="shared" si="94"/>
        <v>0.73794174034663862</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0.75691680802528449</v>
      </c>
      <c r="S381" s="22">
        <f t="shared" si="94"/>
        <v>0.73505454389139269</v>
      </c>
      <c r="T381" s="22">
        <f t="shared" si="94"/>
        <v>0.74987769288121808</v>
      </c>
      <c r="U381" s="22">
        <f t="shared" si="94"/>
        <v>0.75723604114176524</v>
      </c>
      <c r="V381" s="22">
        <f t="shared" si="94"/>
        <v>0.75915774302627725</v>
      </c>
      <c r="W381" s="22">
        <f t="shared" si="94"/>
        <v>0.76189017740325427</v>
      </c>
      <c r="X381" s="22">
        <f t="shared" si="94"/>
        <v>0.7664752228876841</v>
      </c>
      <c r="Y381" s="22">
        <f t="shared" si="94"/>
        <v>0.77253222933278298</v>
      </c>
      <c r="Z381" s="22">
        <f t="shared" si="94"/>
        <v>0.77931372323453529</v>
      </c>
      <c r="AA381" s="22">
        <f t="shared" si="94"/>
        <v>0.78703328363656277</v>
      </c>
      <c r="AB381" s="22">
        <f t="shared" si="94"/>
        <v>0.79635278707375712</v>
      </c>
      <c r="AC381" s="22">
        <f t="shared" si="94"/>
        <v>0.80721809511598763</v>
      </c>
      <c r="AD381" s="22">
        <f t="shared" si="94"/>
        <v>0.81904404966050492</v>
      </c>
      <c r="AE381" s="22">
        <f t="shared" si="94"/>
        <v>0.83181996258403779</v>
      </c>
      <c r="AF381" s="22">
        <f t="shared" si="94"/>
        <v>0.8452216318995045</v>
      </c>
      <c r="AG381" s="22">
        <f t="shared" si="94"/>
        <v>0.85939895276431877</v>
      </c>
      <c r="AH381" s="22">
        <f t="shared" si="94"/>
        <v>0.87420615117333955</v>
      </c>
      <c r="AI381" s="22">
        <f t="shared" si="94"/>
        <v>0.88907264368113259</v>
      </c>
      <c r="AJ381" s="22">
        <f t="shared" si="94"/>
        <v>0.90483463353037208</v>
      </c>
      <c r="AK381" s="22">
        <f t="shared" si="94"/>
        <v>0.92094112961904073</v>
      </c>
      <c r="AL381" s="22">
        <f t="shared" si="94"/>
        <v>0.93735116792946294</v>
      </c>
      <c r="AM381" s="22">
        <f t="shared" si="94"/>
        <v>0.9543291339566633</v>
      </c>
      <c r="AN381" s="22">
        <f t="shared" si="94"/>
        <v>0.97124121654091655</v>
      </c>
      <c r="AO381" s="22">
        <f t="shared" si="94"/>
        <v>0.98896567367830823</v>
      </c>
      <c r="AP381" s="22">
        <f t="shared" si="94"/>
        <v>1.0078297459342822</v>
      </c>
      <c r="AQ381" s="22">
        <f t="shared" si="94"/>
        <v>1.0272986287248762</v>
      </c>
      <c r="AR381" s="22">
        <f t="shared" si="94"/>
        <v>1.0474075443679165</v>
      </c>
      <c r="AS381" s="22">
        <f t="shared" si="94"/>
        <v>1.068775292218703</v>
      </c>
      <c r="AT381" s="22">
        <f t="shared" si="94"/>
        <v>1.0912221683473529</v>
      </c>
      <c r="AU381" s="22">
        <f t="shared" si="94"/>
        <v>1.1146323623560173</v>
      </c>
      <c r="AV381" s="22">
        <f t="shared" si="94"/>
        <v>1.1394277082890591</v>
      </c>
      <c r="AW381" s="22">
        <f t="shared" si="94"/>
        <v>1.1632854020715975</v>
      </c>
      <c r="AY381" s="79"/>
    </row>
    <row r="382" spans="1:51" x14ac:dyDescent="0.25">
      <c r="A382" s="95" t="str">
        <f t="shared" si="93"/>
        <v>GS U&amp;D</v>
      </c>
      <c r="B382" s="95" t="s">
        <v>1020</v>
      </c>
      <c r="C382" s="95" t="s">
        <v>1335</v>
      </c>
      <c r="D382" t="s">
        <v>369</v>
      </c>
      <c r="E382" t="s">
        <v>55</v>
      </c>
      <c r="F382" t="s">
        <v>422</v>
      </c>
      <c r="G382" t="s">
        <v>1157</v>
      </c>
      <c r="H382" t="s">
        <v>1242</v>
      </c>
      <c r="I382" t="s">
        <v>139</v>
      </c>
      <c r="J382" t="s">
        <v>287</v>
      </c>
      <c r="K382" s="22">
        <f t="shared" si="90"/>
        <v>15.353527292296837</v>
      </c>
      <c r="L382" s="22">
        <f t="shared" si="94"/>
        <v>15.220371053361486</v>
      </c>
      <c r="M382" s="22">
        <f t="shared" si="94"/>
        <v>15.169682504177882</v>
      </c>
      <c r="N382" s="22">
        <f t="shared" si="94"/>
        <v>14.967111251021189</v>
      </c>
      <c r="O382" s="22">
        <f t="shared" si="94"/>
        <v>14.673074129931946</v>
      </c>
      <c r="P382" s="22">
        <f t="shared" si="94"/>
        <v>14.293651368256896</v>
      </c>
      <c r="Q382" s="22">
        <f t="shared" si="94"/>
        <v>13.994389539168758</v>
      </c>
      <c r="R382" s="22">
        <f t="shared" si="94"/>
        <v>13.711253827544139</v>
      </c>
      <c r="S382" s="22">
        <f t="shared" si="94"/>
        <v>12.243525743929849</v>
      </c>
      <c r="T382" s="22">
        <f t="shared" si="94"/>
        <v>12.828892404772391</v>
      </c>
      <c r="U382" s="22">
        <f t="shared" si="94"/>
        <v>13.031546455407888</v>
      </c>
      <c r="V382" s="22">
        <f t="shared" si="94"/>
        <v>12.943540859671467</v>
      </c>
      <c r="W382" s="22">
        <f t="shared" si="94"/>
        <v>12.871954504278984</v>
      </c>
      <c r="X382" s="22">
        <f t="shared" si="94"/>
        <v>12.876656938031642</v>
      </c>
      <c r="Y382" s="22">
        <f t="shared" si="94"/>
        <v>12.952269652428015</v>
      </c>
      <c r="Z382" s="22">
        <f t="shared" si="94"/>
        <v>13.059558904717129</v>
      </c>
      <c r="AA382" s="22">
        <f t="shared" si="94"/>
        <v>13.207166717271191</v>
      </c>
      <c r="AB382" s="22">
        <f t="shared" si="94"/>
        <v>13.423383196860698</v>
      </c>
      <c r="AC382" s="22">
        <f t="shared" si="94"/>
        <v>13.702101889701561</v>
      </c>
      <c r="AD382" s="22">
        <f t="shared" si="94"/>
        <v>13.896423189138504</v>
      </c>
      <c r="AE382" s="22">
        <f t="shared" si="94"/>
        <v>14.113699365030318</v>
      </c>
      <c r="AF382" s="22">
        <f t="shared" si="94"/>
        <v>14.337556202398742</v>
      </c>
      <c r="AG382" s="22">
        <f t="shared" si="94"/>
        <v>14.572966422289987</v>
      </c>
      <c r="AH382" s="22">
        <f t="shared" si="94"/>
        <v>14.811902600863377</v>
      </c>
      <c r="AI382" s="22">
        <f t="shared" si="94"/>
        <v>15.030093790009266</v>
      </c>
      <c r="AJ382" s="22">
        <f t="shared" si="94"/>
        <v>15.260245449721568</v>
      </c>
      <c r="AK382" s="22">
        <f t="shared" si="94"/>
        <v>15.479975870373321</v>
      </c>
      <c r="AL382" s="22">
        <f t="shared" si="94"/>
        <v>15.687168192029855</v>
      </c>
      <c r="AM382" s="22">
        <f t="shared" si="94"/>
        <v>15.890679126882141</v>
      </c>
      <c r="AN382" s="22">
        <f t="shared" si="94"/>
        <v>16.149107215315812</v>
      </c>
      <c r="AO382" s="22">
        <f t="shared" si="94"/>
        <v>16.416401953220753</v>
      </c>
      <c r="AP382" s="22">
        <f t="shared" si="94"/>
        <v>16.702277130443278</v>
      </c>
      <c r="AQ382" s="22">
        <f t="shared" si="94"/>
        <v>16.98704006145238</v>
      </c>
      <c r="AR382" s="22">
        <f t="shared" si="94"/>
        <v>17.271060351529361</v>
      </c>
      <c r="AS382" s="22">
        <f t="shared" si="94"/>
        <v>17.573003837482712</v>
      </c>
      <c r="AT382" s="22">
        <f t="shared" si="94"/>
        <v>17.88505244077637</v>
      </c>
      <c r="AU382" s="22">
        <f t="shared" si="94"/>
        <v>18.201780897575926</v>
      </c>
      <c r="AV382" s="22">
        <f t="shared" si="94"/>
        <v>18.533967675320017</v>
      </c>
      <c r="AW382" s="22">
        <f t="shared" si="94"/>
        <v>18.812464966150909</v>
      </c>
      <c r="AY382" s="79"/>
    </row>
    <row r="383" spans="1:51" x14ac:dyDescent="0.25">
      <c r="A383" s="95" t="str">
        <f t="shared" si="93"/>
        <v>GS U&amp;D</v>
      </c>
      <c r="B383" s="95" t="s">
        <v>1020</v>
      </c>
      <c r="C383" s="95" t="s">
        <v>1335</v>
      </c>
      <c r="D383" t="s">
        <v>369</v>
      </c>
      <c r="E383" t="s">
        <v>55</v>
      </c>
      <c r="F383" t="s">
        <v>422</v>
      </c>
      <c r="G383" t="s">
        <v>1159</v>
      </c>
      <c r="H383" t="s">
        <v>1243</v>
      </c>
      <c r="I383" t="s">
        <v>139</v>
      </c>
      <c r="J383" t="s">
        <v>287</v>
      </c>
      <c r="K383" s="22">
        <f t="shared" si="90"/>
        <v>9.6543103644621411</v>
      </c>
      <c r="L383" s="22">
        <f t="shared" si="94"/>
        <v>9.570581613851763</v>
      </c>
      <c r="M383" s="22">
        <f t="shared" si="94"/>
        <v>9.5387086131772989</v>
      </c>
      <c r="N383" s="22">
        <f t="shared" si="94"/>
        <v>9.4113316455488931</v>
      </c>
      <c r="O383" s="22">
        <f t="shared" si="94"/>
        <v>9.2264408662754729</v>
      </c>
      <c r="P383" s="22">
        <f t="shared" si="94"/>
        <v>8.9878595272244652</v>
      </c>
      <c r="Q383" s="22">
        <f t="shared" si="94"/>
        <v>8.7996834473406587</v>
      </c>
      <c r="R383" s="22">
        <f t="shared" si="94"/>
        <v>8.6216474831450967</v>
      </c>
      <c r="S383" s="22">
        <f t="shared" si="94"/>
        <v>7.6987388784911763</v>
      </c>
      <c r="T383" s="22">
        <f t="shared" si="94"/>
        <v>8.0668179077067048</v>
      </c>
      <c r="U383" s="22">
        <f t="shared" si="94"/>
        <v>8.1942469384566685</v>
      </c>
      <c r="V383" s="22">
        <f t="shared" si="94"/>
        <v>8.1389089487638984</v>
      </c>
      <c r="W383" s="22">
        <f t="shared" si="94"/>
        <v>8.0938953906633806</v>
      </c>
      <c r="X383" s="22">
        <f t="shared" si="94"/>
        <v>8.0968522848058253</v>
      </c>
      <c r="Y383" s="22">
        <f t="shared" si="94"/>
        <v>8.1443976207006106</v>
      </c>
      <c r="Z383" s="22">
        <f t="shared" si="94"/>
        <v>8.2118611892116604</v>
      </c>
      <c r="AA383" s="22">
        <f t="shared" si="94"/>
        <v>8.304677100987929</v>
      </c>
      <c r="AB383" s="22">
        <f t="shared" si="94"/>
        <v>8.4406341980203354</v>
      </c>
      <c r="AC383" s="22">
        <f t="shared" si="94"/>
        <v>8.6158927372364591</v>
      </c>
      <c r="AD383" s="22">
        <f t="shared" si="94"/>
        <v>8.738082127301313</v>
      </c>
      <c r="AE383" s="22">
        <f t="shared" si="94"/>
        <v>8.8747055622246656</v>
      </c>
      <c r="AF383" s="22">
        <f t="shared" si="94"/>
        <v>9.015466922400579</v>
      </c>
      <c r="AG383" s="22">
        <f t="shared" si="94"/>
        <v>9.1634930588400287</v>
      </c>
      <c r="AH383" s="22">
        <f t="shared" si="94"/>
        <v>9.3137363209471946</v>
      </c>
      <c r="AI383" s="22">
        <f t="shared" si="94"/>
        <v>9.4509351169438833</v>
      </c>
      <c r="AJ383" s="22">
        <f t="shared" si="94"/>
        <v>9.5956546664947826</v>
      </c>
      <c r="AK383" s="22">
        <f t="shared" si="94"/>
        <v>9.7338213325058032</v>
      </c>
      <c r="AL383" s="22">
        <f t="shared" si="94"/>
        <v>9.8641040317399575</v>
      </c>
      <c r="AM383" s="22">
        <f t="shared" si="94"/>
        <v>9.9920718719776573</v>
      </c>
      <c r="AN383" s="22">
        <f t="shared" si="94"/>
        <v>10.154571662751145</v>
      </c>
      <c r="AO383" s="22">
        <f t="shared" si="94"/>
        <v>10.322646809874932</v>
      </c>
      <c r="AP383" s="22">
        <f t="shared" si="94"/>
        <v>10.502405352251484</v>
      </c>
      <c r="AQ383" s="22">
        <f t="shared" si="94"/>
        <v>10.681464513310528</v>
      </c>
      <c r="AR383" s="22">
        <f t="shared" si="94"/>
        <v>10.860056701151523</v>
      </c>
      <c r="AS383" s="22">
        <f t="shared" si="94"/>
        <v>11.049919009038504</v>
      </c>
      <c r="AT383" s="22">
        <f t="shared" si="94"/>
        <v>11.246135422872308</v>
      </c>
      <c r="AU383" s="22">
        <f t="shared" si="94"/>
        <v>11.445294532371156</v>
      </c>
      <c r="AV383" s="22">
        <f t="shared" si="94"/>
        <v>11.654173846567643</v>
      </c>
      <c r="AW383" s="22">
        <f t="shared" si="94"/>
        <v>11.829293168021046</v>
      </c>
      <c r="AY383" s="79"/>
    </row>
    <row r="384" spans="1:51" x14ac:dyDescent="0.25">
      <c r="A384" s="95" t="str">
        <f t="shared" si="93"/>
        <v>GS U&amp;D</v>
      </c>
      <c r="B384" s="95" t="s">
        <v>1020</v>
      </c>
      <c r="C384" s="95" t="s">
        <v>1335</v>
      </c>
      <c r="D384" t="s">
        <v>369</v>
      </c>
      <c r="E384" t="s">
        <v>55</v>
      </c>
      <c r="F384" t="s">
        <v>422</v>
      </c>
      <c r="G384" t="s">
        <v>1161</v>
      </c>
      <c r="H384" t="s">
        <v>1244</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5">
      <c r="A385" s="95" t="str">
        <f t="shared" si="93"/>
        <v>GS U&amp;D</v>
      </c>
      <c r="B385" s="95" t="s">
        <v>1020</v>
      </c>
      <c r="C385" s="95" t="s">
        <v>1335</v>
      </c>
      <c r="D385" t="s">
        <v>369</v>
      </c>
      <c r="E385" t="s">
        <v>55</v>
      </c>
      <c r="F385" t="s">
        <v>422</v>
      </c>
      <c r="G385" t="s">
        <v>1163</v>
      </c>
      <c r="H385" t="s">
        <v>1245</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5.8849979697860864</v>
      </c>
      <c r="T385" s="22">
        <f t="shared" si="94"/>
        <v>5.8892338696185709</v>
      </c>
      <c r="U385" s="22">
        <f t="shared" si="94"/>
        <v>5.8877446174554535</v>
      </c>
      <c r="V385" s="22">
        <f t="shared" si="94"/>
        <v>5.8876374031780276</v>
      </c>
      <c r="W385" s="22">
        <f t="shared" si="94"/>
        <v>5.8938824759040038</v>
      </c>
      <c r="X385" s="22">
        <f t="shared" si="94"/>
        <v>5.9041031128445773</v>
      </c>
      <c r="Y385" s="22">
        <f t="shared" si="94"/>
        <v>5.9139099273818276</v>
      </c>
      <c r="Z385" s="22">
        <f t="shared" si="94"/>
        <v>5.9233345583346297</v>
      </c>
      <c r="AA385" s="22">
        <f t="shared" si="94"/>
        <v>5.9323641435098171</v>
      </c>
      <c r="AB385" s="22">
        <f t="shared" si="94"/>
        <v>5.9411868573928839</v>
      </c>
      <c r="AC385" s="22">
        <f t="shared" si="94"/>
        <v>5.9499315766894556</v>
      </c>
      <c r="AD385" s="22">
        <f t="shared" si="94"/>
        <v>5.9585105593958936</v>
      </c>
      <c r="AE385" s="22">
        <f t="shared" si="94"/>
        <v>5.9670471572884827</v>
      </c>
      <c r="AF385" s="22">
        <f t="shared" si="94"/>
        <v>5.9755144784339187</v>
      </c>
      <c r="AG385" s="22">
        <f t="shared" si="94"/>
        <v>5.9838446773332894</v>
      </c>
      <c r="AH385" s="22">
        <f t="shared" si="94"/>
        <v>5.992074429551792</v>
      </c>
      <c r="AI385" s="22">
        <f t="shared" si="94"/>
        <v>6.0002125174101231</v>
      </c>
      <c r="AJ385" s="22">
        <f t="shared" si="94"/>
        <v>6.0082865692474714</v>
      </c>
      <c r="AK385" s="22">
        <f t="shared" si="94"/>
        <v>6.0160495351454939</v>
      </c>
      <c r="AL385" s="22">
        <f t="shared" si="94"/>
        <v>6.0234923325896075</v>
      </c>
      <c r="AM385" s="22">
        <f t="shared" si="94"/>
        <v>6.0306845225857399</v>
      </c>
      <c r="AN385" s="22">
        <f t="shared" si="94"/>
        <v>6.0375707245080381</v>
      </c>
      <c r="AO385" s="22">
        <f t="shared" si="94"/>
        <v>6.0441634304657859</v>
      </c>
      <c r="AP385" s="22">
        <f t="shared" si="94"/>
        <v>6.0504329467907079</v>
      </c>
      <c r="AQ385" s="22">
        <f t="shared" si="94"/>
        <v>6.0562895562131533</v>
      </c>
      <c r="AR385" s="22">
        <f t="shared" si="94"/>
        <v>6.0616501197093573</v>
      </c>
      <c r="AS385" s="22">
        <f t="shared" si="94"/>
        <v>6.0665092216069407</v>
      </c>
      <c r="AT385" s="22">
        <f t="shared" si="94"/>
        <v>6.0708296779310995</v>
      </c>
      <c r="AU385" s="22">
        <f t="shared" si="94"/>
        <v>6.0746094049856261</v>
      </c>
      <c r="AV385" s="22">
        <f t="shared" si="94"/>
        <v>6.0779207352179032</v>
      </c>
      <c r="AW385" s="22">
        <f t="shared" si="94"/>
        <v>6.0803335706264781</v>
      </c>
      <c r="AY385" s="79"/>
    </row>
    <row r="386" spans="1:51" x14ac:dyDescent="0.25">
      <c r="A386" s="95" t="str">
        <f t="shared" si="93"/>
        <v>GS U&amp;D</v>
      </c>
      <c r="B386" s="95" t="s">
        <v>1020</v>
      </c>
      <c r="C386" s="95" t="s">
        <v>1335</v>
      </c>
      <c r="D386" t="s">
        <v>369</v>
      </c>
      <c r="E386" t="s">
        <v>55</v>
      </c>
      <c r="F386" t="s">
        <v>422</v>
      </c>
      <c r="G386" t="s">
        <v>1165</v>
      </c>
      <c r="H386" t="s">
        <v>1246</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0.65693953925961401</v>
      </c>
      <c r="T386" s="22">
        <f t="shared" si="94"/>
        <v>0.65741239075397129</v>
      </c>
      <c r="U386" s="22">
        <f t="shared" si="94"/>
        <v>0.65724614623954603</v>
      </c>
      <c r="V386" s="22">
        <f t="shared" si="94"/>
        <v>0.65723417796047845</v>
      </c>
      <c r="W386" s="22">
        <f t="shared" si="94"/>
        <v>0.65793131247442549</v>
      </c>
      <c r="X386" s="22">
        <f t="shared" si="94"/>
        <v>0.65907223734086595</v>
      </c>
      <c r="Y386" s="22">
        <f t="shared" si="94"/>
        <v>0.66016696740819658</v>
      </c>
      <c r="Z386" s="22">
        <f t="shared" si="94"/>
        <v>0.66121903450280095</v>
      </c>
      <c r="AA386" s="22">
        <f t="shared" si="94"/>
        <v>0.66222700282414093</v>
      </c>
      <c r="AB386" s="22">
        <f t="shared" si="94"/>
        <v>0.66321187820100891</v>
      </c>
      <c r="AC386" s="22">
        <f t="shared" si="94"/>
        <v>0.66418804707908485</v>
      </c>
      <c r="AD386" s="22">
        <f t="shared" si="94"/>
        <v>0.66514571486001184</v>
      </c>
      <c r="AE386" s="22">
        <f t="shared" si="94"/>
        <v>0.66609865124422019</v>
      </c>
      <c r="AF386" s="22">
        <f t="shared" si="94"/>
        <v>0.6670438542979179</v>
      </c>
      <c r="AG386" s="22">
        <f t="shared" si="94"/>
        <v>0.6679737504601575</v>
      </c>
      <c r="AH386" s="22">
        <f t="shared" si="94"/>
        <v>0.66889243380693197</v>
      </c>
      <c r="AI386" s="22">
        <f t="shared" si="94"/>
        <v>0.66980088470454557</v>
      </c>
      <c r="AJ386" s="22">
        <f t="shared" si="94"/>
        <v>0.67070218729143127</v>
      </c>
      <c r="AK386" s="22">
        <f t="shared" si="94"/>
        <v>0.6715687635020805</v>
      </c>
      <c r="AL386" s="22">
        <f t="shared" si="94"/>
        <v>0.67239959945968686</v>
      </c>
      <c r="AM386" s="22">
        <f t="shared" si="94"/>
        <v>0.67320246022643382</v>
      </c>
      <c r="AN386" s="22">
        <f t="shared" si="94"/>
        <v>0.67397116368925725</v>
      </c>
      <c r="AO386" s="22">
        <f t="shared" si="94"/>
        <v>0.67470710433640646</v>
      </c>
      <c r="AP386" s="22">
        <f t="shared" si="94"/>
        <v>0.67540696747773998</v>
      </c>
      <c r="AQ386" s="22">
        <f t="shared" si="94"/>
        <v>0.67606073801688993</v>
      </c>
      <c r="AR386" s="22">
        <f t="shared" si="94"/>
        <v>0.67665913518396625</v>
      </c>
      <c r="AS386" s="22">
        <f t="shared" si="94"/>
        <v>0.67720155443002239</v>
      </c>
      <c r="AT386" s="22">
        <f t="shared" si="94"/>
        <v>0.67768384492554279</v>
      </c>
      <c r="AU386" s="22">
        <f t="shared" si="94"/>
        <v>0.67810577406850514</v>
      </c>
      <c r="AV386" s="22">
        <f t="shared" si="94"/>
        <v>0.67847541629579156</v>
      </c>
      <c r="AW386" s="22">
        <f t="shared" si="94"/>
        <v>0.67874475997097328</v>
      </c>
      <c r="AY386" s="79"/>
    </row>
    <row r="387" spans="1:51" x14ac:dyDescent="0.25">
      <c r="A387" s="95" t="str">
        <f t="shared" si="93"/>
        <v>GS U&amp;D</v>
      </c>
      <c r="B387" s="95" t="s">
        <v>1020</v>
      </c>
      <c r="C387" s="95" t="s">
        <v>1335</v>
      </c>
      <c r="D387" t="s">
        <v>369</v>
      </c>
      <c r="E387" t="s">
        <v>55</v>
      </c>
      <c r="F387" t="s">
        <v>422</v>
      </c>
      <c r="G387" t="s">
        <v>1167</v>
      </c>
      <c r="H387" t="s">
        <v>1247</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0.73708994755228407</v>
      </c>
      <c r="R387" s="22">
        <f t="shared" si="94"/>
        <v>0.74193942345928476</v>
      </c>
      <c r="S387" s="22">
        <f t="shared" si="94"/>
        <v>0.74012019902027282</v>
      </c>
      <c r="T387" s="22">
        <f t="shared" si="94"/>
        <v>0.74139246635166289</v>
      </c>
      <c r="U387" s="22">
        <f t="shared" ref="L387:AW393" si="95">U1490</f>
        <v>0.74151592530175092</v>
      </c>
      <c r="V387" s="22">
        <f t="shared" si="95"/>
        <v>0.74185535866328745</v>
      </c>
      <c r="W387" s="22">
        <f t="shared" si="95"/>
        <v>0.74335608585495871</v>
      </c>
      <c r="X387" s="22">
        <f t="shared" si="95"/>
        <v>0.74556357164156939</v>
      </c>
      <c r="Y387" s="22">
        <f t="shared" si="95"/>
        <v>0.74764732173100068</v>
      </c>
      <c r="Z387" s="22">
        <f t="shared" si="95"/>
        <v>0.74961713361766258</v>
      </c>
      <c r="AA387" s="22">
        <f t="shared" si="95"/>
        <v>0.75147401556229898</v>
      </c>
      <c r="AB387" s="22">
        <f t="shared" si="95"/>
        <v>0.75325638993383137</v>
      </c>
      <c r="AC387" s="22">
        <f t="shared" si="95"/>
        <v>0.75499099939868619</v>
      </c>
      <c r="AD387" s="22">
        <f t="shared" si="95"/>
        <v>0.75666368217952507</v>
      </c>
      <c r="AE387" s="22">
        <f t="shared" si="95"/>
        <v>0.75829956195489012</v>
      </c>
      <c r="AF387" s="22">
        <f t="shared" si="95"/>
        <v>0.75989544125855291</v>
      </c>
      <c r="AG387" s="22">
        <f t="shared" si="95"/>
        <v>0.76144040021050008</v>
      </c>
      <c r="AH387" s="22">
        <f t="shared" si="95"/>
        <v>0.76294284733285755</v>
      </c>
      <c r="AI387" s="22">
        <f t="shared" si="95"/>
        <v>0.76440585179872644</v>
      </c>
      <c r="AJ387" s="22">
        <f t="shared" si="95"/>
        <v>0.76583583721390103</v>
      </c>
      <c r="AK387" s="22">
        <f t="shared" si="95"/>
        <v>0.76718846615565761</v>
      </c>
      <c r="AL387" s="22">
        <f t="shared" si="95"/>
        <v>0.76846341889719361</v>
      </c>
      <c r="AM387" s="22">
        <f t="shared" si="95"/>
        <v>0.769674739992807</v>
      </c>
      <c r="AN387" s="22">
        <f t="shared" si="95"/>
        <v>0.77081339983246644</v>
      </c>
      <c r="AO387" s="22">
        <f t="shared" si="95"/>
        <v>0.77188278784323794</v>
      </c>
      <c r="AP387" s="22">
        <f t="shared" si="95"/>
        <v>0.77287850467741359</v>
      </c>
      <c r="AQ387" s="22">
        <f t="shared" si="95"/>
        <v>0.77378518098285765</v>
      </c>
      <c r="AR387" s="22">
        <f t="shared" si="95"/>
        <v>0.77458869841791256</v>
      </c>
      <c r="AS387" s="22">
        <f t="shared" si="95"/>
        <v>0.77528911180488913</v>
      </c>
      <c r="AT387" s="22">
        <f t="shared" si="95"/>
        <v>0.77588066613277407</v>
      </c>
      <c r="AU387" s="22">
        <f t="shared" si="95"/>
        <v>0.77636396136599817</v>
      </c>
      <c r="AV387" s="22">
        <f t="shared" si="95"/>
        <v>0.77675301530412866</v>
      </c>
      <c r="AW387" s="22">
        <f t="shared" si="95"/>
        <v>0.77697098593778646</v>
      </c>
      <c r="AY387" s="79"/>
    </row>
    <row r="388" spans="1:51" x14ac:dyDescent="0.25">
      <c r="A388" s="95" t="str">
        <f t="shared" si="93"/>
        <v>GS U&amp;D</v>
      </c>
      <c r="B388" s="95" t="s">
        <v>1020</v>
      </c>
      <c r="C388" s="95" t="s">
        <v>1335</v>
      </c>
      <c r="D388" t="s">
        <v>369</v>
      </c>
      <c r="E388" t="s">
        <v>55</v>
      </c>
      <c r="F388" t="s">
        <v>422</v>
      </c>
      <c r="G388" t="s">
        <v>1169</v>
      </c>
      <c r="H388" t="s">
        <v>1248</v>
      </c>
      <c r="I388" t="s">
        <v>139</v>
      </c>
      <c r="J388" t="s">
        <v>287</v>
      </c>
      <c r="K388" s="22">
        <f t="shared" si="90"/>
        <v>1.1867254191644501</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1.2198688909683482</v>
      </c>
      <c r="R388" s="22">
        <f t="shared" si="95"/>
        <v>1.2278946750888551</v>
      </c>
      <c r="S388" s="22">
        <f t="shared" si="95"/>
        <v>1.2248838955955119</v>
      </c>
      <c r="T388" s="22">
        <f t="shared" si="95"/>
        <v>1.2269894721858747</v>
      </c>
      <c r="U388" s="22">
        <f t="shared" si="95"/>
        <v>1.2271937942404954</v>
      </c>
      <c r="V388" s="22">
        <f t="shared" si="95"/>
        <v>1.2277555495590562</v>
      </c>
      <c r="W388" s="22">
        <f t="shared" si="95"/>
        <v>1.2302392225775656</v>
      </c>
      <c r="X388" s="22">
        <f t="shared" si="95"/>
        <v>1.2338925667145779</v>
      </c>
      <c r="Y388" s="22">
        <f t="shared" si="95"/>
        <v>1.2373411307861553</v>
      </c>
      <c r="Z388" s="22">
        <f t="shared" si="95"/>
        <v>1.2406011294465342</v>
      </c>
      <c r="AA388" s="22">
        <f t="shared" si="95"/>
        <v>1.2436742313467632</v>
      </c>
      <c r="AB388" s="22">
        <f t="shared" si="95"/>
        <v>1.2466240247269491</v>
      </c>
      <c r="AC388" s="22">
        <f t="shared" si="95"/>
        <v>1.2494947681568149</v>
      </c>
      <c r="AD388" s="22">
        <f t="shared" si="95"/>
        <v>1.2522630241825274</v>
      </c>
      <c r="AE388" s="22">
        <f t="shared" si="95"/>
        <v>1.2549703719817464</v>
      </c>
      <c r="AF388" s="22">
        <f t="shared" si="95"/>
        <v>1.2576115198128128</v>
      </c>
      <c r="AG388" s="22">
        <f t="shared" si="95"/>
        <v>1.2601683954961149</v>
      </c>
      <c r="AH388" s="22">
        <f t="shared" si="95"/>
        <v>1.2626549149649742</v>
      </c>
      <c r="AI388" s="22">
        <f t="shared" si="95"/>
        <v>1.2650761576385281</v>
      </c>
      <c r="AJ388" s="22">
        <f t="shared" si="95"/>
        <v>1.2674427544538867</v>
      </c>
      <c r="AK388" s="22">
        <f t="shared" si="95"/>
        <v>1.2696813278770511</v>
      </c>
      <c r="AL388" s="22">
        <f t="shared" si="95"/>
        <v>1.2717913487666579</v>
      </c>
      <c r="AM388" s="22">
        <f t="shared" si="95"/>
        <v>1.2737960605747884</v>
      </c>
      <c r="AN388" s="22">
        <f t="shared" si="95"/>
        <v>1.2756805194802561</v>
      </c>
      <c r="AO388" s="22">
        <f t="shared" si="95"/>
        <v>1.2774503349160069</v>
      </c>
      <c r="AP388" s="22">
        <f t="shared" si="95"/>
        <v>1.2790982260509465</v>
      </c>
      <c r="AQ388" s="22">
        <f t="shared" si="95"/>
        <v>1.2805987569194814</v>
      </c>
      <c r="AR388" s="22">
        <f t="shared" si="95"/>
        <v>1.2819285619529504</v>
      </c>
      <c r="AS388" s="22">
        <f t="shared" si="95"/>
        <v>1.2830877318811631</v>
      </c>
      <c r="AT388" s="22">
        <f t="shared" si="95"/>
        <v>1.2840667422777918</v>
      </c>
      <c r="AU388" s="22">
        <f t="shared" si="95"/>
        <v>1.2848665860717841</v>
      </c>
      <c r="AV388" s="22">
        <f t="shared" si="95"/>
        <v>1.2855104624366835</v>
      </c>
      <c r="AW388" s="22">
        <f t="shared" si="95"/>
        <v>1.2858711994078322</v>
      </c>
      <c r="AY388" s="79"/>
    </row>
    <row r="389" spans="1:51" x14ac:dyDescent="0.25">
      <c r="A389" s="95" t="str">
        <f t="shared" si="93"/>
        <v>GS U&amp;D</v>
      </c>
      <c r="B389" s="95" t="s">
        <v>1020</v>
      </c>
      <c r="C389" s="95" t="s">
        <v>1335</v>
      </c>
      <c r="D389" t="s">
        <v>369</v>
      </c>
      <c r="E389" t="s">
        <v>55</v>
      </c>
      <c r="F389" t="s">
        <v>422</v>
      </c>
      <c r="G389" t="s">
        <v>1171</v>
      </c>
      <c r="H389" t="s">
        <v>1249</v>
      </c>
      <c r="I389" t="s">
        <v>139</v>
      </c>
      <c r="J389" t="s">
        <v>287</v>
      </c>
      <c r="K389" s="22">
        <f t="shared" si="90"/>
        <v>0.19147730421375916</v>
      </c>
      <c r="L389" s="22">
        <f t="shared" si="95"/>
        <v>0.19240499933397132</v>
      </c>
      <c r="M389" s="22">
        <f t="shared" si="95"/>
        <v>0.19381280191845884</v>
      </c>
      <c r="N389" s="22">
        <f t="shared" si="95"/>
        <v>0.19411375969056655</v>
      </c>
      <c r="O389" s="22">
        <f t="shared" si="95"/>
        <v>0.19368291106027893</v>
      </c>
      <c r="P389" s="22">
        <f t="shared" si="95"/>
        <v>0.19253602379697463</v>
      </c>
      <c r="Q389" s="22">
        <f t="shared" si="95"/>
        <v>0.19190012409058904</v>
      </c>
      <c r="R389" s="22">
        <f t="shared" si="95"/>
        <v>0.19132863754616411</v>
      </c>
      <c r="S389" s="22">
        <f t="shared" si="95"/>
        <v>0.18266880885015579</v>
      </c>
      <c r="T389" s="22">
        <f t="shared" si="95"/>
        <v>0.18809378134692423</v>
      </c>
      <c r="U389" s="22">
        <f t="shared" si="95"/>
        <v>0.19079942650123977</v>
      </c>
      <c r="V389" s="22">
        <f t="shared" si="95"/>
        <v>0.19120805768125793</v>
      </c>
      <c r="W389" s="22">
        <f t="shared" si="95"/>
        <v>0.191567581973451</v>
      </c>
      <c r="X389" s="22">
        <f t="shared" si="95"/>
        <v>0.19243995083448096</v>
      </c>
      <c r="Y389" s="22">
        <f t="shared" si="95"/>
        <v>0.1939290152815269</v>
      </c>
      <c r="Z389" s="22">
        <f t="shared" si="95"/>
        <v>0.19572566733105584</v>
      </c>
      <c r="AA389" s="22">
        <f t="shared" si="95"/>
        <v>0.19791142753361757</v>
      </c>
      <c r="AB389" s="22">
        <f t="shared" si="95"/>
        <v>0.20073163120248141</v>
      </c>
      <c r="AC389" s="22">
        <f t="shared" si="95"/>
        <v>0.20414944143031946</v>
      </c>
      <c r="AD389" s="22">
        <f t="shared" si="95"/>
        <v>0.2079342142091529</v>
      </c>
      <c r="AE389" s="22">
        <f t="shared" si="95"/>
        <v>0.2120704701686861</v>
      </c>
      <c r="AF389" s="22">
        <f t="shared" si="95"/>
        <v>0.21643036681214611</v>
      </c>
      <c r="AG389" s="22">
        <f t="shared" si="95"/>
        <v>0.22107481526755876</v>
      </c>
      <c r="AH389" s="22">
        <f t="shared" si="95"/>
        <v>0.22594299924319575</v>
      </c>
      <c r="AI389" s="22">
        <f t="shared" si="95"/>
        <v>0.23081287404445633</v>
      </c>
      <c r="AJ389" s="22">
        <f t="shared" si="95"/>
        <v>0.23600481014510816</v>
      </c>
      <c r="AK389" s="22">
        <f t="shared" si="95"/>
        <v>0.24132262653826006</v>
      </c>
      <c r="AL389" s="22">
        <f t="shared" si="95"/>
        <v>0.24675186109010536</v>
      </c>
      <c r="AM389" s="22">
        <f t="shared" si="95"/>
        <v>0.25238913765935056</v>
      </c>
      <c r="AN389" s="22">
        <f t="shared" si="95"/>
        <v>0.25799715238539928</v>
      </c>
      <c r="AO389" s="22">
        <f t="shared" si="95"/>
        <v>0.26391035530015045</v>
      </c>
      <c r="AP389" s="22">
        <f t="shared" si="95"/>
        <v>0.27025468976471112</v>
      </c>
      <c r="AQ389" s="22">
        <f t="shared" si="95"/>
        <v>0.27683409216202315</v>
      </c>
      <c r="AR389" s="22">
        <f t="shared" si="95"/>
        <v>0.28366954305937575</v>
      </c>
      <c r="AS389" s="22">
        <f t="shared" si="95"/>
        <v>0.29099654328717883</v>
      </c>
      <c r="AT389" s="22">
        <f t="shared" si="95"/>
        <v>0.29875152246319292</v>
      </c>
      <c r="AU389" s="22">
        <f t="shared" si="95"/>
        <v>0.30689307002053717</v>
      </c>
      <c r="AV389" s="22">
        <f t="shared" si="95"/>
        <v>0.31557625829716562</v>
      </c>
      <c r="AW389" s="22">
        <f t="shared" si="95"/>
        <v>0.32396777623584005</v>
      </c>
      <c r="AY389" s="79"/>
    </row>
    <row r="390" spans="1:51" x14ac:dyDescent="0.25">
      <c r="A390" s="95" t="str">
        <f t="shared" si="93"/>
        <v>GS U&amp;D</v>
      </c>
      <c r="B390" s="95" t="s">
        <v>1020</v>
      </c>
      <c r="C390" s="95" t="s">
        <v>1335</v>
      </c>
      <c r="D390" t="s">
        <v>369</v>
      </c>
      <c r="E390" t="s">
        <v>55</v>
      </c>
      <c r="F390" t="s">
        <v>422</v>
      </c>
      <c r="G390" t="s">
        <v>1173</v>
      </c>
      <c r="H390" t="s">
        <v>1250</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5">
      <c r="A391" s="95" t="str">
        <f t="shared" si="93"/>
        <v>GS U&amp;D</v>
      </c>
      <c r="B391" s="95" t="s">
        <v>1020</v>
      </c>
      <c r="C391" s="95" t="s">
        <v>1335</v>
      </c>
      <c r="D391" t="s">
        <v>369</v>
      </c>
      <c r="E391" t="s">
        <v>55</v>
      </c>
      <c r="F391" t="s">
        <v>422</v>
      </c>
      <c r="G391" t="s">
        <v>1175</v>
      </c>
      <c r="H391" t="s">
        <v>1251</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5">
      <c r="A392" s="95" t="str">
        <f t="shared" si="93"/>
        <v>GS U&amp;D</v>
      </c>
      <c r="B392" s="95" t="s">
        <v>1020</v>
      </c>
      <c r="C392" s="95" t="s">
        <v>1335</v>
      </c>
      <c r="D392" t="s">
        <v>369</v>
      </c>
      <c r="E392" t="s">
        <v>55</v>
      </c>
      <c r="F392" t="s">
        <v>422</v>
      </c>
      <c r="G392" t="s">
        <v>1177</v>
      </c>
      <c r="H392" t="s">
        <v>1252</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5">
      <c r="A393" s="95" t="str">
        <f t="shared" si="93"/>
        <v>GS U&amp;D</v>
      </c>
      <c r="B393" s="95" t="s">
        <v>1020</v>
      </c>
      <c r="C393" s="95" t="s">
        <v>1335</v>
      </c>
      <c r="D393" t="s">
        <v>369</v>
      </c>
      <c r="E393" t="s">
        <v>55</v>
      </c>
      <c r="F393" t="s">
        <v>422</v>
      </c>
      <c r="G393" t="s">
        <v>1179</v>
      </c>
      <c r="H393" t="s">
        <v>1253</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5">
      <c r="A394" s="95" t="str">
        <f t="shared" si="93"/>
        <v>GS U&amp;D</v>
      </c>
      <c r="B394" s="95" t="s">
        <v>1020</v>
      </c>
      <c r="C394" s="95" t="s">
        <v>1335</v>
      </c>
      <c r="D394" t="s">
        <v>369</v>
      </c>
      <c r="E394" t="s">
        <v>55</v>
      </c>
      <c r="F394" t="s">
        <v>422</v>
      </c>
      <c r="G394" t="s">
        <v>1181</v>
      </c>
      <c r="H394" t="s">
        <v>1254</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5">
      <c r="A395" s="95" t="str">
        <f t="shared" si="93"/>
        <v>GS FSOM</v>
      </c>
      <c r="B395" s="95" t="s">
        <v>1020</v>
      </c>
      <c r="C395" s="95" t="s">
        <v>60</v>
      </c>
      <c r="D395" t="s">
        <v>369</v>
      </c>
      <c r="E395" t="s">
        <v>55</v>
      </c>
      <c r="F395" t="s">
        <v>60</v>
      </c>
      <c r="G395" t="s">
        <v>1265</v>
      </c>
      <c r="H395" t="s">
        <v>1266</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5">
      <c r="A396" s="95" t="str">
        <f t="shared" si="93"/>
        <v>GS FSOM</v>
      </c>
      <c r="B396" s="95" t="s">
        <v>1020</v>
      </c>
      <c r="C396" s="95" t="s">
        <v>60</v>
      </c>
      <c r="D396" t="s">
        <v>369</v>
      </c>
      <c r="E396" t="s">
        <v>55</v>
      </c>
      <c r="F396" t="s">
        <v>60</v>
      </c>
      <c r="G396" t="s">
        <v>1267</v>
      </c>
      <c r="H396" t="s">
        <v>1268</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5">
      <c r="A397" s="95" t="str">
        <f t="shared" si="93"/>
        <v>GS FSOM</v>
      </c>
      <c r="B397" s="95" t="s">
        <v>1020</v>
      </c>
      <c r="C397" s="95" t="s">
        <v>60</v>
      </c>
      <c r="D397" t="s">
        <v>369</v>
      </c>
      <c r="E397" t="s">
        <v>55</v>
      </c>
      <c r="F397" t="s">
        <v>60</v>
      </c>
      <c r="G397" t="s">
        <v>1269</v>
      </c>
      <c r="H397" t="s">
        <v>1270</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5">
      <c r="A398" s="95" t="str">
        <f t="shared" si="93"/>
        <v>GS FSOM</v>
      </c>
      <c r="B398" s="95" t="s">
        <v>1020</v>
      </c>
      <c r="C398" s="95" t="s">
        <v>60</v>
      </c>
      <c r="D398" t="s">
        <v>369</v>
      </c>
      <c r="E398" t="s">
        <v>55</v>
      </c>
      <c r="F398" t="s">
        <v>60</v>
      </c>
      <c r="G398" t="s">
        <v>1271</v>
      </c>
      <c r="H398" t="s">
        <v>1272</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5">
      <c r="A399" s="95" t="str">
        <f t="shared" si="93"/>
        <v>GS FSOM</v>
      </c>
      <c r="B399" s="95" t="s">
        <v>1020</v>
      </c>
      <c r="C399" s="95" t="s">
        <v>60</v>
      </c>
      <c r="D399" t="s">
        <v>369</v>
      </c>
      <c r="E399" t="s">
        <v>55</v>
      </c>
      <c r="F399" t="s">
        <v>60</v>
      </c>
      <c r="G399" t="s">
        <v>1273</v>
      </c>
      <c r="H399" t="s">
        <v>1274</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5">
      <c r="A400" s="95" t="str">
        <f t="shared" si="93"/>
        <v>GS FSOM</v>
      </c>
      <c r="B400" s="95" t="s">
        <v>1020</v>
      </c>
      <c r="C400" s="95" t="s">
        <v>60</v>
      </c>
      <c r="D400" t="s">
        <v>369</v>
      </c>
      <c r="E400" t="s">
        <v>55</v>
      </c>
      <c r="F400" t="s">
        <v>60</v>
      </c>
      <c r="G400" t="s">
        <v>1275</v>
      </c>
      <c r="H400" t="s">
        <v>1276</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5">
      <c r="A401" s="95" t="str">
        <f t="shared" si="93"/>
        <v>GS FSOM</v>
      </c>
      <c r="B401" s="95" t="s">
        <v>1020</v>
      </c>
      <c r="C401" s="95" t="s">
        <v>60</v>
      </c>
      <c r="D401" t="s">
        <v>369</v>
      </c>
      <c r="E401" t="s">
        <v>55</v>
      </c>
      <c r="F401" t="s">
        <v>60</v>
      </c>
      <c r="G401" t="s">
        <v>1277</v>
      </c>
      <c r="H401" t="s">
        <v>1278</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5">
      <c r="A402" s="95" t="str">
        <f t="shared" si="93"/>
        <v>GS FSOM</v>
      </c>
      <c r="B402" s="95" t="s">
        <v>1020</v>
      </c>
      <c r="C402" s="95" t="s">
        <v>60</v>
      </c>
      <c r="D402" t="s">
        <v>369</v>
      </c>
      <c r="E402" t="s">
        <v>55</v>
      </c>
      <c r="F402" t="s">
        <v>60</v>
      </c>
      <c r="G402" t="s">
        <v>1279</v>
      </c>
      <c r="H402" t="s">
        <v>1280</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5">
      <c r="A403" s="95" t="str">
        <f t="shared" si="93"/>
        <v>GS FSOM</v>
      </c>
      <c r="B403" s="95" t="s">
        <v>1020</v>
      </c>
      <c r="C403" s="95" t="s">
        <v>60</v>
      </c>
      <c r="D403" t="s">
        <v>369</v>
      </c>
      <c r="E403" t="s">
        <v>55</v>
      </c>
      <c r="F403" t="s">
        <v>60</v>
      </c>
      <c r="G403" t="s">
        <v>1281</v>
      </c>
      <c r="H403" t="s">
        <v>1282</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5">
      <c r="A404" s="95" t="str">
        <f t="shared" si="93"/>
        <v>GS FSOM</v>
      </c>
      <c r="B404" s="95" t="s">
        <v>1020</v>
      </c>
      <c r="C404" s="95" t="s">
        <v>60</v>
      </c>
      <c r="D404" t="s">
        <v>369</v>
      </c>
      <c r="E404" t="s">
        <v>55</v>
      </c>
      <c r="F404" t="s">
        <v>60</v>
      </c>
      <c r="G404" t="s">
        <v>1283</v>
      </c>
      <c r="H404" t="s">
        <v>1284</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5">
      <c r="A405" s="95" t="str">
        <f t="shared" si="93"/>
        <v>GS FSOM</v>
      </c>
      <c r="B405" s="95" t="s">
        <v>1020</v>
      </c>
      <c r="C405" s="95" t="s">
        <v>60</v>
      </c>
      <c r="D405" t="s">
        <v>369</v>
      </c>
      <c r="E405" t="s">
        <v>55</v>
      </c>
      <c r="F405" t="s">
        <v>60</v>
      </c>
      <c r="G405" t="s">
        <v>1285</v>
      </c>
      <c r="H405" t="s">
        <v>1286</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5">
      <c r="A406" s="95" t="str">
        <f t="shared" si="93"/>
        <v>GS FSOM</v>
      </c>
      <c r="B406" s="95" t="s">
        <v>1020</v>
      </c>
      <c r="C406" s="95" t="s">
        <v>60</v>
      </c>
      <c r="D406" t="s">
        <v>369</v>
      </c>
      <c r="E406" t="s">
        <v>55</v>
      </c>
      <c r="F406" t="s">
        <v>60</v>
      </c>
      <c r="G406" t="s">
        <v>1287</v>
      </c>
      <c r="H406" t="s">
        <v>1288</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5">
      <c r="A407" s="95" t="str">
        <f t="shared" si="93"/>
        <v>GS Volatilisation</v>
      </c>
      <c r="B407" s="95" t="s">
        <v>1020</v>
      </c>
      <c r="C407" s="95" t="s">
        <v>62</v>
      </c>
      <c r="D407" t="s">
        <v>369</v>
      </c>
      <c r="E407" t="s">
        <v>61</v>
      </c>
      <c r="F407" t="s">
        <v>62</v>
      </c>
      <c r="G407" t="s">
        <v>435</v>
      </c>
      <c r="H407" t="s">
        <v>1183</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0.66036342435905737</v>
      </c>
      <c r="U407" s="22">
        <f t="shared" si="97"/>
        <v>0.66004971859529549</v>
      </c>
      <c r="V407" s="22">
        <f t="shared" si="97"/>
        <v>0.65987679285209155</v>
      </c>
      <c r="W407" s="22">
        <f t="shared" si="97"/>
        <v>0.65980968039636112</v>
      </c>
      <c r="X407" s="22">
        <f t="shared" si="97"/>
        <v>0.65973729403354264</v>
      </c>
      <c r="Y407" s="22">
        <f t="shared" si="97"/>
        <v>0.6596371673513507</v>
      </c>
      <c r="Z407" s="22">
        <f t="shared" ref="L407:AW414" si="98">Z1510</f>
        <v>0.65951092743964945</v>
      </c>
      <c r="AA407" s="22">
        <f t="shared" si="98"/>
        <v>0.65937292152761395</v>
      </c>
      <c r="AB407" s="22">
        <f t="shared" si="98"/>
        <v>0.65921980493186427</v>
      </c>
      <c r="AC407" s="22">
        <f t="shared" si="98"/>
        <v>0.65904099002136718</v>
      </c>
      <c r="AD407" s="22">
        <f t="shared" si="98"/>
        <v>0.6588390077412124</v>
      </c>
      <c r="AE407" s="22">
        <f t="shared" si="98"/>
        <v>0.65862502813307378</v>
      </c>
      <c r="AF407" s="22">
        <f t="shared" si="98"/>
        <v>0.65840030111280701</v>
      </c>
      <c r="AG407" s="22">
        <f t="shared" si="98"/>
        <v>0.65817083248767305</v>
      </c>
      <c r="AH407" s="22">
        <f t="shared" si="98"/>
        <v>0.65793473576190653</v>
      </c>
      <c r="AI407" s="22">
        <f t="shared" si="98"/>
        <v>0.65769490947439302</v>
      </c>
      <c r="AJ407" s="22">
        <f t="shared" si="98"/>
        <v>0.65746015679174796</v>
      </c>
      <c r="AK407" s="22">
        <f t="shared" si="98"/>
        <v>0.65721839556094175</v>
      </c>
      <c r="AL407" s="22">
        <f t="shared" si="98"/>
        <v>0.65697772026100598</v>
      </c>
      <c r="AM407" s="22">
        <f t="shared" si="98"/>
        <v>0.65673876647835383</v>
      </c>
      <c r="AN407" s="22">
        <f t="shared" si="98"/>
        <v>0.65649818227366441</v>
      </c>
      <c r="AO407" s="22">
        <f t="shared" si="98"/>
        <v>0.65626429517048157</v>
      </c>
      <c r="AP407" s="22">
        <f t="shared" si="98"/>
        <v>0.65602587146144697</v>
      </c>
      <c r="AQ407" s="22">
        <f t="shared" si="98"/>
        <v>0.65577947514353263</v>
      </c>
      <c r="AR407" s="22">
        <f t="shared" si="98"/>
        <v>0.65553213474499905</v>
      </c>
      <c r="AS407" s="22">
        <f t="shared" si="98"/>
        <v>0.65528365550023426</v>
      </c>
      <c r="AT407" s="22">
        <f t="shared" si="98"/>
        <v>0.65502749591835585</v>
      </c>
      <c r="AU407" s="22">
        <f t="shared" si="98"/>
        <v>0.65476643110027843</v>
      </c>
      <c r="AV407" s="22">
        <f t="shared" si="98"/>
        <v>0.65450232737774761</v>
      </c>
      <c r="AW407" s="22">
        <f t="shared" si="98"/>
        <v>0.65423151331477958</v>
      </c>
      <c r="AY407" s="79"/>
    </row>
    <row r="408" spans="1:51" x14ac:dyDescent="0.25">
      <c r="A408" s="95" t="str">
        <f t="shared" si="93"/>
        <v>GS Volatilisation</v>
      </c>
      <c r="B408" s="95" t="s">
        <v>1020</v>
      </c>
      <c r="C408" s="95" t="s">
        <v>62</v>
      </c>
      <c r="D408" t="s">
        <v>369</v>
      </c>
      <c r="E408" t="s">
        <v>61</v>
      </c>
      <c r="F408" t="s">
        <v>62</v>
      </c>
      <c r="G408" t="s">
        <v>436</v>
      </c>
      <c r="H408" t="s">
        <v>1184</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8.7167972015395577E-3</v>
      </c>
      <c r="U408" s="22">
        <f t="shared" si="98"/>
        <v>8.7126562854578996E-3</v>
      </c>
      <c r="V408" s="22">
        <f t="shared" si="98"/>
        <v>8.7103736656476104E-3</v>
      </c>
      <c r="W408" s="22">
        <f t="shared" si="98"/>
        <v>8.7094877812319699E-3</v>
      </c>
      <c r="X408" s="22">
        <f t="shared" si="98"/>
        <v>8.7085322812427632E-3</v>
      </c>
      <c r="Y408" s="22">
        <f t="shared" si="98"/>
        <v>8.7072106090378288E-3</v>
      </c>
      <c r="Z408" s="22">
        <f t="shared" si="98"/>
        <v>8.7055442422033745E-3</v>
      </c>
      <c r="AA408" s="22">
        <f t="shared" si="98"/>
        <v>8.7037225641645056E-3</v>
      </c>
      <c r="AB408" s="22">
        <f t="shared" si="98"/>
        <v>8.7017014251006084E-3</v>
      </c>
      <c r="AC408" s="22">
        <f t="shared" si="98"/>
        <v>8.699341068282046E-3</v>
      </c>
      <c r="AD408" s="22">
        <f t="shared" si="98"/>
        <v>8.6966749021840043E-3</v>
      </c>
      <c r="AE408" s="22">
        <f t="shared" si="98"/>
        <v>8.6938503713565752E-3</v>
      </c>
      <c r="AF408" s="22">
        <f t="shared" si="98"/>
        <v>8.6908839746890534E-3</v>
      </c>
      <c r="AG408" s="22">
        <f t="shared" si="98"/>
        <v>8.687854988837283E-3</v>
      </c>
      <c r="AH408" s="22">
        <f t="shared" si="98"/>
        <v>8.6847385120571701E-3</v>
      </c>
      <c r="AI408" s="22">
        <f t="shared" si="98"/>
        <v>8.6815728050619895E-3</v>
      </c>
      <c r="AJ408" s="22">
        <f t="shared" si="98"/>
        <v>8.6784740696510734E-3</v>
      </c>
      <c r="AK408" s="22">
        <f t="shared" si="98"/>
        <v>8.6752828214044318E-3</v>
      </c>
      <c r="AL408" s="22">
        <f t="shared" si="98"/>
        <v>8.672105907445278E-3</v>
      </c>
      <c r="AM408" s="22">
        <f t="shared" si="98"/>
        <v>8.6689517175142713E-3</v>
      </c>
      <c r="AN408" s="22">
        <f t="shared" si="98"/>
        <v>8.6657760060123695E-3</v>
      </c>
      <c r="AO408" s="22">
        <f t="shared" si="98"/>
        <v>8.6626886962503594E-3</v>
      </c>
      <c r="AP408" s="22">
        <f t="shared" si="98"/>
        <v>8.6595415032911013E-3</v>
      </c>
      <c r="AQ408" s="22">
        <f t="shared" si="98"/>
        <v>8.6562890718946302E-3</v>
      </c>
      <c r="AR408" s="22">
        <f t="shared" si="98"/>
        <v>8.65302417863399E-3</v>
      </c>
      <c r="AS408" s="22">
        <f t="shared" si="98"/>
        <v>8.6497442526030921E-3</v>
      </c>
      <c r="AT408" s="22">
        <f t="shared" si="98"/>
        <v>8.6463629461222963E-3</v>
      </c>
      <c r="AU408" s="22">
        <f t="shared" si="98"/>
        <v>8.6429168905236796E-3</v>
      </c>
      <c r="AV408" s="22">
        <f t="shared" si="98"/>
        <v>8.6394307213862702E-3</v>
      </c>
      <c r="AW408" s="22">
        <f t="shared" si="98"/>
        <v>8.6358559757550891E-3</v>
      </c>
      <c r="AY408" s="79"/>
    </row>
    <row r="409" spans="1:51" x14ac:dyDescent="0.25">
      <c r="A409" s="95" t="str">
        <f t="shared" si="93"/>
        <v>GS Volatilisation</v>
      </c>
      <c r="B409" s="95" t="s">
        <v>1020</v>
      </c>
      <c r="C409" s="95" t="s">
        <v>62</v>
      </c>
      <c r="D409" t="s">
        <v>369</v>
      </c>
      <c r="E409" t="s">
        <v>61</v>
      </c>
      <c r="F409" t="s">
        <v>62</v>
      </c>
      <c r="G409" t="s">
        <v>437</v>
      </c>
      <c r="H409" t="s">
        <v>1185</v>
      </c>
      <c r="I409" t="s">
        <v>139</v>
      </c>
      <c r="J409" t="s">
        <v>287</v>
      </c>
      <c r="K409" s="22">
        <f t="shared" si="90"/>
        <v>1.2008407282256133</v>
      </c>
      <c r="L409" s="22">
        <f t="shared" si="98"/>
        <v>1.2019035107607592</v>
      </c>
      <c r="M409" s="22">
        <f t="shared" si="98"/>
        <v>1.2088775122881088</v>
      </c>
      <c r="N409" s="22">
        <f t="shared" si="98"/>
        <v>1.2055442230548152</v>
      </c>
      <c r="O409" s="22">
        <f t="shared" si="98"/>
        <v>1.1958435838326273</v>
      </c>
      <c r="P409" s="22">
        <f t="shared" si="98"/>
        <v>1.1799964998501222</v>
      </c>
      <c r="Q409" s="22">
        <f t="shared" si="98"/>
        <v>1.169776622170569</v>
      </c>
      <c r="R409" s="22">
        <f t="shared" si="98"/>
        <v>1.1606871439933113</v>
      </c>
      <c r="S409" s="22">
        <f t="shared" si="98"/>
        <v>1.0635026929062164</v>
      </c>
      <c r="T409" s="22">
        <f t="shared" si="98"/>
        <v>1.1127914653577025</v>
      </c>
      <c r="U409" s="22">
        <f t="shared" si="98"/>
        <v>1.1339456607288676</v>
      </c>
      <c r="V409" s="22">
        <f t="shared" si="98"/>
        <v>1.1334093263464944</v>
      </c>
      <c r="W409" s="22">
        <f t="shared" si="98"/>
        <v>1.1341671660422112</v>
      </c>
      <c r="X409" s="22">
        <f t="shared" si="98"/>
        <v>1.1408235439735572</v>
      </c>
      <c r="Y409" s="22">
        <f t="shared" si="98"/>
        <v>1.1530569851412431</v>
      </c>
      <c r="Z409" s="22">
        <f t="shared" si="98"/>
        <v>1.1679322279348805</v>
      </c>
      <c r="AA409" s="22">
        <f t="shared" si="98"/>
        <v>1.1861792833479095</v>
      </c>
      <c r="AB409" s="22">
        <f t="shared" si="98"/>
        <v>1.2100969940218784</v>
      </c>
      <c r="AC409" s="22">
        <f t="shared" si="98"/>
        <v>1.2393194864291859</v>
      </c>
      <c r="AD409" s="22">
        <f t="shared" si="98"/>
        <v>1.2672278032377093</v>
      </c>
      <c r="AE409" s="22">
        <f t="shared" si="98"/>
        <v>1.2977962214580763</v>
      </c>
      <c r="AF409" s="22">
        <f t="shared" si="98"/>
        <v>1.329788063562543</v>
      </c>
      <c r="AG409" s="22">
        <f t="shared" si="98"/>
        <v>1.3636827815165269</v>
      </c>
      <c r="AH409" s="22">
        <f t="shared" si="98"/>
        <v>1.3988919386644247</v>
      </c>
      <c r="AI409" s="22">
        <f t="shared" si="98"/>
        <v>1.4334139363721508</v>
      </c>
      <c r="AJ409" s="22">
        <f t="shared" si="98"/>
        <v>1.4700649477851668</v>
      </c>
      <c r="AK409" s="22">
        <f t="shared" si="98"/>
        <v>1.5069886120645011</v>
      </c>
      <c r="AL409" s="22">
        <f t="shared" si="98"/>
        <v>1.5440287360100955</v>
      </c>
      <c r="AM409" s="22">
        <f t="shared" si="98"/>
        <v>1.5820093604594603</v>
      </c>
      <c r="AN409" s="22">
        <f t="shared" si="98"/>
        <v>1.6219033183214897</v>
      </c>
      <c r="AO409" s="22">
        <f t="shared" si="98"/>
        <v>1.6636708318066389</v>
      </c>
      <c r="AP409" s="22">
        <f t="shared" si="98"/>
        <v>1.7082959626143681</v>
      </c>
      <c r="AQ409" s="22">
        <f t="shared" si="98"/>
        <v>1.7540375132373072</v>
      </c>
      <c r="AR409" s="22">
        <f t="shared" si="98"/>
        <v>1.8009857640186506</v>
      </c>
      <c r="AS409" s="22">
        <f t="shared" si="98"/>
        <v>1.8510064312178449</v>
      </c>
      <c r="AT409" s="22">
        <f t="shared" si="98"/>
        <v>1.9034681141674186</v>
      </c>
      <c r="AU409" s="22">
        <f t="shared" si="98"/>
        <v>1.9579460640600546</v>
      </c>
      <c r="AV409" s="22">
        <f t="shared" si="98"/>
        <v>2.0156248390942006</v>
      </c>
      <c r="AW409" s="22">
        <f t="shared" si="98"/>
        <v>2.0696024098416643</v>
      </c>
      <c r="AY409" s="79"/>
    </row>
    <row r="410" spans="1:51" x14ac:dyDescent="0.25">
      <c r="A410" s="95" t="str">
        <f t="shared" si="93"/>
        <v>GS Volatilisation</v>
      </c>
      <c r="B410" s="95" t="s">
        <v>1020</v>
      </c>
      <c r="C410" s="95" t="s">
        <v>62</v>
      </c>
      <c r="D410" t="s">
        <v>369</v>
      </c>
      <c r="E410" t="s">
        <v>61</v>
      </c>
      <c r="F410" t="s">
        <v>62</v>
      </c>
      <c r="G410" t="s">
        <v>438</v>
      </c>
      <c r="H410" t="s">
        <v>1264</v>
      </c>
      <c r="I410" t="s">
        <v>139</v>
      </c>
      <c r="J410" t="s">
        <v>287</v>
      </c>
      <c r="K410" s="22">
        <f t="shared" si="90"/>
        <v>4.3975799639737021</v>
      </c>
      <c r="L410" s="22">
        <f t="shared" si="98"/>
        <v>4.3787767883653972</v>
      </c>
      <c r="M410" s="22">
        <f t="shared" si="98"/>
        <v>4.3752716537638934</v>
      </c>
      <c r="N410" s="22">
        <f t="shared" si="98"/>
        <v>4.3473821211305586</v>
      </c>
      <c r="O410" s="22">
        <f t="shared" si="98"/>
        <v>4.3052096453824591</v>
      </c>
      <c r="P410" s="22">
        <f t="shared" si="98"/>
        <v>4.2496956169043703</v>
      </c>
      <c r="Q410" s="22">
        <f t="shared" si="98"/>
        <v>4.2083609134426787</v>
      </c>
      <c r="R410" s="22">
        <f t="shared" si="98"/>
        <v>4.1703852155628214</v>
      </c>
      <c r="S410" s="22">
        <f t="shared" si="98"/>
        <v>3.920518553769567</v>
      </c>
      <c r="T410" s="22">
        <f t="shared" si="98"/>
        <v>4.022224403214822</v>
      </c>
      <c r="U410" s="22">
        <f t="shared" si="98"/>
        <v>4.0573246422564955</v>
      </c>
      <c r="V410" s="22">
        <f t="shared" si="98"/>
        <v>4.0437027667632135</v>
      </c>
      <c r="W410" s="22">
        <f t="shared" si="98"/>
        <v>4.0349744796970102</v>
      </c>
      <c r="X410" s="22">
        <f t="shared" si="98"/>
        <v>4.0404911436640738</v>
      </c>
      <c r="Y410" s="22">
        <f t="shared" si="98"/>
        <v>4.0578866533033189</v>
      </c>
      <c r="Z410" s="22">
        <f t="shared" si="98"/>
        <v>4.0805365209798321</v>
      </c>
      <c r="AA410" s="22">
        <f t="shared" si="98"/>
        <v>4.109915060040195</v>
      </c>
      <c r="AB410" s="22">
        <f t="shared" si="98"/>
        <v>4.1509048491402085</v>
      </c>
      <c r="AC410" s="22">
        <f t="shared" si="98"/>
        <v>4.202533390484211</v>
      </c>
      <c r="AD410" s="22">
        <f t="shared" si="98"/>
        <v>4.2406560670580085</v>
      </c>
      <c r="AE410" s="22">
        <f t="shared" si="98"/>
        <v>4.2827934559696441</v>
      </c>
      <c r="AF410" s="22">
        <f t="shared" si="98"/>
        <v>4.3261652521730651</v>
      </c>
      <c r="AG410" s="22">
        <f t="shared" si="98"/>
        <v>4.3716097132066274</v>
      </c>
      <c r="AH410" s="22">
        <f t="shared" si="98"/>
        <v>4.417783804127744</v>
      </c>
      <c r="AI410" s="22">
        <f t="shared" si="98"/>
        <v>4.46055260064648</v>
      </c>
      <c r="AJ410" s="22">
        <f t="shared" si="98"/>
        <v>4.5055232078089906</v>
      </c>
      <c r="AK410" s="22">
        <f t="shared" si="98"/>
        <v>4.5487963787371326</v>
      </c>
      <c r="AL410" s="22">
        <f t="shared" si="98"/>
        <v>4.5900121260194853</v>
      </c>
      <c r="AM410" s="22">
        <f t="shared" si="98"/>
        <v>4.6307205405262888</v>
      </c>
      <c r="AN410" s="22">
        <f t="shared" si="98"/>
        <v>4.6802451384074173</v>
      </c>
      <c r="AO410" s="22">
        <f t="shared" si="98"/>
        <v>4.7313734673669652</v>
      </c>
      <c r="AP410" s="22">
        <f t="shared" si="98"/>
        <v>4.7857847377648062</v>
      </c>
      <c r="AQ410" s="22">
        <f t="shared" si="98"/>
        <v>4.8400720712169321</v>
      </c>
      <c r="AR410" s="22">
        <f t="shared" si="98"/>
        <v>4.8942825787604232</v>
      </c>
      <c r="AS410" s="22">
        <f t="shared" si="98"/>
        <v>4.9516552239356777</v>
      </c>
      <c r="AT410" s="22">
        <f t="shared" si="98"/>
        <v>5.010848202184258</v>
      </c>
      <c r="AU410" s="22">
        <f t="shared" si="98"/>
        <v>5.070940832499133</v>
      </c>
      <c r="AV410" s="22">
        <f t="shared" si="98"/>
        <v>5.1338473778737468</v>
      </c>
      <c r="AW410" s="22">
        <f t="shared" si="98"/>
        <v>5.1874285866281769</v>
      </c>
      <c r="AY410" s="79"/>
    </row>
    <row r="411" spans="1:51" x14ac:dyDescent="0.25">
      <c r="A411" s="95" t="str">
        <f t="shared" si="93"/>
        <v>GS Leaching</v>
      </c>
      <c r="B411" s="95" t="s">
        <v>1020</v>
      </c>
      <c r="C411" s="95" t="s">
        <v>1189</v>
      </c>
      <c r="D411" t="s">
        <v>369</v>
      </c>
      <c r="E411" t="s">
        <v>61</v>
      </c>
      <c r="F411" t="s">
        <v>63</v>
      </c>
      <c r="G411" t="s">
        <v>435</v>
      </c>
      <c r="H411" t="s">
        <v>1186</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2.2782538140387479E-4</v>
      </c>
      <c r="U411" s="22">
        <f t="shared" si="98"/>
        <v>2.2771715291537687E-4</v>
      </c>
      <c r="V411" s="22">
        <f t="shared" si="98"/>
        <v>2.2765749353397156E-4</v>
      </c>
      <c r="W411" s="22">
        <f t="shared" si="98"/>
        <v>2.2763433973674462E-4</v>
      </c>
      <c r="X411" s="22">
        <f t="shared" si="98"/>
        <v>2.2760936644157216E-4</v>
      </c>
      <c r="Y411" s="22">
        <f t="shared" si="98"/>
        <v>2.2757482273621599E-4</v>
      </c>
      <c r="Z411" s="22">
        <f t="shared" si="98"/>
        <v>2.27531269966679E-4</v>
      </c>
      <c r="AA411" s="22">
        <f t="shared" si="98"/>
        <v>2.2748365792702683E-4</v>
      </c>
      <c r="AB411" s="22">
        <f t="shared" si="98"/>
        <v>2.2743083270149308E-4</v>
      </c>
      <c r="AC411" s="22">
        <f t="shared" si="98"/>
        <v>2.2736914155737162E-4</v>
      </c>
      <c r="AD411" s="22">
        <f t="shared" si="98"/>
        <v>2.272994576707182E-4</v>
      </c>
      <c r="AE411" s="22">
        <f t="shared" si="98"/>
        <v>2.2722563470591042E-4</v>
      </c>
      <c r="AF411" s="22">
        <f t="shared" si="98"/>
        <v>2.2714810388391836E-4</v>
      </c>
      <c r="AG411" s="22">
        <f t="shared" si="98"/>
        <v>2.2706893720824713E-4</v>
      </c>
      <c r="AH411" s="22">
        <f t="shared" si="98"/>
        <v>2.2698748383785777E-4</v>
      </c>
      <c r="AI411" s="22">
        <f t="shared" si="98"/>
        <v>2.2690474376866552E-4</v>
      </c>
      <c r="AJ411" s="22">
        <f t="shared" si="98"/>
        <v>2.2682375409315307E-4</v>
      </c>
      <c r="AK411" s="22">
        <f t="shared" si="98"/>
        <v>2.2674034646852486E-4</v>
      </c>
      <c r="AL411" s="22">
        <f t="shared" si="98"/>
        <v>2.26657313490047E-4</v>
      </c>
      <c r="AM411" s="22">
        <f t="shared" si="98"/>
        <v>2.2657487443503212E-4</v>
      </c>
      <c r="AN411" s="22">
        <f t="shared" si="98"/>
        <v>2.2649187288441419E-4</v>
      </c>
      <c r="AO411" s="22">
        <f t="shared" si="98"/>
        <v>2.2641118183381611E-4</v>
      </c>
      <c r="AP411" s="22">
        <f t="shared" si="98"/>
        <v>2.2632892565419918E-4</v>
      </c>
      <c r="AQ411" s="22">
        <f t="shared" si="98"/>
        <v>2.2624391892451869E-4</v>
      </c>
      <c r="AR411" s="22">
        <f t="shared" si="98"/>
        <v>2.2615858648702465E-4</v>
      </c>
      <c r="AS411" s="22">
        <f t="shared" si="98"/>
        <v>2.2607286114758075E-4</v>
      </c>
      <c r="AT411" s="22">
        <f t="shared" si="98"/>
        <v>2.2598448609183276E-4</v>
      </c>
      <c r="AU411" s="22">
        <f t="shared" si="98"/>
        <v>2.2589441872959606E-4</v>
      </c>
      <c r="AV411" s="22">
        <f t="shared" si="98"/>
        <v>2.2580330294532294E-4</v>
      </c>
      <c r="AW411" s="22">
        <f t="shared" si="98"/>
        <v>2.2570987209359888E-4</v>
      </c>
      <c r="AY411" s="79"/>
    </row>
    <row r="412" spans="1:51" x14ac:dyDescent="0.25">
      <c r="A412" s="95" t="str">
        <f t="shared" si="93"/>
        <v>GS Leaching</v>
      </c>
      <c r="B412" s="95" t="s">
        <v>1020</v>
      </c>
      <c r="C412" s="95" t="s">
        <v>1189</v>
      </c>
      <c r="D412" t="s">
        <v>369</v>
      </c>
      <c r="E412" t="s">
        <v>61</v>
      </c>
      <c r="F412" t="s">
        <v>63</v>
      </c>
      <c r="G412" t="s">
        <v>436</v>
      </c>
      <c r="H412" t="s">
        <v>1187</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1.5036475172655738E-6</v>
      </c>
      <c r="U412" s="22">
        <f t="shared" si="98"/>
        <v>1.5029332092414877E-6</v>
      </c>
      <c r="V412" s="22">
        <f t="shared" si="98"/>
        <v>1.5025394573242125E-6</v>
      </c>
      <c r="W412" s="22">
        <f t="shared" si="98"/>
        <v>1.5023866422625144E-6</v>
      </c>
      <c r="X412" s="22">
        <f t="shared" si="98"/>
        <v>1.5022218185143764E-6</v>
      </c>
      <c r="Y412" s="22">
        <f t="shared" si="98"/>
        <v>1.5019938300590255E-6</v>
      </c>
      <c r="Z412" s="22">
        <f t="shared" si="98"/>
        <v>1.5017063817800821E-6</v>
      </c>
      <c r="AA412" s="22">
        <f t="shared" si="98"/>
        <v>1.5013921423183768E-6</v>
      </c>
      <c r="AB412" s="22">
        <f t="shared" si="98"/>
        <v>1.5010434958298549E-6</v>
      </c>
      <c r="AC412" s="22">
        <f t="shared" si="98"/>
        <v>1.5006363342786528E-6</v>
      </c>
      <c r="AD412" s="22">
        <f t="shared" si="98"/>
        <v>1.5001764206267405E-6</v>
      </c>
      <c r="AE412" s="22">
        <f t="shared" si="98"/>
        <v>1.4996891890590088E-6</v>
      </c>
      <c r="AF412" s="22">
        <f t="shared" si="98"/>
        <v>1.4991774856338616E-6</v>
      </c>
      <c r="AG412" s="22">
        <f t="shared" si="98"/>
        <v>1.4986549855744315E-6</v>
      </c>
      <c r="AH412" s="22">
        <f t="shared" si="98"/>
        <v>1.4981173933298619E-6</v>
      </c>
      <c r="AI412" s="22">
        <f t="shared" si="98"/>
        <v>1.4975713088731927E-6</v>
      </c>
      <c r="AJ412" s="22">
        <f t="shared" si="98"/>
        <v>1.4970367770148105E-6</v>
      </c>
      <c r="AK412" s="22">
        <f t="shared" si="98"/>
        <v>1.4964862866922644E-6</v>
      </c>
      <c r="AL412" s="22">
        <f t="shared" si="98"/>
        <v>1.4959382690343105E-6</v>
      </c>
      <c r="AM412" s="22">
        <f t="shared" si="98"/>
        <v>1.4953941712712119E-6</v>
      </c>
      <c r="AN412" s="22">
        <f t="shared" si="98"/>
        <v>1.4948463610371335E-6</v>
      </c>
      <c r="AO412" s="22">
        <f t="shared" si="98"/>
        <v>1.4943138001031867E-6</v>
      </c>
      <c r="AP412" s="22">
        <f t="shared" si="98"/>
        <v>1.4937709093177149E-6</v>
      </c>
      <c r="AQ412" s="22">
        <f t="shared" si="98"/>
        <v>1.4932098649018236E-6</v>
      </c>
      <c r="AR412" s="22">
        <f t="shared" si="98"/>
        <v>1.4926466708143633E-6</v>
      </c>
      <c r="AS412" s="22">
        <f t="shared" si="98"/>
        <v>1.4920808835740333E-6</v>
      </c>
      <c r="AT412" s="22">
        <f t="shared" si="98"/>
        <v>1.4914976082060963E-6</v>
      </c>
      <c r="AU412" s="22">
        <f t="shared" si="98"/>
        <v>1.4909031636153342E-6</v>
      </c>
      <c r="AV412" s="22">
        <f t="shared" si="98"/>
        <v>1.4903017994391313E-6</v>
      </c>
      <c r="AW412" s="22">
        <f t="shared" si="98"/>
        <v>1.4896851558177531E-6</v>
      </c>
      <c r="AY412" s="79"/>
    </row>
    <row r="413" spans="1:51" x14ac:dyDescent="0.25">
      <c r="A413" s="95" t="str">
        <f t="shared" si="93"/>
        <v>GS Leaching</v>
      </c>
      <c r="B413" s="95" t="s">
        <v>1020</v>
      </c>
      <c r="C413" s="95" t="s">
        <v>1189</v>
      </c>
      <c r="D413" t="s">
        <v>369</v>
      </c>
      <c r="E413" t="s">
        <v>61</v>
      </c>
      <c r="F413" t="s">
        <v>63</v>
      </c>
      <c r="G413" t="s">
        <v>437</v>
      </c>
      <c r="H413" t="s">
        <v>1188</v>
      </c>
      <c r="I413" t="s">
        <v>139</v>
      </c>
      <c r="J413" t="s">
        <v>287</v>
      </c>
      <c r="K413" s="22">
        <f t="shared" si="90"/>
        <v>0.20714502561891826</v>
      </c>
      <c r="L413" s="22">
        <f t="shared" si="98"/>
        <v>0.20732835560623097</v>
      </c>
      <c r="M413" s="22">
        <f t="shared" si="98"/>
        <v>0.20853137086969875</v>
      </c>
      <c r="N413" s="22">
        <f t="shared" si="98"/>
        <v>0.20795637847695561</v>
      </c>
      <c r="O413" s="22">
        <f t="shared" si="98"/>
        <v>0.20628301821112818</v>
      </c>
      <c r="P413" s="22">
        <f t="shared" si="98"/>
        <v>0.20354939622414608</v>
      </c>
      <c r="Q413" s="22">
        <f t="shared" si="98"/>
        <v>0.20178646732442315</v>
      </c>
      <c r="R413" s="22">
        <f t="shared" si="98"/>
        <v>0.20021853233884618</v>
      </c>
      <c r="S413" s="22">
        <f t="shared" si="98"/>
        <v>0.18345421452632232</v>
      </c>
      <c r="T413" s="22">
        <f t="shared" si="98"/>
        <v>0.19195652777420363</v>
      </c>
      <c r="U413" s="22">
        <f t="shared" si="98"/>
        <v>0.19560562647572965</v>
      </c>
      <c r="V413" s="22">
        <f t="shared" si="98"/>
        <v>0.19551310879477027</v>
      </c>
      <c r="W413" s="22">
        <f t="shared" si="98"/>
        <v>0.19564383614228145</v>
      </c>
      <c r="X413" s="22">
        <f t="shared" si="98"/>
        <v>0.19679206133543856</v>
      </c>
      <c r="Y413" s="22">
        <f t="shared" si="98"/>
        <v>0.19890232993686438</v>
      </c>
      <c r="Z413" s="22">
        <f t="shared" si="98"/>
        <v>0.20146830931876691</v>
      </c>
      <c r="AA413" s="22">
        <f t="shared" si="98"/>
        <v>0.20461592637751433</v>
      </c>
      <c r="AB413" s="22">
        <f t="shared" si="98"/>
        <v>0.20874173146877406</v>
      </c>
      <c r="AC413" s="22">
        <f t="shared" si="98"/>
        <v>0.21378261140903454</v>
      </c>
      <c r="AD413" s="22">
        <f t="shared" si="98"/>
        <v>0.21859679605850485</v>
      </c>
      <c r="AE413" s="22">
        <f t="shared" si="98"/>
        <v>0.22386984820151812</v>
      </c>
      <c r="AF413" s="22">
        <f t="shared" si="98"/>
        <v>0.22938844096453867</v>
      </c>
      <c r="AG413" s="22">
        <f t="shared" si="98"/>
        <v>0.23523527981160089</v>
      </c>
      <c r="AH413" s="22">
        <f t="shared" si="98"/>
        <v>0.24130885941961319</v>
      </c>
      <c r="AI413" s="22">
        <f t="shared" si="98"/>
        <v>0.2472639040241959</v>
      </c>
      <c r="AJ413" s="22">
        <f t="shared" si="98"/>
        <v>0.2535862034929412</v>
      </c>
      <c r="AK413" s="22">
        <f t="shared" si="98"/>
        <v>0.25995553558112644</v>
      </c>
      <c r="AL413" s="22">
        <f t="shared" si="98"/>
        <v>0.26634495696174137</v>
      </c>
      <c r="AM413" s="22">
        <f t="shared" si="98"/>
        <v>0.27289661467925691</v>
      </c>
      <c r="AN413" s="22">
        <f t="shared" si="98"/>
        <v>0.27977832241045703</v>
      </c>
      <c r="AO413" s="22">
        <f t="shared" si="98"/>
        <v>0.28698321848664521</v>
      </c>
      <c r="AP413" s="22">
        <f t="shared" si="98"/>
        <v>0.29468105355097846</v>
      </c>
      <c r="AQ413" s="22">
        <f t="shared" si="98"/>
        <v>0.3025714710334354</v>
      </c>
      <c r="AR413" s="22">
        <f t="shared" si="98"/>
        <v>0.31067004429321721</v>
      </c>
      <c r="AS413" s="22">
        <f t="shared" si="98"/>
        <v>0.31929860938507826</v>
      </c>
      <c r="AT413" s="22">
        <f t="shared" si="98"/>
        <v>0.32834824969387966</v>
      </c>
      <c r="AU413" s="22">
        <f t="shared" si="98"/>
        <v>0.33774569605035937</v>
      </c>
      <c r="AV413" s="22">
        <f t="shared" si="98"/>
        <v>0.34769528474374956</v>
      </c>
      <c r="AW413" s="22">
        <f t="shared" si="98"/>
        <v>0.3570064156976871</v>
      </c>
      <c r="AY413" s="79"/>
    </row>
    <row r="414" spans="1:51" x14ac:dyDescent="0.25">
      <c r="A414" s="95" t="str">
        <f t="shared" si="93"/>
        <v>GS Leaching</v>
      </c>
      <c r="B414" s="95" t="s">
        <v>1020</v>
      </c>
      <c r="C414" s="95" t="s">
        <v>1189</v>
      </c>
      <c r="D414" t="s">
        <v>369</v>
      </c>
      <c r="E414" t="s">
        <v>61</v>
      </c>
      <c r="F414" t="s">
        <v>63</v>
      </c>
      <c r="G414" t="s">
        <v>438</v>
      </c>
      <c r="H414" t="s">
        <v>1190</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5">
      <c r="A415" s="95" t="str">
        <f t="shared" si="93"/>
        <v>GS Leaching</v>
      </c>
      <c r="B415" s="95" t="s">
        <v>1020</v>
      </c>
      <c r="C415" s="95" t="s">
        <v>1189</v>
      </c>
      <c r="D415" t="s">
        <v>369</v>
      </c>
      <c r="E415" t="s">
        <v>61</v>
      </c>
      <c r="F415" t="s">
        <v>63</v>
      </c>
      <c r="G415" t="s">
        <v>439</v>
      </c>
      <c r="H415" t="s">
        <v>1191</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0.10248443536314014</v>
      </c>
      <c r="U415" s="22">
        <f t="shared" si="99"/>
        <v>0.10329242458615623</v>
      </c>
      <c r="V415" s="22">
        <f t="shared" si="99"/>
        <v>0.1037378169028777</v>
      </c>
      <c r="W415" s="22">
        <f t="shared" si="99"/>
        <v>0.10391067359607317</v>
      </c>
      <c r="X415" s="22">
        <f t="shared" si="99"/>
        <v>0.10409711390991817</v>
      </c>
      <c r="Y415" s="22">
        <f t="shared" si="99"/>
        <v>0.10435500295593778</v>
      </c>
      <c r="Z415" s="22">
        <f t="shared" si="99"/>
        <v>0.10468014995657268</v>
      </c>
      <c r="AA415" s="22">
        <f t="shared" si="99"/>
        <v>0.10503560179239499</v>
      </c>
      <c r="AB415" s="22">
        <f t="shared" si="99"/>
        <v>0.10542997312222666</v>
      </c>
      <c r="AC415" s="22">
        <f t="shared" si="99"/>
        <v>0.10589053374076159</v>
      </c>
      <c r="AD415" s="22">
        <f t="shared" si="99"/>
        <v>0.10641076487597649</v>
      </c>
      <c r="AE415" s="22">
        <f t="shared" si="99"/>
        <v>0.10696189666025695</v>
      </c>
      <c r="AF415" s="22">
        <f t="shared" si="99"/>
        <v>0.10754070977582914</v>
      </c>
      <c r="AG415" s="22">
        <f t="shared" si="99"/>
        <v>0.10813173549975955</v>
      </c>
      <c r="AH415" s="22">
        <f t="shared" si="99"/>
        <v>0.10873983274260557</v>
      </c>
      <c r="AI415" s="22">
        <f t="shared" si="99"/>
        <v>0.10935753594761956</v>
      </c>
      <c r="AJ415" s="22">
        <f t="shared" si="99"/>
        <v>0.10996217143590806</v>
      </c>
      <c r="AK415" s="22">
        <f t="shared" si="99"/>
        <v>0.11058485833426822</v>
      </c>
      <c r="AL415" s="22">
        <f t="shared" si="99"/>
        <v>0.11120474827910765</v>
      </c>
      <c r="AM415" s="22">
        <f t="shared" si="99"/>
        <v>0.11182020423651956</v>
      </c>
      <c r="AN415" s="22">
        <f t="shared" si="99"/>
        <v>0.11243985955392911</v>
      </c>
      <c r="AO415" s="22">
        <f t="shared" si="99"/>
        <v>0.11304226563186594</v>
      </c>
      <c r="AP415" s="22">
        <f t="shared" si="99"/>
        <v>0.1136563563170396</v>
      </c>
      <c r="AQ415" s="22">
        <f t="shared" si="99"/>
        <v>0.1142909814736776</v>
      </c>
      <c r="AR415" s="22">
        <f t="shared" si="99"/>
        <v>0.11492803823041334</v>
      </c>
      <c r="AS415" s="22">
        <f t="shared" si="99"/>
        <v>0.11556802823093357</v>
      </c>
      <c r="AT415" s="22">
        <f t="shared" si="99"/>
        <v>0.11622779991969046</v>
      </c>
      <c r="AU415" s="22">
        <f t="shared" si="99"/>
        <v>0.11690020567017985</v>
      </c>
      <c r="AV415" s="22">
        <f t="shared" si="99"/>
        <v>0.11758043850684917</v>
      </c>
      <c r="AW415" s="22">
        <f t="shared" si="99"/>
        <v>0.11827795468154553</v>
      </c>
      <c r="AY415" s="79"/>
    </row>
    <row r="416" spans="1:51" x14ac:dyDescent="0.25">
      <c r="A416" s="95" t="str">
        <f t="shared" si="93"/>
        <v>GS Leaching</v>
      </c>
      <c r="B416" s="95" t="s">
        <v>1020</v>
      </c>
      <c r="C416" s="95" t="s">
        <v>1189</v>
      </c>
      <c r="D416" t="s">
        <v>369</v>
      </c>
      <c r="E416" t="s">
        <v>61</v>
      </c>
      <c r="F416" t="s">
        <v>63</v>
      </c>
      <c r="G416" t="s">
        <v>1192</v>
      </c>
      <c r="H416" t="s">
        <v>1193</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5">
      <c r="A417" s="95" t="str">
        <f t="shared" si="93"/>
        <v>GS Leaching</v>
      </c>
      <c r="B417" s="95" t="s">
        <v>1020</v>
      </c>
      <c r="C417" s="95" t="s">
        <v>1189</v>
      </c>
      <c r="D417" t="s">
        <v>369</v>
      </c>
      <c r="E417" t="s">
        <v>61</v>
      </c>
      <c r="F417" t="s">
        <v>63</v>
      </c>
      <c r="G417" t="s">
        <v>1194</v>
      </c>
      <c r="H417" t="s">
        <v>1195</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5">
      <c r="A418" s="95" t="str">
        <f t="shared" si="93"/>
        <v>GS Leaching</v>
      </c>
      <c r="B418" s="95" t="s">
        <v>1020</v>
      </c>
      <c r="C418" s="95" t="s">
        <v>1189</v>
      </c>
      <c r="D418" t="s">
        <v>369</v>
      </c>
      <c r="E418" t="s">
        <v>61</v>
      </c>
      <c r="F418" t="s">
        <v>63</v>
      </c>
      <c r="G418" t="s">
        <v>1196</v>
      </c>
      <c r="H418" t="s">
        <v>1197</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5">
      <c r="A419" s="95" t="str">
        <f t="shared" si="93"/>
        <v>GS Leaching</v>
      </c>
      <c r="B419" s="95" t="s">
        <v>1020</v>
      </c>
      <c r="C419" s="95" t="s">
        <v>1189</v>
      </c>
      <c r="D419" t="s">
        <v>369</v>
      </c>
      <c r="E419" t="s">
        <v>61</v>
      </c>
      <c r="F419" t="s">
        <v>63</v>
      </c>
      <c r="G419" t="s">
        <v>1198</v>
      </c>
      <c r="H419" t="s">
        <v>1199</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5">
      <c r="A420" s="95" t="str">
        <f t="shared" si="93"/>
        <v>GS Leaching</v>
      </c>
      <c r="B420" s="95" t="s">
        <v>1020</v>
      </c>
      <c r="C420" s="95" t="s">
        <v>1189</v>
      </c>
      <c r="D420" t="s">
        <v>369</v>
      </c>
      <c r="E420" t="s">
        <v>61</v>
      </c>
      <c r="F420" t="s">
        <v>63</v>
      </c>
      <c r="G420" t="s">
        <v>1200</v>
      </c>
      <c r="H420" t="s">
        <v>1201</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5">
      <c r="A421" s="95" t="str">
        <f t="shared" si="93"/>
        <v>GS Leaching</v>
      </c>
      <c r="B421" s="95" t="s">
        <v>1020</v>
      </c>
      <c r="C421" s="95" t="s">
        <v>1189</v>
      </c>
      <c r="D421" t="s">
        <v>369</v>
      </c>
      <c r="E421" t="s">
        <v>61</v>
      </c>
      <c r="F421" t="s">
        <v>63</v>
      </c>
      <c r="G421" t="s">
        <v>1202</v>
      </c>
      <c r="H421" t="s">
        <v>1203</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5">
      <c r="A422" s="95" t="str">
        <f t="shared" si="93"/>
        <v>GS Leaching</v>
      </c>
      <c r="B422" s="95" t="s">
        <v>1020</v>
      </c>
      <c r="C422" s="95" t="s">
        <v>1189</v>
      </c>
      <c r="D422" t="s">
        <v>369</v>
      </c>
      <c r="E422" t="s">
        <v>61</v>
      </c>
      <c r="F422" t="s">
        <v>63</v>
      </c>
      <c r="G422" t="s">
        <v>1204</v>
      </c>
      <c r="H422" t="s">
        <v>1205</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5">
      <c r="A423" s="95" t="str">
        <f t="shared" si="93"/>
        <v>GS Leaching</v>
      </c>
      <c r="B423" s="95" t="s">
        <v>1020</v>
      </c>
      <c r="C423" s="95" t="s">
        <v>1189</v>
      </c>
      <c r="D423" t="s">
        <v>369</v>
      </c>
      <c r="E423" t="s">
        <v>61</v>
      </c>
      <c r="F423" t="s">
        <v>63</v>
      </c>
      <c r="G423" t="s">
        <v>1206</v>
      </c>
      <c r="H423" t="s">
        <v>1207</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5">
      <c r="A424" s="95" t="str">
        <f t="shared" si="93"/>
        <v>GS Leaching</v>
      </c>
      <c r="B424" s="95" t="s">
        <v>1020</v>
      </c>
      <c r="C424" s="95" t="s">
        <v>1189</v>
      </c>
      <c r="D424" t="s">
        <v>369</v>
      </c>
      <c r="E424" t="s">
        <v>61</v>
      </c>
      <c r="F424" t="s">
        <v>63</v>
      </c>
      <c r="G424" t="s">
        <v>1208</v>
      </c>
      <c r="H424" t="s">
        <v>1209</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5">
      <c r="A425" s="95" t="str">
        <f t="shared" si="93"/>
        <v>GS Leaching</v>
      </c>
      <c r="B425" s="95" t="s">
        <v>1020</v>
      </c>
      <c r="C425" s="95" t="s">
        <v>1189</v>
      </c>
      <c r="D425" t="s">
        <v>369</v>
      </c>
      <c r="E425" t="s">
        <v>61</v>
      </c>
      <c r="F425" t="s">
        <v>63</v>
      </c>
      <c r="G425" t="s">
        <v>1210</v>
      </c>
      <c r="H425" t="s">
        <v>1211</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5">
      <c r="A426" s="95" t="str">
        <f t="shared" si="93"/>
        <v>GS Leaching</v>
      </c>
      <c r="B426" s="95" t="s">
        <v>1020</v>
      </c>
      <c r="C426" s="95" t="s">
        <v>1189</v>
      </c>
      <c r="D426" t="s">
        <v>369</v>
      </c>
      <c r="E426" t="s">
        <v>61</v>
      </c>
      <c r="F426" t="s">
        <v>63</v>
      </c>
      <c r="G426" t="s">
        <v>1212</v>
      </c>
      <c r="H426" t="s">
        <v>1213</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5">
      <c r="A427" s="95"/>
      <c r="B427" s="95" t="s">
        <v>1020</v>
      </c>
      <c r="C427" s="95"/>
      <c r="D427" t="s">
        <v>369</v>
      </c>
      <c r="E427" t="s">
        <v>61</v>
      </c>
      <c r="F427" t="s">
        <v>63</v>
      </c>
      <c r="G427" t="s">
        <v>1214</v>
      </c>
      <c r="H427" t="s">
        <v>1215</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5">
      <c r="A428" s="95" t="str">
        <f t="shared" si="93"/>
        <v>GS MM Volatilisation</v>
      </c>
      <c r="B428" s="95" t="s">
        <v>1020</v>
      </c>
      <c r="C428" s="95" t="s">
        <v>1331</v>
      </c>
      <c r="D428" t="s">
        <v>369</v>
      </c>
      <c r="E428" t="s">
        <v>64</v>
      </c>
      <c r="F428" t="s">
        <v>62</v>
      </c>
      <c r="G428" t="s">
        <v>1151</v>
      </c>
      <c r="H428" t="s">
        <v>1289</v>
      </c>
      <c r="I428" t="s">
        <v>139</v>
      </c>
      <c r="J428" t="s">
        <v>287</v>
      </c>
      <c r="K428" s="22">
        <f t="shared" si="101"/>
        <v>0.39609736661915962</v>
      </c>
      <c r="L428" s="22">
        <f t="shared" si="102"/>
        <v>0.39831175345583053</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0.40855374420631202</v>
      </c>
      <c r="S428" s="22">
        <f t="shared" si="102"/>
        <v>0.39675335904637443</v>
      </c>
      <c r="T428" s="22">
        <f t="shared" si="102"/>
        <v>0.40475430836671095</v>
      </c>
      <c r="U428" s="22">
        <f t="shared" si="102"/>
        <v>0.40872605361155973</v>
      </c>
      <c r="V428" s="22">
        <f t="shared" si="102"/>
        <v>0.40976331225325113</v>
      </c>
      <c r="W428" s="22">
        <f t="shared" si="102"/>
        <v>0.41123817221629572</v>
      </c>
      <c r="X428" s="22">
        <f t="shared" si="102"/>
        <v>0.41371299835327524</v>
      </c>
      <c r="Y428" s="22">
        <f t="shared" si="102"/>
        <v>0.41698233077605895</v>
      </c>
      <c r="Z428" s="22">
        <f t="shared" si="102"/>
        <v>0.42064271286230337</v>
      </c>
      <c r="AA428" s="22">
        <f t="shared" si="102"/>
        <v>0.42480942612911948</v>
      </c>
      <c r="AB428" s="22">
        <f t="shared" si="102"/>
        <v>0.42983972534171444</v>
      </c>
      <c r="AC428" s="22">
        <f t="shared" si="102"/>
        <v>0.43570438871758699</v>
      </c>
      <c r="AD428" s="22">
        <f t="shared" si="102"/>
        <v>0.44208757106569879</v>
      </c>
      <c r="AE428" s="22">
        <f t="shared" si="102"/>
        <v>0.44898350336000287</v>
      </c>
      <c r="AF428" s="22">
        <f t="shared" si="102"/>
        <v>0.45621719419550344</v>
      </c>
      <c r="AG428" s="22">
        <f t="shared" si="102"/>
        <v>0.46386955104730232</v>
      </c>
      <c r="AH428" s="22">
        <f t="shared" si="102"/>
        <v>0.47186189087523389</v>
      </c>
      <c r="AI428" s="22">
        <f t="shared" si="102"/>
        <v>0.47988623531160551</v>
      </c>
      <c r="AJ428" s="22">
        <f t="shared" si="102"/>
        <v>0.48839393378093798</v>
      </c>
      <c r="AK428" s="22">
        <f t="shared" si="102"/>
        <v>0.49708758308730938</v>
      </c>
      <c r="AL428" s="22">
        <f t="shared" si="102"/>
        <v>0.50594507247479314</v>
      </c>
      <c r="AM428" s="22">
        <f t="shared" si="102"/>
        <v>0.51510910677271904</v>
      </c>
      <c r="AN428" s="22">
        <f t="shared" si="102"/>
        <v>0.52423757979493812</v>
      </c>
      <c r="AO428" s="22">
        <f t="shared" si="102"/>
        <v>0.53380454045789072</v>
      </c>
      <c r="AP428" s="22">
        <f t="shared" si="102"/>
        <v>0.54398662027094624</v>
      </c>
      <c r="AQ428" s="22">
        <f t="shared" si="102"/>
        <v>0.55449515288018025</v>
      </c>
      <c r="AR428" s="22">
        <f t="shared" si="102"/>
        <v>0.56534914989912133</v>
      </c>
      <c r="AS428" s="22">
        <f t="shared" si="102"/>
        <v>0.57688261473585911</v>
      </c>
      <c r="AT428" s="22">
        <f t="shared" si="102"/>
        <v>0.58899855031934889</v>
      </c>
      <c r="AU428" s="22">
        <f t="shared" si="102"/>
        <v>0.60163444677907796</v>
      </c>
      <c r="AV428" s="22">
        <f t="shared" si="102"/>
        <v>0.61501799344157537</v>
      </c>
      <c r="AW428" s="22">
        <f t="shared" si="102"/>
        <v>0.62789543257311353</v>
      </c>
      <c r="AY428" s="79"/>
    </row>
    <row r="429" spans="1:51" x14ac:dyDescent="0.25">
      <c r="A429" s="95" t="str">
        <f t="shared" si="93"/>
        <v>GS MM Volatilisation</v>
      </c>
      <c r="B429" s="95" t="s">
        <v>1020</v>
      </c>
      <c r="C429" s="95" t="s">
        <v>1331</v>
      </c>
      <c r="D429" t="s">
        <v>369</v>
      </c>
      <c r="E429" t="s">
        <v>64</v>
      </c>
      <c r="F429" t="s">
        <v>62</v>
      </c>
      <c r="G429" t="s">
        <v>1153</v>
      </c>
      <c r="H429" t="s">
        <v>1290</v>
      </c>
      <c r="I429" t="s">
        <v>139</v>
      </c>
      <c r="J429" t="s">
        <v>287</v>
      </c>
      <c r="K429" s="22">
        <f t="shared" si="101"/>
        <v>3.1249813656142676E-2</v>
      </c>
      <c r="L429" s="22">
        <f t="shared" si="102"/>
        <v>3.1424516095088999E-2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3.2232550506305399E-2</v>
      </c>
      <c r="S429" s="22">
        <f t="shared" si="102"/>
        <v>3.1301567701581753E-2</v>
      </c>
      <c r="T429" s="22">
        <f t="shared" si="102"/>
        <v>3.1932796779085698E-2</v>
      </c>
      <c r="U429" s="22">
        <f t="shared" si="102"/>
        <v>3.2246144731511071E-2</v>
      </c>
      <c r="V429" s="22">
        <f t="shared" si="102"/>
        <v>3.2327978497644752E-2</v>
      </c>
      <c r="W429" s="22">
        <f t="shared" si="102"/>
        <v>3.2444336501757327E-2</v>
      </c>
      <c r="X429" s="22">
        <f t="shared" si="102"/>
        <v>3.2639586109882893E-2</v>
      </c>
      <c r="Y429" s="22">
        <f t="shared" si="102"/>
        <v>3.2897517713579225E-2</v>
      </c>
      <c r="Z429" s="22">
        <f t="shared" si="102"/>
        <v>3.318630089606224E-2</v>
      </c>
      <c r="AA429" s="22">
        <f t="shared" si="102"/>
        <v>3.3515030708779675E-2</v>
      </c>
      <c r="AB429" s="22">
        <f t="shared" si="102"/>
        <v>3.3911892506599629E-2</v>
      </c>
      <c r="AC429" s="22">
        <f t="shared" si="102"/>
        <v>3.4374580858244831E-2</v>
      </c>
      <c r="AD429" s="22">
        <f t="shared" si="102"/>
        <v>3.4878177387083813E-2</v>
      </c>
      <c r="AE429" s="22">
        <f t="shared" si="102"/>
        <v>3.5422226950002453E-2</v>
      </c>
      <c r="AF429" s="22">
        <f t="shared" si="102"/>
        <v>3.5992923727375593E-2</v>
      </c>
      <c r="AG429" s="22">
        <f t="shared" si="102"/>
        <v>3.6596650855607031E-2</v>
      </c>
      <c r="AH429" s="22">
        <f t="shared" si="102"/>
        <v>3.7227200693469409E-2</v>
      </c>
      <c r="AI429" s="22">
        <f t="shared" si="102"/>
        <v>3.7860275511637599E-2</v>
      </c>
      <c r="AJ429" s="22">
        <f t="shared" si="102"/>
        <v>3.8531484194690796E-2</v>
      </c>
      <c r="AK429" s="22">
        <f t="shared" si="102"/>
        <v>3.9217363333789369E-2</v>
      </c>
      <c r="AL429" s="22">
        <f t="shared" si="102"/>
        <v>3.9916168516925726E-2</v>
      </c>
      <c r="AM429" s="22">
        <f t="shared" si="102"/>
        <v>4.0639158337820017E-2</v>
      </c>
      <c r="AN429" s="22">
        <f t="shared" si="102"/>
        <v>4.1359342577731273E-2</v>
      </c>
      <c r="AO429" s="22">
        <f t="shared" si="102"/>
        <v>4.211412098114431E-2</v>
      </c>
      <c r="AP429" s="22">
        <f t="shared" si="102"/>
        <v>4.2917428762525973E-2</v>
      </c>
      <c r="AQ429" s="22">
        <f t="shared" si="102"/>
        <v>4.3746491799831644E-2</v>
      </c>
      <c r="AR429" s="22">
        <f t="shared" si="102"/>
        <v>4.4602810000483467E-2</v>
      </c>
      <c r="AS429" s="22">
        <f t="shared" si="102"/>
        <v>4.5512734320440534E-2</v>
      </c>
      <c r="AT429" s="22">
        <f t="shared" si="102"/>
        <v>4.64686122463292E-2</v>
      </c>
      <c r="AU429" s="22">
        <f t="shared" si="102"/>
        <v>4.7465512107379045E-2</v>
      </c>
      <c r="AV429" s="22">
        <f t="shared" si="102"/>
        <v>4.8521397287407161E-2</v>
      </c>
      <c r="AW429" s="22">
        <f t="shared" si="102"/>
        <v>4.953735348187438E-2</v>
      </c>
      <c r="AY429" s="79"/>
    </row>
    <row r="430" spans="1:51" x14ac:dyDescent="0.25">
      <c r="A430" s="95" t="str">
        <f t="shared" si="93"/>
        <v>GS MM Volatilisation</v>
      </c>
      <c r="B430" s="95" t="s">
        <v>1020</v>
      </c>
      <c r="C430" s="95" t="s">
        <v>1331</v>
      </c>
      <c r="D430" t="s">
        <v>369</v>
      </c>
      <c r="E430" t="s">
        <v>64</v>
      </c>
      <c r="F430" t="s">
        <v>62</v>
      </c>
      <c r="G430" t="s">
        <v>1155</v>
      </c>
      <c r="H430" t="s">
        <v>1291</v>
      </c>
      <c r="I430" t="s">
        <v>139</v>
      </c>
      <c r="J430" t="s">
        <v>287</v>
      </c>
      <c r="K430" s="22">
        <f t="shared" si="101"/>
        <v>2.8967336997006343E-4</v>
      </c>
      <c r="L430" s="22">
        <f t="shared" si="102"/>
        <v>2.9129279224209421E-4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2.9878295053629658E-4</v>
      </c>
      <c r="S430" s="22">
        <f t="shared" si="102"/>
        <v>2.9015310943081291E-4</v>
      </c>
      <c r="T430" s="22">
        <f t="shared" si="102"/>
        <v>2.9600435245311237E-4</v>
      </c>
      <c r="U430" s="22">
        <f t="shared" si="102"/>
        <v>2.9890896360859154E-4</v>
      </c>
      <c r="V430" s="22">
        <f t="shared" si="102"/>
        <v>2.9966753014195159E-4</v>
      </c>
      <c r="W430" s="22">
        <f t="shared" si="102"/>
        <v>3.0074612265917932E-4</v>
      </c>
      <c r="X430" s="22">
        <f t="shared" si="102"/>
        <v>3.0255600903461219E-4</v>
      </c>
      <c r="Y430" s="22">
        <f t="shared" si="102"/>
        <v>3.0494693263136179E-4</v>
      </c>
      <c r="Z430" s="22">
        <f t="shared" si="102"/>
        <v>3.0762383811889561E-4</v>
      </c>
      <c r="AA430" s="22">
        <f t="shared" si="102"/>
        <v>3.1067103301443271E-4</v>
      </c>
      <c r="AB430" s="22">
        <f t="shared" si="102"/>
        <v>3.1434978437121989E-4</v>
      </c>
      <c r="AC430" s="22">
        <f t="shared" si="102"/>
        <v>3.1863872175631096E-4</v>
      </c>
      <c r="AD430" s="22">
        <f t="shared" si="102"/>
        <v>3.2330686170809402E-4</v>
      </c>
      <c r="AE430" s="22">
        <f t="shared" si="102"/>
        <v>3.2834998523054116E-4</v>
      </c>
      <c r="AF430" s="22">
        <f t="shared" si="102"/>
        <v>3.3364011785506768E-4</v>
      </c>
      <c r="AG430" s="22">
        <f t="shared" si="102"/>
        <v>3.3923642872275747E-4</v>
      </c>
      <c r="AH430" s="22">
        <f t="shared" si="102"/>
        <v>3.4508137546316036E-4</v>
      </c>
      <c r="AI430" s="22">
        <f t="shared" si="102"/>
        <v>3.5094972776886815E-4</v>
      </c>
      <c r="AJ430" s="22">
        <f t="shared" si="102"/>
        <v>3.5717156586725218E-4</v>
      </c>
      <c r="AK430" s="22">
        <f t="shared" si="102"/>
        <v>3.6352939327067397E-4</v>
      </c>
      <c r="AL430" s="22">
        <f t="shared" si="102"/>
        <v>3.7000703997215649E-4</v>
      </c>
      <c r="AM430" s="22">
        <f t="shared" si="102"/>
        <v>3.7670886866710392E-4</v>
      </c>
      <c r="AN430" s="22">
        <f t="shared" si="102"/>
        <v>3.8338469073983557E-4</v>
      </c>
      <c r="AO430" s="22">
        <f t="shared" si="102"/>
        <v>3.9038118697827962E-4</v>
      </c>
      <c r="AP430" s="22">
        <f t="shared" si="102"/>
        <v>3.9782753128984823E-4</v>
      </c>
      <c r="AQ430" s="22">
        <f t="shared" si="102"/>
        <v>4.0551261660192481E-4</v>
      </c>
      <c r="AR430" s="22">
        <f t="shared" si="102"/>
        <v>4.134503464610197E-4</v>
      </c>
      <c r="AS430" s="22">
        <f t="shared" si="102"/>
        <v>4.218849837705407E-4</v>
      </c>
      <c r="AT430" s="22">
        <f t="shared" si="102"/>
        <v>4.3074559276869194E-4</v>
      </c>
      <c r="AU430" s="22">
        <f t="shared" si="102"/>
        <v>4.3998645882474367E-4</v>
      </c>
      <c r="AV430" s="22">
        <f t="shared" si="102"/>
        <v>4.4977409537726024E-4</v>
      </c>
      <c r="AW430" s="22">
        <f t="shared" si="102"/>
        <v>4.5919160608089382E-4</v>
      </c>
      <c r="AY430" s="79"/>
    </row>
    <row r="431" spans="1:51" x14ac:dyDescent="0.25">
      <c r="A431" s="95" t="str">
        <f t="shared" si="93"/>
        <v>GS MM Volatilisation</v>
      </c>
      <c r="B431" s="95" t="s">
        <v>1020</v>
      </c>
      <c r="C431" s="95" t="s">
        <v>1331</v>
      </c>
      <c r="D431" t="s">
        <v>369</v>
      </c>
      <c r="E431" t="s">
        <v>64</v>
      </c>
      <c r="F431" t="s">
        <v>62</v>
      </c>
      <c r="G431" t="s">
        <v>1157</v>
      </c>
      <c r="H431" t="s">
        <v>1292</v>
      </c>
      <c r="I431" t="s">
        <v>139</v>
      </c>
      <c r="J431" t="s">
        <v>287</v>
      </c>
      <c r="K431" s="22">
        <f t="shared" si="101"/>
        <v>3.2323215352203869E-3</v>
      </c>
      <c r="L431" s="22">
        <f t="shared" si="102"/>
        <v>3.2042886428129448E-3</v>
      </c>
      <c r="M431" s="22">
        <f t="shared" si="102"/>
        <v>3.1936173693006072E-3</v>
      </c>
      <c r="N431" s="22">
        <f t="shared" si="102"/>
        <v>3.150970789688672E-3</v>
      </c>
      <c r="O431" s="22">
        <f t="shared" si="102"/>
        <v>3.0890682378804098E-3</v>
      </c>
      <c r="P431" s="22">
        <f t="shared" si="102"/>
        <v>3.0091897617382942E-3</v>
      </c>
      <c r="Q431" s="22">
        <f t="shared" si="102"/>
        <v>2.9461872714039495E-3</v>
      </c>
      <c r="R431" s="22">
        <f t="shared" si="102"/>
        <v>2.8865797531671877E-3</v>
      </c>
      <c r="S431" s="22">
        <f t="shared" si="102"/>
        <v>2.5775843671431266E-3</v>
      </c>
      <c r="T431" s="22">
        <f t="shared" si="102"/>
        <v>2.7008194536362932E-3</v>
      </c>
      <c r="U431" s="22">
        <f t="shared" si="102"/>
        <v>2.7434834642963983E-3</v>
      </c>
      <c r="V431" s="22">
        <f t="shared" si="102"/>
        <v>2.7249559704571515E-3</v>
      </c>
      <c r="W431" s="22">
        <f t="shared" si="102"/>
        <v>2.7098851587955765E-3</v>
      </c>
      <c r="X431" s="22">
        <f t="shared" si="102"/>
        <v>2.7108751448487677E-3</v>
      </c>
      <c r="Y431" s="22">
        <f t="shared" si="102"/>
        <v>2.7267936110374771E-3</v>
      </c>
      <c r="Z431" s="22">
        <f t="shared" si="102"/>
        <v>2.7493808220457119E-3</v>
      </c>
      <c r="AA431" s="22">
        <f t="shared" si="102"/>
        <v>2.7804561510044621E-3</v>
      </c>
      <c r="AB431" s="22">
        <f t="shared" si="102"/>
        <v>2.8259754098654112E-3</v>
      </c>
      <c r="AC431" s="22">
        <f t="shared" si="102"/>
        <v>2.8846530294108553E-3</v>
      </c>
      <c r="AD431" s="22">
        <f t="shared" si="102"/>
        <v>2.9255627766607379E-3</v>
      </c>
      <c r="AE431" s="22">
        <f t="shared" si="102"/>
        <v>2.9713051294800673E-3</v>
      </c>
      <c r="AF431" s="22">
        <f t="shared" si="102"/>
        <v>3.0184328847155249E-3</v>
      </c>
      <c r="AG431" s="22">
        <f t="shared" si="102"/>
        <v>3.0679929310084191E-3</v>
      </c>
      <c r="AH431" s="22">
        <f t="shared" si="102"/>
        <v>3.1182952843922906E-3</v>
      </c>
      <c r="AI431" s="22">
        <f t="shared" si="102"/>
        <v>3.1642302715808976E-3</v>
      </c>
      <c r="AJ431" s="22">
        <f t="shared" si="102"/>
        <v>3.2126832525729617E-3</v>
      </c>
      <c r="AK431" s="22">
        <f t="shared" si="102"/>
        <v>3.2589422884996468E-3</v>
      </c>
      <c r="AL431" s="22">
        <f t="shared" si="102"/>
        <v>3.3025617246378643E-3</v>
      </c>
      <c r="AM431" s="22">
        <f t="shared" si="102"/>
        <v>3.3454061319751881E-3</v>
      </c>
      <c r="AN431" s="22">
        <f t="shared" si="102"/>
        <v>3.3998120453296449E-3</v>
      </c>
      <c r="AO431" s="22">
        <f t="shared" si="102"/>
        <v>3.4560846217306851E-3</v>
      </c>
      <c r="AP431" s="22">
        <f t="shared" si="102"/>
        <v>3.5162688695670069E-3</v>
      </c>
      <c r="AQ431" s="22">
        <f t="shared" si="102"/>
        <v>3.576218960305765E-3</v>
      </c>
      <c r="AR431" s="22">
        <f t="shared" si="102"/>
        <v>3.6360127055851286E-3</v>
      </c>
      <c r="AS431" s="22">
        <f t="shared" si="102"/>
        <v>3.6995797552595183E-3</v>
      </c>
      <c r="AT431" s="22">
        <f t="shared" si="102"/>
        <v>3.7652741980581834E-3</v>
      </c>
      <c r="AU431" s="22">
        <f t="shared" si="102"/>
        <v>3.831953873173879E-3</v>
      </c>
      <c r="AV431" s="22">
        <f t="shared" si="102"/>
        <v>3.9018879316463188E-3</v>
      </c>
      <c r="AW431" s="22">
        <f t="shared" si="102"/>
        <v>3.9605189402422969E-3</v>
      </c>
      <c r="AY431" s="79"/>
    </row>
    <row r="432" spans="1:51" x14ac:dyDescent="0.25">
      <c r="A432" s="95" t="str">
        <f t="shared" si="93"/>
        <v>GS MM Volatilisation</v>
      </c>
      <c r="B432" s="95" t="s">
        <v>1020</v>
      </c>
      <c r="C432" s="95" t="s">
        <v>1331</v>
      </c>
      <c r="D432" t="s">
        <v>369</v>
      </c>
      <c r="E432" t="s">
        <v>64</v>
      </c>
      <c r="F432" t="s">
        <v>62</v>
      </c>
      <c r="G432" t="s">
        <v>1159</v>
      </c>
      <c r="H432" t="s">
        <v>1293</v>
      </c>
      <c r="I432" t="s">
        <v>139</v>
      </c>
      <c r="J432" t="s">
        <v>287</v>
      </c>
      <c r="K432" s="22">
        <f t="shared" si="101"/>
        <v>1.6090517274103568E-2</v>
      </c>
      <c r="L432" s="22">
        <f t="shared" si="102"/>
        <v>1.5950969356419605E-2</v>
      </c>
      <c r="M432" s="22">
        <f t="shared" si="102"/>
        <v>1.5897847688628834E-2</v>
      </c>
      <c r="N432" s="22">
        <f t="shared" si="102"/>
        <v>1.5685552742581484E-2</v>
      </c>
      <c r="O432" s="22">
        <f t="shared" si="102"/>
        <v>1.5377401443792453E-2</v>
      </c>
      <c r="P432" s="22">
        <f t="shared" si="102"/>
        <v>1.4979765878707444E-2</v>
      </c>
      <c r="Q432" s="22">
        <f t="shared" si="102"/>
        <v>1.4666139078901097E-2</v>
      </c>
      <c r="R432" s="22">
        <f t="shared" si="102"/>
        <v>1.4369412471908495E-2</v>
      </c>
      <c r="S432" s="22">
        <f t="shared" si="102"/>
        <v>1.283123146415196E-2</v>
      </c>
      <c r="T432" s="22">
        <f t="shared" si="102"/>
        <v>1.3444696512844507E-2</v>
      </c>
      <c r="U432" s="22">
        <f t="shared" si="102"/>
        <v>1.3657078230761113E-2</v>
      </c>
      <c r="V432" s="22">
        <f t="shared" si="102"/>
        <v>1.3564848247939834E-2</v>
      </c>
      <c r="W432" s="22">
        <f t="shared" si="102"/>
        <v>1.3489825651105632E-2</v>
      </c>
      <c r="X432" s="22">
        <f t="shared" si="102"/>
        <v>1.3494753808009711E-2</v>
      </c>
      <c r="Y432" s="22">
        <f t="shared" si="102"/>
        <v>1.3573996034501018E-2</v>
      </c>
      <c r="Z432" s="22">
        <f t="shared" si="102"/>
        <v>1.3686435315352767E-2</v>
      </c>
      <c r="AA432" s="22">
        <f t="shared" si="102"/>
        <v>1.3841128501646547E-2</v>
      </c>
      <c r="AB432" s="22">
        <f t="shared" si="102"/>
        <v>1.4067723663367223E-2</v>
      </c>
      <c r="AC432" s="22">
        <f t="shared" si="102"/>
        <v>1.4359821228727431E-2</v>
      </c>
      <c r="AD432" s="22">
        <f t="shared" si="102"/>
        <v>1.4563470212168856E-2</v>
      </c>
      <c r="AE432" s="22">
        <f t="shared" si="102"/>
        <v>1.4791175937041108E-2</v>
      </c>
      <c r="AF432" s="22">
        <f t="shared" si="102"/>
        <v>1.5025778204000962E-2</v>
      </c>
      <c r="AG432" s="22">
        <f t="shared" si="102"/>
        <v>1.5272488431400047E-2</v>
      </c>
      <c r="AH432" s="22">
        <f t="shared" si="102"/>
        <v>1.5522893868245321E-2</v>
      </c>
      <c r="AI432" s="22">
        <f t="shared" si="102"/>
        <v>1.5751558528239808E-2</v>
      </c>
      <c r="AJ432" s="22">
        <f t="shared" si="102"/>
        <v>1.5992757777491307E-2</v>
      </c>
      <c r="AK432" s="22">
        <f t="shared" si="102"/>
        <v>1.622303555417634E-2</v>
      </c>
      <c r="AL432" s="22">
        <f t="shared" si="102"/>
        <v>1.6440173386233263E-2</v>
      </c>
      <c r="AM432" s="22">
        <f t="shared" si="102"/>
        <v>1.6653453119962761E-2</v>
      </c>
      <c r="AN432" s="22">
        <f t="shared" si="102"/>
        <v>1.6924286104585243E-2</v>
      </c>
      <c r="AO432" s="22">
        <f t="shared" si="102"/>
        <v>1.7204411349791553E-2</v>
      </c>
      <c r="AP432" s="22">
        <f t="shared" si="102"/>
        <v>1.7504008920419142E-2</v>
      </c>
      <c r="AQ432" s="22">
        <f t="shared" si="102"/>
        <v>1.7802440855517548E-2</v>
      </c>
      <c r="AR432" s="22">
        <f t="shared" si="102"/>
        <v>1.8100094501919208E-2</v>
      </c>
      <c r="AS432" s="22">
        <f t="shared" si="102"/>
        <v>1.8416531681730838E-2</v>
      </c>
      <c r="AT432" s="22">
        <f t="shared" si="102"/>
        <v>1.874355903812051E-2</v>
      </c>
      <c r="AU432" s="22">
        <f t="shared" si="102"/>
        <v>1.9075490887285256E-2</v>
      </c>
      <c r="AV432" s="22">
        <f t="shared" si="102"/>
        <v>1.9423623077612737E-2</v>
      </c>
      <c r="AW432" s="22">
        <f t="shared" si="102"/>
        <v>1.9715488613368411E-2</v>
      </c>
      <c r="AY432" s="79"/>
    </row>
    <row r="433" spans="1:51" x14ac:dyDescent="0.25">
      <c r="A433" s="95" t="str">
        <f t="shared" si="93"/>
        <v>GS MM Volatilisation</v>
      </c>
      <c r="B433" s="95" t="s">
        <v>1020</v>
      </c>
      <c r="C433" s="95" t="s">
        <v>1331</v>
      </c>
      <c r="D433" t="s">
        <v>369</v>
      </c>
      <c r="E433" t="s">
        <v>64</v>
      </c>
      <c r="F433" t="s">
        <v>62</v>
      </c>
      <c r="G433" t="s">
        <v>1161</v>
      </c>
      <c r="H433" t="s">
        <v>1294</v>
      </c>
      <c r="I433" t="s">
        <v>139</v>
      </c>
      <c r="J433" t="s">
        <v>287</v>
      </c>
      <c r="K433" s="22">
        <f t="shared" si="101"/>
        <v>0.15836052531214867</v>
      </c>
      <c r="L433" s="22">
        <f t="shared" si="102"/>
        <v>0.16370016056893633</v>
      </c>
      <c r="M433" s="22">
        <f t="shared" si="102"/>
        <v>0.17003774892948584</v>
      </c>
      <c r="N433" s="22">
        <f t="shared" si="102"/>
        <v>0.17476418316081965</v>
      </c>
      <c r="O433" s="22">
        <f t="shared" si="102"/>
        <v>0.17840915017095652</v>
      </c>
      <c r="P433" s="22">
        <f t="shared" si="102"/>
        <v>0.18092055691117107</v>
      </c>
      <c r="Q433" s="22">
        <f t="shared" si="102"/>
        <v>0.18434967364231716</v>
      </c>
      <c r="R433" s="22">
        <f t="shared" si="102"/>
        <v>0.18794438918293385</v>
      </c>
      <c r="S433" s="22">
        <f t="shared" si="102"/>
        <v>0.17460856438309952</v>
      </c>
      <c r="T433" s="22">
        <f t="shared" si="102"/>
        <v>0.1873645711352227</v>
      </c>
      <c r="U433" s="22">
        <f t="shared" si="102"/>
        <v>0.19484677000767164</v>
      </c>
      <c r="V433" s="22">
        <f t="shared" si="102"/>
        <v>0.19807112255457257</v>
      </c>
      <c r="W433" s="22">
        <f t="shared" si="102"/>
        <v>0.20154228480865111</v>
      </c>
      <c r="X433" s="22">
        <f t="shared" si="102"/>
        <v>0.20623914667732615</v>
      </c>
      <c r="Y433" s="22">
        <f t="shared" si="102"/>
        <v>0.21215915392676254</v>
      </c>
      <c r="Z433" s="22">
        <f t="shared" si="102"/>
        <v>0.21872684602749243</v>
      </c>
      <c r="AA433" s="22">
        <f t="shared" si="102"/>
        <v>0.22612997396880463</v>
      </c>
      <c r="AB433" s="22">
        <f t="shared" si="102"/>
        <v>0.23491426249732866</v>
      </c>
      <c r="AC433" s="22">
        <f t="shared" si="102"/>
        <v>0.24505515121890351</v>
      </c>
      <c r="AD433" s="22">
        <f t="shared" si="102"/>
        <v>0.25677243358478996</v>
      </c>
      <c r="AE433" s="22">
        <f t="shared" si="102"/>
        <v>0.26945216276183381</v>
      </c>
      <c r="AF433" s="22">
        <f t="shared" si="102"/>
        <v>0.2828440567855407</v>
      </c>
      <c r="AG433" s="22">
        <f t="shared" si="102"/>
        <v>0.29709510424120422</v>
      </c>
      <c r="AH433" s="22">
        <f t="shared" si="102"/>
        <v>0.31209530848649036</v>
      </c>
      <c r="AI433" s="22">
        <f t="shared" si="102"/>
        <v>0.32736251218808471</v>
      </c>
      <c r="AJ433" s="22">
        <f t="shared" si="102"/>
        <v>0.34362947600093458</v>
      </c>
      <c r="AK433" s="22">
        <f t="shared" si="102"/>
        <v>0.36044618553686847</v>
      </c>
      <c r="AL433" s="22">
        <f t="shared" si="102"/>
        <v>0.37778487893593249</v>
      </c>
      <c r="AM433" s="22">
        <f t="shared" si="102"/>
        <v>0.3958859410797253</v>
      </c>
      <c r="AN433" s="22">
        <f t="shared" si="102"/>
        <v>0.41367585516143429</v>
      </c>
      <c r="AO433" s="22">
        <f t="shared" si="102"/>
        <v>0.43242905153599548</v>
      </c>
      <c r="AP433" s="22">
        <f t="shared" si="102"/>
        <v>0.45246435767624088</v>
      </c>
      <c r="AQ433" s="22">
        <f t="shared" si="102"/>
        <v>0.47331488964480717</v>
      </c>
      <c r="AR433" s="22">
        <f t="shared" si="102"/>
        <v>0.49503125359509215</v>
      </c>
      <c r="AS433" s="22">
        <f t="shared" si="102"/>
        <v>0.51820746125670647</v>
      </c>
      <c r="AT433" s="22">
        <f t="shared" si="102"/>
        <v>0.54270067079521189</v>
      </c>
      <c r="AU433" s="22">
        <f t="shared" si="102"/>
        <v>0.56842164327333022</v>
      </c>
      <c r="AV433" s="22">
        <f t="shared" si="102"/>
        <v>0.59578776955032364</v>
      </c>
      <c r="AW433" s="22">
        <f t="shared" si="102"/>
        <v>0.6226172294628034</v>
      </c>
      <c r="AY433" s="79"/>
    </row>
    <row r="434" spans="1:51" x14ac:dyDescent="0.25">
      <c r="A434" s="95" t="str">
        <f t="shared" si="93"/>
        <v>GS MM Volatilisation</v>
      </c>
      <c r="B434" s="95" t="s">
        <v>1020</v>
      </c>
      <c r="C434" s="95" t="s">
        <v>1331</v>
      </c>
      <c r="D434" t="s">
        <v>369</v>
      </c>
      <c r="E434" t="s">
        <v>64</v>
      </c>
      <c r="F434" t="s">
        <v>62</v>
      </c>
      <c r="G434" t="s">
        <v>1163</v>
      </c>
      <c r="H434" t="s">
        <v>1295</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1.1888884787446641E-4</v>
      </c>
      <c r="T434" s="22">
        <f t="shared" si="102"/>
        <v>1.18974421608456E-4</v>
      </c>
      <c r="U434" s="22">
        <f t="shared" si="102"/>
        <v>1.1894433570617077E-4</v>
      </c>
      <c r="V434" s="22">
        <f t="shared" si="102"/>
        <v>1.1894216976117226E-4</v>
      </c>
      <c r="W434" s="22">
        <f t="shared" si="102"/>
        <v>1.1906833284654552E-4</v>
      </c>
      <c r="X434" s="22">
        <f t="shared" si="102"/>
        <v>1.1927481036049653E-4</v>
      </c>
      <c r="Y434" s="22">
        <f t="shared" si="102"/>
        <v>1.1947292782589552E-4</v>
      </c>
      <c r="Z434" s="22">
        <f t="shared" si="102"/>
        <v>1.1966332441080059E-4</v>
      </c>
      <c r="AA434" s="22">
        <f t="shared" si="102"/>
        <v>1.198457402729256E-4</v>
      </c>
      <c r="AB434" s="22">
        <f t="shared" si="102"/>
        <v>1.2002397691702796E-4</v>
      </c>
      <c r="AC434" s="22">
        <f t="shared" si="102"/>
        <v>1.2020063791291827E-4</v>
      </c>
      <c r="AD434" s="22">
        <f t="shared" si="102"/>
        <v>1.2037395069486653E-4</v>
      </c>
      <c r="AE434" s="22">
        <f t="shared" si="102"/>
        <v>1.2054640721794917E-4</v>
      </c>
      <c r="AF434" s="22">
        <f t="shared" si="102"/>
        <v>1.2071746421078628E-4</v>
      </c>
      <c r="AG434" s="22">
        <f t="shared" si="102"/>
        <v>1.2088575105723818E-4</v>
      </c>
      <c r="AH434" s="22">
        <f t="shared" si="102"/>
        <v>1.2105200867781398E-4</v>
      </c>
      <c r="AI434" s="22">
        <f t="shared" ref="L434:AW441" si="103">AI1537</f>
        <v>1.2121641449313381E-4</v>
      </c>
      <c r="AJ434" s="22">
        <f t="shared" si="103"/>
        <v>1.2137952665146409E-4</v>
      </c>
      <c r="AK434" s="22">
        <f t="shared" si="103"/>
        <v>1.2153635424536354E-4</v>
      </c>
      <c r="AL434" s="22">
        <f t="shared" si="103"/>
        <v>1.2168671378968904E-4</v>
      </c>
      <c r="AM434" s="22">
        <f t="shared" si="103"/>
        <v>1.2183201055728766E-4</v>
      </c>
      <c r="AN434" s="22">
        <f t="shared" si="103"/>
        <v>1.2197112574763714E-4</v>
      </c>
      <c r="AO434" s="22">
        <f t="shared" si="103"/>
        <v>1.2210431172658153E-4</v>
      </c>
      <c r="AP434" s="22">
        <f t="shared" si="103"/>
        <v>1.2223096862203452E-4</v>
      </c>
      <c r="AQ434" s="22">
        <f t="shared" si="103"/>
        <v>1.2234928396390209E-4</v>
      </c>
      <c r="AR434" s="22">
        <f t="shared" si="103"/>
        <v>1.2245757817594662E-4</v>
      </c>
      <c r="AS434" s="22">
        <f t="shared" si="103"/>
        <v>1.2255574185064525E-4</v>
      </c>
      <c r="AT434" s="22">
        <f t="shared" si="103"/>
        <v>1.2264302379658788E-4</v>
      </c>
      <c r="AU434" s="22">
        <f t="shared" si="103"/>
        <v>1.2271938191890156E-4</v>
      </c>
      <c r="AV434" s="22">
        <f t="shared" si="103"/>
        <v>1.2278627747914955E-4</v>
      </c>
      <c r="AW434" s="22">
        <f t="shared" si="103"/>
        <v>1.2283502162881773E-4</v>
      </c>
      <c r="AY434" s="79"/>
    </row>
    <row r="435" spans="1:51" x14ac:dyDescent="0.25">
      <c r="A435" s="95" t="str">
        <f t="shared" si="93"/>
        <v>GS MM Volatilisation</v>
      </c>
      <c r="B435" s="95" t="s">
        <v>1020</v>
      </c>
      <c r="C435" s="95" t="s">
        <v>1331</v>
      </c>
      <c r="D435" t="s">
        <v>369</v>
      </c>
      <c r="E435" t="s">
        <v>64</v>
      </c>
      <c r="F435" t="s">
        <v>62</v>
      </c>
      <c r="G435" t="s">
        <v>1165</v>
      </c>
      <c r="H435" t="s">
        <v>1296</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8.158765245643595E-4</v>
      </c>
      <c r="T435" s="22">
        <f t="shared" si="103"/>
        <v>8.1646377561380335E-4</v>
      </c>
      <c r="U435" s="22">
        <f t="shared" si="103"/>
        <v>8.1625731065233949E-4</v>
      </c>
      <c r="V435" s="22">
        <f t="shared" si="103"/>
        <v>8.1624244682188473E-4</v>
      </c>
      <c r="W435" s="22">
        <f t="shared" si="103"/>
        <v>8.1710824291178659E-4</v>
      </c>
      <c r="X435" s="22">
        <f t="shared" si="103"/>
        <v>8.1852519798784992E-4</v>
      </c>
      <c r="Y435" s="22">
        <f t="shared" si="103"/>
        <v>8.1988478210372824E-4</v>
      </c>
      <c r="Z435" s="22">
        <f t="shared" si="103"/>
        <v>8.2119138155993044E-4</v>
      </c>
      <c r="AA435" s="22">
        <f t="shared" si="103"/>
        <v>8.2244321318482034E-4</v>
      </c>
      <c r="AB435" s="22">
        <f t="shared" si="103"/>
        <v>8.2366636486254352E-4</v>
      </c>
      <c r="AC435" s="22">
        <f t="shared" si="103"/>
        <v>8.2487870363047661E-4</v>
      </c>
      <c r="AD435" s="22">
        <f t="shared" si="103"/>
        <v>8.2606806522936944E-4</v>
      </c>
      <c r="AE435" s="22">
        <f t="shared" si="103"/>
        <v>8.2725155073878963E-4</v>
      </c>
      <c r="AF435" s="22">
        <f t="shared" si="103"/>
        <v>8.2842543195064012E-4</v>
      </c>
      <c r="AG435" s="22">
        <f t="shared" si="103"/>
        <v>8.2958030299084108E-4</v>
      </c>
      <c r="AH435" s="22">
        <f t="shared" si="103"/>
        <v>8.3072124843764142E-4</v>
      </c>
      <c r="AI435" s="22">
        <f t="shared" si="103"/>
        <v>8.3184948584274219E-4</v>
      </c>
      <c r="AJ435" s="22">
        <f t="shared" si="103"/>
        <v>8.3296884550710043E-4</v>
      </c>
      <c r="AK435" s="22">
        <f t="shared" si="103"/>
        <v>8.3404507725258427E-4</v>
      </c>
      <c r="AL435" s="22">
        <f t="shared" si="103"/>
        <v>8.3507692190961139E-4</v>
      </c>
      <c r="AM435" s="22">
        <f t="shared" si="103"/>
        <v>8.3607402318444201E-4</v>
      </c>
      <c r="AN435" s="22">
        <f t="shared" si="103"/>
        <v>8.3702870329149695E-4</v>
      </c>
      <c r="AO435" s="22">
        <f t="shared" si="103"/>
        <v>8.3794269409521473E-4</v>
      </c>
      <c r="AP435" s="22">
        <f t="shared" si="103"/>
        <v>8.3881187896429009E-4</v>
      </c>
      <c r="AQ435" s="22">
        <f t="shared" si="103"/>
        <v>8.3962381979516996E-4</v>
      </c>
      <c r="AR435" s="22">
        <f t="shared" si="103"/>
        <v>8.4036699047040963E-4</v>
      </c>
      <c r="AS435" s="22">
        <f t="shared" si="103"/>
        <v>8.4104064017922141E-4</v>
      </c>
      <c r="AT435" s="22">
        <f t="shared" si="103"/>
        <v>8.4163961385914194E-4</v>
      </c>
      <c r="AU435" s="22">
        <f t="shared" si="103"/>
        <v>8.4216362263346621E-4</v>
      </c>
      <c r="AV435" s="22">
        <f t="shared" si="103"/>
        <v>8.4262269443187052E-4</v>
      </c>
      <c r="AW435" s="22">
        <f t="shared" si="103"/>
        <v>8.4295720189943475E-4</v>
      </c>
      <c r="AY435" s="79"/>
    </row>
    <row r="436" spans="1:51" x14ac:dyDescent="0.25">
      <c r="A436" s="95" t="str">
        <f t="shared" si="93"/>
        <v>GS MM Volatilisation</v>
      </c>
      <c r="B436" s="95" t="s">
        <v>1020</v>
      </c>
      <c r="C436" s="95" t="s">
        <v>1331</v>
      </c>
      <c r="D436" t="s">
        <v>369</v>
      </c>
      <c r="E436" t="s">
        <v>64</v>
      </c>
      <c r="F436" t="s">
        <v>62</v>
      </c>
      <c r="G436" t="s">
        <v>1167</v>
      </c>
      <c r="H436" t="s">
        <v>1297</v>
      </c>
      <c r="I436" t="s">
        <v>139</v>
      </c>
      <c r="J436" t="s">
        <v>287</v>
      </c>
      <c r="K436" s="22">
        <f t="shared" si="101"/>
        <v>1.4486129996083081E-5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1.4890706011157255E-5</v>
      </c>
      <c r="R436" s="22">
        <f t="shared" si="103"/>
        <v>1.4988675221399694E-5</v>
      </c>
      <c r="S436" s="22">
        <f t="shared" si="103"/>
        <v>1.4951923212530766E-5</v>
      </c>
      <c r="T436" s="22">
        <f t="shared" si="103"/>
        <v>1.4977625582861877E-5</v>
      </c>
      <c r="U436" s="22">
        <f t="shared" si="103"/>
        <v>1.4980119703065675E-5</v>
      </c>
      <c r="V436" s="22">
        <f t="shared" si="103"/>
        <v>1.4986976942692676E-5</v>
      </c>
      <c r="W436" s="22">
        <f t="shared" si="103"/>
        <v>1.5017294663736538E-5</v>
      </c>
      <c r="X436" s="22">
        <f t="shared" si="103"/>
        <v>1.5061890336193319E-5</v>
      </c>
      <c r="Y436" s="22">
        <f t="shared" si="103"/>
        <v>1.5103986297595971E-5</v>
      </c>
      <c r="Z436" s="22">
        <f t="shared" si="103"/>
        <v>1.5143780477124499E-5</v>
      </c>
      <c r="AA436" s="22">
        <f t="shared" si="103"/>
        <v>1.5181293243682811E-5</v>
      </c>
      <c r="AB436" s="22">
        <f t="shared" si="103"/>
        <v>1.5217300806744068E-5</v>
      </c>
      <c r="AC436" s="22">
        <f t="shared" si="103"/>
        <v>1.5252343422195684E-5</v>
      </c>
      <c r="AD436" s="22">
        <f t="shared" si="103"/>
        <v>1.5286134993525756E-5</v>
      </c>
      <c r="AE436" s="22">
        <f t="shared" si="103"/>
        <v>1.531918306979576E-5</v>
      </c>
      <c r="AF436" s="22">
        <f t="shared" si="103"/>
        <v>1.5351423055728344E-5</v>
      </c>
      <c r="AG436" s="22">
        <f t="shared" si="103"/>
        <v>1.5382634347686873E-5</v>
      </c>
      <c r="AH436" s="22">
        <f t="shared" si="103"/>
        <v>1.5412986814805202E-5</v>
      </c>
      <c r="AI436" s="22">
        <f t="shared" si="103"/>
        <v>1.5442542460580333E-5</v>
      </c>
      <c r="AJ436" s="22">
        <f t="shared" si="103"/>
        <v>1.5471431054826288E-5</v>
      </c>
      <c r="AK436" s="22">
        <f t="shared" si="103"/>
        <v>1.5498756892033488E-5</v>
      </c>
      <c r="AL436" s="22">
        <f t="shared" si="103"/>
        <v>1.5524513513074621E-5</v>
      </c>
      <c r="AM436" s="22">
        <f t="shared" si="103"/>
        <v>1.5548984646319332E-5</v>
      </c>
      <c r="AN436" s="22">
        <f t="shared" si="103"/>
        <v>1.5571987875403361E-5</v>
      </c>
      <c r="AO436" s="22">
        <f t="shared" si="103"/>
        <v>1.5593591673600764E-5</v>
      </c>
      <c r="AP436" s="22">
        <f t="shared" si="103"/>
        <v>1.5613707165200276E-5</v>
      </c>
      <c r="AQ436" s="22">
        <f t="shared" si="103"/>
        <v>1.5632023858239551E-5</v>
      </c>
      <c r="AR436" s="22">
        <f t="shared" si="103"/>
        <v>1.5648256533695206E-5</v>
      </c>
      <c r="AS436" s="22">
        <f t="shared" si="103"/>
        <v>1.5662406299088669E-5</v>
      </c>
      <c r="AT436" s="22">
        <f t="shared" si="103"/>
        <v>1.5674356891571193E-5</v>
      </c>
      <c r="AU436" s="22">
        <f t="shared" si="103"/>
        <v>1.5684120431636331E-5</v>
      </c>
      <c r="AV436" s="22">
        <f t="shared" si="103"/>
        <v>1.5691980107154113E-5</v>
      </c>
      <c r="AW436" s="22">
        <f t="shared" si="103"/>
        <v>1.5696383554298718E-5</v>
      </c>
      <c r="AY436" s="79"/>
    </row>
    <row r="437" spans="1:51" x14ac:dyDescent="0.25">
      <c r="A437" s="95" t="str">
        <f t="shared" si="93"/>
        <v>GS MM Volatilisation</v>
      </c>
      <c r="B437" s="95" t="s">
        <v>1020</v>
      </c>
      <c r="C437" s="95" t="s">
        <v>1331</v>
      </c>
      <c r="D437" t="s">
        <v>369</v>
      </c>
      <c r="E437" t="s">
        <v>64</v>
      </c>
      <c r="F437" t="s">
        <v>62</v>
      </c>
      <c r="G437" t="s">
        <v>1169</v>
      </c>
      <c r="H437" t="s">
        <v>1298</v>
      </c>
      <c r="I437" t="s">
        <v>139</v>
      </c>
      <c r="J437" t="s">
        <v>287</v>
      </c>
      <c r="K437" s="22">
        <f t="shared" si="101"/>
        <v>1.4738364076719785E-3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1.5149984613639165E-3</v>
      </c>
      <c r="R437" s="22">
        <f t="shared" si="103"/>
        <v>1.5249659674490626E-3</v>
      </c>
      <c r="S437" s="22">
        <f t="shared" si="103"/>
        <v>1.5212267735621682E-3</v>
      </c>
      <c r="T437" s="22">
        <f t="shared" si="103"/>
        <v>1.523841763843748E-3</v>
      </c>
      <c r="U437" s="22">
        <f t="shared" si="103"/>
        <v>1.5240955186535188E-3</v>
      </c>
      <c r="V437" s="22">
        <f t="shared" si="103"/>
        <v>1.5247931825168926E-3</v>
      </c>
      <c r="W437" s="22">
        <f t="shared" si="103"/>
        <v>1.5278777441689124E-3</v>
      </c>
      <c r="X437" s="22">
        <f t="shared" si="103"/>
        <v>1.53241496188746E-3</v>
      </c>
      <c r="Y437" s="22">
        <f t="shared" si="103"/>
        <v>1.536697855976355E-3</v>
      </c>
      <c r="Z437" s="22">
        <f t="shared" si="103"/>
        <v>1.5407465639900506E-3</v>
      </c>
      <c r="AA437" s="22">
        <f t="shared" si="103"/>
        <v>1.5445631582854966E-3</v>
      </c>
      <c r="AB437" s="22">
        <f t="shared" si="103"/>
        <v>1.5482266113544371E-3</v>
      </c>
      <c r="AC437" s="22">
        <f t="shared" si="103"/>
        <v>1.551791889485077E-3</v>
      </c>
      <c r="AD437" s="22">
        <f t="shared" si="103"/>
        <v>1.555229884871849E-3</v>
      </c>
      <c r="AE437" s="22">
        <f t="shared" si="103"/>
        <v>1.5585922361708792E-3</v>
      </c>
      <c r="AF437" s="22">
        <f t="shared" si="103"/>
        <v>1.561872371380429E-3</v>
      </c>
      <c r="AG437" s="22">
        <f t="shared" si="103"/>
        <v>1.5650478460193693E-3</v>
      </c>
      <c r="AH437" s="22">
        <f t="shared" si="103"/>
        <v>1.5681359427790809E-3</v>
      </c>
      <c r="AI437" s="22">
        <f t="shared" si="103"/>
        <v>1.5711429699704306E-3</v>
      </c>
      <c r="AJ437" s="22">
        <f t="shared" si="103"/>
        <v>1.5740821305314401E-3</v>
      </c>
      <c r="AK437" s="22">
        <f t="shared" si="103"/>
        <v>1.5768622942989184E-3</v>
      </c>
      <c r="AL437" s="22">
        <f t="shared" si="103"/>
        <v>1.5794828041134305E-3</v>
      </c>
      <c r="AM437" s="22">
        <f t="shared" si="103"/>
        <v>1.5819725268428828E-3</v>
      </c>
      <c r="AN437" s="22">
        <f t="shared" si="103"/>
        <v>1.5843129032254801E-3</v>
      </c>
      <c r="AO437" s="22">
        <f t="shared" si="103"/>
        <v>1.586510899815041E-3</v>
      </c>
      <c r="AP437" s="22">
        <f t="shared" si="103"/>
        <v>1.5885574742890791E-3</v>
      </c>
      <c r="AQ437" s="22">
        <f t="shared" si="103"/>
        <v>1.5904210368193567E-3</v>
      </c>
      <c r="AR437" s="22">
        <f t="shared" si="103"/>
        <v>1.592072568877052E-3</v>
      </c>
      <c r="AS437" s="22">
        <f t="shared" si="103"/>
        <v>1.5935121831427352E-3</v>
      </c>
      <c r="AT437" s="22">
        <f t="shared" si="103"/>
        <v>1.5947280508933873E-3</v>
      </c>
      <c r="AU437" s="22">
        <f t="shared" si="103"/>
        <v>1.5957214052826996E-3</v>
      </c>
      <c r="AV437" s="22">
        <f t="shared" si="103"/>
        <v>1.5965210581874944E-3</v>
      </c>
      <c r="AW437" s="22">
        <f t="shared" si="103"/>
        <v>1.596969070232308E-3</v>
      </c>
      <c r="AY437" s="79"/>
    </row>
    <row r="438" spans="1:51" x14ac:dyDescent="0.25">
      <c r="A438" s="95" t="str">
        <f t="shared" ref="A438:A459" si="104">B438&amp;" "&amp;C438</f>
        <v>GS MM Volatilisation</v>
      </c>
      <c r="B438" s="95" t="s">
        <v>1020</v>
      </c>
      <c r="C438" s="95" t="s">
        <v>1331</v>
      </c>
      <c r="D438" t="s">
        <v>369</v>
      </c>
      <c r="E438" t="s">
        <v>64</v>
      </c>
      <c r="F438" t="s">
        <v>62</v>
      </c>
      <c r="G438" t="s">
        <v>1171</v>
      </c>
      <c r="H438" t="s">
        <v>1299</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5">
      <c r="A439" s="95" t="str">
        <f t="shared" si="104"/>
        <v>GS MM Volatilisation</v>
      </c>
      <c r="B439" s="95" t="s">
        <v>1020</v>
      </c>
      <c r="C439" s="95" t="s">
        <v>1331</v>
      </c>
      <c r="D439" t="s">
        <v>369</v>
      </c>
      <c r="E439" t="s">
        <v>64</v>
      </c>
      <c r="F439" t="s">
        <v>62</v>
      </c>
      <c r="G439" t="s">
        <v>1173</v>
      </c>
      <c r="H439" t="s">
        <v>1300</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5">
      <c r="A440" s="95" t="str">
        <f t="shared" si="104"/>
        <v>GS MM Volatilisation</v>
      </c>
      <c r="B440" s="95" t="s">
        <v>1020</v>
      </c>
      <c r="C440" s="95" t="s">
        <v>1331</v>
      </c>
      <c r="D440" t="s">
        <v>369</v>
      </c>
      <c r="E440" t="s">
        <v>64</v>
      </c>
      <c r="F440" t="s">
        <v>62</v>
      </c>
      <c r="G440" t="s">
        <v>1175</v>
      </c>
      <c r="H440" t="s">
        <v>1301</v>
      </c>
      <c r="I440" t="s">
        <v>139</v>
      </c>
      <c r="J440" t="s">
        <v>287</v>
      </c>
      <c r="K440" s="22">
        <f t="shared" si="101"/>
        <v>0.13075625264316332</v>
      </c>
      <c r="L440" s="22">
        <f t="shared" si="103"/>
        <v>0.13004550543955865</v>
      </c>
      <c r="M440" s="22">
        <f t="shared" si="103"/>
        <v>0.13010384136507705</v>
      </c>
      <c r="N440" s="22">
        <f t="shared" si="103"/>
        <v>0.12890938840294827</v>
      </c>
      <c r="O440" s="22">
        <f t="shared" si="103"/>
        <v>0.12695857121838466</v>
      </c>
      <c r="P440" s="22">
        <f t="shared" si="103"/>
        <v>0.12428257569245393</v>
      </c>
      <c r="Q440" s="22">
        <f t="shared" si="103"/>
        <v>0.12233950618032063</v>
      </c>
      <c r="R440" s="22">
        <f t="shared" si="103"/>
        <v>0.12056837226162823</v>
      </c>
      <c r="S440" s="22">
        <f t="shared" si="103"/>
        <v>0.10830895289651481</v>
      </c>
      <c r="T440" s="22">
        <f t="shared" si="103"/>
        <v>0.11320330426035914</v>
      </c>
      <c r="U440" s="22">
        <f t="shared" si="103"/>
        <v>0.11468301383498544</v>
      </c>
      <c r="V440" s="22">
        <f t="shared" si="103"/>
        <v>0.11355120382559489</v>
      </c>
      <c r="W440" s="22">
        <f t="shared" si="103"/>
        <v>0.11255578294046394</v>
      </c>
      <c r="X440" s="22">
        <f t="shared" si="103"/>
        <v>0.11224814770681171</v>
      </c>
      <c r="Y440" s="22">
        <f t="shared" si="103"/>
        <v>0.11260156809388705</v>
      </c>
      <c r="Z440" s="22">
        <f t="shared" si="103"/>
        <v>0.11325984846472106</v>
      </c>
      <c r="AA440" s="22">
        <f t="shared" si="103"/>
        <v>0.11429808983181136</v>
      </c>
      <c r="AB440" s="22">
        <f t="shared" si="103"/>
        <v>0.11596592254580176</v>
      </c>
      <c r="AC440" s="22">
        <f t="shared" si="103"/>
        <v>0.11820511582305605</v>
      </c>
      <c r="AD440" s="22">
        <f t="shared" si="103"/>
        <v>0.12075365463644311</v>
      </c>
      <c r="AE440" s="22">
        <f t="shared" si="103"/>
        <v>0.12358623956337132</v>
      </c>
      <c r="AF440" s="22">
        <f t="shared" si="103"/>
        <v>0.12656118355318</v>
      </c>
      <c r="AG440" s="22">
        <f t="shared" si="103"/>
        <v>0.12972957848678721</v>
      </c>
      <c r="AH440" s="22">
        <f t="shared" si="103"/>
        <v>0.13302313311609873</v>
      </c>
      <c r="AI440" s="22">
        <f t="shared" si="103"/>
        <v>0.13621929545186015</v>
      </c>
      <c r="AJ440" s="22">
        <f t="shared" si="103"/>
        <v>0.13962684476435561</v>
      </c>
      <c r="AK440" s="22">
        <f t="shared" si="103"/>
        <v>0.14304119066791054</v>
      </c>
      <c r="AL440" s="22">
        <f t="shared" si="103"/>
        <v>0.14644440679500975</v>
      </c>
      <c r="AM440" s="22">
        <f t="shared" si="103"/>
        <v>0.14992455211372072</v>
      </c>
      <c r="AN440" s="22">
        <f t="shared" si="103"/>
        <v>0.15325657222760428</v>
      </c>
      <c r="AO440" s="22">
        <f t="shared" si="103"/>
        <v>0.15674333681767427</v>
      </c>
      <c r="AP440" s="22">
        <f t="shared" si="103"/>
        <v>0.16048535923438295</v>
      </c>
      <c r="AQ440" s="22">
        <f t="shared" si="103"/>
        <v>0.16429277839644263</v>
      </c>
      <c r="AR440" s="22">
        <f t="shared" si="103"/>
        <v>0.16817259395975112</v>
      </c>
      <c r="AS440" s="22">
        <f t="shared" si="103"/>
        <v>0.17231652203790412</v>
      </c>
      <c r="AT440" s="22">
        <f t="shared" si="103"/>
        <v>0.17665242177214358</v>
      </c>
      <c r="AU440" s="22">
        <f t="shared" si="103"/>
        <v>0.18113086971422945</v>
      </c>
      <c r="AV440" s="22">
        <f t="shared" si="103"/>
        <v>0.18586803919890985</v>
      </c>
      <c r="AW440" s="22">
        <f t="shared" si="103"/>
        <v>0.19015603509530893</v>
      </c>
      <c r="AY440" s="79"/>
    </row>
    <row r="441" spans="1:51" x14ac:dyDescent="0.25">
      <c r="A441" s="95" t="str">
        <f t="shared" si="104"/>
        <v>GS MM Volatilisation</v>
      </c>
      <c r="B441" s="95" t="s">
        <v>1020</v>
      </c>
      <c r="C441" s="95" t="s">
        <v>1331</v>
      </c>
      <c r="D441" t="s">
        <v>369</v>
      </c>
      <c r="E441" t="s">
        <v>64</v>
      </c>
      <c r="F441" t="s">
        <v>62</v>
      </c>
      <c r="G441" t="s">
        <v>1177</v>
      </c>
      <c r="H441" t="s">
        <v>1302</v>
      </c>
      <c r="I441" t="s">
        <v>139</v>
      </c>
      <c r="J441" t="s">
        <v>287</v>
      </c>
      <c r="K441" s="22">
        <f t="shared" si="101"/>
        <v>1.2724633182830876E-2</v>
      </c>
      <c r="L441" s="22">
        <f t="shared" si="103"/>
        <v>1.2655466337890211E-2</v>
      </c>
      <c r="M441" s="22">
        <f t="shared" si="103"/>
        <v>1.2661143337946403E-2</v>
      </c>
      <c r="N441" s="22">
        <f t="shared" si="103"/>
        <v>1.2544904339887072E-2</v>
      </c>
      <c r="O441" s="22">
        <f t="shared" si="103"/>
        <v>1.2355059245839609E-2</v>
      </c>
      <c r="P441" s="22">
        <f t="shared" si="103"/>
        <v>1.2094642930917438E-2</v>
      </c>
      <c r="Q441" s="22">
        <f t="shared" si="103"/>
        <v>1.1905551806853848E-2</v>
      </c>
      <c r="R441" s="22">
        <f t="shared" si="103"/>
        <v>1.1733192711380727E-2</v>
      </c>
      <c r="S441" s="22">
        <f t="shared" si="103"/>
        <v>1.0540159022343456E-2</v>
      </c>
      <c r="T441" s="22">
        <f t="shared" si="103"/>
        <v>1.1016456136354276E-2</v>
      </c>
      <c r="U441" s="22">
        <f t="shared" si="103"/>
        <v>1.1160455074635459E-2</v>
      </c>
      <c r="V441" s="22">
        <f t="shared" si="103"/>
        <v>1.1050312217899923E-2</v>
      </c>
      <c r="W441" s="22">
        <f t="shared" si="103"/>
        <v>1.0953442161059227E-2</v>
      </c>
      <c r="X441" s="22">
        <f t="shared" ref="L441:AW448" si="105">X1544</f>
        <v>1.092350443018052E-2</v>
      </c>
      <c r="Y441" s="22">
        <f t="shared" si="105"/>
        <v>1.0957897774238343E-2</v>
      </c>
      <c r="Z441" s="22">
        <f t="shared" si="105"/>
        <v>1.1021958773854017E-2</v>
      </c>
      <c r="AA441" s="22">
        <f t="shared" si="105"/>
        <v>1.1122995934864729E-2</v>
      </c>
      <c r="AB441" s="22">
        <f t="shared" si="105"/>
        <v>1.1285302203718813E-2</v>
      </c>
      <c r="AC441" s="22">
        <f t="shared" si="105"/>
        <v>1.1503210812313454E-2</v>
      </c>
      <c r="AD441" s="22">
        <f t="shared" si="105"/>
        <v>1.1751223591029727E-2</v>
      </c>
      <c r="AE441" s="22">
        <f t="shared" si="105"/>
        <v>1.2026878509443005E-2</v>
      </c>
      <c r="AF441" s="22">
        <f t="shared" si="105"/>
        <v>1.231638719636668E-2</v>
      </c>
      <c r="AG441" s="22">
        <f t="shared" si="105"/>
        <v>1.2624721692756056E-2</v>
      </c>
      <c r="AH441" s="22">
        <f t="shared" si="105"/>
        <v>1.2945236189603672E-2</v>
      </c>
      <c r="AI441" s="22">
        <f t="shared" si="105"/>
        <v>1.3256272889518386E-2</v>
      </c>
      <c r="AJ441" s="22">
        <f t="shared" si="105"/>
        <v>1.3587880856077676E-2</v>
      </c>
      <c r="AK441" s="22">
        <f t="shared" si="105"/>
        <v>1.3920150237493829E-2</v>
      </c>
      <c r="AL441" s="22">
        <f t="shared" si="105"/>
        <v>1.4251336517184878E-2</v>
      </c>
      <c r="AM441" s="22">
        <f t="shared" si="105"/>
        <v>1.459000921320037E-2</v>
      </c>
      <c r="AN441" s="22">
        <f t="shared" si="105"/>
        <v>1.4914267004701089E-2</v>
      </c>
      <c r="AO441" s="22">
        <f t="shared" si="105"/>
        <v>1.5253583859586839E-2</v>
      </c>
      <c r="AP441" s="22">
        <f t="shared" si="105"/>
        <v>1.5617741302554344E-2</v>
      </c>
      <c r="AQ441" s="22">
        <f t="shared" si="105"/>
        <v>1.5988262874036725E-2</v>
      </c>
      <c r="AR441" s="22">
        <f t="shared" si="105"/>
        <v>1.6365829750282931E-2</v>
      </c>
      <c r="AS441" s="22">
        <f t="shared" si="105"/>
        <v>1.676909891458386E-2</v>
      </c>
      <c r="AT441" s="22">
        <f t="shared" si="105"/>
        <v>1.7191049930466051E-2</v>
      </c>
      <c r="AU441" s="22">
        <f t="shared" si="105"/>
        <v>1.7626873121628955E-2</v>
      </c>
      <c r="AV441" s="22">
        <f t="shared" si="105"/>
        <v>1.8087873974735078E-2</v>
      </c>
      <c r="AW441" s="22">
        <f t="shared" si="105"/>
        <v>1.8505163196230787E-2</v>
      </c>
      <c r="AY441" s="79"/>
    </row>
    <row r="442" spans="1:51" x14ac:dyDescent="0.25">
      <c r="A442" s="95" t="str">
        <f t="shared" si="104"/>
        <v>GS MM Volatilisation</v>
      </c>
      <c r="B442" s="95" t="s">
        <v>1020</v>
      </c>
      <c r="C442" s="95" t="s">
        <v>1331</v>
      </c>
      <c r="D442" t="s">
        <v>369</v>
      </c>
      <c r="E442" t="s">
        <v>64</v>
      </c>
      <c r="F442" t="s">
        <v>62</v>
      </c>
      <c r="G442" t="s">
        <v>1179</v>
      </c>
      <c r="H442" t="s">
        <v>1303</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7.1969839340941866E-2</v>
      </c>
      <c r="S442" s="22">
        <f t="shared" si="105"/>
        <v>6.9075990112688196E-2</v>
      </c>
      <c r="T442" s="22">
        <f t="shared" si="105"/>
        <v>7.1960031651071718E-2</v>
      </c>
      <c r="U442" s="22">
        <f t="shared" si="105"/>
        <v>7.3674037695468111E-2</v>
      </c>
      <c r="V442" s="22">
        <f t="shared" si="105"/>
        <v>7.4492152680205134E-2</v>
      </c>
      <c r="W442" s="22">
        <f t="shared" si="105"/>
        <v>7.5399470920563483E-2</v>
      </c>
      <c r="X442" s="22">
        <f t="shared" si="105"/>
        <v>7.6582710746940591E-2</v>
      </c>
      <c r="Y442" s="22">
        <f t="shared" si="105"/>
        <v>7.8007027191938444E-2</v>
      </c>
      <c r="Z442" s="22">
        <f t="shared" si="105"/>
        <v>7.95518212189988E-2</v>
      </c>
      <c r="AA442" s="22">
        <f t="shared" si="105"/>
        <v>8.125501320297529E-2</v>
      </c>
      <c r="AB442" s="22">
        <f t="shared" si="105"/>
        <v>8.3229375715267798E-2</v>
      </c>
      <c r="AC442" s="22">
        <f t="shared" si="105"/>
        <v>8.5468913054205911E-2</v>
      </c>
      <c r="AD442" s="22">
        <f t="shared" si="105"/>
        <v>8.7878363840128426E-2</v>
      </c>
      <c r="AE442" s="22">
        <f t="shared" si="105"/>
        <v>9.0457350276048634E-2</v>
      </c>
      <c r="AF442" s="22">
        <f t="shared" si="105"/>
        <v>9.3152543573947852E-2</v>
      </c>
      <c r="AG442" s="22">
        <f t="shared" si="105"/>
        <v>9.5991306514799535E-2</v>
      </c>
      <c r="AH442" s="22">
        <f t="shared" si="105"/>
        <v>9.8949791609125759E-2</v>
      </c>
      <c r="AI442" s="22">
        <f t="shared" si="105"/>
        <v>0.10193029518056052</v>
      </c>
      <c r="AJ442" s="22">
        <f t="shared" si="105"/>
        <v>0.10507798344014782</v>
      </c>
      <c r="AK442" s="22">
        <f t="shared" si="105"/>
        <v>0.10829971138803891</v>
      </c>
      <c r="AL442" s="22">
        <f t="shared" si="105"/>
        <v>0.11158886411942164</v>
      </c>
      <c r="AM442" s="22">
        <f t="shared" si="105"/>
        <v>0.11499192397451925</v>
      </c>
      <c r="AN442" s="22">
        <f t="shared" si="105"/>
        <v>0.11839831966593896</v>
      </c>
      <c r="AO442" s="22">
        <f t="shared" si="105"/>
        <v>0.12196310213771001</v>
      </c>
      <c r="AP442" s="22">
        <f t="shared" si="105"/>
        <v>0.12574583816913645</v>
      </c>
      <c r="AQ442" s="22">
        <f t="shared" si="105"/>
        <v>0.12965360602860704</v>
      </c>
      <c r="AR442" s="22">
        <f t="shared" si="105"/>
        <v>0.13369403699154539</v>
      </c>
      <c r="AS442" s="22">
        <f t="shared" si="105"/>
        <v>0.1379790125366526</v>
      </c>
      <c r="AT442" s="22">
        <f t="shared" si="105"/>
        <v>0.14247835199666176</v>
      </c>
      <c r="AU442" s="22">
        <f t="shared" si="105"/>
        <v>0.14717275078625591</v>
      </c>
      <c r="AV442" s="22">
        <f t="shared" si="105"/>
        <v>0.15213947342494369</v>
      </c>
      <c r="AW442" s="22">
        <f t="shared" si="105"/>
        <v>0.15696141877860778</v>
      </c>
      <c r="AY442" s="79"/>
    </row>
    <row r="443" spans="1:51" x14ac:dyDescent="0.25">
      <c r="A443" s="95" t="str">
        <f t="shared" si="104"/>
        <v>GS MM Volatilisation</v>
      </c>
      <c r="B443" s="95" t="s">
        <v>1020</v>
      </c>
      <c r="C443" s="95" t="s">
        <v>1331</v>
      </c>
      <c r="D443" t="s">
        <v>369</v>
      </c>
      <c r="E443" t="s">
        <v>64</v>
      </c>
      <c r="F443" t="s">
        <v>62</v>
      </c>
      <c r="G443" t="s">
        <v>1181</v>
      </c>
      <c r="H443" t="s">
        <v>1304</v>
      </c>
      <c r="I443" t="s">
        <v>139</v>
      </c>
      <c r="J443" t="s">
        <v>287</v>
      </c>
      <c r="K443" s="22">
        <f t="shared" si="101"/>
        <v>0.31034319165291718</v>
      </c>
      <c r="L443" s="22">
        <f t="shared" si="105"/>
        <v>0.31442985679016972</v>
      </c>
      <c r="M443" s="22">
        <f t="shared" si="105"/>
        <v>0.3209942132552846</v>
      </c>
      <c r="N443" s="22">
        <f t="shared" si="105"/>
        <v>0.3228790317815291</v>
      </c>
      <c r="O443" s="22">
        <f t="shared" si="105"/>
        <v>0.3217232753588708</v>
      </c>
      <c r="P443" s="22">
        <f t="shared" si="105"/>
        <v>0.31753924052538912</v>
      </c>
      <c r="Q443" s="22">
        <f t="shared" si="105"/>
        <v>0.31577785743754239</v>
      </c>
      <c r="R443" s="22">
        <f t="shared" si="105"/>
        <v>0.31441607582114939</v>
      </c>
      <c r="S443" s="22">
        <f t="shared" si="105"/>
        <v>0.27355046715049131</v>
      </c>
      <c r="T443" s="22">
        <f t="shared" si="105"/>
        <v>0.2982999703835697</v>
      </c>
      <c r="U443" s="22">
        <f t="shared" si="105"/>
        <v>0.31020865266324016</v>
      </c>
      <c r="V443" s="22">
        <f t="shared" si="105"/>
        <v>0.31169871113596848</v>
      </c>
      <c r="W443" s="22">
        <f t="shared" si="105"/>
        <v>0.313416443296333</v>
      </c>
      <c r="X443" s="22">
        <f t="shared" si="105"/>
        <v>0.31777262865062833</v>
      </c>
      <c r="Y443" s="22">
        <f t="shared" si="105"/>
        <v>0.32494530500053975</v>
      </c>
      <c r="Z443" s="22">
        <f t="shared" si="105"/>
        <v>0.33352717212448735</v>
      </c>
      <c r="AA443" s="22">
        <f t="shared" si="105"/>
        <v>0.34389700896977449</v>
      </c>
      <c r="AB443" s="22">
        <f t="shared" si="105"/>
        <v>0.35720613223021092</v>
      </c>
      <c r="AC443" s="22">
        <f t="shared" si="105"/>
        <v>0.37330270784262232</v>
      </c>
      <c r="AD443" s="22">
        <f t="shared" si="105"/>
        <v>0.39111878330548938</v>
      </c>
      <c r="AE443" s="22">
        <f t="shared" si="105"/>
        <v>0.41059525274758124</v>
      </c>
      <c r="AF443" s="22">
        <f t="shared" si="105"/>
        <v>0.4311392832902729</v>
      </c>
      <c r="AG443" s="22">
        <f t="shared" si="105"/>
        <v>0.45302578965799745</v>
      </c>
      <c r="AH443" s="22">
        <f t="shared" si="105"/>
        <v>0.47597562229356133</v>
      </c>
      <c r="AI443" s="22">
        <f t="shared" si="105"/>
        <v>0.49895875258724764</v>
      </c>
      <c r="AJ443" s="22">
        <f t="shared" si="105"/>
        <v>0.52346175750841617</v>
      </c>
      <c r="AK443" s="22">
        <f t="shared" si="105"/>
        <v>0.54854282752031391</v>
      </c>
      <c r="AL443" s="22">
        <f t="shared" si="105"/>
        <v>0.57412757690619154</v>
      </c>
      <c r="AM443" s="22">
        <f t="shared" si="105"/>
        <v>0.60066723743034001</v>
      </c>
      <c r="AN443" s="22">
        <f t="shared" si="105"/>
        <v>0.62704755150284652</v>
      </c>
      <c r="AO443" s="22">
        <f t="shared" si="105"/>
        <v>0.65481507956811935</v>
      </c>
      <c r="AP443" s="22">
        <f t="shared" si="105"/>
        <v>0.68454150627200949</v>
      </c>
      <c r="AQ443" s="22">
        <f t="shared" si="105"/>
        <v>0.71529406948310958</v>
      </c>
      <c r="AR443" s="22">
        <f t="shared" si="105"/>
        <v>0.74714458055742761</v>
      </c>
      <c r="AS443" s="22">
        <f t="shared" si="105"/>
        <v>0.78116708322765893</v>
      </c>
      <c r="AT443" s="22">
        <f t="shared" si="105"/>
        <v>0.81704220152579388</v>
      </c>
      <c r="AU443" s="22">
        <f t="shared" si="105"/>
        <v>0.85455779039390145</v>
      </c>
      <c r="AV443" s="22">
        <f t="shared" si="105"/>
        <v>0.8944207901364416</v>
      </c>
      <c r="AW443" s="22">
        <f t="shared" si="105"/>
        <v>0.93268516809491542</v>
      </c>
      <c r="AY443" s="79"/>
    </row>
    <row r="444" spans="1:51" x14ac:dyDescent="0.25">
      <c r="A444" s="95" t="str">
        <f t="shared" si="104"/>
        <v>GS MM Leaching</v>
      </c>
      <c r="B444" s="95" t="s">
        <v>1020</v>
      </c>
      <c r="C444" s="95" t="s">
        <v>1332</v>
      </c>
      <c r="D444" t="s">
        <v>369</v>
      </c>
      <c r="E444" t="s">
        <v>64</v>
      </c>
      <c r="F444" t="s">
        <v>63</v>
      </c>
      <c r="G444" t="s">
        <v>1151</v>
      </c>
      <c r="H444" t="s">
        <v>1305</v>
      </c>
      <c r="I444" t="s">
        <v>139</v>
      </c>
      <c r="J444" t="s">
        <v>287</v>
      </c>
      <c r="K444" s="22">
        <f t="shared" si="101"/>
        <v>8.9211118607918846E-2</v>
      </c>
      <c r="L444" s="22">
        <f t="shared" si="105"/>
        <v>8.9709854381943815E-2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9.2016609055475665E-2</v>
      </c>
      <c r="S444" s="22">
        <f t="shared" si="105"/>
        <v>8.9358864650084344E-2</v>
      </c>
      <c r="T444" s="22">
        <f t="shared" si="105"/>
        <v>9.1160880262772734E-2</v>
      </c>
      <c r="U444" s="22">
        <f t="shared" si="105"/>
        <v>9.2055417480081031E-2</v>
      </c>
      <c r="V444" s="22">
        <f t="shared" si="105"/>
        <v>9.2289034291272776E-2</v>
      </c>
      <c r="W444" s="22">
        <f t="shared" si="105"/>
        <v>9.2621209958625161E-2</v>
      </c>
      <c r="X444" s="22">
        <f t="shared" si="105"/>
        <v>9.3178603232719648E-2</v>
      </c>
      <c r="Y444" s="22">
        <f t="shared" si="105"/>
        <v>9.3914939363977226E-2</v>
      </c>
      <c r="Z444" s="22">
        <f t="shared" si="105"/>
        <v>9.4739349743762011E-2</v>
      </c>
      <c r="AA444" s="22">
        <f t="shared" si="105"/>
        <v>9.5677798677729631E-2</v>
      </c>
      <c r="AB444" s="22">
        <f t="shared" si="105"/>
        <v>9.6810748950836578E-2</v>
      </c>
      <c r="AC444" s="22">
        <f t="shared" si="105"/>
        <v>9.8131619080537594E-2</v>
      </c>
      <c r="AD444" s="22">
        <f t="shared" si="105"/>
        <v>9.956927276254475E-2</v>
      </c>
      <c r="AE444" s="22">
        <f t="shared" si="105"/>
        <v>0.10112241066666731</v>
      </c>
      <c r="AF444" s="22">
        <f t="shared" si="105"/>
        <v>0.10275162031430257</v>
      </c>
      <c r="AG444" s="22">
        <f t="shared" si="105"/>
        <v>0.10447512410975278</v>
      </c>
      <c r="AH444" s="22">
        <f t="shared" si="105"/>
        <v>0.10627520064757517</v>
      </c>
      <c r="AI444" s="22">
        <f t="shared" si="105"/>
        <v>0.10808248543054177</v>
      </c>
      <c r="AJ444" s="22">
        <f t="shared" si="105"/>
        <v>0.10999863373444546</v>
      </c>
      <c r="AK444" s="22">
        <f t="shared" si="105"/>
        <v>0.11195666285750208</v>
      </c>
      <c r="AL444" s="22">
        <f t="shared" si="105"/>
        <v>0.11395159289972816</v>
      </c>
      <c r="AM444" s="22">
        <f t="shared" si="105"/>
        <v>0.11601556458845022</v>
      </c>
      <c r="AN444" s="22">
        <f t="shared" si="105"/>
        <v>0.1180715269808419</v>
      </c>
      <c r="AO444" s="22">
        <f t="shared" si="105"/>
        <v>0.12022624785087629</v>
      </c>
      <c r="AP444" s="22">
        <f t="shared" si="105"/>
        <v>0.12251950907003291</v>
      </c>
      <c r="AQ444" s="22">
        <f t="shared" si="105"/>
        <v>0.12488629569373427</v>
      </c>
      <c r="AR444" s="22">
        <f t="shared" si="105"/>
        <v>0.12733088961691924</v>
      </c>
      <c r="AS444" s="22">
        <f t="shared" si="105"/>
        <v>0.1299285168324007</v>
      </c>
      <c r="AT444" s="22">
        <f t="shared" si="105"/>
        <v>0.13265733115300649</v>
      </c>
      <c r="AU444" s="22">
        <f t="shared" si="105"/>
        <v>0.1355032537790716</v>
      </c>
      <c r="AV444" s="22">
        <f t="shared" si="105"/>
        <v>0.13851756609044491</v>
      </c>
      <c r="AW444" s="22">
        <f t="shared" si="105"/>
        <v>0.1414178902191697</v>
      </c>
      <c r="AY444" s="79"/>
    </row>
    <row r="445" spans="1:51" x14ac:dyDescent="0.25">
      <c r="A445" s="95" t="str">
        <f t="shared" si="104"/>
        <v>GS MM Leaching</v>
      </c>
      <c r="B445" s="95" t="s">
        <v>1020</v>
      </c>
      <c r="C445" s="95" t="s">
        <v>1332</v>
      </c>
      <c r="D445" t="s">
        <v>369</v>
      </c>
      <c r="E445" t="s">
        <v>64</v>
      </c>
      <c r="F445" t="s">
        <v>63</v>
      </c>
      <c r="G445" t="s">
        <v>1153</v>
      </c>
      <c r="H445" t="s">
        <v>1306</v>
      </c>
      <c r="I445" t="s">
        <v>139</v>
      </c>
      <c r="J445" t="s">
        <v>287</v>
      </c>
      <c r="K445" s="22">
        <f t="shared" si="101"/>
        <v>2.6939494531157477E-2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2.7786681470952937E-2</v>
      </c>
      <c r="S445" s="22">
        <f t="shared" si="105"/>
        <v>2.6984110087570477E-2</v>
      </c>
      <c r="T445" s="22">
        <f t="shared" si="105"/>
        <v>2.7528273085418706E-2</v>
      </c>
      <c r="U445" s="22">
        <f t="shared" si="105"/>
        <v>2.7798400630612993E-2</v>
      </c>
      <c r="V445" s="22">
        <f t="shared" si="105"/>
        <v>2.786894698072824E-2</v>
      </c>
      <c r="W445" s="22">
        <f t="shared" si="105"/>
        <v>2.7969255604963213E-2</v>
      </c>
      <c r="X445" s="22">
        <f t="shared" si="105"/>
        <v>2.8137574232657669E-2</v>
      </c>
      <c r="Y445" s="22">
        <f t="shared" si="105"/>
        <v>2.8359929063430364E-2</v>
      </c>
      <c r="Z445" s="22">
        <f t="shared" si="105"/>
        <v>2.8608880082812278E-2</v>
      </c>
      <c r="AA445" s="22">
        <f t="shared" si="105"/>
        <v>2.8892267852396274E-2</v>
      </c>
      <c r="AB445" s="22">
        <f t="shared" si="105"/>
        <v>2.9234390091896226E-2</v>
      </c>
      <c r="AC445" s="22">
        <f t="shared" si="105"/>
        <v>2.9633259360555886E-2</v>
      </c>
      <c r="AD445" s="22">
        <f t="shared" si="105"/>
        <v>3.0067394299210185E-2</v>
      </c>
      <c r="AE445" s="22">
        <f t="shared" si="105"/>
        <v>3.0536402543105565E-2</v>
      </c>
      <c r="AF445" s="22">
        <f t="shared" si="105"/>
        <v>3.102838252359965E-2</v>
      </c>
      <c r="AG445" s="22">
        <f t="shared" si="105"/>
        <v>3.1548836944488824E-2</v>
      </c>
      <c r="AH445" s="22">
        <f t="shared" si="105"/>
        <v>3.2092414390921906E-2</v>
      </c>
      <c r="AI445" s="22">
        <f t="shared" si="105"/>
        <v>3.2638168544515178E-2</v>
      </c>
      <c r="AJ445" s="22">
        <f t="shared" si="105"/>
        <v>3.3216796719561036E-2</v>
      </c>
      <c r="AK445" s="22">
        <f t="shared" si="105"/>
        <v>3.3808071839473604E-2</v>
      </c>
      <c r="AL445" s="22">
        <f t="shared" si="105"/>
        <v>3.4410490100798045E-2</v>
      </c>
      <c r="AM445" s="22">
        <f t="shared" si="105"/>
        <v>3.5033757187775863E-2</v>
      </c>
      <c r="AN445" s="22">
        <f t="shared" si="105"/>
        <v>3.5654605670458001E-2</v>
      </c>
      <c r="AO445" s="22">
        <f t="shared" si="105"/>
        <v>3.6305276707883034E-2</v>
      </c>
      <c r="AP445" s="22">
        <f t="shared" si="105"/>
        <v>3.699778341597066E-2</v>
      </c>
      <c r="AQ445" s="22">
        <f t="shared" si="105"/>
        <v>3.7712492930889352E-2</v>
      </c>
      <c r="AR445" s="22">
        <f t="shared" si="105"/>
        <v>3.8450698276278859E-2</v>
      </c>
      <c r="AS445" s="22">
        <f t="shared" si="105"/>
        <v>3.9235115793483218E-2</v>
      </c>
      <c r="AT445" s="22">
        <f t="shared" si="105"/>
        <v>4.0059148488214832E-2</v>
      </c>
      <c r="AU445" s="22">
        <f t="shared" si="105"/>
        <v>4.0918544920154343E-2</v>
      </c>
      <c r="AV445" s="22">
        <f t="shared" si="105"/>
        <v>4.1828790765006174E-2</v>
      </c>
      <c r="AW445" s="22">
        <f t="shared" si="105"/>
        <v>4.2704615070581362E-2</v>
      </c>
      <c r="AY445" s="79"/>
    </row>
    <row r="446" spans="1:51" x14ac:dyDescent="0.25">
      <c r="A446" s="95" t="str">
        <f t="shared" si="104"/>
        <v>GS MM Leaching</v>
      </c>
      <c r="B446" s="95" t="s">
        <v>1020</v>
      </c>
      <c r="C446" s="95" t="s">
        <v>1332</v>
      </c>
      <c r="D446" t="s">
        <v>369</v>
      </c>
      <c r="E446" t="s">
        <v>64</v>
      </c>
      <c r="F446" t="s">
        <v>63</v>
      </c>
      <c r="G446" t="s">
        <v>1155</v>
      </c>
      <c r="H446" t="s">
        <v>1307</v>
      </c>
      <c r="I446" t="s">
        <v>139</v>
      </c>
      <c r="J446" t="s">
        <v>287</v>
      </c>
      <c r="K446" s="22">
        <f t="shared" si="101"/>
        <v>1.4483668498503175E-3</v>
      </c>
      <c r="L446" s="22">
        <f t="shared" si="105"/>
        <v>1.4564639612104711E-3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1.4939147526814829E-3</v>
      </c>
      <c r="S446" s="22">
        <f t="shared" si="105"/>
        <v>1.4507655471540646E-3</v>
      </c>
      <c r="T446" s="22">
        <f t="shared" si="105"/>
        <v>1.4800217622655623E-3</v>
      </c>
      <c r="U446" s="22">
        <f t="shared" si="105"/>
        <v>1.4945448180429578E-3</v>
      </c>
      <c r="V446" s="22">
        <f t="shared" si="105"/>
        <v>1.4983376507097578E-3</v>
      </c>
      <c r="W446" s="22">
        <f t="shared" si="105"/>
        <v>1.5037306132958967E-3</v>
      </c>
      <c r="X446" s="22">
        <f t="shared" si="105"/>
        <v>1.5127800451730611E-3</v>
      </c>
      <c r="Y446" s="22">
        <f t="shared" si="105"/>
        <v>1.5247346631568088E-3</v>
      </c>
      <c r="Z446" s="22">
        <f t="shared" si="105"/>
        <v>1.5381191905944778E-3</v>
      </c>
      <c r="AA446" s="22">
        <f t="shared" si="105"/>
        <v>1.5533551650721636E-3</v>
      </c>
      <c r="AB446" s="22">
        <f t="shared" si="105"/>
        <v>1.5717489218560997E-3</v>
      </c>
      <c r="AC446" s="22">
        <f t="shared" si="105"/>
        <v>1.5931936087815548E-3</v>
      </c>
      <c r="AD446" s="22">
        <f t="shared" si="105"/>
        <v>1.6165343085404703E-3</v>
      </c>
      <c r="AE446" s="22">
        <f t="shared" si="105"/>
        <v>1.641749926152706E-3</v>
      </c>
      <c r="AF446" s="22">
        <f t="shared" si="105"/>
        <v>1.6682005892753381E-3</v>
      </c>
      <c r="AG446" s="22">
        <f t="shared" si="105"/>
        <v>1.6961821436137869E-3</v>
      </c>
      <c r="AH446" s="22">
        <f t="shared" si="105"/>
        <v>1.7254068773158021E-3</v>
      </c>
      <c r="AI446" s="22">
        <f t="shared" si="105"/>
        <v>1.7547486388443409E-3</v>
      </c>
      <c r="AJ446" s="22">
        <f t="shared" si="105"/>
        <v>1.785857829336261E-3</v>
      </c>
      <c r="AK446" s="22">
        <f t="shared" si="105"/>
        <v>1.81764696635337E-3</v>
      </c>
      <c r="AL446" s="22">
        <f t="shared" si="105"/>
        <v>1.8500351998607825E-3</v>
      </c>
      <c r="AM446" s="22">
        <f t="shared" si="105"/>
        <v>1.88354434333552E-3</v>
      </c>
      <c r="AN446" s="22">
        <f t="shared" si="105"/>
        <v>1.9169234536991781E-3</v>
      </c>
      <c r="AO446" s="22">
        <f t="shared" si="105"/>
        <v>1.9519059348913977E-3</v>
      </c>
      <c r="AP446" s="22">
        <f t="shared" si="105"/>
        <v>1.9891376564492419E-3</v>
      </c>
      <c r="AQ446" s="22">
        <f t="shared" si="105"/>
        <v>2.0275630830096244E-3</v>
      </c>
      <c r="AR446" s="22">
        <f t="shared" si="105"/>
        <v>2.0672517323050989E-3</v>
      </c>
      <c r="AS446" s="22">
        <f t="shared" si="105"/>
        <v>2.1094249188527039E-3</v>
      </c>
      <c r="AT446" s="22">
        <f t="shared" si="105"/>
        <v>2.1537279638434597E-3</v>
      </c>
      <c r="AU446" s="22">
        <f t="shared" si="105"/>
        <v>2.1999322941237188E-3</v>
      </c>
      <c r="AV446" s="22">
        <f t="shared" si="105"/>
        <v>2.2488704768863013E-3</v>
      </c>
      <c r="AW446" s="22">
        <f t="shared" si="105"/>
        <v>2.2959580304044692E-3</v>
      </c>
      <c r="AY446" s="79"/>
    </row>
    <row r="447" spans="1:51" x14ac:dyDescent="0.25">
      <c r="A447" s="95" t="str">
        <f t="shared" si="104"/>
        <v>GS MM Leaching</v>
      </c>
      <c r="B447" s="95" t="s">
        <v>1020</v>
      </c>
      <c r="C447" s="95" t="s">
        <v>1332</v>
      </c>
      <c r="D447" t="s">
        <v>369</v>
      </c>
      <c r="E447" t="s">
        <v>64</v>
      </c>
      <c r="F447" t="s">
        <v>63</v>
      </c>
      <c r="G447" t="s">
        <v>1157</v>
      </c>
      <c r="H447" t="s">
        <v>1308</v>
      </c>
      <c r="I447" t="s">
        <v>139</v>
      </c>
      <c r="J447" t="s">
        <v>287</v>
      </c>
      <c r="K447" s="22">
        <f t="shared" si="101"/>
        <v>3.0303014392691133E-2</v>
      </c>
      <c r="L447" s="22">
        <f t="shared" si="105"/>
        <v>3.0040206026371356E-2</v>
      </c>
      <c r="M447" s="22">
        <f t="shared" si="105"/>
        <v>2.9940162837193186E-2</v>
      </c>
      <c r="N447" s="22">
        <f t="shared" si="105"/>
        <v>2.9540351153331298E-2</v>
      </c>
      <c r="O447" s="22">
        <f t="shared" si="105"/>
        <v>2.8960014730128842E-2</v>
      </c>
      <c r="P447" s="22">
        <f t="shared" si="105"/>
        <v>2.8211154016296501E-2</v>
      </c>
      <c r="Q447" s="22">
        <f t="shared" si="105"/>
        <v>2.7620505669412022E-2</v>
      </c>
      <c r="R447" s="22">
        <f t="shared" si="105"/>
        <v>2.7061685185942385E-2</v>
      </c>
      <c r="S447" s="22">
        <f t="shared" si="105"/>
        <v>2.416485344196681E-2</v>
      </c>
      <c r="T447" s="22">
        <f t="shared" si="105"/>
        <v>2.5320182377840249E-2</v>
      </c>
      <c r="U447" s="22">
        <f t="shared" si="105"/>
        <v>2.5720157477778727E-2</v>
      </c>
      <c r="V447" s="22">
        <f t="shared" si="105"/>
        <v>2.5546462223035794E-2</v>
      </c>
      <c r="W447" s="22">
        <f t="shared" si="105"/>
        <v>2.5405173363708521E-2</v>
      </c>
      <c r="X447" s="22">
        <f t="shared" si="105"/>
        <v>2.5414454482957191E-2</v>
      </c>
      <c r="Y447" s="22">
        <f t="shared" si="105"/>
        <v>2.5563690103476349E-2</v>
      </c>
      <c r="Z447" s="22">
        <f t="shared" si="105"/>
        <v>2.5775445206678543E-2</v>
      </c>
      <c r="AA447" s="22">
        <f t="shared" si="105"/>
        <v>2.6066776415666827E-2</v>
      </c>
      <c r="AB447" s="22">
        <f t="shared" si="105"/>
        <v>2.6493519467488225E-2</v>
      </c>
      <c r="AC447" s="22">
        <f t="shared" si="105"/>
        <v>2.7043622150726768E-2</v>
      </c>
      <c r="AD447" s="22">
        <f t="shared" si="105"/>
        <v>2.7427151031194422E-2</v>
      </c>
      <c r="AE447" s="22">
        <f t="shared" si="105"/>
        <v>2.7855985588875625E-2</v>
      </c>
      <c r="AF447" s="22">
        <f t="shared" si="105"/>
        <v>2.8297808294208047E-2</v>
      </c>
      <c r="AG447" s="22">
        <f t="shared" si="105"/>
        <v>2.8762433728203925E-2</v>
      </c>
      <c r="AH447" s="22">
        <f t="shared" si="105"/>
        <v>2.9234018291177721E-2</v>
      </c>
      <c r="AI447" s="22">
        <f t="shared" si="105"/>
        <v>2.9664658796070921E-2</v>
      </c>
      <c r="AJ447" s="22">
        <f t="shared" si="105"/>
        <v>3.0118905492871519E-2</v>
      </c>
      <c r="AK447" s="22">
        <f t="shared" si="105"/>
        <v>3.0552583954684191E-2</v>
      </c>
      <c r="AL447" s="22">
        <f t="shared" si="105"/>
        <v>3.0961516168479985E-2</v>
      </c>
      <c r="AM447" s="22">
        <f t="shared" si="105"/>
        <v>3.1363182487267389E-2</v>
      </c>
      <c r="AN447" s="22">
        <f t="shared" si="105"/>
        <v>3.1873237924965422E-2</v>
      </c>
      <c r="AO447" s="22">
        <f t="shared" si="105"/>
        <v>3.2400793328725176E-2</v>
      </c>
      <c r="AP447" s="22">
        <f t="shared" si="105"/>
        <v>3.2965020652190688E-2</v>
      </c>
      <c r="AQ447" s="22">
        <f t="shared" si="105"/>
        <v>3.3527052752866549E-2</v>
      </c>
      <c r="AR447" s="22">
        <f t="shared" si="105"/>
        <v>3.4087619114860586E-2</v>
      </c>
      <c r="AS447" s="22">
        <f t="shared" si="105"/>
        <v>3.4683560205557983E-2</v>
      </c>
      <c r="AT447" s="22">
        <f t="shared" si="105"/>
        <v>3.5299445606795467E-2</v>
      </c>
      <c r="AU447" s="22">
        <f t="shared" si="105"/>
        <v>3.5924567561005115E-2</v>
      </c>
      <c r="AV447" s="22">
        <f t="shared" si="105"/>
        <v>3.6580199359184239E-2</v>
      </c>
      <c r="AW447" s="22">
        <f t="shared" si="105"/>
        <v>3.712986506477154E-2</v>
      </c>
      <c r="AY447" s="79"/>
    </row>
    <row r="448" spans="1:51" x14ac:dyDescent="0.25">
      <c r="A448" s="95" t="str">
        <f t="shared" si="104"/>
        <v>GS MM Leaching</v>
      </c>
      <c r="B448" s="95" t="s">
        <v>1020</v>
      </c>
      <c r="C448" s="95" t="s">
        <v>1332</v>
      </c>
      <c r="D448" t="s">
        <v>369</v>
      </c>
      <c r="E448" t="s">
        <v>64</v>
      </c>
      <c r="F448" t="s">
        <v>63</v>
      </c>
      <c r="G448" t="s">
        <v>1159</v>
      </c>
      <c r="H448" t="s">
        <v>1309</v>
      </c>
      <c r="I448" t="s">
        <v>139</v>
      </c>
      <c r="J448" t="s">
        <v>287</v>
      </c>
      <c r="K448" s="22">
        <f t="shared" si="101"/>
        <v>4.0226293185258916E-2</v>
      </c>
      <c r="L448" s="22">
        <f t="shared" si="105"/>
        <v>3.9877423391049015E-2</v>
      </c>
      <c r="M448" s="22">
        <f t="shared" ref="L448:AW454" si="106">M1551</f>
        <v>3.9744619221572089E-2</v>
      </c>
      <c r="N448" s="22">
        <f t="shared" si="106"/>
        <v>3.9213881856453713E-2</v>
      </c>
      <c r="O448" s="22">
        <f t="shared" si="106"/>
        <v>3.8443503609481136E-2</v>
      </c>
      <c r="P448" s="22">
        <f t="shared" si="106"/>
        <v>3.7449414696768608E-2</v>
      </c>
      <c r="Q448" s="22">
        <f t="shared" si="106"/>
        <v>3.666534769725275E-2</v>
      </c>
      <c r="R448" s="22">
        <f t="shared" si="106"/>
        <v>3.5923531179771241E-2</v>
      </c>
      <c r="S448" s="22">
        <f t="shared" si="106"/>
        <v>3.20780786603799E-2</v>
      </c>
      <c r="T448" s="22">
        <f t="shared" si="106"/>
        <v>3.3611741282111272E-2</v>
      </c>
      <c r="U448" s="22">
        <f t="shared" si="106"/>
        <v>3.414269557690279E-2</v>
      </c>
      <c r="V448" s="22">
        <f t="shared" si="106"/>
        <v>3.3912120619849585E-2</v>
      </c>
      <c r="W448" s="22">
        <f t="shared" si="106"/>
        <v>3.372456412776409E-2</v>
      </c>
      <c r="X448" s="22">
        <f t="shared" si="106"/>
        <v>3.3736884520024282E-2</v>
      </c>
      <c r="Y448" s="22">
        <f t="shared" si="106"/>
        <v>3.3934990086252545E-2</v>
      </c>
      <c r="Z448" s="22">
        <f t="shared" si="106"/>
        <v>3.4216088288381921E-2</v>
      </c>
      <c r="AA448" s="22">
        <f t="shared" si="106"/>
        <v>3.4602821254116366E-2</v>
      </c>
      <c r="AB448" s="22">
        <f t="shared" si="106"/>
        <v>3.5169309158418066E-2</v>
      </c>
      <c r="AC448" s="22">
        <f t="shared" si="106"/>
        <v>3.589955307181858E-2</v>
      </c>
      <c r="AD448" s="22">
        <f t="shared" si="106"/>
        <v>3.6408675530422145E-2</v>
      </c>
      <c r="AE448" s="22">
        <f t="shared" si="106"/>
        <v>3.6977939842602774E-2</v>
      </c>
      <c r="AF448" s="22">
        <f t="shared" si="106"/>
        <v>3.7564445510002403E-2</v>
      </c>
      <c r="AG448" s="22">
        <f t="shared" si="106"/>
        <v>3.8181221078500117E-2</v>
      </c>
      <c r="AH448" s="22">
        <f t="shared" si="106"/>
        <v>3.8807234670613311E-2</v>
      </c>
      <c r="AI448" s="22">
        <f t="shared" si="106"/>
        <v>3.9378896320599516E-2</v>
      </c>
      <c r="AJ448" s="22">
        <f t="shared" si="106"/>
        <v>3.9981894443728266E-2</v>
      </c>
      <c r="AK448" s="22">
        <f t="shared" si="106"/>
        <v>4.0557588885440844E-2</v>
      </c>
      <c r="AL448" s="22">
        <f t="shared" si="106"/>
        <v>4.1100433465583154E-2</v>
      </c>
      <c r="AM448" s="22">
        <f t="shared" si="106"/>
        <v>4.1633632799906894E-2</v>
      </c>
      <c r="AN448" s="22">
        <f t="shared" si="106"/>
        <v>4.23107152614631E-2</v>
      </c>
      <c r="AO448" s="22">
        <f t="shared" si="106"/>
        <v>4.3011028374478885E-2</v>
      </c>
      <c r="AP448" s="22">
        <f t="shared" si="106"/>
        <v>4.3760022301047856E-2</v>
      </c>
      <c r="AQ448" s="22">
        <f t="shared" si="106"/>
        <v>4.4506102138793871E-2</v>
      </c>
      <c r="AR448" s="22">
        <f t="shared" si="106"/>
        <v>4.5250236254798015E-2</v>
      </c>
      <c r="AS448" s="22">
        <f t="shared" si="106"/>
        <v>4.6041329204327096E-2</v>
      </c>
      <c r="AT448" s="22">
        <f t="shared" si="106"/>
        <v>4.6858897595301277E-2</v>
      </c>
      <c r="AU448" s="22">
        <f t="shared" si="106"/>
        <v>4.7688727218213149E-2</v>
      </c>
      <c r="AV448" s="22">
        <f t="shared" si="106"/>
        <v>4.8559057694031842E-2</v>
      </c>
      <c r="AW448" s="22">
        <f t="shared" si="106"/>
        <v>4.928872153342103E-2</v>
      </c>
      <c r="AY448" s="79"/>
    </row>
    <row r="449" spans="1:51" x14ac:dyDescent="0.25">
      <c r="A449" s="95" t="str">
        <f t="shared" si="104"/>
        <v>GS MM Leaching</v>
      </c>
      <c r="B449" s="95" t="s">
        <v>1020</v>
      </c>
      <c r="C449" s="95" t="s">
        <v>1332</v>
      </c>
      <c r="D449" t="s">
        <v>369</v>
      </c>
      <c r="E449" t="s">
        <v>64</v>
      </c>
      <c r="F449" t="s">
        <v>63</v>
      </c>
      <c r="G449" t="s">
        <v>1161</v>
      </c>
      <c r="H449" t="s">
        <v>1310</v>
      </c>
      <c r="I449" t="s">
        <v>139</v>
      </c>
      <c r="J449" t="s">
        <v>287</v>
      </c>
      <c r="K449" s="22">
        <f t="shared" si="101"/>
        <v>4.1968337096859189E-2</v>
      </c>
      <c r="L449" s="22">
        <f t="shared" si="106"/>
        <v>4.3383434779753448E-2</v>
      </c>
      <c r="M449" s="22">
        <f t="shared" si="106"/>
        <v>4.5063007666824861E-2</v>
      </c>
      <c r="N449" s="22">
        <f t="shared" si="106"/>
        <v>4.6315596244033488E-2</v>
      </c>
      <c r="O449" s="22">
        <f t="shared" si="106"/>
        <v>4.7281576900430174E-2</v>
      </c>
      <c r="P449" s="22">
        <f t="shared" si="106"/>
        <v>4.7947144057730852E-2</v>
      </c>
      <c r="Q449" s="22">
        <f t="shared" si="106"/>
        <v>4.8855920576585825E-2</v>
      </c>
      <c r="R449" s="22">
        <f t="shared" si="106"/>
        <v>4.9808583705724517E-2</v>
      </c>
      <c r="S449" s="22">
        <f t="shared" si="106"/>
        <v>4.6274354518489276E-2</v>
      </c>
      <c r="T449" s="22">
        <f t="shared" si="106"/>
        <v>4.9654921678945953E-2</v>
      </c>
      <c r="U449" s="22">
        <f t="shared" si="106"/>
        <v>5.1637836574471289E-2</v>
      </c>
      <c r="V449" s="22">
        <f t="shared" si="106"/>
        <v>5.2492346966759522E-2</v>
      </c>
      <c r="W449" s="22">
        <f t="shared" si="106"/>
        <v>5.3412266292045346E-2</v>
      </c>
      <c r="X449" s="22">
        <f t="shared" si="106"/>
        <v>5.4657017670669474E-2</v>
      </c>
      <c r="Y449" s="22">
        <f t="shared" si="106"/>
        <v>5.6225924185537776E-2</v>
      </c>
      <c r="Z449" s="22">
        <f t="shared" si="106"/>
        <v>5.7966478629194101E-2</v>
      </c>
      <c r="AA449" s="22">
        <f t="shared" si="106"/>
        <v>5.9928438330955298E-2</v>
      </c>
      <c r="AB449" s="22">
        <f t="shared" si="106"/>
        <v>6.2256429990458134E-2</v>
      </c>
      <c r="AC449" s="22">
        <f t="shared" si="106"/>
        <v>6.4943944669320713E-2</v>
      </c>
      <c r="AD449" s="22">
        <f t="shared" si="106"/>
        <v>6.8049231515403694E-2</v>
      </c>
      <c r="AE449" s="22">
        <f t="shared" si="106"/>
        <v>7.140958377080403E-2</v>
      </c>
      <c r="AF449" s="22">
        <f t="shared" si="106"/>
        <v>7.4958672292987819E-2</v>
      </c>
      <c r="AG449" s="22">
        <f t="shared" si="106"/>
        <v>7.8735451654029412E-2</v>
      </c>
      <c r="AH449" s="22">
        <f t="shared" si="106"/>
        <v>8.2710770800306643E-2</v>
      </c>
      <c r="AI449" s="22">
        <f t="shared" si="106"/>
        <v>8.6756849519810442E-2</v>
      </c>
      <c r="AJ449" s="22">
        <f t="shared" si="106"/>
        <v>9.1067882332403163E-2</v>
      </c>
      <c r="AK449" s="22">
        <f t="shared" si="106"/>
        <v>9.5524607474435114E-2</v>
      </c>
      <c r="AL449" s="22">
        <f t="shared" si="106"/>
        <v>0.10011966756252628</v>
      </c>
      <c r="AM449" s="22">
        <f t="shared" si="106"/>
        <v>0.10491676883738305</v>
      </c>
      <c r="AN449" s="22">
        <f t="shared" si="106"/>
        <v>0.10963141037847199</v>
      </c>
      <c r="AO449" s="22">
        <f t="shared" si="106"/>
        <v>0.11460133874628856</v>
      </c>
      <c r="AP449" s="22">
        <f t="shared" si="106"/>
        <v>0.11991104885412743</v>
      </c>
      <c r="AQ449" s="22">
        <f t="shared" si="106"/>
        <v>0.12543680820975456</v>
      </c>
      <c r="AR449" s="22">
        <f t="shared" si="106"/>
        <v>0.13119202833792193</v>
      </c>
      <c r="AS449" s="22">
        <f t="shared" si="106"/>
        <v>0.13733413284188337</v>
      </c>
      <c r="AT449" s="22">
        <f t="shared" si="106"/>
        <v>0.14382526611180527</v>
      </c>
      <c r="AU449" s="22">
        <f t="shared" si="106"/>
        <v>0.15064177825264938</v>
      </c>
      <c r="AV449" s="22">
        <f t="shared" si="106"/>
        <v>0.15789428521651691</v>
      </c>
      <c r="AW449" s="22">
        <f t="shared" si="106"/>
        <v>0.16500456611205044</v>
      </c>
      <c r="AY449" s="79"/>
    </row>
    <row r="450" spans="1:51" x14ac:dyDescent="0.25">
      <c r="A450" s="95" t="str">
        <f t="shared" si="104"/>
        <v>GS MM Leaching</v>
      </c>
      <c r="B450" s="95" t="s">
        <v>1020</v>
      </c>
      <c r="C450" s="95" t="s">
        <v>1332</v>
      </c>
      <c r="D450" t="s">
        <v>369</v>
      </c>
      <c r="E450" t="s">
        <v>64</v>
      </c>
      <c r="F450" t="s">
        <v>63</v>
      </c>
      <c r="G450" t="s">
        <v>1163</v>
      </c>
      <c r="H450" t="s">
        <v>1311</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4.4583317952924901E-3</v>
      </c>
      <c r="T450" s="22">
        <f t="shared" si="106"/>
        <v>4.461540810317099E-3</v>
      </c>
      <c r="U450" s="22">
        <f t="shared" si="106"/>
        <v>4.460412588981404E-3</v>
      </c>
      <c r="V450" s="22">
        <f t="shared" si="106"/>
        <v>4.4603313660439596E-3</v>
      </c>
      <c r="W450" s="22">
        <f t="shared" si="106"/>
        <v>4.4650624817454574E-3</v>
      </c>
      <c r="X450" s="22">
        <f t="shared" si="106"/>
        <v>4.472805388518619E-3</v>
      </c>
      <c r="Y450" s="22">
        <f t="shared" si="106"/>
        <v>4.480234793471081E-3</v>
      </c>
      <c r="Z450" s="22">
        <f t="shared" si="106"/>
        <v>4.4873746654050216E-3</v>
      </c>
      <c r="AA450" s="22">
        <f t="shared" si="106"/>
        <v>4.494215260234709E-3</v>
      </c>
      <c r="AB450" s="22">
        <f t="shared" si="106"/>
        <v>4.5008991343885481E-3</v>
      </c>
      <c r="AC450" s="22">
        <f t="shared" si="106"/>
        <v>4.5075239217344356E-3</v>
      </c>
      <c r="AD450" s="22">
        <f t="shared" si="106"/>
        <v>4.5140231510574953E-3</v>
      </c>
      <c r="AE450" s="22">
        <f t="shared" si="106"/>
        <v>4.5204902706730936E-3</v>
      </c>
      <c r="AF450" s="22">
        <f t="shared" si="106"/>
        <v>4.5269049079044851E-3</v>
      </c>
      <c r="AG450" s="22">
        <f t="shared" si="106"/>
        <v>4.5332156646464309E-3</v>
      </c>
      <c r="AH450" s="22">
        <f t="shared" si="106"/>
        <v>4.5394503254180246E-3</v>
      </c>
      <c r="AI450" s="22">
        <f t="shared" si="106"/>
        <v>4.5456155434925177E-3</v>
      </c>
      <c r="AJ450" s="22">
        <f t="shared" si="106"/>
        <v>4.5517322494299031E-3</v>
      </c>
      <c r="AK450" s="22">
        <f t="shared" si="106"/>
        <v>4.5576132842011325E-3</v>
      </c>
      <c r="AL450" s="22">
        <f t="shared" si="106"/>
        <v>4.5632517671133398E-3</v>
      </c>
      <c r="AM450" s="22">
        <f t="shared" si="106"/>
        <v>4.5687003958982874E-3</v>
      </c>
      <c r="AN450" s="22">
        <f t="shared" si="106"/>
        <v>4.5739172155363928E-3</v>
      </c>
      <c r="AO450" s="22">
        <f t="shared" si="106"/>
        <v>4.5789116897468072E-3</v>
      </c>
      <c r="AP450" s="22">
        <f t="shared" si="106"/>
        <v>4.5836613233262938E-3</v>
      </c>
      <c r="AQ450" s="22">
        <f t="shared" si="106"/>
        <v>4.5880981486463275E-3</v>
      </c>
      <c r="AR450" s="22">
        <f t="shared" si="106"/>
        <v>4.592159181597999E-3</v>
      </c>
      <c r="AS450" s="22">
        <f t="shared" si="106"/>
        <v>4.5958403193991975E-3</v>
      </c>
      <c r="AT450" s="22">
        <f t="shared" si="106"/>
        <v>4.5991133923720465E-3</v>
      </c>
      <c r="AU450" s="22">
        <f t="shared" si="106"/>
        <v>4.6019768219588081E-3</v>
      </c>
      <c r="AV450" s="22">
        <f t="shared" si="106"/>
        <v>4.6044854054681089E-3</v>
      </c>
      <c r="AW450" s="22">
        <f t="shared" si="106"/>
        <v>4.6063133110806655E-3</v>
      </c>
      <c r="AY450" s="79"/>
    </row>
    <row r="451" spans="1:51" x14ac:dyDescent="0.25">
      <c r="A451" s="95" t="str">
        <f t="shared" si="104"/>
        <v>GS MM Leaching</v>
      </c>
      <c r="B451" s="95" t="s">
        <v>1020</v>
      </c>
      <c r="C451" s="95" t="s">
        <v>1332</v>
      </c>
      <c r="D451" t="s">
        <v>369</v>
      </c>
      <c r="E451" t="s">
        <v>64</v>
      </c>
      <c r="F451" t="s">
        <v>63</v>
      </c>
      <c r="G451" t="s">
        <v>1165</v>
      </c>
      <c r="H451" t="s">
        <v>1312</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3.7085296571107255E-3</v>
      </c>
      <c r="T451" s="22">
        <f t="shared" si="106"/>
        <v>3.7111989800627421E-3</v>
      </c>
      <c r="U451" s="22">
        <f t="shared" si="106"/>
        <v>3.7102605029651799E-3</v>
      </c>
      <c r="V451" s="22">
        <f t="shared" si="106"/>
        <v>3.7101929400994759E-3</v>
      </c>
      <c r="W451" s="22">
        <f t="shared" si="106"/>
        <v>3.7141283768717579E-3</v>
      </c>
      <c r="X451" s="22">
        <f t="shared" si="106"/>
        <v>3.7205690817629544E-3</v>
      </c>
      <c r="Y451" s="22">
        <f t="shared" si="106"/>
        <v>3.7267490095624013E-3</v>
      </c>
      <c r="Z451" s="22">
        <f t="shared" si="106"/>
        <v>3.732688097999684E-3</v>
      </c>
      <c r="AA451" s="22">
        <f t="shared" si="106"/>
        <v>3.7383782417491837E-3</v>
      </c>
      <c r="AB451" s="22">
        <f t="shared" si="106"/>
        <v>3.7439380221024701E-3</v>
      </c>
      <c r="AC451" s="22">
        <f t="shared" si="106"/>
        <v>3.7494486528658025E-3</v>
      </c>
      <c r="AD451" s="22">
        <f t="shared" si="106"/>
        <v>3.7548548419516796E-3</v>
      </c>
      <c r="AE451" s="22">
        <f t="shared" si="106"/>
        <v>3.7602343215399525E-3</v>
      </c>
      <c r="AF451" s="22">
        <f t="shared" si="106"/>
        <v>3.7655701452301818E-3</v>
      </c>
      <c r="AG451" s="22">
        <f t="shared" si="106"/>
        <v>3.7708195590492773E-3</v>
      </c>
      <c r="AH451" s="22">
        <f t="shared" si="106"/>
        <v>3.7760056747165515E-3</v>
      </c>
      <c r="AI451" s="22">
        <f t="shared" si="106"/>
        <v>3.7811340265579189E-3</v>
      </c>
      <c r="AJ451" s="22">
        <f t="shared" si="106"/>
        <v>3.7862220250322745E-3</v>
      </c>
      <c r="AK451" s="22">
        <f t="shared" si="106"/>
        <v>3.791113987511746E-3</v>
      </c>
      <c r="AL451" s="22">
        <f t="shared" si="106"/>
        <v>3.7958041904982334E-3</v>
      </c>
      <c r="AM451" s="22">
        <f t="shared" si="106"/>
        <v>3.8003364690201913E-3</v>
      </c>
      <c r="AN451" s="22">
        <f t="shared" si="106"/>
        <v>3.8046759240522587E-3</v>
      </c>
      <c r="AO451" s="22">
        <f t="shared" si="106"/>
        <v>3.8088304277055216E-3</v>
      </c>
      <c r="AP451" s="22">
        <f t="shared" si="106"/>
        <v>3.8127812680195002E-3</v>
      </c>
      <c r="AQ451" s="22">
        <f t="shared" si="106"/>
        <v>3.8164719081598638E-3</v>
      </c>
      <c r="AR451" s="22">
        <f t="shared" si="106"/>
        <v>3.8198499566836808E-3</v>
      </c>
      <c r="AS451" s="22">
        <f t="shared" si="106"/>
        <v>3.822912000814643E-3</v>
      </c>
      <c r="AT451" s="22">
        <f t="shared" si="106"/>
        <v>3.8256346084506454E-3</v>
      </c>
      <c r="AU451" s="22">
        <f t="shared" si="106"/>
        <v>3.8280164665157558E-3</v>
      </c>
      <c r="AV451" s="22">
        <f t="shared" si="106"/>
        <v>3.830103156508502E-3</v>
      </c>
      <c r="AW451" s="22">
        <f t="shared" si="106"/>
        <v>3.831623644997431E-3</v>
      </c>
      <c r="AY451" s="79"/>
    </row>
    <row r="452" spans="1:51" x14ac:dyDescent="0.25">
      <c r="A452" s="95" t="str">
        <f t="shared" si="104"/>
        <v>GS MM Leaching</v>
      </c>
      <c r="B452" s="95" t="s">
        <v>1020</v>
      </c>
      <c r="C452" s="95" t="s">
        <v>1332</v>
      </c>
      <c r="D452" t="s">
        <v>369</v>
      </c>
      <c r="E452" t="s">
        <v>64</v>
      </c>
      <c r="F452" t="s">
        <v>63</v>
      </c>
      <c r="G452" t="s">
        <v>1167</v>
      </c>
      <c r="H452" t="s">
        <v>1313</v>
      </c>
      <c r="I452" t="s">
        <v>139</v>
      </c>
      <c r="J452" t="s">
        <v>287</v>
      </c>
      <c r="K452" s="22">
        <f t="shared" si="101"/>
        <v>5.4322987485311551E-4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5.5840147541839707E-4</v>
      </c>
      <c r="R452" s="22">
        <f t="shared" si="106"/>
        <v>5.620753208024884E-4</v>
      </c>
      <c r="S452" s="22">
        <f t="shared" si="106"/>
        <v>5.6069712046990367E-4</v>
      </c>
      <c r="T452" s="22">
        <f t="shared" si="106"/>
        <v>5.6166095935732032E-4</v>
      </c>
      <c r="U452" s="22">
        <f t="shared" si="106"/>
        <v>5.6175448886496286E-4</v>
      </c>
      <c r="V452" s="22">
        <f t="shared" si="106"/>
        <v>5.6201163535097535E-4</v>
      </c>
      <c r="W452" s="22">
        <f t="shared" si="106"/>
        <v>5.6314854989012028E-4</v>
      </c>
      <c r="X452" s="22">
        <f t="shared" si="106"/>
        <v>5.6482088760724937E-4</v>
      </c>
      <c r="Y452" s="22">
        <f t="shared" si="106"/>
        <v>5.6639948615984891E-4</v>
      </c>
      <c r="Z452" s="22">
        <f t="shared" si="106"/>
        <v>5.6789176789216864E-4</v>
      </c>
      <c r="AA452" s="22">
        <f t="shared" si="106"/>
        <v>5.692984966381053E-4</v>
      </c>
      <c r="AB452" s="22">
        <f t="shared" si="106"/>
        <v>5.7064878025290242E-4</v>
      </c>
      <c r="AC452" s="22">
        <f t="shared" si="106"/>
        <v>5.7196287833233815E-4</v>
      </c>
      <c r="AD452" s="22">
        <f t="shared" si="106"/>
        <v>5.7323006225721597E-4</v>
      </c>
      <c r="AE452" s="22">
        <f t="shared" si="106"/>
        <v>5.7446936511734096E-4</v>
      </c>
      <c r="AF452" s="22">
        <f t="shared" si="106"/>
        <v>5.7567836458981281E-4</v>
      </c>
      <c r="AG452" s="22">
        <f t="shared" si="106"/>
        <v>5.7684878803825762E-4</v>
      </c>
      <c r="AH452" s="22">
        <f t="shared" si="106"/>
        <v>5.7798700555519505E-4</v>
      </c>
      <c r="AI452" s="22">
        <f t="shared" si="106"/>
        <v>5.7909534227176243E-4</v>
      </c>
      <c r="AJ452" s="22">
        <f t="shared" si="106"/>
        <v>5.8017866455598575E-4</v>
      </c>
      <c r="AK452" s="22">
        <f t="shared" si="106"/>
        <v>5.8120338345125585E-4</v>
      </c>
      <c r="AL452" s="22">
        <f t="shared" si="106"/>
        <v>5.8216925674029819E-4</v>
      </c>
      <c r="AM452" s="22">
        <f t="shared" si="106"/>
        <v>5.8308692423697495E-4</v>
      </c>
      <c r="AN452" s="22">
        <f t="shared" si="106"/>
        <v>5.839495453276261E-4</v>
      </c>
      <c r="AO452" s="22">
        <f t="shared" si="106"/>
        <v>5.8475968776002874E-4</v>
      </c>
      <c r="AP452" s="22">
        <f t="shared" si="106"/>
        <v>5.8551401869501036E-4</v>
      </c>
      <c r="AQ452" s="22">
        <f t="shared" si="106"/>
        <v>5.8620089468398309E-4</v>
      </c>
      <c r="AR452" s="22">
        <f t="shared" si="106"/>
        <v>5.868096200135702E-4</v>
      </c>
      <c r="AS452" s="22">
        <f t="shared" si="106"/>
        <v>5.87340236215825E-4</v>
      </c>
      <c r="AT452" s="22">
        <f t="shared" si="106"/>
        <v>5.8778838343391971E-4</v>
      </c>
      <c r="AU452" s="22">
        <f t="shared" si="106"/>
        <v>5.8815451618636234E-4</v>
      </c>
      <c r="AV452" s="22">
        <f t="shared" si="106"/>
        <v>5.8844925401827929E-4</v>
      </c>
      <c r="AW452" s="22">
        <f t="shared" si="106"/>
        <v>5.8861438328620193E-4</v>
      </c>
      <c r="AY452" s="79"/>
    </row>
    <row r="453" spans="1:51" x14ac:dyDescent="0.25">
      <c r="A453" s="95" t="str">
        <f t="shared" si="104"/>
        <v>GS MM Leaching</v>
      </c>
      <c r="B453" s="95" t="s">
        <v>1020</v>
      </c>
      <c r="C453" s="95" t="s">
        <v>1332</v>
      </c>
      <c r="D453" t="s">
        <v>369</v>
      </c>
      <c r="E453" t="s">
        <v>64</v>
      </c>
      <c r="F453" t="s">
        <v>63</v>
      </c>
      <c r="G453" t="s">
        <v>1169</v>
      </c>
      <c r="H453" t="s">
        <v>1314</v>
      </c>
      <c r="I453" t="s">
        <v>139</v>
      </c>
      <c r="J453" t="s">
        <v>287</v>
      </c>
      <c r="K453" s="22">
        <f t="shared" si="101"/>
        <v>6.6992563985089938E-3</v>
      </c>
      <c r="L453" s="22">
        <f t="shared" si="106"/>
        <v>6.716671231449923E-3</v>
      </c>
      <c r="M453" s="22">
        <f t="shared" si="106"/>
        <v>6.7406943780734313E-3</v>
      </c>
      <c r="N453" s="22">
        <f t="shared" si="106"/>
        <v>6.769960915195136E-3</v>
      </c>
      <c r="O453" s="22">
        <f t="shared" si="106"/>
        <v>6.8044291009834836E-3</v>
      </c>
      <c r="P453" s="22">
        <f t="shared" si="106"/>
        <v>6.8438891439814974E-3</v>
      </c>
      <c r="Q453" s="22">
        <f t="shared" si="106"/>
        <v>6.8863566425632549E-3</v>
      </c>
      <c r="R453" s="22">
        <f t="shared" si="106"/>
        <v>6.9316634884048298E-3</v>
      </c>
      <c r="S453" s="22">
        <f t="shared" si="106"/>
        <v>6.9146671525553097E-3</v>
      </c>
      <c r="T453" s="22">
        <f t="shared" si="106"/>
        <v>6.9265534720170359E-3</v>
      </c>
      <c r="U453" s="22">
        <f t="shared" si="106"/>
        <v>6.92770690297054E-3</v>
      </c>
      <c r="V453" s="22">
        <f t="shared" si="106"/>
        <v>6.9308781023495105E-3</v>
      </c>
      <c r="W453" s="22">
        <f t="shared" si="106"/>
        <v>6.9448988371314212E-3</v>
      </c>
      <c r="X453" s="22">
        <f t="shared" si="106"/>
        <v>6.9655225540339091E-3</v>
      </c>
      <c r="Y453" s="22">
        <f t="shared" si="106"/>
        <v>6.9849902544379758E-3</v>
      </c>
      <c r="Z453" s="22">
        <f t="shared" si="106"/>
        <v>7.0033934726820464E-3</v>
      </c>
      <c r="AA453" s="22">
        <f t="shared" si="106"/>
        <v>7.0207416285704375E-3</v>
      </c>
      <c r="AB453" s="22">
        <f t="shared" si="106"/>
        <v>7.0373936879747148E-3</v>
      </c>
      <c r="AC453" s="22">
        <f t="shared" si="106"/>
        <v>7.0535994976594404E-3</v>
      </c>
      <c r="AD453" s="22">
        <f t="shared" si="106"/>
        <v>7.0692267494174947E-3</v>
      </c>
      <c r="AE453" s="22">
        <f t="shared" si="106"/>
        <v>7.0845101644130852E-3</v>
      </c>
      <c r="AF453" s="22">
        <f t="shared" si="106"/>
        <v>7.0994198699110417E-3</v>
      </c>
      <c r="AG453" s="22">
        <f t="shared" si="106"/>
        <v>7.113853845542588E-3</v>
      </c>
      <c r="AH453" s="22">
        <f t="shared" si="106"/>
        <v>7.1278906489958219E-3</v>
      </c>
      <c r="AI453" s="22">
        <f t="shared" si="106"/>
        <v>7.1415589544110468E-3</v>
      </c>
      <c r="AJ453" s="22">
        <f t="shared" si="106"/>
        <v>7.1549187751429096E-3</v>
      </c>
      <c r="AK453" s="22">
        <f t="shared" si="106"/>
        <v>7.1675558831769013E-3</v>
      </c>
      <c r="AL453" s="22">
        <f t="shared" si="106"/>
        <v>7.179467291424684E-3</v>
      </c>
      <c r="AM453" s="22">
        <f t="shared" si="106"/>
        <v>7.1907842129221942E-3</v>
      </c>
      <c r="AN453" s="22">
        <f t="shared" si="106"/>
        <v>7.2014222873885451E-3</v>
      </c>
      <c r="AO453" s="22">
        <f t="shared" si="106"/>
        <v>7.2114131809774594E-3</v>
      </c>
      <c r="AP453" s="22">
        <f t="shared" si="106"/>
        <v>7.2207157922230866E-3</v>
      </c>
      <c r="AQ453" s="22">
        <f t="shared" si="106"/>
        <v>7.2291865309970747E-3</v>
      </c>
      <c r="AR453" s="22">
        <f t="shared" si="106"/>
        <v>7.2366934948956893E-3</v>
      </c>
      <c r="AS453" s="22">
        <f t="shared" si="106"/>
        <v>7.2432371961033398E-3</v>
      </c>
      <c r="AT453" s="22">
        <f t="shared" si="106"/>
        <v>7.2487638676972145E-3</v>
      </c>
      <c r="AU453" s="22">
        <f t="shared" si="106"/>
        <v>7.2532791149213611E-3</v>
      </c>
      <c r="AV453" s="22">
        <f t="shared" si="106"/>
        <v>7.2569139008522455E-3</v>
      </c>
      <c r="AW453" s="22">
        <f t="shared" si="106"/>
        <v>7.258950319237764E-3</v>
      </c>
      <c r="AY453" s="79"/>
    </row>
    <row r="454" spans="1:51" x14ac:dyDescent="0.25">
      <c r="A454" s="95" t="str">
        <f t="shared" si="104"/>
        <v>GS MM Leaching</v>
      </c>
      <c r="B454" s="95" t="s">
        <v>1020</v>
      </c>
      <c r="C454" s="95" t="s">
        <v>1332</v>
      </c>
      <c r="D454" t="s">
        <v>369</v>
      </c>
      <c r="E454" t="s">
        <v>64</v>
      </c>
      <c r="F454" t="s">
        <v>63</v>
      </c>
      <c r="G454" t="s">
        <v>1171</v>
      </c>
      <c r="H454" t="s">
        <v>1315</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5">
      <c r="A455" s="95" t="str">
        <f t="shared" si="104"/>
        <v>GS MM Leaching</v>
      </c>
      <c r="B455" s="95" t="s">
        <v>1020</v>
      </c>
      <c r="C455" s="95" t="s">
        <v>1332</v>
      </c>
      <c r="D455" t="s">
        <v>369</v>
      </c>
      <c r="E455" t="s">
        <v>64</v>
      </c>
      <c r="F455" t="s">
        <v>63</v>
      </c>
      <c r="G455" t="s">
        <v>1173</v>
      </c>
      <c r="H455" t="s">
        <v>1316</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5">
      <c r="A456" s="95" t="str">
        <f t="shared" si="104"/>
        <v>GS MM Leaching</v>
      </c>
      <c r="B456" s="95" t="s">
        <v>1020</v>
      </c>
      <c r="C456" s="95" t="s">
        <v>1332</v>
      </c>
      <c r="D456" t="s">
        <v>369</v>
      </c>
      <c r="E456" t="s">
        <v>64</v>
      </c>
      <c r="F456" t="s">
        <v>63</v>
      </c>
      <c r="G456" t="s">
        <v>1175</v>
      </c>
      <c r="H456" t="s">
        <v>1317</v>
      </c>
      <c r="I456" t="s">
        <v>139</v>
      </c>
      <c r="J456" t="s">
        <v>287</v>
      </c>
      <c r="K456" s="22">
        <f t="shared" si="101"/>
        <v>2.6875086183165937E-2</v>
      </c>
      <c r="L456" s="22">
        <f t="shared" si="107"/>
        <v>2.6729002214214575E-2</v>
      </c>
      <c r="M456" s="22">
        <f t="shared" si="107"/>
        <v>2.6740992333189311E-2</v>
      </c>
      <c r="N456" s="22">
        <f t="shared" si="107"/>
        <v>2.6495489531984436E-2</v>
      </c>
      <c r="O456" s="22">
        <f t="shared" si="107"/>
        <v>2.6094526833046999E-2</v>
      </c>
      <c r="P456" s="22">
        <f t="shared" si="107"/>
        <v>2.5544514050244028E-2</v>
      </c>
      <c r="Q456" s="22">
        <f t="shared" si="107"/>
        <v>2.5145143775072754E-2</v>
      </c>
      <c r="R456" s="22">
        <f t="shared" si="107"/>
        <v>2.4781112413324518E-2</v>
      </c>
      <c r="S456" s="22">
        <f t="shared" si="107"/>
        <v>2.2261363297447542E-2</v>
      </c>
      <c r="T456" s="22">
        <f t="shared" si="107"/>
        <v>2.326732754049585E-2</v>
      </c>
      <c r="U456" s="22">
        <f t="shared" si="107"/>
        <v>2.3571460777264748E-2</v>
      </c>
      <c r="V456" s="22">
        <f t="shared" si="107"/>
        <v>2.3338833343161457E-2</v>
      </c>
      <c r="W456" s="22">
        <f t="shared" si="107"/>
        <v>2.3134238751808155E-2</v>
      </c>
      <c r="X456" s="22">
        <f t="shared" si="107"/>
        <v>2.3071008709265216E-2</v>
      </c>
      <c r="Y456" s="22">
        <f t="shared" si="107"/>
        <v>2.3143649238261243E-2</v>
      </c>
      <c r="Z456" s="22">
        <f t="shared" si="107"/>
        <v>2.3278949396695201E-2</v>
      </c>
      <c r="AA456" s="22">
        <f t="shared" si="107"/>
        <v>2.3492345128489588E-2</v>
      </c>
      <c r="AB456" s="22">
        <f t="shared" si="107"/>
        <v>2.3835144398287569E-2</v>
      </c>
      <c r="AC456" s="22">
        <f t="shared" si="107"/>
        <v>2.4295378697531386E-2</v>
      </c>
      <c r="AD456" s="22">
        <f t="shared" si="107"/>
        <v>2.4819194567643824E-2</v>
      </c>
      <c r="AE456" s="22">
        <f t="shared" si="107"/>
        <v>2.5401392072493423E-2</v>
      </c>
      <c r="AF456" s="22">
        <f t="shared" si="107"/>
        <v>2.6012849455983828E-2</v>
      </c>
      <c r="AG456" s="22">
        <f t="shared" si="107"/>
        <v>2.6664067926854041E-2</v>
      </c>
      <c r="AH456" s="22">
        <f t="shared" si="107"/>
        <v>2.734101119130557E-2</v>
      </c>
      <c r="AI456" s="22">
        <f t="shared" si="107"/>
        <v>2.7997936856370267E-2</v>
      </c>
      <c r="AJ456" s="22">
        <f t="shared" si="107"/>
        <v>2.8698310105033351E-2</v>
      </c>
      <c r="AK456" s="22">
        <f t="shared" si="107"/>
        <v>2.9400080296227163E-2</v>
      </c>
      <c r="AL456" s="22">
        <f t="shared" si="107"/>
        <v>3.0099562920322648E-2</v>
      </c>
      <c r="AM456" s="22">
        <f t="shared" si="107"/>
        <v>3.0814857244530154E-2</v>
      </c>
      <c r="AN456" s="22">
        <f t="shared" si="107"/>
        <v>3.1499706541710935E-2</v>
      </c>
      <c r="AO456" s="22">
        <f t="shared" si="107"/>
        <v>3.2216361362909209E-2</v>
      </c>
      <c r="AP456" s="22">
        <f t="shared" si="107"/>
        <v>3.2985480796324254E-2</v>
      </c>
      <c r="AQ456" s="22">
        <f t="shared" si="107"/>
        <v>3.376804159970731E-2</v>
      </c>
      <c r="AR456" s="22">
        <f t="shared" si="107"/>
        <v>3.4565482452675621E-2</v>
      </c>
      <c r="AS456" s="22">
        <f t="shared" si="107"/>
        <v>3.5417207872959197E-2</v>
      </c>
      <c r="AT456" s="22">
        <f t="shared" si="107"/>
        <v>3.6308390334093638E-2</v>
      </c>
      <c r="AU456" s="22">
        <f t="shared" si="107"/>
        <v>3.7228871549923839E-2</v>
      </c>
      <c r="AV456" s="22">
        <f t="shared" si="107"/>
        <v>3.8202529295473395E-2</v>
      </c>
      <c r="AW456" s="22">
        <f t="shared" si="107"/>
        <v>3.9083865804736009E-2</v>
      </c>
      <c r="AY456" s="79"/>
    </row>
    <row r="457" spans="1:51" x14ac:dyDescent="0.25">
      <c r="A457" s="95" t="str">
        <f t="shared" si="104"/>
        <v>GS MM Leaching</v>
      </c>
      <c r="B457" s="95" t="s">
        <v>1020</v>
      </c>
      <c r="C457" s="95" t="s">
        <v>1332</v>
      </c>
      <c r="D457" t="s">
        <v>369</v>
      </c>
      <c r="E457" t="s">
        <v>64</v>
      </c>
      <c r="F457" t="s">
        <v>63</v>
      </c>
      <c r="G457" t="s">
        <v>1177</v>
      </c>
      <c r="H457" t="s">
        <v>1318</v>
      </c>
      <c r="I457" t="s">
        <v>139</v>
      </c>
      <c r="J457" t="s">
        <v>287</v>
      </c>
      <c r="K457" s="22">
        <f t="shared" si="101"/>
        <v>4.0166140097319695E-3</v>
      </c>
      <c r="L457" s="22">
        <f t="shared" si="107"/>
        <v>3.9947810410006978E-3</v>
      </c>
      <c r="M457" s="22">
        <f t="shared" si="107"/>
        <v>3.9965730233416669E-3</v>
      </c>
      <c r="N457" s="22">
        <f t="shared" si="107"/>
        <v>3.9598814204188986E-3</v>
      </c>
      <c r="O457" s="22">
        <f t="shared" si="107"/>
        <v>3.8999555700251287E-3</v>
      </c>
      <c r="P457" s="22">
        <f t="shared" si="107"/>
        <v>3.8177534504158584E-3</v>
      </c>
      <c r="Q457" s="22">
        <f t="shared" si="107"/>
        <v>3.7580655955978051E-3</v>
      </c>
      <c r="R457" s="22">
        <f t="shared" si="107"/>
        <v>3.7036593154610876E-3</v>
      </c>
      <c r="S457" s="22">
        <f t="shared" si="107"/>
        <v>3.3270703984670008E-3</v>
      </c>
      <c r="T457" s="22">
        <f t="shared" si="107"/>
        <v>3.4774167097077883E-3</v>
      </c>
      <c r="U457" s="22">
        <f t="shared" si="107"/>
        <v>3.5228709200238193E-3</v>
      </c>
      <c r="V457" s="22">
        <f t="shared" si="107"/>
        <v>3.4881036041350764E-3</v>
      </c>
      <c r="W457" s="22">
        <f t="shared" si="107"/>
        <v>3.4575259346777865E-3</v>
      </c>
      <c r="X457" s="22">
        <f t="shared" si="107"/>
        <v>3.448075893365063E-3</v>
      </c>
      <c r="Y457" s="22">
        <f t="shared" si="107"/>
        <v>3.4589323782318001E-3</v>
      </c>
      <c r="Z457" s="22">
        <f t="shared" si="107"/>
        <v>3.4791536533630104E-3</v>
      </c>
      <c r="AA457" s="22">
        <f t="shared" si="107"/>
        <v>3.5110466966113414E-3</v>
      </c>
      <c r="AB457" s="22">
        <f t="shared" si="107"/>
        <v>3.5622797360223518E-3</v>
      </c>
      <c r="AC457" s="22">
        <f t="shared" si="107"/>
        <v>3.6310640190383376E-3</v>
      </c>
      <c r="AD457" s="22">
        <f t="shared" si="107"/>
        <v>3.7093508810068579E-3</v>
      </c>
      <c r="AE457" s="22">
        <f t="shared" si="107"/>
        <v>3.7963631658595345E-3</v>
      </c>
      <c r="AF457" s="22">
        <f t="shared" si="107"/>
        <v>3.8877484837016034E-3</v>
      </c>
      <c r="AG457" s="22">
        <f t="shared" si="107"/>
        <v>3.98507629190532E-3</v>
      </c>
      <c r="AH457" s="22">
        <f t="shared" si="107"/>
        <v>4.0862487972233809E-3</v>
      </c>
      <c r="AI457" s="22">
        <f t="shared" si="107"/>
        <v>4.1844295737116129E-3</v>
      </c>
      <c r="AJ457" s="22">
        <f t="shared" si="107"/>
        <v>4.2891038055800747E-3</v>
      </c>
      <c r="AK457" s="22">
        <f t="shared" si="107"/>
        <v>4.3939868173907288E-3</v>
      </c>
      <c r="AL457" s="22">
        <f t="shared" si="107"/>
        <v>4.4985279410305803E-3</v>
      </c>
      <c r="AM457" s="22">
        <f t="shared" si="107"/>
        <v>4.6054322011364794E-3</v>
      </c>
      <c r="AN457" s="22">
        <f t="shared" si="107"/>
        <v>4.707786301988981E-3</v>
      </c>
      <c r="AO457" s="22">
        <f t="shared" si="107"/>
        <v>4.8148938950716034E-3</v>
      </c>
      <c r="AP457" s="22">
        <f t="shared" si="107"/>
        <v>4.929842582877003E-3</v>
      </c>
      <c r="AQ457" s="22">
        <f t="shared" si="107"/>
        <v>5.046800149632805E-3</v>
      </c>
      <c r="AR457" s="22">
        <f t="shared" si="107"/>
        <v>5.1659816130943592E-3</v>
      </c>
      <c r="AS457" s="22">
        <f t="shared" si="107"/>
        <v>5.2932761725327836E-3</v>
      </c>
      <c r="AT457" s="22">
        <f t="shared" si="107"/>
        <v>5.4264677810814564E-3</v>
      </c>
      <c r="AU457" s="22">
        <f t="shared" si="107"/>
        <v>5.5640382328374224E-3</v>
      </c>
      <c r="AV457" s="22">
        <f t="shared" si="107"/>
        <v>5.7095561788936492E-3</v>
      </c>
      <c r="AW457" s="22">
        <f t="shared" si="107"/>
        <v>5.8412762614364865E-3</v>
      </c>
      <c r="AY457" s="79"/>
    </row>
    <row r="458" spans="1:51" x14ac:dyDescent="0.25">
      <c r="A458" s="95" t="str">
        <f t="shared" si="104"/>
        <v>GS MM Leaching</v>
      </c>
      <c r="B458" s="95" t="s">
        <v>1020</v>
      </c>
      <c r="C458" s="95" t="s">
        <v>1332</v>
      </c>
      <c r="D458" t="s">
        <v>369</v>
      </c>
      <c r="E458" t="s">
        <v>64</v>
      </c>
      <c r="F458" t="s">
        <v>63</v>
      </c>
      <c r="G458" t="s">
        <v>1179</v>
      </c>
      <c r="H458" t="s">
        <v>1319</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1.8677293946611211E-2</v>
      </c>
      <c r="S458" s="22">
        <f t="shared" si="107"/>
        <v>1.7926295011943302E-2</v>
      </c>
      <c r="T458" s="22">
        <f t="shared" si="107"/>
        <v>1.8674748698375012E-2</v>
      </c>
      <c r="U458" s="22">
        <f t="shared" si="107"/>
        <v>1.9119559955571311E-2</v>
      </c>
      <c r="V458" s="22">
        <f t="shared" si="107"/>
        <v>1.933187353292521E-2</v>
      </c>
      <c r="W458" s="22">
        <f t="shared" si="107"/>
        <v>1.9567336744090873E-2</v>
      </c>
      <c r="X458" s="22">
        <f t="shared" si="107"/>
        <v>1.9874405903185278E-2</v>
      </c>
      <c r="Y458" s="22">
        <f t="shared" si="107"/>
        <v>2.0244038198599948E-2</v>
      </c>
      <c r="Z458" s="22">
        <f t="shared" si="107"/>
        <v>2.064493630250834E-2</v>
      </c>
      <c r="AA458" s="22">
        <f t="shared" si="107"/>
        <v>2.1086941142640651E-2</v>
      </c>
      <c r="AB458" s="22">
        <f t="shared" si="107"/>
        <v>2.1599318957249428E-2</v>
      </c>
      <c r="AC458" s="22">
        <f t="shared" si="107"/>
        <v>2.2180513768392543E-2</v>
      </c>
      <c r="AD458" s="22">
        <f t="shared" si="107"/>
        <v>2.2805803764739216E-2</v>
      </c>
      <c r="AE458" s="22">
        <f t="shared" si="107"/>
        <v>2.3475090902088748E-2</v>
      </c>
      <c r="AF458" s="22">
        <f t="shared" si="107"/>
        <v>2.4174535529571241E-2</v>
      </c>
      <c r="AG458" s="22">
        <f t="shared" si="107"/>
        <v>2.4911238714913377E-2</v>
      </c>
      <c r="AH458" s="22">
        <f t="shared" si="107"/>
        <v>2.5679011663267932E-2</v>
      </c>
      <c r="AI458" s="22">
        <f t="shared" si="107"/>
        <v>2.645249874928041E-2</v>
      </c>
      <c r="AJ458" s="22">
        <f t="shared" si="107"/>
        <v>2.7269372865090267E-2</v>
      </c>
      <c r="AK458" s="22">
        <f t="shared" si="107"/>
        <v>2.8105461432882069E-2</v>
      </c>
      <c r="AL458" s="22">
        <f t="shared" si="107"/>
        <v>2.8959047781856831E-2</v>
      </c>
      <c r="AM458" s="22">
        <f t="shared" si="107"/>
        <v>2.9842194803075938E-2</v>
      </c>
      <c r="AN458" s="22">
        <f t="shared" si="107"/>
        <v>3.0726207525762706E-2</v>
      </c>
      <c r="AO458" s="22">
        <f t="shared" si="107"/>
        <v>3.1651324084180803E-2</v>
      </c>
      <c r="AP458" s="22">
        <f t="shared" si="107"/>
        <v>3.263300298507002E-2</v>
      </c>
      <c r="AQ458" s="22">
        <f t="shared" si="107"/>
        <v>3.3647129592199072E-2</v>
      </c>
      <c r="AR458" s="22">
        <f t="shared" si="107"/>
        <v>3.4695684340366462E-2</v>
      </c>
      <c r="AS458" s="22">
        <f t="shared" si="107"/>
        <v>3.5807702215394269E-2</v>
      </c>
      <c r="AT458" s="22">
        <f t="shared" si="107"/>
        <v>3.6975350864185588E-2</v>
      </c>
      <c r="AU458" s="22">
        <f t="shared" si="107"/>
        <v>3.8193620446260186E-2</v>
      </c>
      <c r="AV458" s="22">
        <f t="shared" si="107"/>
        <v>3.9482562307511335E-2</v>
      </c>
      <c r="AW458" s="22">
        <f t="shared" si="107"/>
        <v>4.0733932208981263E-2</v>
      </c>
      <c r="AY458" s="79"/>
    </row>
    <row r="459" spans="1:51" x14ac:dyDescent="0.25">
      <c r="A459" s="95" t="str">
        <f t="shared" si="104"/>
        <v>GS MM Leaching</v>
      </c>
      <c r="B459" s="95" t="s">
        <v>1020</v>
      </c>
      <c r="C459" s="95" t="s">
        <v>1332</v>
      </c>
      <c r="D459" t="s">
        <v>369</v>
      </c>
      <c r="E459" t="s">
        <v>64</v>
      </c>
      <c r="F459" t="s">
        <v>63</v>
      </c>
      <c r="G459" t="s">
        <v>1181</v>
      </c>
      <c r="H459" t="s">
        <v>1320</v>
      </c>
      <c r="I459" t="s">
        <v>139</v>
      </c>
      <c r="J459" t="s">
        <v>287</v>
      </c>
      <c r="K459" s="22">
        <f t="shared" si="101"/>
        <v>7.758579791322931E-2</v>
      </c>
      <c r="L459" s="22">
        <f t="shared" si="107"/>
        <v>7.8607464197542429E-2</v>
      </c>
      <c r="M459" s="22">
        <f t="shared" si="107"/>
        <v>8.024855331382115E-2</v>
      </c>
      <c r="N459" s="22">
        <f t="shared" si="107"/>
        <v>8.0719757945382262E-2</v>
      </c>
      <c r="O459" s="22">
        <f t="shared" si="107"/>
        <v>8.0430818839717685E-2</v>
      </c>
      <c r="P459" s="22">
        <f t="shared" si="107"/>
        <v>7.938481013134728E-2</v>
      </c>
      <c r="Q459" s="22">
        <f t="shared" si="107"/>
        <v>7.8944464359385597E-2</v>
      </c>
      <c r="R459" s="22">
        <f t="shared" si="107"/>
        <v>7.8604018955287347E-2</v>
      </c>
      <c r="S459" s="22">
        <f t="shared" si="107"/>
        <v>6.838761678762284E-2</v>
      </c>
      <c r="T459" s="22">
        <f t="shared" si="107"/>
        <v>7.4574992595892425E-2</v>
      </c>
      <c r="U459" s="22">
        <f t="shared" si="107"/>
        <v>7.755216316581004E-2</v>
      </c>
      <c r="V459" s="22">
        <f t="shared" si="107"/>
        <v>7.7924677783992133E-2</v>
      </c>
      <c r="W459" s="22">
        <f t="shared" si="107"/>
        <v>7.8354110824083251E-2</v>
      </c>
      <c r="X459" s="22">
        <f t="shared" si="107"/>
        <v>7.9443157162657083E-2</v>
      </c>
      <c r="Y459" s="22">
        <f t="shared" si="107"/>
        <v>8.1236326250134938E-2</v>
      </c>
      <c r="Z459" s="22">
        <f t="shared" si="107"/>
        <v>8.3381793031121837E-2</v>
      </c>
      <c r="AA459" s="22">
        <f t="shared" si="107"/>
        <v>8.5974252242443622E-2</v>
      </c>
      <c r="AB459" s="22">
        <f t="shared" si="107"/>
        <v>8.9301533057552729E-2</v>
      </c>
      <c r="AC459" s="22">
        <f t="shared" si="107"/>
        <v>9.3325676960655579E-2</v>
      </c>
      <c r="AD459" s="22">
        <f t="shared" si="107"/>
        <v>9.7779695826372345E-2</v>
      </c>
      <c r="AE459" s="22">
        <f t="shared" si="107"/>
        <v>0.10264881318689535</v>
      </c>
      <c r="AF459" s="22">
        <f t="shared" si="107"/>
        <v>0.1077848208225682</v>
      </c>
      <c r="AG459" s="22">
        <f t="shared" si="107"/>
        <v>0.11325644741449936</v>
      </c>
      <c r="AH459" s="22">
        <f t="shared" si="107"/>
        <v>0.11899390557339033</v>
      </c>
      <c r="AI459" s="22">
        <f t="shared" si="107"/>
        <v>0.12473968814681194</v>
      </c>
      <c r="AJ459" s="22">
        <f t="shared" si="107"/>
        <v>0.13086543937710404</v>
      </c>
      <c r="AK459" s="22">
        <f t="shared" si="107"/>
        <v>0.13713570688007848</v>
      </c>
      <c r="AL459" s="22">
        <f t="shared" si="107"/>
        <v>0.14353189422654788</v>
      </c>
      <c r="AM459" s="22">
        <f t="shared" si="107"/>
        <v>0.15016680935758497</v>
      </c>
      <c r="AN459" s="22">
        <f t="shared" si="107"/>
        <v>0.15676188787571166</v>
      </c>
      <c r="AO459" s="22">
        <f t="shared" si="107"/>
        <v>0.16370376989202984</v>
      </c>
      <c r="AP459" s="22">
        <f t="shared" si="107"/>
        <v>0.17113537656800237</v>
      </c>
      <c r="AQ459" s="22">
        <f t="shared" si="107"/>
        <v>0.17882351737077742</v>
      </c>
      <c r="AR459" s="22">
        <f t="shared" si="107"/>
        <v>0.18678614513935693</v>
      </c>
      <c r="AS459" s="22">
        <f t="shared" si="107"/>
        <v>0.19529177080691471</v>
      </c>
      <c r="AT459" s="22">
        <f t="shared" si="107"/>
        <v>0.20426055038144844</v>
      </c>
      <c r="AU459" s="22">
        <f t="shared" si="107"/>
        <v>0.21363944759847542</v>
      </c>
      <c r="AV459" s="22">
        <f t="shared" si="107"/>
        <v>0.2236051975341104</v>
      </c>
      <c r="AW459" s="22">
        <f t="shared" si="107"/>
        <v>0.23317129202372885</v>
      </c>
      <c r="AY459" s="79"/>
    </row>
    <row r="462" spans="1:51" x14ac:dyDescent="0.25">
      <c r="A462" s="95" t="str">
        <f t="shared" si="0"/>
        <v>PQ Cattle</v>
      </c>
      <c r="B462" s="95" t="s">
        <v>967</v>
      </c>
      <c r="C462" s="95" t="s">
        <v>1107</v>
      </c>
      <c r="D462" t="s">
        <v>15</v>
      </c>
      <c r="E462" t="s">
        <v>16</v>
      </c>
      <c r="F462" t="s">
        <v>6</v>
      </c>
      <c r="G462" t="s">
        <v>136</v>
      </c>
      <c r="H462" t="s">
        <v>1019</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72.365714675231743</v>
      </c>
      <c r="T462" s="93">
        <f>IF('Net zero activities &amp; levers'!$C$8="Off",('Activity data'!AM5*EF!$H4)*kgtoGg,IF('Net zero activities &amp; levers'!$C$8="On",(('Net zero supporting data'!K132*EF!$H4)+('Net zero supporting data'!K122*'Net zero supporting data'!K142))*kgtoGg,"ERROR"))</f>
        <v>73.825045522582627</v>
      </c>
      <c r="U462" s="93">
        <f>IF('Net zero activities &amp; levers'!$C$8="Off",('Activity data'!AN5*EF!$H4)*kgtoGg,IF('Net zero activities &amp; levers'!$C$8="On",(('Net zero supporting data'!L132*EF!$H4)+('Net zero supporting data'!L122*'Net zero supporting data'!L142))*kgtoGg,"ERROR"))</f>
        <v>74.549470852823731</v>
      </c>
      <c r="V462" s="93">
        <f>IF('Net zero activities &amp; levers'!$C$8="Off",('Activity data'!AO5*EF!$H4)*kgtoGg,IF('Net zero activities &amp; levers'!$C$8="On",(('Net zero supporting data'!M132*EF!$H4)+('Net zero supporting data'!M122*'Net zero supporting data'!M142))*kgtoGg,"ERROR"))</f>
        <v>74.73866134408884</v>
      </c>
      <c r="W462" s="93">
        <f>IF('Net zero activities &amp; levers'!$C$8="Off",('Activity data'!AP5*EF!$H4)*kgtoGg,IF('Net zero activities &amp; levers'!$C$8="On",(('Net zero supporting data'!N132*EF!$H4)+('Net zero supporting data'!N122*'Net zero supporting data'!N142))*kgtoGg,"ERROR"))</f>
        <v>75.00766800235165</v>
      </c>
      <c r="X462" s="93">
        <f>IF('Net zero activities &amp; levers'!$C$8="Off",('Activity data'!AQ5*EF!$H4)*kgtoGg,IF('Net zero activities &amp; levers'!$C$8="On",(('Net zero supporting data'!O132*EF!$H4)+('Net zero supporting data'!O122*'Net zero supporting data'!O142))*kgtoGg,"ERROR"))</f>
        <v>75.45906320296173</v>
      </c>
      <c r="Y462" s="93">
        <f>IF('Net zero activities &amp; levers'!$C$8="Off",('Activity data'!AR5*EF!$H4)*kgtoGg,IF('Net zero activities &amp; levers'!$C$8="On",(('Net zero supporting data'!P132*EF!$H4)+('Net zero supporting data'!P122*'Net zero supporting data'!P142))*kgtoGg,"ERROR"))</f>
        <v>76.055372148787171</v>
      </c>
      <c r="Z462" s="93">
        <f>IF('Net zero activities &amp; levers'!$C$8="Off",('Activity data'!AS5*EF!$H4)*kgtoGg,IF('Net zero activities &amp; levers'!$C$8="On",(('Net zero supporting data'!Q132*EF!$H4)+('Net zero supporting data'!Q122*'Net zero supporting data'!Q142))*kgtoGg,"ERROR"))</f>
        <v>76.723006485373944</v>
      </c>
      <c r="AA462" s="93">
        <f>IF('Net zero activities &amp; levers'!$C$8="Off",('Activity data'!AT5*EF!$H4)*kgtoGg,IF('Net zero activities &amp; levers'!$C$8="On",(('Net zero supporting data'!R132*EF!$H4)+('Net zero supporting data'!R122*'Net zero supporting data'!R142))*kgtoGg,"ERROR"))</f>
        <v>77.482992951839307</v>
      </c>
      <c r="AB462" s="93">
        <f>IF('Net zero activities &amp; levers'!$C$8="Off",('Activity data'!AU5*EF!$H4)*kgtoGg,IF('Net zero activities &amp; levers'!$C$8="On",(('Net zero supporting data'!S132*EF!$H4)+('Net zero supporting data'!S122*'Net zero supporting data'!S142))*kgtoGg,"ERROR"))</f>
        <v>78.40049292820909</v>
      </c>
      <c r="AC462" s="93">
        <f>IF('Net zero activities &amp; levers'!$C$8="Off",('Activity data'!AV5*EF!$H4)*kgtoGg,IF('Net zero activities &amp; levers'!$C$8="On",(('Net zero supporting data'!T132*EF!$H4)+('Net zero supporting data'!T122*'Net zero supporting data'!T142))*kgtoGg,"ERROR"))</f>
        <v>79.470176515878649</v>
      </c>
      <c r="AD462" s="93">
        <f>IF('Net zero activities &amp; levers'!$C$8="Off",('Activity data'!AW5*EF!$H4)*kgtoGg,IF('Net zero activities &amp; levers'!$C$8="On",(('Net zero supporting data'!U132*EF!$H4)+('Net zero supporting data'!U122*'Net zero supporting data'!U142))*kgtoGg,"ERROR"))</f>
        <v>80.634435222178453</v>
      </c>
      <c r="AE462" s="93">
        <f>IF('Net zero activities &amp; levers'!$C$8="Off",('Activity data'!AX5*EF!$H4)*kgtoGg,IF('Net zero activities &amp; levers'!$C$8="On",(('Net zero supporting data'!V132*EF!$H4)+('Net zero supporting data'!V122*'Net zero supporting data'!V142))*kgtoGg,"ERROR"))</f>
        <v>81.892216807263921</v>
      </c>
      <c r="AF462" s="93">
        <f>IF('Net zero activities &amp; levers'!$C$8="Off",('Activity data'!AY5*EF!$H4)*kgtoGg,IF('Net zero activities &amp; levers'!$C$8="On",(('Net zero supporting data'!W132*EF!$H4)+('Net zero supporting data'!W122*'Net zero supporting data'!W142))*kgtoGg,"ERROR"))</f>
        <v>83.211603764210864</v>
      </c>
      <c r="AG462" s="93">
        <f>IF('Net zero activities &amp; levers'!$C$8="Off",('Activity data'!AZ5*EF!$H4)*kgtoGg,IF('Net zero activities &amp; levers'!$C$8="On",(('Net zero supporting data'!X132*EF!$H4)+('Net zero supporting data'!X122*'Net zero supporting data'!X142))*kgtoGg,"ERROR"))</f>
        <v>84.607353188642591</v>
      </c>
      <c r="AH462" s="93">
        <f>IF('Net zero activities &amp; levers'!$C$8="Off",('Activity data'!BA5*EF!$H4)*kgtoGg,IF('Net zero activities &amp; levers'!$C$8="On",(('Net zero supporting data'!Y132*EF!$H4)+('Net zero supporting data'!Y122*'Net zero supporting data'!Y142))*kgtoGg,"ERROR"))</f>
        <v>86.06511371010545</v>
      </c>
      <c r="AI462" s="93">
        <f>IF('Net zero activities &amp; levers'!$C$8="Off",('Activity data'!BB5*EF!$H4)*kgtoGg,IF('Net zero activities &amp; levers'!$C$8="On",(('Net zero supporting data'!Z132*EF!$H4)+('Net zero supporting data'!Z122*'Net zero supporting data'!Z142))*kgtoGg,"ERROR"))</f>
        <v>87.52871170290878</v>
      </c>
      <c r="AJ462" s="93">
        <f>IF('Net zero activities &amp; levers'!$C$8="Off",('Activity data'!BC5*EF!$H4)*kgtoGg,IF('Net zero activities &amp; levers'!$C$8="On",(('Net zero supporting data'!AA132*EF!$H4)+('Net zero supporting data'!AA122*'Net zero supporting data'!AA142))*kgtoGg,"ERROR"))</f>
        <v>89.080470915368679</v>
      </c>
      <c r="AK462" s="93">
        <f>IF('Net zero activities &amp; levers'!$C$8="Off",('Activity data'!BD5*EF!$H4)*kgtoGg,IF('Net zero activities &amp; levers'!$C$8="On",(('Net zero supporting data'!AB132*EF!$H4)+('Net zero supporting data'!AB122*'Net zero supporting data'!AB142))*kgtoGg,"ERROR"))</f>
        <v>90.666146577204373</v>
      </c>
      <c r="AL462" s="93">
        <f>IF('Net zero activities &amp; levers'!$C$8="Off",('Activity data'!BE5*EF!$H4)*kgtoGg,IF('Net zero activities &amp; levers'!$C$8="On",(('Net zero supporting data'!AC132*EF!$H4)+('Net zero supporting data'!AC122*'Net zero supporting data'!AC142))*kgtoGg,"ERROR"))</f>
        <v>92.281705803455623</v>
      </c>
      <c r="AM462" s="93">
        <f>IF('Net zero activities &amp; levers'!$C$8="Off",('Activity data'!BF5*EF!$H4)*kgtoGg,IF('Net zero activities &amp; levers'!$C$8="On",(('Net zero supporting data'!AD132*EF!$H4)+('Net zero supporting data'!AD122*'Net zero supporting data'!AD142))*kgtoGg,"ERROR"))</f>
        <v>93.953177200375109</v>
      </c>
      <c r="AN462" s="93">
        <f>IF('Net zero activities &amp; levers'!$C$8="Off",('Activity data'!BG5*EF!$H4)*kgtoGg,IF('Net zero activities &amp; levers'!$C$8="On",(('Net zero supporting data'!AE132*EF!$H4)+('Net zero supporting data'!AE122*'Net zero supporting data'!AE142))*kgtoGg,"ERROR"))</f>
        <v>95.618162408652182</v>
      </c>
      <c r="AO462" s="93">
        <f>IF('Net zero activities &amp; levers'!$C$8="Off",('Activity data'!BH5*EF!$H4)*kgtoGg,IF('Net zero activities &amp; levers'!$C$8="On",(('Net zero supporting data'!AF132*EF!$H4)+('Net zero supporting data'!AF122*'Net zero supporting data'!AF142))*kgtoGg,"ERROR"))</f>
        <v>97.363125443895129</v>
      </c>
      <c r="AP462" s="93">
        <f>IF('Net zero activities &amp; levers'!$C$8="Off",('Activity data'!BI5*EF!$H4)*kgtoGg,IF('Net zero activities &amp; levers'!$C$8="On",(('Net zero supporting data'!AG132*EF!$H4)+('Net zero supporting data'!AG122*'Net zero supporting data'!AG142))*kgtoGg,"ERROR"))</f>
        <v>99.220282959393018</v>
      </c>
      <c r="AQ462" s="93">
        <f>IF('Net zero activities &amp; levers'!$C$8="Off",('Activity data'!BJ5*EF!$H4)*kgtoGg,IF('Net zero activities &amp; levers'!$C$8="On",(('Net zero supporting data'!AH132*EF!$H4)+('Net zero supporting data'!AH122*'Net zero supporting data'!AH142))*kgtoGg,"ERROR"))</f>
        <v>101.13698373864543</v>
      </c>
      <c r="AR462" s="93">
        <f>IF('Net zero activities &amp; levers'!$C$8="Off",('Activity data'!BK5*EF!$H4)*kgtoGg,IF('Net zero activities &amp; levers'!$C$8="On",(('Net zero supporting data'!AI132*EF!$H4)+('Net zero supporting data'!AI122*'Net zero supporting data'!AI142))*kgtoGg,"ERROR"))</f>
        <v>103.1166953994274</v>
      </c>
      <c r="AS462" s="93">
        <f>IF('Net zero activities &amp; levers'!$C$8="Off",('Activity data'!BL5*EF!$H4)*kgtoGg,IF('Net zero activities &amp; levers'!$C$8="On",(('Net zero supporting data'!AJ132*EF!$H4)+('Net zero supporting data'!AJ122*'Net zero supporting data'!AJ142))*kgtoGg,"ERROR"))</f>
        <v>105.22033839717858</v>
      </c>
      <c r="AT462" s="93">
        <f>IF('Net zero activities &amp; levers'!$C$8="Off",('Activity data'!BM5*EF!$H4)*kgtoGg,IF('Net zero activities &amp; levers'!$C$8="On",(('Net zero supporting data'!AK132*EF!$H4)+('Net zero supporting data'!AK122*'Net zero supporting data'!AK142))*kgtoGg,"ERROR"))</f>
        <v>107.43022097905694</v>
      </c>
      <c r="AU462" s="93">
        <f>IF('Net zero activities &amp; levers'!$C$8="Off",('Activity data'!BN5*EF!$H4)*kgtoGg,IF('Net zero activities &amp; levers'!$C$8="On",(('Net zero supporting data'!AL132*EF!$H4)+('Net zero supporting data'!AL122*'Net zero supporting data'!AL142))*kgtoGg,"ERROR"))</f>
        <v>109.73494167523042</v>
      </c>
      <c r="AV462" s="93">
        <f>IF('Net zero activities &amp; levers'!$C$8="Off",('Activity data'!BO5*EF!$H4)*kgtoGg,IF('Net zero activities &amp; levers'!$C$8="On",(('Net zero supporting data'!AM132*EF!$H4)+('Net zero supporting data'!AM122*'Net zero supporting data'!AM142))*kgtoGg,"ERROR"))</f>
        <v>112.1760298148465</v>
      </c>
      <c r="AW462" s="93">
        <f>IF('Net zero activities &amp; levers'!$C$8="Off",('Activity data'!BP5*EF!$H4)*kgtoGg,IF('Net zero activities &amp; levers'!$C$8="On",(('Net zero supporting data'!AN132*EF!$H4)+('Net zero supporting data'!AN122*'Net zero supporting data'!AN142))*kgtoGg,"ERROR"))</f>
        <v>114.52480661709059</v>
      </c>
      <c r="AY462" s="79"/>
    </row>
    <row r="463" spans="1:51" x14ac:dyDescent="0.25">
      <c r="A463" s="95" t="str">
        <f t="shared" si="0"/>
        <v>PQ Cattle</v>
      </c>
      <c r="B463" s="95" t="s">
        <v>967</v>
      </c>
      <c r="C463" s="95" t="s">
        <v>1107</v>
      </c>
      <c r="D463" t="s">
        <v>15</v>
      </c>
      <c r="E463" t="s">
        <v>16</v>
      </c>
      <c r="F463" t="s">
        <v>6</v>
      </c>
      <c r="G463" t="s">
        <v>137</v>
      </c>
      <c r="H463" t="s">
        <v>1019</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57.879296587031398</v>
      </c>
      <c r="T463" s="93">
        <f>IF('Net zero activities &amp; levers'!$C$8="Off",('Activity data'!AM6*EF!$H5)*kgtoGg,IF('Net zero activities &amp; levers'!$C$8="On",(('Net zero supporting data'!K133*EF!$H5)+('Net zero supporting data'!K123*'Net zero supporting data'!K143))*kgtoGg,"ERROR"))</f>
        <v>59.046493557468224</v>
      </c>
      <c r="U463" s="93">
        <f>IF('Net zero activities &amp; levers'!$C$8="Off",('Activity data'!AN6*EF!$H5)*kgtoGg,IF('Net zero activities &amp; levers'!$C$8="On",(('Net zero supporting data'!L133*EF!$H5)+('Net zero supporting data'!L123*'Net zero supporting data'!L143))*kgtoGg,"ERROR"))</f>
        <v>59.625900929209891</v>
      </c>
      <c r="V463" s="93">
        <f>IF('Net zero activities &amp; levers'!$C$8="Off",('Activity data'!AO6*EF!$H5)*kgtoGg,IF('Net zero activities &amp; levers'!$C$8="On",(('Net zero supporting data'!M133*EF!$H5)+('Net zero supporting data'!M123*'Net zero supporting data'!M143))*kgtoGg,"ERROR"))</f>
        <v>59.777218616107909</v>
      </c>
      <c r="W463" s="93">
        <f>IF('Net zero activities &amp; levers'!$C$8="Off",('Activity data'!AP6*EF!$H5)*kgtoGg,IF('Net zero activities &amp; levers'!$C$8="On",(('Net zero supporting data'!N133*EF!$H5)+('Net zero supporting data'!N123*'Net zero supporting data'!N143))*kgtoGg,"ERROR"))</f>
        <v>59.992374594700195</v>
      </c>
      <c r="X463" s="93">
        <f>IF('Net zero activities &amp; levers'!$C$8="Off",('Activity data'!AQ6*EF!$H5)*kgtoGg,IF('Net zero activities &amp; levers'!$C$8="On",(('Net zero supporting data'!O133*EF!$H5)+('Net zero supporting data'!O123*'Net zero supporting data'!O143))*kgtoGg,"ERROR"))</f>
        <v>60.353407948842083</v>
      </c>
      <c r="Y463" s="93">
        <f>IF('Net zero activities &amp; levers'!$C$8="Off",('Activity data'!AR6*EF!$H5)*kgtoGg,IF('Net zero activities &amp; levers'!$C$8="On",(('Net zero supporting data'!P133*EF!$H5)+('Net zero supporting data'!P123*'Net zero supporting data'!P143))*kgtoGg,"ERROR"))</f>
        <v>60.830345715404938</v>
      </c>
      <c r="Z463" s="93">
        <f>IF('Net zero activities &amp; levers'!$C$8="Off",('Activity data'!AS6*EF!$H5)*kgtoGg,IF('Net zero activities &amp; levers'!$C$8="On",(('Net zero supporting data'!Q133*EF!$H5)+('Net zero supporting data'!Q123*'Net zero supporting data'!Q143))*kgtoGg,"ERROR"))</f>
        <v>61.364330710266294</v>
      </c>
      <c r="AA463" s="93">
        <f>IF('Net zero activities &amp; levers'!$C$8="Off",('Activity data'!AT6*EF!$H5)*kgtoGg,IF('Net zero activities &amp; levers'!$C$8="On",(('Net zero supporting data'!R133*EF!$H5)+('Net zero supporting data'!R123*'Net zero supporting data'!R143))*kgtoGg,"ERROR"))</f>
        <v>61.97218046746265</v>
      </c>
      <c r="AB463" s="93">
        <f>IF('Net zero activities &amp; levers'!$C$8="Off",('Activity data'!AU6*EF!$H5)*kgtoGg,IF('Net zero activities &amp; levers'!$C$8="On",(('Net zero supporting data'!S133*EF!$H5)+('Net zero supporting data'!S123*'Net zero supporting data'!S143))*kgtoGg,"ERROR"))</f>
        <v>62.706012137463084</v>
      </c>
      <c r="AC463" s="93">
        <f>IF('Net zero activities &amp; levers'!$C$8="Off",('Activity data'!AV6*EF!$H5)*kgtoGg,IF('Net zero activities &amp; levers'!$C$8="On",(('Net zero supporting data'!T133*EF!$H5)+('Net zero supporting data'!T123*'Net zero supporting data'!T143))*kgtoGg,"ERROR"))</f>
        <v>63.561562779128991</v>
      </c>
      <c r="AD463" s="93">
        <f>IF('Net zero activities &amp; levers'!$C$8="Off",('Activity data'!AW6*EF!$H5)*kgtoGg,IF('Net zero activities &amp; levers'!$C$8="On",(('Net zero supporting data'!U133*EF!$H5)+('Net zero supporting data'!U123*'Net zero supporting data'!U143))*kgtoGg,"ERROR"))</f>
        <v>64.49275616633426</v>
      </c>
      <c r="AE463" s="93">
        <f>IF('Net zero activities &amp; levers'!$C$8="Off",('Activity data'!AX6*EF!$H5)*kgtoGg,IF('Net zero activities &amp; levers'!$C$8="On",(('Net zero supporting data'!V133*EF!$H5)+('Net zero supporting data'!V123*'Net zero supporting data'!V143))*kgtoGg,"ERROR"))</f>
        <v>65.498750700231739</v>
      </c>
      <c r="AF463" s="93">
        <f>IF('Net zero activities &amp; levers'!$C$8="Off",('Activity data'!AY6*EF!$H5)*kgtoGg,IF('Net zero activities &amp; levers'!$C$8="On",(('Net zero supporting data'!W133*EF!$H5)+('Net zero supporting data'!W123*'Net zero supporting data'!W143))*kgtoGg,"ERROR"))</f>
        <v>66.554018230400004</v>
      </c>
      <c r="AG463" s="93">
        <f>IF('Net zero activities &amp; levers'!$C$8="Off",('Activity data'!AZ6*EF!$H5)*kgtoGg,IF('Net zero activities &amp; levers'!$C$8="On",(('Net zero supporting data'!X133*EF!$H5)+('Net zero supporting data'!X123*'Net zero supporting data'!X143))*kgtoGg,"ERROR"))</f>
        <v>67.670361726217266</v>
      </c>
      <c r="AH463" s="93">
        <f>IF('Net zero activities &amp; levers'!$C$8="Off",('Activity data'!BA6*EF!$H5)*kgtoGg,IF('Net zero activities &amp; levers'!$C$8="On",(('Net zero supporting data'!Y133*EF!$H5)+('Net zero supporting data'!Y123*'Net zero supporting data'!Y143))*kgtoGg,"ERROR"))</f>
        <v>68.836302724012626</v>
      </c>
      <c r="AI463" s="93">
        <f>IF('Net zero activities &amp; levers'!$C$8="Off",('Activity data'!BB6*EF!$H5)*kgtoGg,IF('Net zero activities &amp; levers'!$C$8="On",(('Net zero supporting data'!Z133*EF!$H5)+('Net zero supporting data'!Z123*'Net zero supporting data'!Z143))*kgtoGg,"ERROR"))</f>
        <v>70.006912628023471</v>
      </c>
      <c r="AJ463" s="93">
        <f>IF('Net zero activities &amp; levers'!$C$8="Off",('Activity data'!BC6*EF!$H5)*kgtoGg,IF('Net zero activities &amp; levers'!$C$8="On",(('Net zero supporting data'!AA133*EF!$H5)+('Net zero supporting data'!AA123*'Net zero supporting data'!AA143))*kgtoGg,"ERROR"))</f>
        <v>71.248035334994583</v>
      </c>
      <c r="AK463" s="93">
        <f>IF('Net zero activities &amp; levers'!$C$8="Off",('Activity data'!BD6*EF!$H5)*kgtoGg,IF('Net zero activities &amp; levers'!$C$8="On",(('Net zero supporting data'!AB133*EF!$H5)+('Net zero supporting data'!AB123*'Net zero supporting data'!AB143))*kgtoGg,"ERROR"))</f>
        <v>72.516284979651772</v>
      </c>
      <c r="AL463" s="93">
        <f>IF('Net zero activities &amp; levers'!$C$8="Off",('Activity data'!BE6*EF!$H5)*kgtoGg,IF('Net zero activities &amp; levers'!$C$8="On",(('Net zero supporting data'!AC133*EF!$H5)+('Net zero supporting data'!AC123*'Net zero supporting data'!AC143))*kgtoGg,"ERROR"))</f>
        <v>73.808435993840746</v>
      </c>
      <c r="AM463" s="93">
        <f>IF('Net zero activities &amp; levers'!$C$8="Off",('Activity data'!BF6*EF!$H5)*kgtoGg,IF('Net zero activities &amp; levers'!$C$8="On",(('Net zero supporting data'!AD133*EF!$H5)+('Net zero supporting data'!AD123*'Net zero supporting data'!AD143))*kgtoGg,"ERROR"))</f>
        <v>75.145306487737145</v>
      </c>
      <c r="AN463" s="93">
        <f>IF('Net zero activities &amp; levers'!$C$8="Off",('Activity data'!BG6*EF!$H5)*kgtoGg,IF('Net zero activities &amp; levers'!$C$8="On",(('Net zero supporting data'!AE133*EF!$H5)+('Net zero supporting data'!AE123*'Net zero supporting data'!AE143))*kgtoGg,"ERROR"))</f>
        <v>76.476989220580691</v>
      </c>
      <c r="AO463" s="93">
        <f>IF('Net zero activities &amp; levers'!$C$8="Off",('Activity data'!BH6*EF!$H5)*kgtoGg,IF('Net zero activities &amp; levers'!$C$8="On",(('Net zero supporting data'!AF133*EF!$H5)+('Net zero supporting data'!AF123*'Net zero supporting data'!AF143))*kgtoGg,"ERROR"))</f>
        <v>77.872639543437259</v>
      </c>
      <c r="AP463" s="93">
        <f>IF('Net zero activities &amp; levers'!$C$8="Off",('Activity data'!BI6*EF!$H5)*kgtoGg,IF('Net zero activities &amp; levers'!$C$8="On",(('Net zero supporting data'!AG133*EF!$H5)+('Net zero supporting data'!AG123*'Net zero supporting data'!AG143))*kgtoGg,"ERROR"))</f>
        <v>79.358024868943161</v>
      </c>
      <c r="AQ463" s="93">
        <f>IF('Net zero activities &amp; levers'!$C$8="Off",('Activity data'!BJ6*EF!$H5)*kgtoGg,IF('Net zero activities &amp; levers'!$C$8="On",(('Net zero supporting data'!AH133*EF!$H5)+('Net zero supporting data'!AH123*'Net zero supporting data'!AH143))*kgtoGg,"ERROR"))</f>
        <v>80.891033882518414</v>
      </c>
      <c r="AR463" s="93">
        <f>IF('Net zero activities &amp; levers'!$C$8="Off",('Activity data'!BK6*EF!$H5)*kgtoGg,IF('Net zero activities &amp; levers'!$C$8="On",(('Net zero supporting data'!AI133*EF!$H5)+('Net zero supporting data'!AI123*'Net zero supporting data'!AI143))*kgtoGg,"ERROR"))</f>
        <v>82.474440042264703</v>
      </c>
      <c r="AS463" s="93">
        <f>IF('Net zero activities &amp; levers'!$C$8="Off",('Activity data'!BL6*EF!$H5)*kgtoGg,IF('Net zero activities &amp; levers'!$C$8="On",(('Net zero supporting data'!AJ133*EF!$H5)+('Net zero supporting data'!AJ123*'Net zero supporting data'!AJ143))*kgtoGg,"ERROR"))</f>
        <v>84.156968536960065</v>
      </c>
      <c r="AT463" s="93">
        <f>IF('Net zero activities &amp; levers'!$C$8="Off",('Activity data'!BM6*EF!$H5)*kgtoGg,IF('Net zero activities &amp; levers'!$C$8="On",(('Net zero supporting data'!AK133*EF!$H5)+('Net zero supporting data'!AK123*'Net zero supporting data'!AK143))*kgtoGg,"ERROR"))</f>
        <v>85.924469209800506</v>
      </c>
      <c r="AU463" s="93">
        <f>IF('Net zero activities &amp; levers'!$C$8="Off",('Activity data'!BN6*EF!$H5)*kgtoGg,IF('Net zero activities &amp; levers'!$C$8="On",(('Net zero supporting data'!AL133*EF!$H5)+('Net zero supporting data'!AL123*'Net zero supporting data'!AL143))*kgtoGg,"ERROR"))</f>
        <v>87.767822976466917</v>
      </c>
      <c r="AV463" s="93">
        <f>IF('Net zero activities &amp; levers'!$C$8="Off",('Activity data'!BO6*EF!$H5)*kgtoGg,IF('Net zero activities &amp; levers'!$C$8="On",(('Net zero supporting data'!AM133*EF!$H5)+('Net zero supporting data'!AM123*'Net zero supporting data'!AM143))*kgtoGg,"ERROR"))</f>
        <v>89.72024568191533</v>
      </c>
      <c r="AW463" s="93">
        <f>IF('Net zero activities &amp; levers'!$C$8="Off",('Activity data'!BP6*EF!$H5)*kgtoGg,IF('Net zero activities &amp; levers'!$C$8="On",(('Net zero supporting data'!AN133*EF!$H5)+('Net zero supporting data'!AN123*'Net zero supporting data'!AN143))*kgtoGg,"ERROR"))</f>
        <v>91.59883625155085</v>
      </c>
      <c r="AY463" s="79"/>
    </row>
    <row r="464" spans="1:51" x14ac:dyDescent="0.25">
      <c r="A464" s="95" t="str">
        <f t="shared" si="0"/>
        <v>PQ Cattle</v>
      </c>
      <c r="B464" s="95" t="s">
        <v>967</v>
      </c>
      <c r="C464" s="95" t="s">
        <v>1107</v>
      </c>
      <c r="D464" t="s">
        <v>15</v>
      </c>
      <c r="E464" t="s">
        <v>16</v>
      </c>
      <c r="F464" t="s">
        <v>67</v>
      </c>
      <c r="G464" t="s">
        <v>307</v>
      </c>
      <c r="H464" t="s">
        <v>1019</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26.169460420911491</v>
      </c>
      <c r="T464" s="93">
        <f>IF('Net zero activities &amp; levers'!$C$8="Off",('Activity data'!AM7*EF!$H6)*kgtoGg,IF('Net zero activities &amp; levers'!$C$8="On",(('Net zero supporting data'!K134*EF!$H6)+('Net zero supporting data'!K124*'Net zero supporting data'!K144))*kgtoGg,"ERROR"))</f>
        <v>26.697195150294817</v>
      </c>
      <c r="U464" s="93">
        <f>IF('Net zero activities &amp; levers'!$C$8="Off",('Activity data'!AN7*EF!$H6)*kgtoGg,IF('Net zero activities &amp; levers'!$C$8="On",(('Net zero supporting data'!L134*EF!$H6)+('Net zero supporting data'!L124*'Net zero supporting data'!L144))*kgtoGg,"ERROR"))</f>
        <v>26.959167551075083</v>
      </c>
      <c r="V464" s="93">
        <f>IF('Net zero activities &amp; levers'!$C$8="Off",('Activity data'!AO7*EF!$H6)*kgtoGg,IF('Net zero activities &amp; levers'!$C$8="On",(('Net zero supporting data'!M134*EF!$H6)+('Net zero supporting data'!M124*'Net zero supporting data'!M144))*kgtoGg,"ERROR"))</f>
        <v>27.027584108493112</v>
      </c>
      <c r="W464" s="93">
        <f>IF('Net zero activities &amp; levers'!$C$8="Off",('Activity data'!AP7*EF!$H6)*kgtoGg,IF('Net zero activities &amp; levers'!$C$8="On",(('Net zero supporting data'!N134*EF!$H6)+('Net zero supporting data'!N124*'Net zero supporting data'!N144))*kgtoGg,"ERROR"))</f>
        <v>27.124864417655591</v>
      </c>
      <c r="X464" s="93">
        <f>IF('Net zero activities &amp; levers'!$C$8="Off",('Activity data'!AQ7*EF!$H6)*kgtoGg,IF('Net zero activities &amp; levers'!$C$8="On",(('Net zero supporting data'!O134*EF!$H6)+('Net zero supporting data'!O124*'Net zero supporting data'!O144))*kgtoGg,"ERROR"))</f>
        <v>27.288101509827889</v>
      </c>
      <c r="Y464" s="93">
        <f>IF('Net zero activities &amp; levers'!$C$8="Off",('Activity data'!AR7*EF!$H6)*kgtoGg,IF('Net zero activities &amp; levers'!$C$8="On",(('Net zero supporting data'!P134*EF!$H6)+('Net zero supporting data'!P124*'Net zero supporting data'!P144))*kgtoGg,"ERROR"))</f>
        <v>27.503743453342821</v>
      </c>
      <c r="Z464" s="93">
        <f>IF('Net zero activities &amp; levers'!$C$8="Off",('Activity data'!AS7*EF!$H6)*kgtoGg,IF('Net zero activities &amp; levers'!$C$8="On",(('Net zero supporting data'!Q134*EF!$H6)+('Net zero supporting data'!Q124*'Net zero supporting data'!Q144))*kgtoGg,"ERROR"))</f>
        <v>27.745178647140875</v>
      </c>
      <c r="AA464" s="93">
        <f>IF('Net zero activities &amp; levers'!$C$8="Off",('Activity data'!AT7*EF!$H6)*kgtoGg,IF('Net zero activities &amp; levers'!$C$8="On",(('Net zero supporting data'!R134*EF!$H6)+('Net zero supporting data'!R124*'Net zero supporting data'!R144))*kgtoGg,"ERROR"))</f>
        <v>28.020010946439662</v>
      </c>
      <c r="AB464" s="93">
        <f>IF('Net zero activities &amp; levers'!$C$8="Off",('Activity data'!AU7*EF!$H6)*kgtoGg,IF('Net zero activities &amp; levers'!$C$8="On",(('Net zero supporting data'!S134*EF!$H6)+('Net zero supporting data'!S124*'Net zero supporting data'!S144))*kgtoGg,"ERROR"))</f>
        <v>28.351804523350385</v>
      </c>
      <c r="AC464" s="93">
        <f>IF('Net zero activities &amp; levers'!$C$8="Off",('Activity data'!AV7*EF!$H6)*kgtoGg,IF('Net zero activities &amp; levers'!$C$8="On",(('Net zero supporting data'!T134*EF!$H6)+('Net zero supporting data'!T124*'Net zero supporting data'!T144))*kgtoGg,"ERROR"))</f>
        <v>28.738631937907769</v>
      </c>
      <c r="AD464" s="93">
        <f>IF('Net zero activities &amp; levers'!$C$8="Off",('Activity data'!AW7*EF!$H6)*kgtoGg,IF('Net zero activities &amp; levers'!$C$8="On",(('Net zero supporting data'!U134*EF!$H6)+('Net zero supporting data'!U124*'Net zero supporting data'!U144))*kgtoGg,"ERROR"))</f>
        <v>29.159660352688871</v>
      </c>
      <c r="AE464" s="93">
        <f>IF('Net zero activities &amp; levers'!$C$8="Off",('Activity data'!AX7*EF!$H6)*kgtoGg,IF('Net zero activities &amp; levers'!$C$8="On",(('Net zero supporting data'!V134*EF!$H6)+('Net zero supporting data'!V124*'Net zero supporting data'!V144))*kgtoGg,"ERROR"))</f>
        <v>29.614509248423072</v>
      </c>
      <c r="AF464" s="93">
        <f>IF('Net zero activities &amp; levers'!$C$8="Off",('Activity data'!AY7*EF!$H6)*kgtoGg,IF('Net zero activities &amp; levers'!$C$8="On",(('Net zero supporting data'!W134*EF!$H6)+('Net zero supporting data'!W124*'Net zero supporting data'!W144))*kgtoGg,"ERROR"))</f>
        <v>30.09163636455321</v>
      </c>
      <c r="AG464" s="93">
        <f>IF('Net zero activities &amp; levers'!$C$8="Off",('Activity data'!AZ7*EF!$H6)*kgtoGg,IF('Net zero activities &amp; levers'!$C$8="On",(('Net zero supporting data'!X134*EF!$H6)+('Net zero supporting data'!X124*'Net zero supporting data'!X144))*kgtoGg,"ERROR"))</f>
        <v>30.596378278373869</v>
      </c>
      <c r="AH464" s="93">
        <f>IF('Net zero activities &amp; levers'!$C$8="Off",('Activity data'!BA7*EF!$H6)*kgtoGg,IF('Net zero activities &amp; levers'!$C$8="On",(('Net zero supporting data'!Y134*EF!$H6)+('Net zero supporting data'!Y124*'Net zero supporting data'!Y144))*kgtoGg,"ERROR"))</f>
        <v>31.123545134125884</v>
      </c>
      <c r="AI464" s="93">
        <f>IF('Net zero activities &amp; levers'!$C$8="Off",('Activity data'!BB7*EF!$H6)*kgtoGg,IF('Net zero activities &amp; levers'!$C$8="On",(('Net zero supporting data'!Z134*EF!$H6)+('Net zero supporting data'!Z124*'Net zero supporting data'!Z144))*kgtoGg,"ERROR"))</f>
        <v>31.652822982298673</v>
      </c>
      <c r="AJ464" s="93">
        <f>IF('Net zero activities &amp; levers'!$C$8="Off",('Activity data'!BC7*EF!$H6)*kgtoGg,IF('Net zero activities &amp; levers'!$C$8="On",(('Net zero supporting data'!AA134*EF!$H6)+('Net zero supporting data'!AA124*'Net zero supporting data'!AA144))*kgtoGg,"ERROR"))</f>
        <v>32.213982385967945</v>
      </c>
      <c r="AK464" s="93">
        <f>IF('Net zero activities &amp; levers'!$C$8="Off",('Activity data'!BD7*EF!$H6)*kgtoGg,IF('Net zero activities &amp; levers'!$C$8="On",(('Net zero supporting data'!AB134*EF!$H6)+('Net zero supporting data'!AB124*'Net zero supporting data'!AB144))*kgtoGg,"ERROR"))</f>
        <v>32.787406923527513</v>
      </c>
      <c r="AL464" s="93">
        <f>IF('Net zero activities &amp; levers'!$C$8="Off",('Activity data'!BE7*EF!$H6)*kgtoGg,IF('Net zero activities &amp; levers'!$C$8="On",(('Net zero supporting data'!AC134*EF!$H6)+('Net zero supporting data'!AC124*'Net zero supporting data'!AC144))*kgtoGg,"ERROR"))</f>
        <v>33.371638191314474</v>
      </c>
      <c r="AM464" s="93">
        <f>IF('Net zero activities &amp; levers'!$C$8="Off",('Activity data'!BF7*EF!$H6)*kgtoGg,IF('Net zero activities &amp; levers'!$C$8="On",(('Net zero supporting data'!AD134*EF!$H6)+('Net zero supporting data'!AD124*'Net zero supporting data'!AD144))*kgtoGg,"ERROR"))</f>
        <v>33.976088859184969</v>
      </c>
      <c r="AN464" s="93">
        <f>IF('Net zero activities &amp; levers'!$C$8="Off",('Activity data'!BG7*EF!$H6)*kgtoGg,IF('Net zero activities &amp; levers'!$C$8="On",(('Net zero supporting data'!AE134*EF!$H6)+('Net zero supporting data'!AE124*'Net zero supporting data'!AE144))*kgtoGg,"ERROR"))</f>
        <v>34.578193940368166</v>
      </c>
      <c r="AO464" s="93">
        <f>IF('Net zero activities &amp; levers'!$C$8="Off",('Activity data'!BH7*EF!$H6)*kgtoGg,IF('Net zero activities &amp; levers'!$C$8="On",(('Net zero supporting data'!AF134*EF!$H6)+('Net zero supporting data'!AF124*'Net zero supporting data'!AF144))*kgtoGg,"ERROR"))</f>
        <v>35.209221234048357</v>
      </c>
      <c r="AP464" s="93">
        <f>IF('Net zero activities &amp; levers'!$C$8="Off",('Activity data'!BI7*EF!$H6)*kgtoGg,IF('Net zero activities &amp; levers'!$C$8="On",(('Net zero supporting data'!AG134*EF!$H6)+('Net zero supporting data'!AG124*'Net zero supporting data'!AG144))*kgtoGg,"ERROR"))</f>
        <v>35.880821180450241</v>
      </c>
      <c r="AQ464" s="93">
        <f>IF('Net zero activities &amp; levers'!$C$8="Off",('Activity data'!BJ7*EF!$H6)*kgtoGg,IF('Net zero activities &amp; levers'!$C$8="On",(('Net zero supporting data'!AH134*EF!$H6)+('Net zero supporting data'!AH124*'Net zero supporting data'!AH144))*kgtoGg,"ERROR"))</f>
        <v>36.573953631452547</v>
      </c>
      <c r="AR464" s="93">
        <f>IF('Net zero activities &amp; levers'!$C$8="Off",('Activity data'!BK7*EF!$H6)*kgtoGg,IF('Net zero activities &amp; levers'!$C$8="On",(('Net zero supporting data'!AI134*EF!$H6)+('Net zero supporting data'!AI124*'Net zero supporting data'!AI144))*kgtoGg,"ERROR"))</f>
        <v>37.289872574340869</v>
      </c>
      <c r="AS464" s="93">
        <f>IF('Net zero activities &amp; levers'!$C$8="Off",('Activity data'!BL7*EF!$H6)*kgtoGg,IF('Net zero activities &amp; levers'!$C$8="On",(('Net zero supporting data'!AJ134*EF!$H6)+('Net zero supporting data'!AJ124*'Net zero supporting data'!AJ144))*kgtoGg,"ERROR"))</f>
        <v>38.050608544633441</v>
      </c>
      <c r="AT464" s="93">
        <f>IF('Net zero activities &amp; levers'!$C$8="Off",('Activity data'!BM7*EF!$H6)*kgtoGg,IF('Net zero activities &amp; levers'!$C$8="On",(('Net zero supporting data'!AK134*EF!$H6)+('Net zero supporting data'!AK124*'Net zero supporting data'!AK144))*kgtoGg,"ERROR"))</f>
        <v>38.849763711149343</v>
      </c>
      <c r="AU464" s="93">
        <f>IF('Net zero activities &amp; levers'!$C$8="Off",('Activity data'!BN7*EF!$H6)*kgtoGg,IF('Net zero activities &amp; levers'!$C$8="On",(('Net zero supporting data'!AL134*EF!$H6)+('Net zero supporting data'!AL124*'Net zero supporting data'!AL144))*kgtoGg,"ERROR"))</f>
        <v>39.683214984455297</v>
      </c>
      <c r="AV464" s="93">
        <f>IF('Net zero activities &amp; levers'!$C$8="Off",('Activity data'!BO7*EF!$H6)*kgtoGg,IF('Net zero activities &amp; levers'!$C$8="On",(('Net zero supporting data'!AM134*EF!$H6)+('Net zero supporting data'!AM124*'Net zero supporting data'!AM144))*kgtoGg,"ERROR"))</f>
        <v>40.565980528060209</v>
      </c>
      <c r="AW464" s="93">
        <f>IF('Net zero activities &amp; levers'!$C$8="Off",('Activity data'!BP7*EF!$H6)*kgtoGg,IF('Net zero activities &amp; levers'!$C$8="On",(('Net zero supporting data'!AN134*EF!$H6)+('Net zero supporting data'!AN124*'Net zero supporting data'!AN144))*kgtoGg,"ERROR"))</f>
        <v>41.415363717872332</v>
      </c>
      <c r="AY464" s="79"/>
    </row>
    <row r="465" spans="1:51" x14ac:dyDescent="0.25">
      <c r="A465" s="95" t="str">
        <f t="shared" si="0"/>
        <v>PQ Cattle</v>
      </c>
      <c r="B465" s="95" t="s">
        <v>967</v>
      </c>
      <c r="C465" s="95" t="s">
        <v>1107</v>
      </c>
      <c r="D465" t="s">
        <v>15</v>
      </c>
      <c r="E465" t="s">
        <v>16</v>
      </c>
      <c r="F465" t="s">
        <v>67</v>
      </c>
      <c r="G465" t="s">
        <v>122</v>
      </c>
      <c r="H465" t="s">
        <v>1019</v>
      </c>
      <c r="I465" t="s">
        <v>121</v>
      </c>
      <c r="J465" t="s">
        <v>286</v>
      </c>
      <c r="K465" s="93">
        <f>IF('Net zero activities &amp; levers'!$C$8="Off",('Activity data'!AD8*EF!$H7)*kgtoGg,IF('Net zero activities &amp; levers'!$C$8="On",(('Net zero supporting data'!B135*EF!$H7)+('Net zero supporting data'!B125*'Net zero supporting data'!B145))*kgtoGg,"ERROR"))</f>
        <v>463.23498593143171</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457.68816035731231</v>
      </c>
      <c r="N465" s="93">
        <f>IF('Net zero activities &amp; levers'!$C$8="Off",('Activity data'!AG8*EF!$H7)*kgtoGg,IF('Net zero activities &amp; levers'!$C$8="On",(('Net zero supporting data'!E135*EF!$H7)+('Net zero supporting data'!E125*'Net zero supporting data'!E145))*kgtoGg,"ERROR"))</f>
        <v>451.57633407663525</v>
      </c>
      <c r="O465" s="93">
        <f>IF('Net zero activities &amp; levers'!$C$8="Off",('Activity data'!AH8*EF!$H7)*kgtoGg,IF('Net zero activities &amp; levers'!$C$8="On",(('Net zero supporting data'!F135*EF!$H7)+('Net zero supporting data'!F125*'Net zero supporting data'!F145))*kgtoGg,"ERROR"))</f>
        <v>442.704868969107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369.40237691087651</v>
      </c>
      <c r="T465" s="93">
        <f>IF('Net zero activities &amp; levers'!$C$8="Off",('Activity data'!AM8*EF!$H7)*kgtoGg,IF('Net zero activities &amp; levers'!$C$8="On",(('Net zero supporting data'!K135*EF!$H7)+('Net zero supporting data'!K125*'Net zero supporting data'!K145))*kgtoGg,"ERROR"))</f>
        <v>387.06361603448636</v>
      </c>
      <c r="U465" s="93">
        <f>IF('Net zero activities &amp; levers'!$C$8="Off",('Activity data'!AN8*EF!$H7)*kgtoGg,IF('Net zero activities &amp; levers'!$C$8="On",(('Net zero supporting data'!L135*EF!$H7)+('Net zero supporting data'!L125*'Net zero supporting data'!L145))*kgtoGg,"ERROR"))</f>
        <v>393.17794041792496</v>
      </c>
      <c r="V465" s="93">
        <f>IF('Net zero activities &amp; levers'!$C$8="Off",('Activity data'!AO8*EF!$H7)*kgtoGg,IF('Net zero activities &amp; levers'!$C$8="On",(('Net zero supporting data'!M135*EF!$H7)+('Net zero supporting data'!M125*'Net zero supporting data'!M145))*kgtoGg,"ERROR"))</f>
        <v>390.52270230053807</v>
      </c>
      <c r="W465" s="93">
        <f>IF('Net zero activities &amp; levers'!$C$8="Off",('Activity data'!AP8*EF!$H7)*kgtoGg,IF('Net zero activities &amp; levers'!$C$8="On",(('Net zero supporting data'!N135*EF!$H7)+('Net zero supporting data'!N125*'Net zero supporting data'!N145))*kgtoGg,"ERROR"))</f>
        <v>388.36285305535796</v>
      </c>
      <c r="X465" s="93">
        <f>IF('Net zero activities &amp; levers'!$C$8="Off",('Activity data'!AQ8*EF!$H7)*kgtoGg,IF('Net zero activities &amp; levers'!$C$8="On",(('Net zero supporting data'!O135*EF!$H7)+('Net zero supporting data'!O125*'Net zero supporting data'!O145))*kgtoGg,"ERROR"))</f>
        <v>388.50473132162119</v>
      </c>
      <c r="Y465" s="93">
        <f>IF('Net zero activities &amp; levers'!$C$8="Off",('Activity data'!AR8*EF!$H7)*kgtoGg,IF('Net zero activities &amp; levers'!$C$8="On",(('Net zero supporting data'!P135*EF!$H7)+('Net zero supporting data'!P125*'Net zero supporting data'!P145))*kgtoGg,"ERROR"))</f>
        <v>390.78606081827786</v>
      </c>
      <c r="Z465" s="93">
        <f>IF('Net zero activities &amp; levers'!$C$8="Off",('Activity data'!AS8*EF!$H7)*kgtoGg,IF('Net zero activities &amp; levers'!$C$8="On",(('Net zero supporting data'!Q135*EF!$H7)+('Net zero supporting data'!Q125*'Net zero supporting data'!Q145))*kgtoGg,"ERROR"))</f>
        <v>394.02311080220409</v>
      </c>
      <c r="AA465" s="93">
        <f>IF('Net zero activities &amp; levers'!$C$8="Off",('Activity data'!AT8*EF!$H7)*kgtoGg,IF('Net zero activities &amp; levers'!$C$8="On",(('Net zero supporting data'!R135*EF!$H7)+('Net zero supporting data'!R125*'Net zero supporting data'!R145))*kgtoGg,"ERROR"))</f>
        <v>398.47662182088436</v>
      </c>
      <c r="AB465" s="93">
        <f>IF('Net zero activities &amp; levers'!$C$8="Off",('Activity data'!AU8*EF!$H7)*kgtoGg,IF('Net zero activities &amp; levers'!$C$8="On",(('Net zero supporting data'!S135*EF!$H7)+('Net zero supporting data'!S125*'Net zero supporting data'!S145))*kgtoGg,"ERROR"))</f>
        <v>405.00014152902594</v>
      </c>
      <c r="AC465" s="93">
        <f>IF('Net zero activities &amp; levers'!$C$8="Off",('Activity data'!AV8*EF!$H7)*kgtoGg,IF('Net zero activities &amp; levers'!$C$8="On",(('Net zero supporting data'!T135*EF!$H7)+('Net zero supporting data'!T125*'Net zero supporting data'!T145))*kgtoGg,"ERROR"))</f>
        <v>413.40943063236716</v>
      </c>
      <c r="AD465" s="93">
        <f>IF('Net zero activities &amp; levers'!$C$8="Off",('Activity data'!AW8*EF!$H7)*kgtoGg,IF('Net zero activities &amp; levers'!$C$8="On",(('Net zero supporting data'!U135*EF!$H7)+('Net zero supporting data'!U125*'Net zero supporting data'!U145))*kgtoGg,"ERROR"))</f>
        <v>419.27234556371411</v>
      </c>
      <c r="AE465" s="93">
        <f>IF('Net zero activities &amp; levers'!$C$8="Off",('Activity data'!AX8*EF!$H7)*kgtoGg,IF('Net zero activities &amp; levers'!$C$8="On",(('Net zero supporting data'!V135*EF!$H7)+('Net zero supporting data'!V125*'Net zero supporting data'!V145))*kgtoGg,"ERROR"))</f>
        <v>425.8278376253316</v>
      </c>
      <c r="AF465" s="93">
        <f>IF('Net zero activities &amp; levers'!$C$8="Off",('Activity data'!AY8*EF!$H7)*kgtoGg,IF('Net zero activities &amp; levers'!$C$8="On",(('Net zero supporting data'!W135*EF!$H7)+('Net zero supporting data'!W125*'Net zero supporting data'!W145))*kgtoGg,"ERROR"))</f>
        <v>432.58187641621225</v>
      </c>
      <c r="AG465" s="93">
        <f>IF('Net zero activities &amp; levers'!$C$8="Off",('Activity data'!AZ8*EF!$H7)*kgtoGg,IF('Net zero activities &amp; levers'!$C$8="On",(('Net zero supporting data'!X135*EF!$H7)+('Net zero supporting data'!X125*'Net zero supporting data'!X145))*kgtoGg,"ERROR"))</f>
        <v>439.68449510593507</v>
      </c>
      <c r="AH465" s="93">
        <f>IF('Net zero activities &amp; levers'!$C$8="Off",('Activity data'!BA8*EF!$H7)*kgtoGg,IF('Net zero activities &amp; levers'!$C$8="On",(('Net zero supporting data'!Y135*EF!$H7)+('Net zero supporting data'!Y125*'Net zero supporting data'!Y145))*kgtoGg,"ERROR"))</f>
        <v>446.893496347981</v>
      </c>
      <c r="AI465" s="93">
        <f>IF('Net zero activities &amp; levers'!$C$8="Off",('Activity data'!BB8*EF!$H7)*kgtoGg,IF('Net zero activities &amp; levers'!$C$8="On",(('Net zero supporting data'!Z135*EF!$H7)+('Net zero supporting data'!Z125*'Net zero supporting data'!Z145))*kgtoGg,"ERROR"))</f>
        <v>453.4765954958275</v>
      </c>
      <c r="AJ465" s="93">
        <f>IF('Net zero activities &amp; levers'!$C$8="Off",('Activity data'!BC8*EF!$H7)*kgtoGg,IF('Net zero activities &amp; levers'!$C$8="On",(('Net zero supporting data'!AA135*EF!$H7)+('Net zero supporting data'!AA125*'Net zero supporting data'!AA145))*kgtoGg,"ERROR"))</f>
        <v>460.42055689435347</v>
      </c>
      <c r="AK465" s="93">
        <f>IF('Net zero activities &amp; levers'!$C$8="Off",('Activity data'!BD8*EF!$H7)*kgtoGg,IF('Net zero activities &amp; levers'!$C$8="On",(('Net zero supporting data'!AB135*EF!$H7)+('Net zero supporting data'!AB125*'Net zero supporting data'!AB145))*kgtoGg,"ERROR"))</f>
        <v>467.05009656830129</v>
      </c>
      <c r="AL465" s="93">
        <f>IF('Net zero activities &amp; levers'!$C$8="Off",('Activity data'!BE8*EF!$H7)*kgtoGg,IF('Net zero activities &amp; levers'!$C$8="On",(('Net zero supporting data'!AC135*EF!$H7)+('Net zero supporting data'!AC125*'Net zero supporting data'!AC145))*kgtoGg,"ERROR"))</f>
        <v>473.30134622451675</v>
      </c>
      <c r="AM465" s="93">
        <f>IF('Net zero activities &amp; levers'!$C$8="Off",('Activity data'!BF8*EF!$H7)*kgtoGg,IF('Net zero activities &amp; levers'!$C$8="On",(('Net zero supporting data'!AD135*EF!$H7)+('Net zero supporting data'!AD125*'Net zero supporting data'!AD145))*kgtoGg,"ERROR"))</f>
        <v>479.44152386893921</v>
      </c>
      <c r="AN465" s="93">
        <f>IF('Net zero activities &amp; levers'!$C$8="Off",('Activity data'!BG8*EF!$H7)*kgtoGg,IF('Net zero activities &amp; levers'!$C$8="On",(('Net zero supporting data'!AE135*EF!$H7)+('Net zero supporting data'!AE125*'Net zero supporting data'!AE145))*kgtoGg,"ERROR"))</f>
        <v>487.2386202384439</v>
      </c>
      <c r="AO465" s="93">
        <f>IF('Net zero activities &amp; levers'!$C$8="Off",('Activity data'!BH8*EF!$H7)*kgtoGg,IF('Net zero activities &amp; levers'!$C$8="On",(('Net zero supporting data'!AF135*EF!$H7)+('Net zero supporting data'!AF125*'Net zero supporting data'!AF145))*kgtoGg,"ERROR"))</f>
        <v>495.30323443397566</v>
      </c>
      <c r="AP465" s="93">
        <f>IF('Net zero activities &amp; levers'!$C$8="Off",('Activity data'!BI8*EF!$H7)*kgtoGg,IF('Net zero activities &amp; levers'!$C$8="On",(('Net zero supporting data'!AG135*EF!$H7)+('Net zero supporting data'!AG125*'Net zero supporting data'!AG145))*kgtoGg,"ERROR"))</f>
        <v>503.92844355873905</v>
      </c>
      <c r="AQ465" s="93">
        <f>IF('Net zero activities &amp; levers'!$C$8="Off",('Activity data'!BJ8*EF!$H7)*kgtoGg,IF('Net zero activities &amp; levers'!$C$8="On",(('Net zero supporting data'!AH135*EF!$H7)+('Net zero supporting data'!AH125*'Net zero supporting data'!AH145))*kgtoGg,"ERROR"))</f>
        <v>512.52009483394647</v>
      </c>
      <c r="AR465" s="93">
        <f>IF('Net zero activities &amp; levers'!$C$8="Off",('Activity data'!BK8*EF!$H7)*kgtoGg,IF('Net zero activities &amp; levers'!$C$8="On",(('Net zero supporting data'!AI135*EF!$H7)+('Net zero supporting data'!AI125*'Net zero supporting data'!AI145))*kgtoGg,"ERROR"))</f>
        <v>521.08933970994713</v>
      </c>
      <c r="AS465" s="93">
        <f>IF('Net zero activities &amp; levers'!$C$8="Off",('Activity data'!BL8*EF!$H7)*kgtoGg,IF('Net zero activities &amp; levers'!$C$8="On",(('Net zero supporting data'!AJ135*EF!$H7)+('Net zero supporting data'!AJ125*'Net zero supporting data'!AJ145))*kgtoGg,"ERROR"))</f>
        <v>530.19934966432822</v>
      </c>
      <c r="AT465" s="93">
        <f>IF('Net zero activities &amp; levers'!$C$8="Off",('Activity data'!BM8*EF!$H7)*kgtoGg,IF('Net zero activities &amp; levers'!$C$8="On",(('Net zero supporting data'!AK135*EF!$H7)+('Net zero supporting data'!AK125*'Net zero supporting data'!AK145))*kgtoGg,"ERROR"))</f>
        <v>539.61424355839688</v>
      </c>
      <c r="AU465" s="93">
        <f>IF('Net zero activities &amp; levers'!$C$8="Off",('Activity data'!BN8*EF!$H7)*kgtoGg,IF('Net zero activities &amp; levers'!$C$8="On",(('Net zero supporting data'!AL135*EF!$H7)+('Net zero supporting data'!AL125*'Net zero supporting data'!AL145))*kgtoGg,"ERROR"))</f>
        <v>549.17033444464153</v>
      </c>
      <c r="AV465" s="93">
        <f>IF('Net zero activities &amp; levers'!$C$8="Off",('Activity data'!BO8*EF!$H7)*kgtoGg,IF('Net zero activities &amp; levers'!$C$8="On",(('Net zero supporting data'!AM135*EF!$H7)+('Net zero supporting data'!AM125*'Net zero supporting data'!AM145))*kgtoGg,"ERROR"))</f>
        <v>559.19282207144863</v>
      </c>
      <c r="AW465" s="93">
        <f>IF('Net zero activities &amp; levers'!$C$8="Off",('Activity data'!BP8*EF!$H7)*kgtoGg,IF('Net zero activities &amp; levers'!$C$8="On",(('Net zero supporting data'!AN135*EF!$H7)+('Net zero supporting data'!AN125*'Net zero supporting data'!AN145))*kgtoGg,"ERROR"))</f>
        <v>567.59543120119042</v>
      </c>
      <c r="AY465" s="79"/>
    </row>
    <row r="466" spans="1:51" x14ac:dyDescent="0.25">
      <c r="A466" s="95" t="str">
        <f t="shared" si="0"/>
        <v>PQ Cattle</v>
      </c>
      <c r="B466" s="95" t="s">
        <v>967</v>
      </c>
      <c r="C466" s="95" t="s">
        <v>1107</v>
      </c>
      <c r="D466" t="s">
        <v>15</v>
      </c>
      <c r="E466" t="s">
        <v>16</v>
      </c>
      <c r="F466" t="s">
        <v>67</v>
      </c>
      <c r="G466" t="s">
        <v>123</v>
      </c>
      <c r="H466" t="s">
        <v>1019</v>
      </c>
      <c r="I466" t="s">
        <v>121</v>
      </c>
      <c r="J466" t="s">
        <v>286</v>
      </c>
      <c r="K466" s="93">
        <f>IF('Net zero activities &amp; levers'!$C$8="Off",('Activity data'!AD9*EF!$H8)*kgtoGg,IF('Net zero activities &amp; levers'!$C$8="On",(('Net zero supporting data'!B136*EF!$H8)+('Net zero supporting data'!B126*'Net zero supporting data'!B146))*kgtoGg,"ERROR"))</f>
        <v>326.20040935577725</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317.99063003627219</v>
      </c>
      <c r="O466" s="93">
        <f>IF('Net zero activities &amp; levers'!$C$8="Off",('Activity data'!AH9*EF!$H8)*kgtoGg,IF('Net zero activities &amp; levers'!$C$8="On",(('Net zero supporting data'!F136*EF!$H8)+('Net zero supporting data'!F126*'Net zero supporting data'!F146))*kgtoGg,"ERROR"))</f>
        <v>311.74352945546775</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260.12544437470751</v>
      </c>
      <c r="T466" s="93">
        <f>IF('Net zero activities &amp; levers'!$C$8="Off",('Activity data'!AM9*EF!$H8)*kgtoGg,IF('Net zero activities &amp; levers'!$C$8="On",(('Net zero supporting data'!K136*EF!$H8)+('Net zero supporting data'!K126*'Net zero supporting data'!K146))*kgtoGg,"ERROR"))</f>
        <v>272.56212037461688</v>
      </c>
      <c r="U466" s="93">
        <f>IF('Net zero activities &amp; levers'!$C$8="Off",('Activity data'!AN9*EF!$H8)*kgtoGg,IF('Net zero activities &amp; levers'!$C$8="On",(('Net zero supporting data'!L136*EF!$H8)+('Net zero supporting data'!L126*'Net zero supporting data'!L146))*kgtoGg,"ERROR"))</f>
        <v>276.86769999918118</v>
      </c>
      <c r="V466" s="93">
        <f>IF('Net zero activities &amp; levers'!$C$8="Off",('Activity data'!AO9*EF!$H8)*kgtoGg,IF('Net zero activities &amp; levers'!$C$8="On",(('Net zero supporting data'!M136*EF!$H8)+('Net zero supporting data'!M126*'Net zero supporting data'!M146))*kgtoGg,"ERROR"))</f>
        <v>274.99793673186855</v>
      </c>
      <c r="W466" s="93">
        <f>IF('Net zero activities &amp; levers'!$C$8="Off",('Activity data'!AP9*EF!$H8)*kgtoGg,IF('Net zero activities &amp; levers'!$C$8="On",(('Net zero supporting data'!N136*EF!$H8)+('Net zero supporting data'!N126*'Net zero supporting data'!N146))*kgtoGg,"ERROR"))</f>
        <v>273.47701596957364</v>
      </c>
      <c r="X466" s="93">
        <f>IF('Net zero activities &amp; levers'!$C$8="Off",('Activity data'!AQ9*EF!$H8)*kgtoGg,IF('Net zero activities &amp; levers'!$C$8="On",(('Net zero supporting data'!O136*EF!$H8)+('Net zero supporting data'!O126*'Net zero supporting data'!O146))*kgtoGg,"ERROR"))</f>
        <v>273.5769236836698</v>
      </c>
      <c r="Y466" s="93">
        <f>IF('Net zero activities &amp; levers'!$C$8="Off",('Activity data'!AR9*EF!$H8)*kgtoGg,IF('Net zero activities &amp; levers'!$C$8="On",(('Net zero supporting data'!P136*EF!$H8)+('Net zero supporting data'!P126*'Net zero supporting data'!P146))*kgtoGg,"ERROR"))</f>
        <v>275.18338830375563</v>
      </c>
      <c r="Z466" s="93">
        <f>IF('Net zero activities &amp; levers'!$C$8="Off",('Activity data'!AS9*EF!$H8)*kgtoGg,IF('Net zero activities &amp; levers'!$C$8="On",(('Net zero supporting data'!Q136*EF!$H8)+('Net zero supporting data'!Q126*'Net zero supporting data'!Q146))*kgtoGg,"ERROR"))</f>
        <v>277.46285134504268</v>
      </c>
      <c r="AA466" s="93">
        <f>IF('Net zero activities &amp; levers'!$C$8="Off",('Activity data'!AT9*EF!$H8)*kgtoGg,IF('Net zero activities &amp; levers'!$C$8="On",(('Net zero supporting data'!R136*EF!$H8)+('Net zero supporting data'!R126*'Net zero supporting data'!R146))*kgtoGg,"ERROR"))</f>
        <v>280.59892085940152</v>
      </c>
      <c r="AB466" s="93">
        <f>IF('Net zero activities &amp; levers'!$C$8="Off",('Activity data'!AU9*EF!$H8)*kgtoGg,IF('Net zero activities &amp; levers'!$C$8="On",(('Net zero supporting data'!S136*EF!$H8)+('Net zero supporting data'!S126*'Net zero supporting data'!S146))*kgtoGg,"ERROR"))</f>
        <v>285.19264729169487</v>
      </c>
      <c r="AC466" s="93">
        <f>IF('Net zero activities &amp; levers'!$C$8="Off",('Activity data'!AV9*EF!$H8)*kgtoGg,IF('Net zero activities &amp; levers'!$C$8="On",(('Net zero supporting data'!T136*EF!$H8)+('Net zero supporting data'!T126*'Net zero supporting data'!T146))*kgtoGg,"ERROR"))</f>
        <v>291.11429317598692</v>
      </c>
      <c r="AD466" s="93">
        <f>IF('Net zero activities &amp; levers'!$C$8="Off",('Activity data'!AW9*EF!$H8)*kgtoGg,IF('Net zero activities &amp; levers'!$C$8="On",(('Net zero supporting data'!U136*EF!$H8)+('Net zero supporting data'!U126*'Net zero supporting data'!U146))*kgtoGg,"ERROR"))</f>
        <v>295.24283551131606</v>
      </c>
      <c r="AE466" s="93">
        <f>IF('Net zero activities &amp; levers'!$C$8="Off",('Activity data'!AX9*EF!$H8)*kgtoGg,IF('Net zero activities &amp; levers'!$C$8="On",(('Net zero supporting data'!V136*EF!$H8)+('Net zero supporting data'!V126*'Net zero supporting data'!V146))*kgtoGg,"ERROR"))</f>
        <v>299.85907620766255</v>
      </c>
      <c r="AF466" s="93">
        <f>IF('Net zero activities &amp; levers'!$C$8="Off",('Activity data'!AY9*EF!$H8)*kgtoGg,IF('Net zero activities &amp; levers'!$C$8="On",(('Net zero supporting data'!W136*EF!$H8)+('Net zero supporting data'!W126*'Net zero supporting data'!W146))*kgtoGg,"ERROR"))</f>
        <v>304.61512936707601</v>
      </c>
      <c r="AG466" s="93">
        <f>IF('Net zero activities &amp; levers'!$C$8="Off",('Activity data'!AZ9*EF!$H8)*kgtoGg,IF('Net zero activities &amp; levers'!$C$8="On",(('Net zero supporting data'!X136*EF!$H8)+('Net zero supporting data'!X126*'Net zero supporting data'!X146))*kgtoGg,"ERROR"))</f>
        <v>309.61664521637437</v>
      </c>
      <c r="AH466" s="93">
        <f>IF('Net zero activities &amp; levers'!$C$8="Off",('Activity data'!BA9*EF!$H8)*kgtoGg,IF('Net zero activities &amp; levers'!$C$8="On",(('Net zero supporting data'!Y136*EF!$H8)+('Net zero supporting data'!Y126*'Net zero supporting data'!Y146))*kgtoGg,"ERROR"))</f>
        <v>314.69307343880962</v>
      </c>
      <c r="AI466" s="93">
        <f>IF('Net zero activities &amp; levers'!$C$8="Off",('Activity data'!BB9*EF!$H8)*kgtoGg,IF('Net zero activities &amp; levers'!$C$8="On",(('Net zero supporting data'!Z136*EF!$H8)+('Net zero supporting data'!Z126*'Net zero supporting data'!Z146))*kgtoGg,"ERROR"))</f>
        <v>319.32875446911731</v>
      </c>
      <c r="AJ466" s="93">
        <f>IF('Net zero activities &amp; levers'!$C$8="Off",('Activity data'!BC9*EF!$H8)*kgtoGg,IF('Net zero activities &amp; levers'!$C$8="On",(('Net zero supporting data'!AA136*EF!$H8)+('Net zero supporting data'!AA126*'Net zero supporting data'!AA146))*kgtoGg,"ERROR"))</f>
        <v>324.21854716514042</v>
      </c>
      <c r="AK466" s="93">
        <f>IF('Net zero activities &amp; levers'!$C$8="Off",('Activity data'!BD9*EF!$H8)*kgtoGg,IF('Net zero activities &amp; levers'!$C$8="On",(('Net zero supporting data'!AB136*EF!$H8)+('Net zero supporting data'!AB126*'Net zero supporting data'!AB146))*kgtoGg,"ERROR"))</f>
        <v>328.88693064471261</v>
      </c>
      <c r="AL466" s="93">
        <f>IF('Net zero activities &amp; levers'!$C$8="Off",('Activity data'!BE9*EF!$H8)*kgtoGg,IF('Net zero activities &amp; levers'!$C$8="On",(('Net zero supporting data'!AC136*EF!$H8)+('Net zero supporting data'!AC126*'Net zero supporting data'!AC146))*kgtoGg,"ERROR"))</f>
        <v>333.28893018872913</v>
      </c>
      <c r="AM466" s="93">
        <f>IF('Net zero activities &amp; levers'!$C$8="Off",('Activity data'!BF9*EF!$H8)*kgtoGg,IF('Net zero activities &amp; levers'!$C$8="On",(('Net zero supporting data'!AD136*EF!$H8)+('Net zero supporting data'!AD126*'Net zero supporting data'!AD146))*kgtoGg,"ERROR"))</f>
        <v>337.61271514011941</v>
      </c>
      <c r="AN466" s="93">
        <f>IF('Net zero activities &amp; levers'!$C$8="Off",('Activity data'!BG9*EF!$H8)*kgtoGg,IF('Net zero activities &amp; levers'!$C$8="On",(('Net zero supporting data'!AE136*EF!$H8)+('Net zero supporting data'!AE126*'Net zero supporting data'!AE146))*kgtoGg,"ERROR"))</f>
        <v>343.10326767773648</v>
      </c>
      <c r="AO466" s="93">
        <f>IF('Net zero activities &amp; levers'!$C$8="Off",('Activity data'!BH9*EF!$H8)*kgtoGg,IF('Net zero activities &amp; levers'!$C$8="On",(('Net zero supporting data'!AF136*EF!$H8)+('Net zero supporting data'!AF126*'Net zero supporting data'!AF146))*kgtoGg,"ERROR"))</f>
        <v>348.78220068533165</v>
      </c>
      <c r="AP466" s="93">
        <f>IF('Net zero activities &amp; levers'!$C$8="Off",('Activity data'!BI9*EF!$H8)*kgtoGg,IF('Net zero activities &amp; levers'!$C$8="On",(('Net zero supporting data'!AG136*EF!$H8)+('Net zero supporting data'!AG126*'Net zero supporting data'!AG146))*kgtoGg,"ERROR"))</f>
        <v>354.85589294244767</v>
      </c>
      <c r="AQ466" s="93">
        <f>IF('Net zero activities &amp; levers'!$C$8="Off",('Activity data'!BJ9*EF!$H8)*kgtoGg,IF('Net zero activities &amp; levers'!$C$8="On",(('Net zero supporting data'!AH136*EF!$H8)+('Net zero supporting data'!AH126*'Net zero supporting data'!AH146))*kgtoGg,"ERROR"))</f>
        <v>360.90595446226047</v>
      </c>
      <c r="AR466" s="93">
        <f>IF('Net zero activities &amp; levers'!$C$8="Off",('Activity data'!BK9*EF!$H8)*kgtoGg,IF('Net zero activities &amp; levers'!$C$8="On",(('Net zero supporting data'!AI136*EF!$H8)+('Net zero supporting data'!AI126*'Net zero supporting data'!AI146))*kgtoGg,"ERROR"))</f>
        <v>366.94023786337442</v>
      </c>
      <c r="AS466" s="93">
        <f>IF('Net zero activities &amp; levers'!$C$8="Off",('Activity data'!BL9*EF!$H8)*kgtoGg,IF('Net zero activities &amp; levers'!$C$8="On",(('Net zero supporting data'!AJ136*EF!$H8)+('Net zero supporting data'!AJ126*'Net zero supporting data'!AJ146))*kgtoGg,"ERROR"))</f>
        <v>373.35531674688991</v>
      </c>
      <c r="AT466" s="93">
        <f>IF('Net zero activities &amp; levers'!$C$8="Off",('Activity data'!BM9*EF!$H8)*kgtoGg,IF('Net zero activities &amp; levers'!$C$8="On",(('Net zero supporting data'!AK136*EF!$H8)+('Net zero supporting data'!AK126*'Net zero supporting data'!AK146))*kgtoGg,"ERROR"))</f>
        <v>379.98508853779043</v>
      </c>
      <c r="AU466" s="93">
        <f>IF('Net zero activities &amp; levers'!$C$8="Off",('Activity data'!BN9*EF!$H8)*kgtoGg,IF('Net zero activities &amp; levers'!$C$8="On",(('Net zero supporting data'!AL136*EF!$H8)+('Net zero supporting data'!AL126*'Net zero supporting data'!AL146))*kgtoGg,"ERROR"))</f>
        <v>386.71428830379313</v>
      </c>
      <c r="AV466" s="93">
        <f>IF('Net zero activities &amp; levers'!$C$8="Off",('Activity data'!BO9*EF!$H8)*kgtoGg,IF('Net zero activities &amp; levers'!$C$8="On",(('Net zero supporting data'!AM136*EF!$H8)+('Net zero supporting data'!AM126*'Net zero supporting data'!AM146))*kgtoGg,"ERROR"))</f>
        <v>393.77191492077668</v>
      </c>
      <c r="AW466" s="93">
        <f>IF('Net zero activities &amp; levers'!$C$8="Off",('Activity data'!BP9*EF!$H8)*kgtoGg,IF('Net zero activities &amp; levers'!$C$8="On",(('Net zero supporting data'!AN136*EF!$H8)+('Net zero supporting data'!AN126*'Net zero supporting data'!AN146))*kgtoGg,"ERROR"))</f>
        <v>399.6888569070714</v>
      </c>
      <c r="AY466" s="79"/>
    </row>
    <row r="467" spans="1:51" x14ac:dyDescent="0.25">
      <c r="A467" s="95" t="str">
        <f t="shared" si="0"/>
        <v>PQ Cattle</v>
      </c>
      <c r="B467" s="95" t="s">
        <v>967</v>
      </c>
      <c r="C467" s="95" t="s">
        <v>1107</v>
      </c>
      <c r="D467" t="s">
        <v>15</v>
      </c>
      <c r="E467" t="s">
        <v>16</v>
      </c>
      <c r="F467" t="s">
        <v>67</v>
      </c>
      <c r="G467" t="s">
        <v>135</v>
      </c>
      <c r="H467" t="s">
        <v>1019</v>
      </c>
      <c r="I467" t="s">
        <v>121</v>
      </c>
      <c r="J467" t="s">
        <v>286</v>
      </c>
      <c r="K467" s="93">
        <f>IF('Net zero activities &amp; levers'!$C$8="Off",('Activity data'!AD10*EF!$H9)*kgtoGg,IF('Net zero activities &amp; levers'!$C$8="On",(('Net zero supporting data'!B137*EF!$H9)+('Net zero supporting data'!B127*'Net zero supporting data'!B147))*kgtoGg,"ERROR"))</f>
        <v>31.891995988947254</v>
      </c>
      <c r="L467" s="93">
        <f>IF('Net zero activities &amp; levers'!$C$8="Off",('Activity data'!AE10*EF!$H9)*kgtoGg,IF('Net zero activities &amp; levers'!$C$8="On",(('Net zero supporting data'!C137*EF!$H9)+('Net zero supporting data'!C127*'Net zero supporting data'!C147))*kgtoGg,"ERROR"))</f>
        <v>32.967337371253521</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35.195504797614646</v>
      </c>
      <c r="O467" s="93">
        <f>IF('Net zero activities &amp; levers'!$C$8="Off",('Activity data'!AH10*EF!$H9)*kgtoGg,IF('Net zero activities &amp; levers'!$C$8="On",(('Net zero supporting data'!F137*EF!$H9)+('Net zero supporting data'!F127*'Net zero supporting data'!F147))*kgtoGg,"ERROR"))</f>
        <v>35.929559405213325</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35.164164958187662</v>
      </c>
      <c r="T467" s="93">
        <f>IF('Net zero activities &amp; levers'!$C$8="Off",('Activity data'!AM10*EF!$H9)*kgtoGg,IF('Net zero activities &amp; levers'!$C$8="On",(('Net zero supporting data'!K137*EF!$H9)+('Net zero supporting data'!K127*'Net zero supporting data'!K147))*kgtoGg,"ERROR"))</f>
        <v>37.733078614995847</v>
      </c>
      <c r="U467" s="93">
        <f>IF('Net zero activities &amp; levers'!$C$8="Off",('Activity data'!AN10*EF!$H9)*kgtoGg,IF('Net zero activities &amp; levers'!$C$8="On",(('Net zero supporting data'!L137*EF!$H9)+('Net zero supporting data'!L127*'Net zero supporting data'!L147))*kgtoGg,"ERROR"))</f>
        <v>39.239907769283455</v>
      </c>
      <c r="V467" s="93">
        <f>IF('Net zero activities &amp; levers'!$C$8="Off",('Activity data'!AO10*EF!$H9)*kgtoGg,IF('Net zero activities &amp; levers'!$C$8="On",(('Net zero supporting data'!M137*EF!$H9)+('Net zero supporting data'!M127*'Net zero supporting data'!M147))*kgtoGg,"ERROR"))</f>
        <v>39.889255441564949</v>
      </c>
      <c r="W467" s="93">
        <f>IF('Net zero activities &amp; levers'!$C$8="Off",('Activity data'!AP10*EF!$H9)*kgtoGg,IF('Net zero activities &amp; levers'!$C$8="On",(('Net zero supporting data'!N137*EF!$H9)+('Net zero supporting data'!N127*'Net zero supporting data'!N147))*kgtoGg,"ERROR"))</f>
        <v>40.588307761995488</v>
      </c>
      <c r="X467" s="93">
        <f>IF('Net zero activities &amp; levers'!$C$8="Off",('Activity data'!AQ10*EF!$H9)*kgtoGg,IF('Net zero activities &amp; levers'!$C$8="On",(('Net zero supporting data'!O137*EF!$H9)+('Net zero supporting data'!O127*'Net zero supporting data'!O147))*kgtoGg,"ERROR"))</f>
        <v>41.534201946049016</v>
      </c>
      <c r="Y467" s="93">
        <f>IF('Net zero activities &amp; levers'!$C$8="Off",('Activity data'!AR10*EF!$H9)*kgtoGg,IF('Net zero activities &amp; levers'!$C$8="On",(('Net zero supporting data'!P137*EF!$H9)+('Net zero supporting data'!P127*'Net zero supporting data'!P147))*kgtoGg,"ERROR"))</f>
        <v>42.726423600286481</v>
      </c>
      <c r="Z467" s="93">
        <f>IF('Net zero activities &amp; levers'!$C$8="Off",('Activity data'!AS10*EF!$H9)*kgtoGg,IF('Net zero activities &amp; levers'!$C$8="On",(('Net zero supporting data'!Q137*EF!$H9)+('Net zero supporting data'!Q127*'Net zero supporting data'!Q147))*kgtoGg,"ERROR"))</f>
        <v>44.049081565207047</v>
      </c>
      <c r="AA467" s="93">
        <f>IF('Net zero activities &amp; levers'!$C$8="Off",('Activity data'!AT10*EF!$H9)*kgtoGg,IF('Net zero activities &amp; levers'!$C$8="On",(('Net zero supporting data'!R137*EF!$H9)+('Net zero supporting data'!R127*'Net zero supporting data'!R147))*kgtoGg,"ERROR"))</f>
        <v>45.539986739615941</v>
      </c>
      <c r="AB467" s="93">
        <f>IF('Net zero activities &amp; levers'!$C$8="Off",('Activity data'!AU10*EF!$H9)*kgtoGg,IF('Net zero activities &amp; levers'!$C$8="On",(('Net zero supporting data'!S137*EF!$H9)+('Net zero supporting data'!S127*'Net zero supporting data'!S147))*kgtoGg,"ERROR"))</f>
        <v>47.309041836934135</v>
      </c>
      <c r="AC467" s="93">
        <f>IF('Net zero activities &amp; levers'!$C$8="Off",('Activity data'!AV10*EF!$H9)*kgtoGg,IF('Net zero activities &amp; levers'!$C$8="On",(('Net zero supporting data'!T137*EF!$H9)+('Net zero supporting data'!T127*'Net zero supporting data'!T147))*kgtoGg,"ERROR"))</f>
        <v>49.351300675084218</v>
      </c>
      <c r="AD467" s="93">
        <f>IF('Net zero activities &amp; levers'!$C$8="Off",('Activity data'!AW10*EF!$H9)*kgtoGg,IF('Net zero activities &amp; levers'!$C$8="On",(('Net zero supporting data'!U137*EF!$H9)+('Net zero supporting data'!U127*'Net zero supporting data'!U147))*kgtoGg,"ERROR"))</f>
        <v>51.711027137708825</v>
      </c>
      <c r="AE467" s="93">
        <f>IF('Net zero activities &amp; levers'!$C$8="Off",('Activity data'!AX10*EF!$H9)*kgtoGg,IF('Net zero activities &amp; levers'!$C$8="On",(('Net zero supporting data'!V137*EF!$H9)+('Net zero supporting data'!V127*'Net zero supporting data'!V147))*kgtoGg,"ERROR"))</f>
        <v>54.264579364554088</v>
      </c>
      <c r="AF467" s="93">
        <f>IF('Net zero activities &amp; levers'!$C$8="Off",('Activity data'!AY10*EF!$H9)*kgtoGg,IF('Net zero activities &amp; levers'!$C$8="On",(('Net zero supporting data'!W137*EF!$H9)+('Net zero supporting data'!W127*'Net zero supporting data'!W147))*kgtoGg,"ERROR"))</f>
        <v>56.961553434617372</v>
      </c>
      <c r="AG467" s="93">
        <f>IF('Net zero activities &amp; levers'!$C$8="Off",('Activity data'!AZ10*EF!$H9)*kgtoGg,IF('Net zero activities &amp; levers'!$C$8="On",(('Net zero supporting data'!X137*EF!$H9)+('Net zero supporting data'!X127*'Net zero supporting data'!X147))*kgtoGg,"ERROR"))</f>
        <v>59.831551165418354</v>
      </c>
      <c r="AH467" s="93">
        <f>IF('Net zero activities &amp; levers'!$C$8="Off",('Activity data'!BA10*EF!$H9)*kgtoGg,IF('Net zero activities &amp; levers'!$C$8="On",(('Net zero supporting data'!Y137*EF!$H9)+('Net zero supporting data'!Y127*'Net zero supporting data'!Y147))*kgtoGg,"ERROR"))</f>
        <v>62.852420493056009</v>
      </c>
      <c r="AI467" s="93">
        <f>IF('Net zero activities &amp; levers'!$C$8="Off",('Activity data'!BB10*EF!$H9)*kgtoGg,IF('Net zero activities &amp; levers'!$C$8="On",(('Net zero supporting data'!Z137*EF!$H9)+('Net zero supporting data'!Z127*'Net zero supporting data'!Z147))*kgtoGg,"ERROR"))</f>
        <v>65.927060453070922</v>
      </c>
      <c r="AJ467" s="93">
        <f>IF('Net zero activities &amp; levers'!$C$8="Off",('Activity data'!BC10*EF!$H9)*kgtoGg,IF('Net zero activities &amp; levers'!$C$8="On",(('Net zero supporting data'!AA137*EF!$H9)+('Net zero supporting data'!AA127*'Net zero supporting data'!AA147))*kgtoGg,"ERROR"))</f>
        <v>69.203040648572085</v>
      </c>
      <c r="AK467" s="93">
        <f>IF('Net zero activities &amp; levers'!$C$8="Off",('Activity data'!BD10*EF!$H9)*kgtoGg,IF('Net zero activities &amp; levers'!$C$8="On",(('Net zero supporting data'!AB137*EF!$H9)+('Net zero supporting data'!AB127*'Net zero supporting data'!AB147))*kgtoGg,"ERROR"))</f>
        <v>72.58973333609724</v>
      </c>
      <c r="AL467" s="93">
        <f>IF('Net zero activities &amp; levers'!$C$8="Off",('Activity data'!BE10*EF!$H9)*kgtoGg,IF('Net zero activities &amp; levers'!$C$8="On",(('Net zero supporting data'!AC137*EF!$H9)+('Net zero supporting data'!AC127*'Net zero supporting data'!AC147))*kgtoGg,"ERROR"))</f>
        <v>76.081547595026791</v>
      </c>
      <c r="AM467" s="93">
        <f>IF('Net zero activities &amp; levers'!$C$8="Off",('Activity data'!BF10*EF!$H9)*kgtoGg,IF('Net zero activities &amp; levers'!$C$8="On",(('Net zero supporting data'!AD137*EF!$H9)+('Net zero supporting data'!AD127*'Net zero supporting data'!AD147))*kgtoGg,"ERROR"))</f>
        <v>79.726894187226051</v>
      </c>
      <c r="AN467" s="93">
        <f>IF('Net zero activities &amp; levers'!$C$8="Off",('Activity data'!BG10*EF!$H9)*kgtoGg,IF('Net zero activities &amp; levers'!$C$8="On",(('Net zero supporting data'!AE137*EF!$H9)+('Net zero supporting data'!AE127*'Net zero supporting data'!AE147))*kgtoGg,"ERROR"))</f>
        <v>83.3095791235083</v>
      </c>
      <c r="AO467" s="93">
        <f>IF('Net zero activities &amp; levers'!$C$8="Off",('Activity data'!BH10*EF!$H9)*kgtoGg,IF('Net zero activities &amp; levers'!$C$8="On",(('Net zero supporting data'!AF137*EF!$H9)+('Net zero supporting data'!AF127*'Net zero supporting data'!AF147))*kgtoGg,"ERROR"))</f>
        <v>87.086258080455181</v>
      </c>
      <c r="AP467" s="93">
        <f>IF('Net zero activities &amp; levers'!$C$8="Off",('Activity data'!BI10*EF!$H9)*kgtoGg,IF('Net zero activities &amp; levers'!$C$8="On",(('Net zero supporting data'!AG137*EF!$H9)+('Net zero supporting data'!AG127*'Net zero supporting data'!AG147))*kgtoGg,"ERROR"))</f>
        <v>91.121139259350954</v>
      </c>
      <c r="AQ467" s="93">
        <f>IF('Net zero activities &amp; levers'!$C$8="Off",('Activity data'!BJ10*EF!$H9)*kgtoGg,IF('Net zero activities &amp; levers'!$C$8="On",(('Net zero supporting data'!AH137*EF!$H9)+('Net zero supporting data'!AH127*'Net zero supporting data'!AH147))*kgtoGg,"ERROR"))</f>
        <v>95.32019758274437</v>
      </c>
      <c r="AR467" s="93">
        <f>IF('Net zero activities &amp; levers'!$C$8="Off",('Activity data'!BK10*EF!$H9)*kgtoGg,IF('Net zero activities &amp; levers'!$C$8="On",(('Net zero supporting data'!AI137*EF!$H9)+('Net zero supporting data'!AI127*'Net zero supporting data'!AI147))*kgtoGg,"ERROR"))</f>
        <v>99.693624550303667</v>
      </c>
      <c r="AS467" s="93">
        <f>IF('Net zero activities &amp; levers'!$C$8="Off",('Activity data'!BL10*EF!$H9)*kgtoGg,IF('Net zero activities &amp; levers'!$C$8="On",(('Net zero supporting data'!AJ137*EF!$H9)+('Net zero supporting data'!AJ127*'Net zero supporting data'!AJ147))*kgtoGg,"ERROR"))</f>
        <v>104.36104732075913</v>
      </c>
      <c r="AT467" s="93">
        <f>IF('Net zero activities &amp; levers'!$C$8="Off",('Activity data'!BM10*EF!$H9)*kgtoGg,IF('Net zero activities &amp; levers'!$C$8="On",(('Net zero supporting data'!AK137*EF!$H9)+('Net zero supporting data'!AK127*'Net zero supporting data'!AK147))*kgtoGg,"ERROR"))</f>
        <v>109.29369918471791</v>
      </c>
      <c r="AU467" s="93">
        <f>IF('Net zero activities &amp; levers'!$C$8="Off",('Activity data'!BN10*EF!$H9)*kgtoGg,IF('Net zero activities &amp; levers'!$C$8="On",(('Net zero supporting data'!AL137*EF!$H9)+('Net zero supporting data'!AL127*'Net zero supporting data'!AL147))*kgtoGg,"ERROR"))</f>
        <v>114.47360844232533</v>
      </c>
      <c r="AV467" s="93">
        <f>IF('Net zero activities &amp; levers'!$C$8="Off",('Activity data'!BO10*EF!$H9)*kgtoGg,IF('Net zero activities &amp; levers'!$C$8="On",(('Net zero supporting data'!AM137*EF!$H9)+('Net zero supporting data'!AM127*'Net zero supporting data'!AM147))*kgtoGg,"ERROR"))</f>
        <v>119.9848328319804</v>
      </c>
      <c r="AW467" s="93">
        <f>IF('Net zero activities &amp; levers'!$C$8="Off",('Activity data'!BP10*EF!$H9)*kgtoGg,IF('Net zero activities &amp; levers'!$C$8="On",(('Net zero supporting data'!AN137*EF!$H9)+('Net zero supporting data'!AN127*'Net zero supporting data'!AN147))*kgtoGg,"ERROR"))</f>
        <v>125.38797876262088</v>
      </c>
      <c r="AY467" s="79"/>
    </row>
    <row r="468" spans="1:51" x14ac:dyDescent="0.25">
      <c r="A468" s="95" t="str">
        <f t="shared" si="0"/>
        <v>PQ Sheep</v>
      </c>
      <c r="B468" s="95" t="s">
        <v>967</v>
      </c>
      <c r="C468" s="95" t="s">
        <v>152</v>
      </c>
      <c r="D468" t="s">
        <v>15</v>
      </c>
      <c r="E468" t="s">
        <v>16</v>
      </c>
      <c r="F468" t="s">
        <v>18</v>
      </c>
      <c r="G468" t="s">
        <v>122</v>
      </c>
      <c r="H468" t="s">
        <v>1019</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134.514372062219</v>
      </c>
      <c r="T468" s="93">
        <f>IF('Net zero activities &amp; levers'!$C$8="Off",('Activity data'!AM11*EF!$H10)*kgtoGg,IF('Net zero activities &amp; levers'!$C$8="On",(('Net zero supporting data'!K138*EF!$H10)+('Net zero supporting data'!K128*'Net zero supporting data'!K148))*kgtoGg,"ERROR"))</f>
        <v>134.61119272537138</v>
      </c>
      <c r="U468" s="93">
        <f>IF('Net zero activities &amp; levers'!$C$8="Off",('Activity data'!AN11*EF!$H10)*kgtoGg,IF('Net zero activities &amp; levers'!$C$8="On",(('Net zero supporting data'!L138*EF!$H10)+('Net zero supporting data'!L128*'Net zero supporting data'!L148))*kgtoGg,"ERROR"))</f>
        <v>134.57715264233437</v>
      </c>
      <c r="V468" s="93">
        <f>IF('Net zero activities &amp; levers'!$C$8="Off",('Activity data'!AO11*EF!$H10)*kgtoGg,IF('Net zero activities &amp; levers'!$C$8="On",(('Net zero supporting data'!M138*EF!$H10)+('Net zero supporting data'!M128*'Net zero supporting data'!M148))*kgtoGg,"ERROR"))</f>
        <v>134.57470202786035</v>
      </c>
      <c r="W468" s="93">
        <f>IF('Net zero activities &amp; levers'!$C$8="Off",('Activity data'!AP11*EF!$H10)*kgtoGg,IF('Net zero activities &amp; levers'!$C$8="On",(('Net zero supporting data'!N138*EF!$H10)+('Net zero supporting data'!N128*'Net zero supporting data'!N148))*kgtoGg,"ERROR"))</f>
        <v>134.71744668818661</v>
      </c>
      <c r="X468" s="93">
        <f>IF('Net zero activities &amp; levers'!$C$8="Off",('Activity data'!AQ11*EF!$H10)*kgtoGg,IF('Net zero activities &amp; levers'!$C$8="On",(('Net zero supporting data'!O138*EF!$H10)+('Net zero supporting data'!O128*'Net zero supporting data'!O148))*kgtoGg,"ERROR"))</f>
        <v>134.95106147738375</v>
      </c>
      <c r="Y468" s="93">
        <f>IF('Net zero activities &amp; levers'!$C$8="Off",('Activity data'!AR11*EF!$H10)*kgtoGg,IF('Net zero activities &amp; levers'!$C$8="On",(('Net zero supporting data'!P138*EF!$H10)+('Net zero supporting data'!P128*'Net zero supporting data'!P148))*kgtoGg,"ERROR"))</f>
        <v>135.17521745945572</v>
      </c>
      <c r="Z468" s="93">
        <f>IF('Net zero activities &amp; levers'!$C$8="Off",('Activity data'!AS11*EF!$H10)*kgtoGg,IF('Net zero activities &amp; levers'!$C$8="On",(('Net zero supporting data'!Q138*EF!$H10)+('Net zero supporting data'!Q128*'Net zero supporting data'!Q148))*kgtoGg,"ERROR"))</f>
        <v>135.39063780811901</v>
      </c>
      <c r="AA468" s="93">
        <f>IF('Net zero activities &amp; levers'!$C$8="Off",('Activity data'!AT11*EF!$H10)*kgtoGg,IF('Net zero activities &amp; levers'!$C$8="On",(('Net zero supporting data'!R138*EF!$H10)+('Net zero supporting data'!R128*'Net zero supporting data'!R148))*kgtoGg,"ERROR"))</f>
        <v>135.59702853009694</v>
      </c>
      <c r="AB468" s="93">
        <f>IF('Net zero activities &amp; levers'!$C$8="Off",('Activity data'!AU11*EF!$H10)*kgtoGg,IF('Net zero activities &amp; levers'!$C$8="On",(('Net zero supporting data'!S138*EF!$H10)+('Net zero supporting data'!S128*'Net zero supporting data'!S148))*kgtoGg,"ERROR"))</f>
        <v>135.7986907607312</v>
      </c>
      <c r="AC468" s="93">
        <f>IF('Net zero activities &amp; levers'!$C$8="Off",('Activity data'!AV11*EF!$H10)*kgtoGg,IF('Net zero activities &amp; levers'!$C$8="On",(('Net zero supporting data'!T138*EF!$H10)+('Net zero supporting data'!T128*'Net zero supporting data'!T148))*kgtoGg,"ERROR"))</f>
        <v>135.99857025620054</v>
      </c>
      <c r="AD468" s="93">
        <f>IF('Net zero activities &amp; levers'!$C$8="Off",('Activity data'!AW11*EF!$H10)*kgtoGg,IF('Net zero activities &amp; levers'!$C$8="On",(('Net zero supporting data'!U138*EF!$H10)+('Net zero supporting data'!U128*'Net zero supporting data'!U148))*kgtoGg,"ERROR"))</f>
        <v>136.19466148301387</v>
      </c>
      <c r="AE468" s="93">
        <f>IF('Net zero activities &amp; levers'!$C$8="Off",('Activity data'!AX11*EF!$H10)*kgtoGg,IF('Net zero activities &amp; levers'!$C$8="On",(('Net zero supporting data'!V138*EF!$H10)+('Net zero supporting data'!V128*'Net zero supporting data'!V148))*kgtoGg,"ERROR"))</f>
        <v>136.38978391312594</v>
      </c>
      <c r="AF468" s="93">
        <f>IF('Net zero activities &amp; levers'!$C$8="Off",('Activity data'!AY11*EF!$H10)*kgtoGg,IF('Net zero activities &amp; levers'!$C$8="On",(('Net zero supporting data'!W138*EF!$H10)+('Net zero supporting data'!W128*'Net zero supporting data'!W148))*kgtoGg,"ERROR"))</f>
        <v>136.58332287316895</v>
      </c>
      <c r="AG468" s="93">
        <f>IF('Net zero activities &amp; levers'!$C$8="Off",('Activity data'!AZ11*EF!$H10)*kgtoGg,IF('Net zero activities &amp; levers'!$C$8="On",(('Net zero supporting data'!X138*EF!$H10)+('Net zero supporting data'!X128*'Net zero supporting data'!X148))*kgtoGg,"ERROR"))</f>
        <v>136.77372760735147</v>
      </c>
      <c r="AH468" s="93">
        <f>IF('Net zero activities &amp; levers'!$C$8="Off",('Activity data'!BA11*EF!$H10)*kgtoGg,IF('Net zero activities &amp; levers'!$C$8="On",(('Net zero supporting data'!Y138*EF!$H10)+('Net zero supporting data'!Y128*'Net zero supporting data'!Y148))*kgtoGg,"ERROR"))</f>
        <v>136.96183641513412</v>
      </c>
      <c r="AI468" s="93">
        <f>IF('Net zero activities &amp; levers'!$C$8="Off",('Activity data'!BB11*EF!$H10)*kgtoGg,IF('Net zero activities &amp; levers'!$C$8="On",(('Net zero supporting data'!Z138*EF!$H10)+('Net zero supporting data'!Z128*'Net zero supporting data'!Z148))*kgtoGg,"ERROR"))</f>
        <v>137.1478500354736</v>
      </c>
      <c r="AJ468" s="93">
        <f>IF('Net zero activities &amp; levers'!$C$8="Off",('Activity data'!BC11*EF!$H10)*kgtoGg,IF('Net zero activities &amp; levers'!$C$8="On",(('Net zero supporting data'!AA138*EF!$H10)+('Net zero supporting data'!AA128*'Net zero supporting data'!AA148))*kgtoGg,"ERROR"))</f>
        <v>137.33239997388901</v>
      </c>
      <c r="AK468" s="93">
        <f>IF('Net zero activities &amp; levers'!$C$8="Off",('Activity data'!BD11*EF!$H10)*kgtoGg,IF('Net zero activities &amp; levers'!$C$8="On",(('Net zero supporting data'!AB138*EF!$H10)+('Net zero supporting data'!AB128*'Net zero supporting data'!AB148))*kgtoGg,"ERROR"))</f>
        <v>137.50983936953097</v>
      </c>
      <c r="AL468" s="93">
        <f>IF('Net zero activities &amp; levers'!$C$8="Off",('Activity data'!BE11*EF!$H10)*kgtoGg,IF('Net zero activities &amp; levers'!$C$8="On",(('Net zero supporting data'!AC138*EF!$H10)+('Net zero supporting data'!AC128*'Net zero supporting data'!AC148))*kgtoGg,"ERROR"))</f>
        <v>137.67996062186128</v>
      </c>
      <c r="AM468" s="93">
        <f>IF('Net zero activities &amp; levers'!$C$8="Off",('Activity data'!BF11*EF!$H10)*kgtoGg,IF('Net zero activities &amp; levers'!$C$8="On",(('Net zero supporting data'!AD138*EF!$H10)+('Net zero supporting data'!AD128*'Net zero supporting data'!AD148))*kgtoGg,"ERROR"))</f>
        <v>137.84435369829882</v>
      </c>
      <c r="AN468" s="93">
        <f>IF('Net zero activities &amp; levers'!$C$8="Off",('Activity data'!BG11*EF!$H10)*kgtoGg,IF('Net zero activities &amp; levers'!$C$8="On",(('Net zero supporting data'!AE138*EF!$H10)+('Net zero supporting data'!AE128*'Net zero supporting data'!AE148))*kgtoGg,"ERROR"))</f>
        <v>138.00175275471773</v>
      </c>
      <c r="AO468" s="93">
        <f>IF('Net zero activities &amp; levers'!$C$8="Off",('Activity data'!BH11*EF!$H10)*kgtoGg,IF('Net zero activities &amp; levers'!$C$8="On",(('Net zero supporting data'!AF138*EF!$H10)+('Net zero supporting data'!AF128*'Net zero supporting data'!AF148))*kgtoGg,"ERROR"))</f>
        <v>138.15244332532626</v>
      </c>
      <c r="AP468" s="93">
        <f>IF('Net zero activities &amp; levers'!$C$8="Off",('Activity data'!BI11*EF!$H10)*kgtoGg,IF('Net zero activities &amp; levers'!$C$8="On",(('Net zero supporting data'!AG138*EF!$H10)+('Net zero supporting data'!AG128*'Net zero supporting data'!AG148))*kgtoGg,"ERROR"))</f>
        <v>138.29574669703695</v>
      </c>
      <c r="AQ468" s="93">
        <f>IF('Net zero activities &amp; levers'!$C$8="Off",('Activity data'!BJ11*EF!$H10)*kgtoGg,IF('Net zero activities &amp; levers'!$C$8="On",(('Net zero supporting data'!AH138*EF!$H10)+('Net zero supporting data'!AH128*'Net zero supporting data'!AH148))*kgtoGg,"ERROR"))</f>
        <v>138.4296121873767</v>
      </c>
      <c r="AR468" s="93">
        <f>IF('Net zero activities &amp; levers'!$C$8="Off",('Activity data'!BK11*EF!$H10)*kgtoGg,IF('Net zero activities &amp; levers'!$C$8="On",(('Net zero supporting data'!AI138*EF!$H10)+('Net zero supporting data'!AI128*'Net zero supporting data'!AI148))*kgtoGg,"ERROR"))</f>
        <v>138.55213947392693</v>
      </c>
      <c r="AS468" s="93">
        <f>IF('Net zero activities &amp; levers'!$C$8="Off",('Activity data'!BL11*EF!$H10)*kgtoGg,IF('Net zero activities &amp; levers'!$C$8="On",(('Net zero supporting data'!AJ138*EF!$H10)+('Net zero supporting data'!AJ128*'Net zero supporting data'!AJ148))*kgtoGg,"ERROR"))</f>
        <v>138.66320476976824</v>
      </c>
      <c r="AT468" s="93">
        <f>IF('Net zero activities &amp; levers'!$C$8="Off",('Activity data'!BM11*EF!$H10)*kgtoGg,IF('Net zero activities &amp; levers'!$C$8="On",(('Net zero supporting data'!AK138*EF!$H10)+('Net zero supporting data'!AK128*'Net zero supporting data'!AK148))*kgtoGg,"ERROR"))</f>
        <v>138.76195815463774</v>
      </c>
      <c r="AU468" s="93">
        <f>IF('Net zero activities &amp; levers'!$C$8="Off",('Activity data'!BN11*EF!$H10)*kgtoGg,IF('Net zero activities &amp; levers'!$C$8="On",(('Net zero supporting data'!AL138*EF!$H10)+('Net zero supporting data'!AL128*'Net zero supporting data'!AL148))*kgtoGg,"ERROR"))</f>
        <v>138.84835200114654</v>
      </c>
      <c r="AV468" s="93">
        <f>IF('Net zero activities &amp; levers'!$C$8="Off",('Activity data'!BO11*EF!$H10)*kgtoGg,IF('Net zero activities &amp; levers'!$C$8="On",(('Net zero supporting data'!AM138*EF!$H10)+('Net zero supporting data'!AM128*'Net zero supporting data'!AM148))*kgtoGg,"ERROR"))</f>
        <v>138.92403962400931</v>
      </c>
      <c r="AW468" s="93">
        <f>IF('Net zero activities &amp; levers'!$C$8="Off",('Activity data'!BP11*EF!$H10)*kgtoGg,IF('Net zero activities &amp; levers'!$C$8="On",(('Net zero supporting data'!AN138*EF!$H10)+('Net zero supporting data'!AN128*'Net zero supporting data'!AN148))*kgtoGg,"ERROR"))</f>
        <v>138.97919020206226</v>
      </c>
      <c r="AY468" s="79"/>
    </row>
    <row r="469" spans="1:51" x14ac:dyDescent="0.25">
      <c r="A469" s="95" t="str">
        <f t="shared" si="0"/>
        <v>PQ Sheep</v>
      </c>
      <c r="B469" s="95" t="s">
        <v>967</v>
      </c>
      <c r="C469" s="95" t="s">
        <v>152</v>
      </c>
      <c r="D469" t="s">
        <v>15</v>
      </c>
      <c r="E469" t="s">
        <v>16</v>
      </c>
      <c r="F469" t="s">
        <v>18</v>
      </c>
      <c r="G469" t="s">
        <v>123</v>
      </c>
      <c r="H469" t="s">
        <v>1019</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14.577835829783805</v>
      </c>
      <c r="T469" s="93">
        <f>IF('Net zero activities &amp; levers'!$C$8="Off",('Activity data'!AM12*EF!$H11)*kgtoGg,IF('Net zero activities &amp; levers'!$C$8="On",(('Net zero supporting data'!K139*EF!$H11)+('Net zero supporting data'!K129*'Net zero supporting data'!K149))*kgtoGg,"ERROR"))</f>
        <v>14.588328654533516</v>
      </c>
      <c r="U469" s="93">
        <f>IF('Net zero activities &amp; levers'!$C$8="Off",('Activity data'!AN12*EF!$H11)*kgtoGg,IF('Net zero activities &amp; levers'!$C$8="On",(('Net zero supporting data'!L139*EF!$H11)+('Net zero supporting data'!L129*'Net zero supporting data'!L149))*kgtoGg,"ERROR"))</f>
        <v>14.584639600832128</v>
      </c>
      <c r="V469" s="93">
        <f>IF('Net zero activities &amp; levers'!$C$8="Off",('Activity data'!AO12*EF!$H11)*kgtoGg,IF('Net zero activities &amp; levers'!$C$8="On",(('Net zero supporting data'!M139*EF!$H11)+('Net zero supporting data'!M129*'Net zero supporting data'!M149))*kgtoGg,"ERROR"))</f>
        <v>14.584374018389626</v>
      </c>
      <c r="W469" s="93">
        <f>IF('Net zero activities &amp; levers'!$C$8="Off",('Activity data'!AP12*EF!$H11)*kgtoGg,IF('Net zero activities &amp; levers'!$C$8="On",(('Net zero supporting data'!N139*EF!$H11)+('Net zero supporting data'!N129*'Net zero supporting data'!N149))*kgtoGg,"ERROR"))</f>
        <v>14.599843801966744</v>
      </c>
      <c r="X469" s="93">
        <f>IF('Net zero activities &amp; levers'!$C$8="Off",('Activity data'!AQ12*EF!$H11)*kgtoGg,IF('Net zero activities &amp; levers'!$C$8="On",(('Net zero supporting data'!O139*EF!$H11)+('Net zero supporting data'!O129*'Net zero supporting data'!O149))*kgtoGg,"ERROR"))</f>
        <v>14.625161528185249</v>
      </c>
      <c r="Y469" s="93">
        <f>IF('Net zero activities &amp; levers'!$C$8="Off",('Activity data'!AR12*EF!$H11)*kgtoGg,IF('Net zero activities &amp; levers'!$C$8="On",(('Net zero supporting data'!P139*EF!$H11)+('Net zero supporting data'!P129*'Net zero supporting data'!P149))*kgtoGg,"ERROR"))</f>
        <v>14.649454167379202</v>
      </c>
      <c r="Z469" s="93">
        <f>IF('Net zero activities &amp; levers'!$C$8="Off",('Activity data'!AS12*EF!$H11)*kgtoGg,IF('Net zero activities &amp; levers'!$C$8="On",(('Net zero supporting data'!Q139*EF!$H11)+('Net zero supporting data'!Q129*'Net zero supporting data'!Q149))*kgtoGg,"ERROR"))</f>
        <v>14.672800092644023</v>
      </c>
      <c r="AA469" s="93">
        <f>IF('Net zero activities &amp; levers'!$C$8="Off",('Activity data'!AT12*EF!$H11)*kgtoGg,IF('Net zero activities &amp; levers'!$C$8="On",(('Net zero supporting data'!R139*EF!$H11)+('Net zero supporting data'!R129*'Net zero supporting data'!R149))*kgtoGg,"ERROR"))</f>
        <v>14.695167442806378</v>
      </c>
      <c r="AB469" s="93">
        <f>IF('Net zero activities &amp; levers'!$C$8="Off",('Activity data'!AU12*EF!$H11)*kgtoGg,IF('Net zero activities &amp; levers'!$C$8="On",(('Net zero supporting data'!S139*EF!$H11)+('Net zero supporting data'!S129*'Net zero supporting data'!S149))*kgtoGg,"ERROR"))</f>
        <v>14.717022348317101</v>
      </c>
      <c r="AC469" s="93">
        <f>IF('Net zero activities &amp; levers'!$C$8="Off",('Activity data'!AV12*EF!$H11)*kgtoGg,IF('Net zero activities &amp; levers'!$C$8="On",(('Net zero supporting data'!T139*EF!$H11)+('Net zero supporting data'!T129*'Net zero supporting data'!T149))*kgtoGg,"ERROR"))</f>
        <v>14.738684052014786</v>
      </c>
      <c r="AD469" s="93">
        <f>IF('Net zero activities &amp; levers'!$C$8="Off",('Activity data'!AW12*EF!$H11)*kgtoGg,IF('Net zero activities &amp; levers'!$C$8="On",(('Net zero supporting data'!U139*EF!$H11)+('Net zero supporting data'!U129*'Net zero supporting data'!U149))*kgtoGg,"ERROR"))</f>
        <v>14.759935206581549</v>
      </c>
      <c r="AE469" s="93">
        <f>IF('Net zero activities &amp; levers'!$C$8="Off",('Activity data'!AX12*EF!$H11)*kgtoGg,IF('Net zero activities &amp; levers'!$C$8="On",(('Net zero supporting data'!V139*EF!$H11)+('Net zero supporting data'!V129*'Net zero supporting data'!V149))*kgtoGg,"ERROR"))</f>
        <v>14.781081368952709</v>
      </c>
      <c r="AF469" s="93">
        <f>IF('Net zero activities &amp; levers'!$C$8="Off",('Activity data'!AY12*EF!$H11)*kgtoGg,IF('Net zero activities &amp; levers'!$C$8="On",(('Net zero supporting data'!W139*EF!$H11)+('Net zero supporting data'!W129*'Net zero supporting data'!W149))*kgtoGg,"ERROR"))</f>
        <v>14.802055924629695</v>
      </c>
      <c r="AG469" s="93">
        <f>IF('Net zero activities &amp; levers'!$C$8="Off",('Activity data'!AZ12*EF!$H11)*kgtoGg,IF('Net zero activities &amp; levers'!$C$8="On",(('Net zero supporting data'!X139*EF!$H11)+('Net zero supporting data'!X129*'Net zero supporting data'!X149))*kgtoGg,"ERROR"))</f>
        <v>14.822690812289457</v>
      </c>
      <c r="AH469" s="93">
        <f>IF('Net zero activities &amp; levers'!$C$8="Off",('Activity data'!BA12*EF!$H11)*kgtoGg,IF('Net zero activities &amp; levers'!$C$8="On",(('Net zero supporting data'!Y139*EF!$H11)+('Net zero supporting data'!Y129*'Net zero supporting data'!Y149))*kgtoGg,"ERROR"))</f>
        <v>14.843076881643613</v>
      </c>
      <c r="AI469" s="93">
        <f>IF('Net zero activities &amp; levers'!$C$8="Off",('Activity data'!BB12*EF!$H11)*kgtoGg,IF('Net zero activities &amp; levers'!$C$8="On",(('Net zero supporting data'!Z139*EF!$H11)+('Net zero supporting data'!Z129*'Net zero supporting data'!Z149))*kgtoGg,"ERROR"))</f>
        <v>14.863235887538975</v>
      </c>
      <c r="AJ469" s="93">
        <f>IF('Net zero activities &amp; levers'!$C$8="Off",('Activity data'!BC12*EF!$H11)*kgtoGg,IF('Net zero activities &amp; levers'!$C$8="On",(('Net zero supporting data'!AA139*EF!$H11)+('Net zero supporting data'!AA129*'Net zero supporting data'!AA149))*kgtoGg,"ERROR"))</f>
        <v>14.883236268638564</v>
      </c>
      <c r="AK469" s="93">
        <f>IF('Net zero activities &amp; levers'!$C$8="Off",('Activity data'!BD12*EF!$H11)*kgtoGg,IF('Net zero activities &amp; levers'!$C$8="On",(('Net zero supporting data'!AB139*EF!$H11)+('Net zero supporting data'!AB129*'Net zero supporting data'!AB149))*kgtoGg,"ERROR"))</f>
        <v>14.902466053082772</v>
      </c>
      <c r="AL469" s="93">
        <f>IF('Net zero activities &amp; levers'!$C$8="Off",('Activity data'!BE12*EF!$H11)*kgtoGg,IF('Net zero activities &amp; levers'!$C$8="On",(('Net zero supporting data'!AC139*EF!$H11)+('Net zero supporting data'!AC129*'Net zero supporting data'!AC149))*kgtoGg,"ERROR"))</f>
        <v>14.920902742409034</v>
      </c>
      <c r="AM469" s="93">
        <f>IF('Net zero activities &amp; levers'!$C$8="Off",('Activity data'!BF12*EF!$H11)*kgtoGg,IF('Net zero activities &amp; levers'!$C$8="On",(('Net zero supporting data'!AD139*EF!$H11)+('Net zero supporting data'!AD129*'Net zero supporting data'!AD149))*kgtoGg,"ERROR"))</f>
        <v>14.938718647454118</v>
      </c>
      <c r="AN469" s="93">
        <f>IF('Net zero activities &amp; levers'!$C$8="Off",('Activity data'!BG12*EF!$H11)*kgtoGg,IF('Net zero activities &amp; levers'!$C$8="On",(('Net zero supporting data'!AE139*EF!$H11)+('Net zero supporting data'!AE129*'Net zero supporting data'!AE149))*kgtoGg,"ERROR"))</f>
        <v>14.95577658385943</v>
      </c>
      <c r="AO469" s="93">
        <f>IF('Net zero activities &amp; levers'!$C$8="Off",('Activity data'!BH12*EF!$H11)*kgtoGg,IF('Net zero activities &amp; levers'!$C$8="On",(('Net zero supporting data'!AF139*EF!$H11)+('Net zero supporting data'!AF129*'Net zero supporting data'!AF149))*kgtoGg,"ERROR"))</f>
        <v>14.972107496056765</v>
      </c>
      <c r="AP469" s="93">
        <f>IF('Net zero activities &amp; levers'!$C$8="Off",('Activity data'!BI12*EF!$H11)*kgtoGg,IF('Net zero activities &amp; levers'!$C$8="On",(('Net zero supporting data'!AG139*EF!$H11)+('Net zero supporting data'!AG129*'Net zero supporting data'!AG149))*kgtoGg,"ERROR"))</f>
        <v>14.98763782931875</v>
      </c>
      <c r="AQ469" s="93">
        <f>IF('Net zero activities &amp; levers'!$C$8="Off",('Activity data'!BJ12*EF!$H11)*kgtoGg,IF('Net zero activities &amp; levers'!$C$8="On",(('Net zero supporting data'!AH139*EF!$H11)+('Net zero supporting data'!AH129*'Net zero supporting data'!AH149))*kgtoGg,"ERROR"))</f>
        <v>15.002145343360027</v>
      </c>
      <c r="AR469" s="93">
        <f>IF('Net zero activities &amp; levers'!$C$8="Off",('Activity data'!BK12*EF!$H11)*kgtoGg,IF('Net zero activities &amp; levers'!$C$8="On",(('Net zero supporting data'!AI139*EF!$H11)+('Net zero supporting data'!AI129*'Net zero supporting data'!AI149))*kgtoGg,"ERROR"))</f>
        <v>15.015424092988152</v>
      </c>
      <c r="AS469" s="93">
        <f>IF('Net zero activities &amp; levers'!$C$8="Off",('Activity data'!BL12*EF!$H11)*kgtoGg,IF('Net zero activities &amp; levers'!$C$8="On",(('Net zero supporting data'!AJ139*EF!$H11)+('Net zero supporting data'!AJ129*'Net zero supporting data'!AJ149))*kgtoGg,"ERROR"))</f>
        <v>15.027460662942268</v>
      </c>
      <c r="AT469" s="93">
        <f>IF('Net zero activities &amp; levers'!$C$8="Off",('Activity data'!BM12*EF!$H11)*kgtoGg,IF('Net zero activities &amp; levers'!$C$8="On",(('Net zero supporting data'!AK139*EF!$H11)+('Net zero supporting data'!AK129*'Net zero supporting data'!AK149))*kgtoGg,"ERROR"))</f>
        <v>15.038162944120053</v>
      </c>
      <c r="AU469" s="93">
        <f>IF('Net zero activities &amp; levers'!$C$8="Off",('Activity data'!BN12*EF!$H11)*kgtoGg,IF('Net zero activities &amp; levers'!$C$8="On",(('Net zero supporting data'!AL139*EF!$H11)+('Net zero supporting data'!AL129*'Net zero supporting data'!AL149))*kgtoGg,"ERROR"))</f>
        <v>15.047525774959613</v>
      </c>
      <c r="AV469" s="93">
        <f>IF('Net zero activities &amp; levers'!$C$8="Off",('Activity data'!BO12*EF!$H11)*kgtoGg,IF('Net zero activities &amp; levers'!$C$8="On",(('Net zero supporting data'!AM139*EF!$H11)+('Net zero supporting data'!AM129*'Net zero supporting data'!AM149))*kgtoGg,"ERROR"))</f>
        <v>15.055728331485913</v>
      </c>
      <c r="AW469" s="93">
        <f>IF('Net zero activities &amp; levers'!$C$8="Off",('Activity data'!BP12*EF!$H11)*kgtoGg,IF('Net zero activities &amp; levers'!$C$8="On",(('Net zero supporting data'!AN139*EF!$H11)+('Net zero supporting data'!AN129*'Net zero supporting data'!AN149))*kgtoGg,"ERROR"))</f>
        <v>15.061705210093363</v>
      </c>
      <c r="AY469" s="79"/>
    </row>
    <row r="470" spans="1:51" x14ac:dyDescent="0.25">
      <c r="A470" s="95" t="str">
        <f t="shared" si="0"/>
        <v>PQ Goats</v>
      </c>
      <c r="B470" s="95" t="s">
        <v>967</v>
      </c>
      <c r="C470" s="95" t="s">
        <v>153</v>
      </c>
      <c r="D470" t="s">
        <v>15</v>
      </c>
      <c r="E470" t="s">
        <v>16</v>
      </c>
      <c r="F470" t="s">
        <v>19</v>
      </c>
      <c r="G470" t="s">
        <v>122</v>
      </c>
      <c r="H470" t="s">
        <v>1019</v>
      </c>
      <c r="I470" t="s">
        <v>121</v>
      </c>
      <c r="J470" t="s">
        <v>286</v>
      </c>
      <c r="K470" s="93">
        <f>IF('Net zero activities &amp; levers'!$C$8="Off",('Activity data'!AD13*EF!$H12)*kgtoGg,IF('Net zero activities &amp; levers'!$C$8="On",(('Net zero supporting data'!B140*EF!$H12)+('Net zero supporting data'!B130*'Net zero supporting data'!B150))*kgtoGg,"ERROR"))</f>
        <v>15.123414197798356</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15.545788610572219</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15.609698922895241</v>
      </c>
      <c r="T470" s="93">
        <f>IF('Net zero activities &amp; levers'!$C$8="Off",('Activity data'!AM13*EF!$H12)*kgtoGg,IF('Net zero activities &amp; levers'!$C$8="On",(('Net zero supporting data'!K140*EF!$H12)+('Net zero supporting data'!K130*'Net zero supporting data'!K150))*kgtoGg,"ERROR"))</f>
        <v>15.636532010302831</v>
      </c>
      <c r="U470" s="93">
        <f>IF('Net zero activities &amp; levers'!$C$8="Off",('Activity data'!AN13*EF!$H12)*kgtoGg,IF('Net zero activities &amp; levers'!$C$8="On",(('Net zero supporting data'!L140*EF!$H12)+('Net zero supporting data'!L130*'Net zero supporting data'!L150))*kgtoGg,"ERROR"))</f>
        <v>15.639135853628233</v>
      </c>
      <c r="V470" s="93">
        <f>IF('Net zero activities &amp; levers'!$C$8="Off",('Activity data'!AO13*EF!$H12)*kgtoGg,IF('Net zero activities &amp; levers'!$C$8="On",(('Net zero supporting data'!M140*EF!$H12)+('Net zero supporting data'!M130*'Net zero supporting data'!M150))*kgtoGg,"ERROR"))</f>
        <v>15.646294761850147</v>
      </c>
      <c r="W470" s="93">
        <f>IF('Net zero activities &amp; levers'!$C$8="Off",('Activity data'!AP13*EF!$H12)*kgtoGg,IF('Net zero activities &amp; levers'!$C$8="On",(('Net zero supporting data'!N140*EF!$H12)+('Net zero supporting data'!N130*'Net zero supporting data'!N150))*kgtoGg,"ERROR"))</f>
        <v>15.677946241783271</v>
      </c>
      <c r="X470" s="93">
        <f>IF('Net zero activities &amp; levers'!$C$8="Off",('Activity data'!AQ13*EF!$H12)*kgtoGg,IF('Net zero activities &amp; levers'!$C$8="On",(('Net zero supporting data'!O140*EF!$H12)+('Net zero supporting data'!O130*'Net zero supporting data'!O150))*kgtoGg,"ERROR"))</f>
        <v>15.724503798989753</v>
      </c>
      <c r="Y470" s="93">
        <f>IF('Net zero activities &amp; levers'!$C$8="Off",('Activity data'!AR13*EF!$H12)*kgtoGg,IF('Net zero activities &amp; levers'!$C$8="On",(('Net zero supporting data'!P140*EF!$H12)+('Net zero supporting data'!P130*'Net zero supporting data'!P150))*kgtoGg,"ERROR"))</f>
        <v>15.768451676063824</v>
      </c>
      <c r="Z470" s="93">
        <f>IF('Net zero activities &amp; levers'!$C$8="Off",('Activity data'!AS13*EF!$H12)*kgtoGg,IF('Net zero activities &amp; levers'!$C$8="On",(('Net zero supporting data'!Q140*EF!$H12)+('Net zero supporting data'!Q130*'Net zero supporting data'!Q150))*kgtoGg,"ERROR"))</f>
        <v>15.809996509627668</v>
      </c>
      <c r="AA470" s="93">
        <f>IF('Net zero activities &amp; levers'!$C$8="Off",('Activity data'!AT13*EF!$H12)*kgtoGg,IF('Net zero activities &amp; levers'!$C$8="On",(('Net zero supporting data'!R140*EF!$H12)+('Net zero supporting data'!R130*'Net zero supporting data'!R150))*kgtoGg,"ERROR"))</f>
        <v>15.849159564668597</v>
      </c>
      <c r="AB470" s="93">
        <f>IF('Net zero activities &amp; levers'!$C$8="Off",('Activity data'!AU13*EF!$H12)*kgtoGg,IF('Net zero activities &amp; levers'!$C$8="On",(('Net zero supporting data'!S140*EF!$H12)+('Net zero supporting data'!S130*'Net zero supporting data'!S150))*kgtoGg,"ERROR"))</f>
        <v>15.886751198222623</v>
      </c>
      <c r="AC470" s="93">
        <f>IF('Net zero activities &amp; levers'!$C$8="Off",('Activity data'!AV13*EF!$H12)*kgtoGg,IF('Net zero activities &amp; levers'!$C$8="On",(('Net zero supporting data'!T140*EF!$H12)+('Net zero supporting data'!T130*'Net zero supporting data'!T150))*kgtoGg,"ERROR"))</f>
        <v>15.923335433500936</v>
      </c>
      <c r="AD470" s="93">
        <f>IF('Net zero activities &amp; levers'!$C$8="Off",('Activity data'!AW13*EF!$H12)*kgtoGg,IF('Net zero activities &amp; levers'!$C$8="On",(('Net zero supporting data'!U140*EF!$H12)+('Net zero supporting data'!U130*'Net zero supporting data'!U150))*kgtoGg,"ERROR"))</f>
        <v>15.958613587829067</v>
      </c>
      <c r="AE470" s="93">
        <f>IF('Net zero activities &amp; levers'!$C$8="Off",('Activity data'!AX13*EF!$H12)*kgtoGg,IF('Net zero activities &amp; levers'!$C$8="On",(('Net zero supporting data'!V140*EF!$H12)+('Net zero supporting data'!V130*'Net zero supporting data'!V150))*kgtoGg,"ERROR"))</f>
        <v>15.993115538730159</v>
      </c>
      <c r="AF470" s="93">
        <f>IF('Net zero activities &amp; levers'!$C$8="Off",('Activity data'!AY13*EF!$H12)*kgtoGg,IF('Net zero activities &amp; levers'!$C$8="On",(('Net zero supporting data'!W140*EF!$H12)+('Net zero supporting data'!W130*'Net zero supporting data'!W150))*kgtoGg,"ERROR"))</f>
        <v>16.026773849205178</v>
      </c>
      <c r="AG470" s="93">
        <f>IF('Net zero activities &amp; levers'!$C$8="Off",('Activity data'!AZ13*EF!$H12)*kgtoGg,IF('Net zero activities &amp; levers'!$C$8="On",(('Net zero supporting data'!X140*EF!$H12)+('Net zero supporting data'!X130*'Net zero supporting data'!X150))*kgtoGg,"ERROR"))</f>
        <v>16.059358210664367</v>
      </c>
      <c r="AH470" s="93">
        <f>IF('Net zero activities &amp; levers'!$C$8="Off",('Activity data'!BA13*EF!$H12)*kgtoGg,IF('Net zero activities &amp; levers'!$C$8="On",(('Net zero supporting data'!Y140*EF!$H12)+('Net zero supporting data'!Y130*'Net zero supporting data'!Y150))*kgtoGg,"ERROR"))</f>
        <v>16.091045965246145</v>
      </c>
      <c r="AI470" s="93">
        <f>IF('Net zero activities &amp; levers'!$C$8="Off",('Activity data'!BB13*EF!$H12)*kgtoGg,IF('Net zero activities &amp; levers'!$C$8="On",(('Net zero supporting data'!Z140*EF!$H12)+('Net zero supporting data'!Z130*'Net zero supporting data'!Z150))*kgtoGg,"ERROR"))</f>
        <v>16.121901844149729</v>
      </c>
      <c r="AJ470" s="93">
        <f>IF('Net zero activities &amp; levers'!$C$8="Off",('Activity data'!BC13*EF!$H12)*kgtoGg,IF('Net zero activities &amp; levers'!$C$8="On",(('Net zero supporting data'!AA140*EF!$H12)+('Net zero supporting data'!AA130*'Net zero supporting data'!AA150))*kgtoGg,"ERROR"))</f>
        <v>16.152061326115707</v>
      </c>
      <c r="AK470" s="93">
        <f>IF('Net zero activities &amp; levers'!$C$8="Off",('Activity data'!BD13*EF!$H12)*kgtoGg,IF('Net zero activities &amp; levers'!$C$8="On",(('Net zero supporting data'!AB140*EF!$H12)+('Net zero supporting data'!AB130*'Net zero supporting data'!AB150))*kgtoGg,"ERROR"))</f>
        <v>16.180589301116473</v>
      </c>
      <c r="AL470" s="93">
        <f>IF('Net zero activities &amp; levers'!$C$8="Off",('Activity data'!BE13*EF!$H12)*kgtoGg,IF('Net zero activities &amp; levers'!$C$8="On",(('Net zero supporting data'!AC140*EF!$H12)+('Net zero supporting data'!AC130*'Net zero supporting data'!AC150))*kgtoGg,"ERROR"))</f>
        <v>16.207479025870157</v>
      </c>
      <c r="AM470" s="93">
        <f>IF('Net zero activities &amp; levers'!$C$8="Off",('Activity data'!BF13*EF!$H12)*kgtoGg,IF('Net zero activities &amp; levers'!$C$8="On",(('Net zero supporting data'!AD140*EF!$H12)+('Net zero supporting data'!AD130*'Net zero supporting data'!AD150))*kgtoGg,"ERROR"))</f>
        <v>16.233026710727977</v>
      </c>
      <c r="AN470" s="93">
        <f>IF('Net zero activities &amp; levers'!$C$8="Off",('Activity data'!BG13*EF!$H12)*kgtoGg,IF('Net zero activities &amp; levers'!$C$8="On",(('Net zero supporting data'!AE140*EF!$H12)+('Net zero supporting data'!AE130*'Net zero supporting data'!AE150))*kgtoGg,"ERROR"))</f>
        <v>16.257041914334369</v>
      </c>
      <c r="AO470" s="93">
        <f>IF('Net zero activities &amp; levers'!$C$8="Off",('Activity data'!BH13*EF!$H12)*kgtoGg,IF('Net zero activities &amp; levers'!$C$8="On",(('Net zero supporting data'!AF140*EF!$H12)+('Net zero supporting data'!AF130*'Net zero supporting data'!AF150))*kgtoGg,"ERROR"))</f>
        <v>16.279596122288691</v>
      </c>
      <c r="AP470" s="93">
        <f>IF('Net zero activities &amp; levers'!$C$8="Off",('Activity data'!BI13*EF!$H12)*kgtoGg,IF('Net zero activities &amp; levers'!$C$8="On",(('Net zero supporting data'!AG140*EF!$H12)+('Net zero supporting data'!AG130*'Net zero supporting data'!AG150))*kgtoGg,"ERROR"))</f>
        <v>16.300596548995752</v>
      </c>
      <c r="AQ470" s="93">
        <f>IF('Net zero activities &amp; levers'!$C$8="Off",('Activity data'!BJ13*EF!$H12)*kgtoGg,IF('Net zero activities &amp; levers'!$C$8="On",(('Net zero supporting data'!AH140*EF!$H12)+('Net zero supporting data'!AH130*'Net zero supporting data'!AH150))*kgtoGg,"ERROR"))</f>
        <v>16.31971904310852</v>
      </c>
      <c r="AR470" s="93">
        <f>IF('Net zero activities &amp; levers'!$C$8="Off",('Activity data'!BK13*EF!$H12)*kgtoGg,IF('Net zero activities &amp; levers'!$C$8="On",(('Net zero supporting data'!AI140*EF!$H12)+('Net zero supporting data'!AI130*'Net zero supporting data'!AI150))*kgtoGg,"ERROR"))</f>
        <v>16.336665838044137</v>
      </c>
      <c r="AS470" s="93">
        <f>IF('Net zero activities &amp; levers'!$C$8="Off",('Activity data'!BL13*EF!$H12)*kgtoGg,IF('Net zero activities &amp; levers'!$C$8="On",(('Net zero supporting data'!AJ140*EF!$H12)+('Net zero supporting data'!AJ130*'Net zero supporting data'!AJ150))*kgtoGg,"ERROR"))</f>
        <v>16.351438090046905</v>
      </c>
      <c r="AT470" s="93">
        <f>IF('Net zero activities &amp; levers'!$C$8="Off",('Activity data'!BM13*EF!$H12)*kgtoGg,IF('Net zero activities &amp; levers'!$C$8="On",(('Net zero supporting data'!AK140*EF!$H12)+('Net zero supporting data'!AK130*'Net zero supporting data'!AK150))*kgtoGg,"ERROR"))</f>
        <v>16.363914421549605</v>
      </c>
      <c r="AU470" s="93">
        <f>IF('Net zero activities &amp; levers'!$C$8="Off",('Activity data'!BN13*EF!$H12)*kgtoGg,IF('Net zero activities &amp; levers'!$C$8="On",(('Net zero supporting data'!AL140*EF!$H12)+('Net zero supporting data'!AL130*'Net zero supporting data'!AL150))*kgtoGg,"ERROR"))</f>
        <v>16.374107486259209</v>
      </c>
      <c r="AV470" s="93">
        <f>IF('Net zero activities &amp; levers'!$C$8="Off",('Activity data'!BO13*EF!$H12)*kgtoGg,IF('Net zero activities &amp; levers'!$C$8="On",(('Net zero supporting data'!AM140*EF!$H12)+('Net zero supporting data'!AM130*'Net zero supporting data'!AM150))*kgtoGg,"ERROR"))</f>
        <v>16.382312930249284</v>
      </c>
      <c r="AW470" s="93">
        <f>IF('Net zero activities &amp; levers'!$C$8="Off",('Activity data'!BP13*EF!$H12)*kgtoGg,IF('Net zero activities &amp; levers'!$C$8="On",(('Net zero supporting data'!AN140*EF!$H12)+('Net zero supporting data'!AN130*'Net zero supporting data'!AN150))*kgtoGg,"ERROR"))</f>
        <v>16.386910096993194</v>
      </c>
      <c r="AY470" s="79"/>
    </row>
    <row r="471" spans="1:51" x14ac:dyDescent="0.25">
      <c r="A471" s="95" t="str">
        <f t="shared" si="0"/>
        <v>PQ Goats</v>
      </c>
      <c r="B471" s="95" t="s">
        <v>967</v>
      </c>
      <c r="C471" s="95" t="s">
        <v>153</v>
      </c>
      <c r="D471" t="s">
        <v>15</v>
      </c>
      <c r="E471" t="s">
        <v>16</v>
      </c>
      <c r="F471" t="s">
        <v>19</v>
      </c>
      <c r="G471" t="s">
        <v>123</v>
      </c>
      <c r="H471" t="s">
        <v>1019</v>
      </c>
      <c r="I471" t="s">
        <v>121</v>
      </c>
      <c r="J471" t="s">
        <v>286</v>
      </c>
      <c r="K471" s="93">
        <f>IF('Net zero activities &amp; levers'!$C$8="Off",('Activity data'!AD14*EF!$H13)*kgtoGg,IF('Net zero activities &amp; levers'!$C$8="On",(('Net zero supporting data'!B141*EF!$H13)+('Net zero supporting data'!B131*'Net zero supporting data'!B151))*kgtoGg,"ERROR"))</f>
        <v>22.381101687842737</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23.100753199022172</v>
      </c>
      <c r="T471" s="93">
        <f>IF('Net zero activities &amp; levers'!$C$8="Off",('Activity data'!AM14*EF!$H13)*kgtoGg,IF('Net zero activities &amp; levers'!$C$8="On",(('Net zero supporting data'!K141*EF!$H13)+('Net zero supporting data'!K131*'Net zero supporting data'!K151))*kgtoGg,"ERROR"))</f>
        <v>23.140463415909274</v>
      </c>
      <c r="U471" s="93">
        <f>IF('Net zero activities &amp; levers'!$C$8="Off",('Activity data'!AN14*EF!$H13)*kgtoGg,IF('Net zero activities &amp; levers'!$C$8="On",(('Net zero supporting data'!L141*EF!$H13)+('Net zero supporting data'!L131*'Net zero supporting data'!L151))*kgtoGg,"ERROR"))</f>
        <v>23.144316836934628</v>
      </c>
      <c r="V471" s="93">
        <f>IF('Net zero activities &amp; levers'!$C$8="Off",('Activity data'!AO14*EF!$H13)*kgtoGg,IF('Net zero activities &amp; levers'!$C$8="On",(('Net zero supporting data'!M141*EF!$H13)+('Net zero supporting data'!M131*'Net zero supporting data'!M151))*kgtoGg,"ERROR"))</f>
        <v>23.154911286758789</v>
      </c>
      <c r="W471" s="93">
        <f>IF('Net zero activities &amp; levers'!$C$8="Off",('Activity data'!AP14*EF!$H13)*kgtoGg,IF('Net zero activities &amp; levers'!$C$8="On",(('Net zero supporting data'!N141*EF!$H13)+('Net zero supporting data'!N131*'Net zero supporting data'!N151))*kgtoGg,"ERROR"))</f>
        <v>23.201752230324114</v>
      </c>
      <c r="X471" s="93">
        <f>IF('Net zero activities &amp; levers'!$C$8="Off",('Activity data'!AQ14*EF!$H13)*kgtoGg,IF('Net zero activities &amp; levers'!$C$8="On",(('Net zero supporting data'!O141*EF!$H13)+('Net zero supporting data'!O131*'Net zero supporting data'!O151))*kgtoGg,"ERROR"))</f>
        <v>23.270652639223016</v>
      </c>
      <c r="Y471" s="93">
        <f>IF('Net zero activities &amp; levers'!$C$8="Off",('Activity data'!AR14*EF!$H13)*kgtoGg,IF('Net zero activities &amp; levers'!$C$8="On",(('Net zero supporting data'!P141*EF!$H13)+('Net zero supporting data'!P131*'Net zero supporting data'!P151))*kgtoGg,"ERROR"))</f>
        <v>23.335690989220911</v>
      </c>
      <c r="Z471" s="93">
        <f>IF('Net zero activities &amp; levers'!$C$8="Off",('Activity data'!AS14*EF!$H13)*kgtoGg,IF('Net zero activities &amp; levers'!$C$8="On",(('Net zero supporting data'!Q141*EF!$H13)+('Net zero supporting data'!Q131*'Net zero supporting data'!Q151))*kgtoGg,"ERROR"))</f>
        <v>23.397173081322329</v>
      </c>
      <c r="AA471" s="93">
        <f>IF('Net zero activities &amp; levers'!$C$8="Off",('Activity data'!AT14*EF!$H13)*kgtoGg,IF('Net zero activities &amp; levers'!$C$8="On",(('Net zero supporting data'!R141*EF!$H13)+('Net zero supporting data'!R131*'Net zero supporting data'!R151))*kgtoGg,"ERROR"))</f>
        <v>23.455130385527173</v>
      </c>
      <c r="AB471" s="93">
        <f>IF('Net zero activities &amp; levers'!$C$8="Off",('Activity data'!AU14*EF!$H13)*kgtoGg,IF('Net zero activities &amp; levers'!$C$8="On",(('Net zero supporting data'!S141*EF!$H13)+('Net zero supporting data'!S131*'Net zero supporting data'!S151))*kgtoGg,"ERROR"))</f>
        <v>23.510762147124183</v>
      </c>
      <c r="AC471" s="93">
        <f>IF('Net zero activities &amp; levers'!$C$8="Off",('Activity data'!AV14*EF!$H13)*kgtoGg,IF('Net zero activities &amp; levers'!$C$8="On",(('Net zero supporting data'!T141*EF!$H13)+('Net zero supporting data'!T131*'Net zero supporting data'!T151))*kgtoGg,"ERROR"))</f>
        <v>23.564903062609726</v>
      </c>
      <c r="AD471" s="93">
        <f>IF('Net zero activities &amp; levers'!$C$8="Off",('Activity data'!AW14*EF!$H13)*kgtoGg,IF('Net zero activities &amp; levers'!$C$8="On",(('Net zero supporting data'!U141*EF!$H13)+('Net zero supporting data'!U131*'Net zero supporting data'!U151))*kgtoGg,"ERROR"))</f>
        <v>23.617111112263775</v>
      </c>
      <c r="AE471" s="93">
        <f>IF('Net zero activities &amp; levers'!$C$8="Off",('Activity data'!AX14*EF!$H13)*kgtoGg,IF('Net zero activities &amp; levers'!$C$8="On",(('Net zero supporting data'!V141*EF!$H13)+('Net zero supporting data'!V131*'Net zero supporting data'!V151))*kgtoGg,"ERROR"))</f>
        <v>23.668170460466953</v>
      </c>
      <c r="AF471" s="93">
        <f>IF('Net zero activities &amp; levers'!$C$8="Off",('Activity data'!AY14*EF!$H13)*kgtoGg,IF('Net zero activities &amp; levers'!$C$8="On",(('Net zero supporting data'!W141*EF!$H13)+('Net zero supporting data'!W131*'Net zero supporting data'!W151))*kgtoGg,"ERROR"))</f>
        <v>23.717981307378224</v>
      </c>
      <c r="AG471" s="93">
        <f>IF('Net zero activities &amp; levers'!$C$8="Off",('Activity data'!AZ14*EF!$H13)*kgtoGg,IF('Net zero activities &amp; levers'!$C$8="On",(('Net zero supporting data'!X141*EF!$H13)+('Net zero supporting data'!X131*'Net zero supporting data'!X151))*kgtoGg,"ERROR"))</f>
        <v>23.766202819909285</v>
      </c>
      <c r="AH471" s="93">
        <f>IF('Net zero activities &amp; levers'!$C$8="Off",('Activity data'!BA14*EF!$H13)*kgtoGg,IF('Net zero activities &amp; levers'!$C$8="On",(('Net zero supporting data'!Y141*EF!$H13)+('Net zero supporting data'!Y131*'Net zero supporting data'!Y151))*kgtoGg,"ERROR"))</f>
        <v>23.813097446233641</v>
      </c>
      <c r="AI471" s="93">
        <f>IF('Net zero activities &amp; levers'!$C$8="Off",('Activity data'!BB14*EF!$H13)*kgtoGg,IF('Net zero activities &amp; levers'!$C$8="On",(('Net zero supporting data'!Z141*EF!$H13)+('Net zero supporting data'!Z131*'Net zero supporting data'!Z151))*kgtoGg,"ERROR"))</f>
        <v>23.858760981886149</v>
      </c>
      <c r="AJ471" s="93">
        <f>IF('Net zero activities &amp; levers'!$C$8="Off",('Activity data'!BC14*EF!$H13)*kgtoGg,IF('Net zero activities &amp; levers'!$C$8="On",(('Net zero supporting data'!AA141*EF!$H13)+('Net zero supporting data'!AA131*'Net zero supporting data'!AA151))*kgtoGg,"ERROR"))</f>
        <v>23.903393921505796</v>
      </c>
      <c r="AK471" s="93">
        <f>IF('Net zero activities &amp; levers'!$C$8="Off",('Activity data'!BD14*EF!$H13)*kgtoGg,IF('Net zero activities &amp; levers'!$C$8="On",(('Net zero supporting data'!AB141*EF!$H13)+('Net zero supporting data'!AB131*'Net zero supporting data'!AB151))*kgtoGg,"ERROR"))</f>
        <v>23.94561239817315</v>
      </c>
      <c r="AL471" s="93">
        <f>IF('Net zero activities &amp; levers'!$C$8="Off",('Activity data'!BE14*EF!$H13)*kgtoGg,IF('Net zero activities &amp; levers'!$C$8="On",(('Net zero supporting data'!AC141*EF!$H13)+('Net zero supporting data'!AC131*'Net zero supporting data'!AC151))*kgtoGg,"ERROR"))</f>
        <v>23.985406432522741</v>
      </c>
      <c r="AM471" s="93">
        <f>IF('Net zero activities &amp; levers'!$C$8="Off",('Activity data'!BF14*EF!$H13)*kgtoGg,IF('Net zero activities &amp; levers'!$C$8="On",(('Net zero supporting data'!AD141*EF!$H13)+('Net zero supporting data'!AD131*'Net zero supporting data'!AD151))*kgtoGg,"ERROR"))</f>
        <v>24.023214385489801</v>
      </c>
      <c r="AN471" s="93">
        <f>IF('Net zero activities &amp; levers'!$C$8="Off",('Activity data'!BG14*EF!$H13)*kgtoGg,IF('Net zero activities &amp; levers'!$C$8="On",(('Net zero supporting data'!AE141*EF!$H13)+('Net zero supporting data'!AE131*'Net zero supporting data'!AE151))*kgtoGg,"ERROR"))</f>
        <v>24.058754423403148</v>
      </c>
      <c r="AO471" s="93">
        <f>IF('Net zero activities &amp; levers'!$C$8="Off",('Activity data'!BH14*EF!$H13)*kgtoGg,IF('Net zero activities &amp; levers'!$C$8="On",(('Net zero supporting data'!AF141*EF!$H13)+('Net zero supporting data'!AF131*'Net zero supporting data'!AF151))*kgtoGg,"ERROR"))</f>
        <v>24.092132337616977</v>
      </c>
      <c r="AP471" s="93">
        <f>IF('Net zero activities &amp; levers'!$C$8="Off",('Activity data'!BI14*EF!$H13)*kgtoGg,IF('Net zero activities &amp; levers'!$C$8="On",(('Net zero supporting data'!AG141*EF!$H13)+('Net zero supporting data'!AG131*'Net zero supporting data'!AG151))*kgtoGg,"ERROR"))</f>
        <v>24.123210814968164</v>
      </c>
      <c r="AQ471" s="93">
        <f>IF('Net zero activities &amp; levers'!$C$8="Off",('Activity data'!BJ14*EF!$H13)*kgtoGg,IF('Net zero activities &amp; levers'!$C$8="On",(('Net zero supporting data'!AH141*EF!$H13)+('Net zero supporting data'!AH131*'Net zero supporting data'!AH151))*kgtoGg,"ERROR"))</f>
        <v>24.151510144713775</v>
      </c>
      <c r="AR471" s="93">
        <f>IF('Net zero activities &amp; levers'!$C$8="Off",('Activity data'!BK14*EF!$H13)*kgtoGg,IF('Net zero activities &amp; levers'!$C$8="On",(('Net zero supporting data'!AI141*EF!$H13)+('Net zero supporting data'!AI131*'Net zero supporting data'!AI151))*kgtoGg,"ERROR"))</f>
        <v>24.176589662855413</v>
      </c>
      <c r="AS471" s="93">
        <f>IF('Net zero activities &amp; levers'!$C$8="Off",('Activity data'!BL14*EF!$H13)*kgtoGg,IF('Net zero activities &amp; levers'!$C$8="On",(('Net zero supporting data'!AJ141*EF!$H13)+('Net zero supporting data'!AJ131*'Net zero supporting data'!AJ151))*kgtoGg,"ERROR"))</f>
        <v>24.198451080516016</v>
      </c>
      <c r="AT471" s="93">
        <f>IF('Net zero activities &amp; levers'!$C$8="Off",('Activity data'!BM14*EF!$H13)*kgtoGg,IF('Net zero activities &amp; levers'!$C$8="On",(('Net zero supporting data'!AK141*EF!$H13)+('Net zero supporting data'!AK131*'Net zero supporting data'!AK151))*kgtoGg,"ERROR"))</f>
        <v>24.21691477134674</v>
      </c>
      <c r="AU471" s="93">
        <f>IF('Net zero activities &amp; levers'!$C$8="Off",('Activity data'!BN14*EF!$H13)*kgtoGg,IF('Net zero activities &amp; levers'!$C$8="On",(('Net zero supporting data'!AL141*EF!$H13)+('Net zero supporting data'!AL131*'Net zero supporting data'!AL151))*kgtoGg,"ERROR"))</f>
        <v>24.231999461535917</v>
      </c>
      <c r="AV471" s="93">
        <f>IF('Net zero activities &amp; levers'!$C$8="Off",('Activity data'!BO14*EF!$H13)*kgtoGg,IF('Net zero activities &amp; levers'!$C$8="On",(('Net zero supporting data'!AM141*EF!$H13)+('Net zero supporting data'!AM131*'Net zero supporting data'!AM151))*kgtoGg,"ERROR"))</f>
        <v>24.244142676945735</v>
      </c>
      <c r="AW471" s="93">
        <f>IF('Net zero activities &amp; levers'!$C$8="Off",('Activity data'!BP14*EF!$H13)*kgtoGg,IF('Net zero activities &amp; levers'!$C$8="On",(('Net zero supporting data'!AN141*EF!$H13)+('Net zero supporting data'!AN131*'Net zero supporting data'!AN151))*kgtoGg,"ERROR"))</f>
        <v>24.250946012159979</v>
      </c>
      <c r="AY471" s="79"/>
    </row>
    <row r="472" spans="1:51" x14ac:dyDescent="0.25">
      <c r="A472" s="95" t="str">
        <f t="shared" ref="A472:A611" si="108">B472&amp;" "&amp;C472</f>
        <v>PQ Horses</v>
      </c>
      <c r="B472" s="95" t="s">
        <v>967</v>
      </c>
      <c r="C472" s="95" t="s">
        <v>3</v>
      </c>
      <c r="D472" t="s">
        <v>15</v>
      </c>
      <c r="E472" t="s">
        <v>16</v>
      </c>
      <c r="F472" t="s">
        <v>20</v>
      </c>
      <c r="G472" t="s">
        <v>3</v>
      </c>
      <c r="H472" t="s">
        <v>1019</v>
      </c>
      <c r="I472" t="s">
        <v>121</v>
      </c>
      <c r="J472" t="s">
        <v>286</v>
      </c>
      <c r="K472" s="27">
        <f>K1389</f>
        <v>5.5526214800767892</v>
      </c>
      <c r="L472" s="27">
        <f t="shared" ref="L472:AW479" si="109">L1389</f>
        <v>5.579523571019652</v>
      </c>
      <c r="M472" s="27">
        <f t="shared" si="109"/>
        <v>5.6203482259438013</v>
      </c>
      <c r="N472" s="27">
        <f t="shared" si="109"/>
        <v>5.629075655008374</v>
      </c>
      <c r="O472" s="27">
        <f t="shared" si="109"/>
        <v>5.6165815405282276</v>
      </c>
      <c r="P472" s="27">
        <f t="shared" si="109"/>
        <v>5.5833231296706103</v>
      </c>
      <c r="Q472" s="27">
        <f t="shared" si="109"/>
        <v>5.5648827699457346</v>
      </c>
      <c r="R472" s="27">
        <f t="shared" si="109"/>
        <v>5.5483103177944031</v>
      </c>
      <c r="S472" s="27">
        <f t="shared" si="109"/>
        <v>5.2971852508905934</v>
      </c>
      <c r="T472" s="27">
        <f t="shared" si="109"/>
        <v>5.4545032105207021</v>
      </c>
      <c r="U472" s="27">
        <f t="shared" si="109"/>
        <v>5.5329638064801401</v>
      </c>
      <c r="V472" s="27">
        <f t="shared" si="109"/>
        <v>5.544813640469159</v>
      </c>
      <c r="W472" s="27">
        <f t="shared" si="109"/>
        <v>5.5552394312209037</v>
      </c>
      <c r="X472" s="27">
        <f t="shared" si="109"/>
        <v>5.5805371243140618</v>
      </c>
      <c r="Y472" s="27">
        <f t="shared" si="109"/>
        <v>5.6237182797404808</v>
      </c>
      <c r="Z472" s="27">
        <f t="shared" si="109"/>
        <v>5.6758191216830927</v>
      </c>
      <c r="AA472" s="27">
        <f t="shared" si="109"/>
        <v>5.7392036522982304</v>
      </c>
      <c r="AB472" s="27">
        <f t="shared" si="109"/>
        <v>5.8209863133515896</v>
      </c>
      <c r="AC472" s="27">
        <f t="shared" si="109"/>
        <v>5.9200988769206573</v>
      </c>
      <c r="AD472" s="27">
        <f t="shared" si="109"/>
        <v>6.0298529321871719</v>
      </c>
      <c r="AE472" s="27">
        <f t="shared" si="109"/>
        <v>6.1497995952254207</v>
      </c>
      <c r="AF472" s="27">
        <f t="shared" si="109"/>
        <v>6.2762315807434783</v>
      </c>
      <c r="AG472" s="27">
        <f t="shared" si="109"/>
        <v>6.4109152413607369</v>
      </c>
      <c r="AH472" s="27">
        <f t="shared" si="109"/>
        <v>6.552086974601302</v>
      </c>
      <c r="AI472" s="27">
        <f t="shared" si="109"/>
        <v>6.6933077398392395</v>
      </c>
      <c r="AJ472" s="27">
        <f t="shared" si="109"/>
        <v>6.8438679121481307</v>
      </c>
      <c r="AK472" s="27">
        <f t="shared" si="109"/>
        <v>6.9980784680830306</v>
      </c>
      <c r="AL472" s="27">
        <f t="shared" si="109"/>
        <v>7.1555200224058177</v>
      </c>
      <c r="AM472" s="27">
        <f t="shared" si="109"/>
        <v>7.3189945558292679</v>
      </c>
      <c r="AN472" s="27">
        <f t="shared" si="109"/>
        <v>7.4816205294730294</v>
      </c>
      <c r="AO472" s="27">
        <f t="shared" si="109"/>
        <v>7.6530966093944661</v>
      </c>
      <c r="AP472" s="27">
        <f t="shared" si="109"/>
        <v>7.8370750081366163</v>
      </c>
      <c r="AQ472" s="27">
        <f t="shared" si="109"/>
        <v>8.0278701064246079</v>
      </c>
      <c r="AR472" s="27">
        <f t="shared" si="109"/>
        <v>8.2260903165664789</v>
      </c>
      <c r="AS472" s="27">
        <f t="shared" si="109"/>
        <v>8.4385648916420113</v>
      </c>
      <c r="AT472" s="27">
        <f t="shared" si="109"/>
        <v>8.6634503637197486</v>
      </c>
      <c r="AU472" s="27">
        <f t="shared" si="109"/>
        <v>8.8995458740132776</v>
      </c>
      <c r="AV472" s="27">
        <f t="shared" si="109"/>
        <v>9.151348341874078</v>
      </c>
      <c r="AW472" s="27">
        <f t="shared" si="109"/>
        <v>9.3946927055732683</v>
      </c>
      <c r="AY472" s="79"/>
    </row>
    <row r="473" spans="1:51" x14ac:dyDescent="0.25">
      <c r="A473" s="95" t="str">
        <f t="shared" si="108"/>
        <v>PQ Mules&amp;Asses</v>
      </c>
      <c r="B473" s="95" t="s">
        <v>967</v>
      </c>
      <c r="C473" s="95" t="s">
        <v>1322</v>
      </c>
      <c r="D473" t="s">
        <v>15</v>
      </c>
      <c r="E473" t="s">
        <v>16</v>
      </c>
      <c r="F473" t="s">
        <v>140</v>
      </c>
      <c r="G473" t="s">
        <v>124</v>
      </c>
      <c r="H473" t="s">
        <v>1019</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5">
      <c r="A474" s="95" t="str">
        <f t="shared" si="108"/>
        <v>PQ Swine</v>
      </c>
      <c r="B474" s="95" t="s">
        <v>967</v>
      </c>
      <c r="C474" s="95" t="s">
        <v>155</v>
      </c>
      <c r="D474" t="s">
        <v>15</v>
      </c>
      <c r="E474" t="s">
        <v>16</v>
      </c>
      <c r="F474" t="s">
        <v>21</v>
      </c>
      <c r="G474" t="s">
        <v>122</v>
      </c>
      <c r="H474" t="s">
        <v>1019</v>
      </c>
      <c r="I474" t="s">
        <v>121</v>
      </c>
      <c r="J474" t="s">
        <v>286</v>
      </c>
      <c r="K474" s="27">
        <f t="shared" si="110"/>
        <v>1.8400999552016302</v>
      </c>
      <c r="L474" s="27">
        <f t="shared" si="109"/>
        <v>1.8300977880312248</v>
      </c>
      <c r="M474" s="27">
        <f t="shared" si="109"/>
        <v>1.8309187348828144</v>
      </c>
      <c r="N474" s="27">
        <f t="shared" si="109"/>
        <v>1.8141094978660446</v>
      </c>
      <c r="O474" s="27">
        <f t="shared" si="109"/>
        <v>1.7866561368117291</v>
      </c>
      <c r="P474" s="27">
        <f t="shared" si="109"/>
        <v>1.7489975228040082</v>
      </c>
      <c r="Q474" s="27">
        <f t="shared" si="109"/>
        <v>1.7216531928010093</v>
      </c>
      <c r="R474" s="27">
        <f t="shared" si="109"/>
        <v>1.6967284692901876</v>
      </c>
      <c r="S474" s="27">
        <f t="shared" si="109"/>
        <v>1.524204734718916</v>
      </c>
      <c r="T474" s="27">
        <f t="shared" si="109"/>
        <v>1.593081714161948</v>
      </c>
      <c r="U474" s="27">
        <f t="shared" si="109"/>
        <v>1.6139052959558671</v>
      </c>
      <c r="V474" s="27">
        <f t="shared" si="109"/>
        <v>1.5979776175047269</v>
      </c>
      <c r="W474" s="27">
        <f t="shared" si="109"/>
        <v>1.5839693089985563</v>
      </c>
      <c r="X474" s="27">
        <f t="shared" si="109"/>
        <v>1.5796400354975273</v>
      </c>
      <c r="Y474" s="27">
        <f t="shared" si="109"/>
        <v>1.5846136319816619</v>
      </c>
      <c r="Z474" s="27">
        <f t="shared" si="109"/>
        <v>1.5938774465709915</v>
      </c>
      <c r="AA474" s="27">
        <f t="shared" si="109"/>
        <v>1.6084883569821753</v>
      </c>
      <c r="AB474" s="27">
        <f t="shared" si="109"/>
        <v>1.6319593485428836</v>
      </c>
      <c r="AC474" s="27">
        <f t="shared" si="109"/>
        <v>1.6634709540368702</v>
      </c>
      <c r="AD474" s="27">
        <f t="shared" si="109"/>
        <v>1.6993359016898217</v>
      </c>
      <c r="AE474" s="27">
        <f t="shared" si="109"/>
        <v>1.7391981590716521</v>
      </c>
      <c r="AF474" s="27">
        <f t="shared" si="109"/>
        <v>1.7810637998476497</v>
      </c>
      <c r="AG474" s="27">
        <f t="shared" si="109"/>
        <v>1.8256518272462501</v>
      </c>
      <c r="AH474" s="27">
        <f t="shared" si="109"/>
        <v>1.8720011956576361</v>
      </c>
      <c r="AI474" s="27">
        <f t="shared" si="109"/>
        <v>1.9169799867438404</v>
      </c>
      <c r="AJ474" s="27">
        <f t="shared" si="109"/>
        <v>1.9649335737465348</v>
      </c>
      <c r="AK474" s="27">
        <f t="shared" si="109"/>
        <v>2.0129828074709066</v>
      </c>
      <c r="AL474" s="27">
        <f t="shared" si="109"/>
        <v>2.0608754146421031</v>
      </c>
      <c r="AM474" s="27">
        <f t="shared" si="109"/>
        <v>2.1098506270361996</v>
      </c>
      <c r="AN474" s="27">
        <f t="shared" si="109"/>
        <v>2.1567413105664199</v>
      </c>
      <c r="AO474" s="27">
        <f t="shared" si="109"/>
        <v>2.2058096743065145</v>
      </c>
      <c r="AP474" s="27">
        <f t="shared" si="109"/>
        <v>2.258470217432818</v>
      </c>
      <c r="AQ474" s="27">
        <f t="shared" si="109"/>
        <v>2.3120510725576544</v>
      </c>
      <c r="AR474" s="27">
        <f t="shared" si="109"/>
        <v>2.3666507440832505</v>
      </c>
      <c r="AS474" s="27">
        <f t="shared" si="109"/>
        <v>2.4249672048017872</v>
      </c>
      <c r="AT474" s="27">
        <f t="shared" si="109"/>
        <v>2.4859852344978988</v>
      </c>
      <c r="AU474" s="27">
        <f t="shared" si="109"/>
        <v>2.5490093093778539</v>
      </c>
      <c r="AV474" s="27">
        <f t="shared" si="109"/>
        <v>2.6156743076501083</v>
      </c>
      <c r="AW474" s="27">
        <f t="shared" si="109"/>
        <v>2.6760181986485878</v>
      </c>
      <c r="AY474" s="79"/>
    </row>
    <row r="475" spans="1:51" x14ac:dyDescent="0.25">
      <c r="A475" s="95" t="str">
        <f t="shared" si="108"/>
        <v>PQ Swine</v>
      </c>
      <c r="B475" s="95" t="s">
        <v>967</v>
      </c>
      <c r="C475" s="95" t="s">
        <v>155</v>
      </c>
      <c r="D475" t="s">
        <v>15</v>
      </c>
      <c r="E475" t="s">
        <v>16</v>
      </c>
      <c r="F475" t="s">
        <v>21</v>
      </c>
      <c r="G475" t="s">
        <v>123</v>
      </c>
      <c r="H475" t="s">
        <v>1019</v>
      </c>
      <c r="I475" t="s">
        <v>121</v>
      </c>
      <c r="J475" t="s">
        <v>286</v>
      </c>
      <c r="K475" s="27">
        <f t="shared" si="110"/>
        <v>0.25496723934882604</v>
      </c>
      <c r="L475" s="27">
        <f t="shared" si="109"/>
        <v>0.25358132281546891</v>
      </c>
      <c r="M475" s="27">
        <f t="shared" si="109"/>
        <v>0.25369507454499329</v>
      </c>
      <c r="N475" s="27">
        <f t="shared" si="109"/>
        <v>0.25136595935447836</v>
      </c>
      <c r="O475" s="27">
        <f t="shared" si="109"/>
        <v>0.24756197704412694</v>
      </c>
      <c r="P475" s="27">
        <f t="shared" si="109"/>
        <v>0.24234393830437845</v>
      </c>
      <c r="Q475" s="27">
        <f t="shared" si="109"/>
        <v>0.23855506351363698</v>
      </c>
      <c r="R475" s="27">
        <f t="shared" si="109"/>
        <v>0.2351014533295149</v>
      </c>
      <c r="S475" s="27">
        <f t="shared" si="109"/>
        <v>0.21119628437309981</v>
      </c>
      <c r="T475" s="27">
        <f t="shared" si="109"/>
        <v>0.22073999054712201</v>
      </c>
      <c r="U475" s="27">
        <f t="shared" si="109"/>
        <v>0.22362533987194619</v>
      </c>
      <c r="V475" s="27">
        <f t="shared" si="109"/>
        <v>0.22141837486852711</v>
      </c>
      <c r="W475" s="27">
        <f t="shared" si="109"/>
        <v>0.21947736088302675</v>
      </c>
      <c r="X475" s="27">
        <f t="shared" si="109"/>
        <v>0.2188774897130813</v>
      </c>
      <c r="Y475" s="27">
        <f t="shared" si="109"/>
        <v>0.21956663932237841</v>
      </c>
      <c r="Z475" s="27">
        <f t="shared" si="109"/>
        <v>0.22085024852252202</v>
      </c>
      <c r="AA475" s="27">
        <f t="shared" si="109"/>
        <v>0.22287476000701054</v>
      </c>
      <c r="AB475" s="27">
        <f t="shared" si="109"/>
        <v>0.22612693873028961</v>
      </c>
      <c r="AC475" s="27">
        <f t="shared" si="109"/>
        <v>0.23049323798351176</v>
      </c>
      <c r="AD475" s="27">
        <f t="shared" si="109"/>
        <v>0.23546274339902665</v>
      </c>
      <c r="AE475" s="27">
        <f t="shared" si="109"/>
        <v>0.24098612254488616</v>
      </c>
      <c r="AF475" s="27">
        <f t="shared" si="109"/>
        <v>0.24678709374867933</v>
      </c>
      <c r="AG475" s="27">
        <f t="shared" si="109"/>
        <v>0.25296528326588152</v>
      </c>
      <c r="AH475" s="27">
        <f t="shared" si="109"/>
        <v>0.25938752705541407</v>
      </c>
      <c r="AI475" s="27">
        <f t="shared" si="109"/>
        <v>0.26561986142403288</v>
      </c>
      <c r="AJ475" s="27">
        <f t="shared" si="109"/>
        <v>0.27226438834790373</v>
      </c>
      <c r="AK475" s="27">
        <f t="shared" si="109"/>
        <v>0.27892216823692451</v>
      </c>
      <c r="AL475" s="27">
        <f t="shared" si="109"/>
        <v>0.28555824569627086</v>
      </c>
      <c r="AM475" s="27">
        <f t="shared" si="109"/>
        <v>0.29234433069417909</v>
      </c>
      <c r="AN475" s="27">
        <f t="shared" si="109"/>
        <v>0.298841579986036</v>
      </c>
      <c r="AO475" s="27">
        <f t="shared" si="109"/>
        <v>0.30564057218578583</v>
      </c>
      <c r="AP475" s="27">
        <f t="shared" si="109"/>
        <v>0.3129373025973966</v>
      </c>
      <c r="AQ475" s="27">
        <f t="shared" si="109"/>
        <v>0.32036155293472796</v>
      </c>
      <c r="AR475" s="27">
        <f t="shared" si="109"/>
        <v>0.32792697212778937</v>
      </c>
      <c r="AS475" s="27">
        <f t="shared" si="109"/>
        <v>0.33600739566998233</v>
      </c>
      <c r="AT475" s="27">
        <f t="shared" si="109"/>
        <v>0.34446215299886757</v>
      </c>
      <c r="AU475" s="27">
        <f t="shared" si="109"/>
        <v>0.35319487120758841</v>
      </c>
      <c r="AV475" s="27">
        <f t="shared" si="109"/>
        <v>0.3624320816768471</v>
      </c>
      <c r="AW475" s="27">
        <f t="shared" si="109"/>
        <v>0.37079342925253511</v>
      </c>
      <c r="AY475" s="79"/>
    </row>
    <row r="476" spans="1:51" x14ac:dyDescent="0.25">
      <c r="A476" s="95" t="str">
        <f t="shared" si="108"/>
        <v>PQ Cattle MMCH4</v>
      </c>
      <c r="B476" s="95" t="s">
        <v>967</v>
      </c>
      <c r="C476" s="95" t="s">
        <v>1228</v>
      </c>
      <c r="D476" t="s">
        <v>15</v>
      </c>
      <c r="E476" t="s">
        <v>22</v>
      </c>
      <c r="F476" t="s">
        <v>6</v>
      </c>
      <c r="G476" t="s">
        <v>136</v>
      </c>
      <c r="H476" t="s">
        <v>1226</v>
      </c>
      <c r="I476" t="s">
        <v>121</v>
      </c>
      <c r="J476" t="s">
        <v>286</v>
      </c>
      <c r="K476" s="27">
        <f t="shared" si="110"/>
        <v>7.351330651107908</v>
      </c>
      <c r="L476" s="27">
        <f t="shared" si="109"/>
        <v>7.3924283487896005</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7.5825135825669054</v>
      </c>
      <c r="S476" s="27">
        <f t="shared" si="109"/>
        <v>7.3635054789242087</v>
      </c>
      <c r="T476" s="27">
        <f t="shared" si="109"/>
        <v>7.5119983216779529</v>
      </c>
      <c r="U476" s="27">
        <f t="shared" si="109"/>
        <v>7.5857115422581893</v>
      </c>
      <c r="V476" s="27">
        <f t="shared" si="109"/>
        <v>7.6049624433961522</v>
      </c>
      <c r="W476" s="27">
        <f t="shared" si="109"/>
        <v>7.6323349638068887</v>
      </c>
      <c r="X476" s="27">
        <f t="shared" si="109"/>
        <v>7.6782662594179314</v>
      </c>
      <c r="Y476" s="27">
        <f t="shared" si="109"/>
        <v>7.7389431173667962</v>
      </c>
      <c r="Z476" s="27">
        <f t="shared" si="109"/>
        <v>7.8068776236096697</v>
      </c>
      <c r="AA476" s="27">
        <f t="shared" si="109"/>
        <v>7.88420933428013</v>
      </c>
      <c r="AB476" s="27">
        <f t="shared" si="109"/>
        <v>7.9775686845364202</v>
      </c>
      <c r="AC476" s="27">
        <f t="shared" si="109"/>
        <v>8.0864133355409642</v>
      </c>
      <c r="AD476" s="27">
        <f t="shared" si="109"/>
        <v>8.2048813891102359</v>
      </c>
      <c r="AE476" s="27">
        <f t="shared" si="109"/>
        <v>8.3328657755649527</v>
      </c>
      <c r="AF476" s="27">
        <f t="shared" si="109"/>
        <v>8.4671187588996872</v>
      </c>
      <c r="AG476" s="27">
        <f t="shared" si="109"/>
        <v>8.6091419335499069</v>
      </c>
      <c r="AH476" s="27">
        <f t="shared" si="109"/>
        <v>8.7574749892645496</v>
      </c>
      <c r="AI476" s="27">
        <f t="shared" si="109"/>
        <v>8.9064020314048324</v>
      </c>
      <c r="AJ476" s="27">
        <f t="shared" si="109"/>
        <v>9.0642998358305835</v>
      </c>
      <c r="AK476" s="27">
        <f t="shared" si="109"/>
        <v>9.2256487767776196</v>
      </c>
      <c r="AL476" s="27">
        <f t="shared" si="109"/>
        <v>9.3900384918162416</v>
      </c>
      <c r="AM476" s="27">
        <f t="shared" si="109"/>
        <v>9.5601174973828691</v>
      </c>
      <c r="AN476" s="27">
        <f t="shared" si="109"/>
        <v>9.7295365069027504</v>
      </c>
      <c r="AO476" s="27">
        <f t="shared" si="109"/>
        <v>9.9070935852539623</v>
      </c>
      <c r="AP476" s="27">
        <f t="shared" si="109"/>
        <v>10.096066907799957</v>
      </c>
      <c r="AQ476" s="27">
        <f t="shared" si="109"/>
        <v>10.291098999348057</v>
      </c>
      <c r="AR476" s="27">
        <f t="shared" si="109"/>
        <v>10.492542704095264</v>
      </c>
      <c r="AS476" s="27">
        <f t="shared" si="109"/>
        <v>10.706596925892969</v>
      </c>
      <c r="AT476" s="27">
        <f t="shared" si="109"/>
        <v>10.931461457010631</v>
      </c>
      <c r="AU476" s="27">
        <f t="shared" si="109"/>
        <v>11.165976151570428</v>
      </c>
      <c r="AV476" s="27">
        <f t="shared" si="109"/>
        <v>11.414366787540366</v>
      </c>
      <c r="AW476" s="27">
        <f t="shared" si="109"/>
        <v>11.653364369886001</v>
      </c>
      <c r="AY476" s="79"/>
    </row>
    <row r="477" spans="1:51" x14ac:dyDescent="0.25">
      <c r="A477" s="95" t="str">
        <f t="shared" si="108"/>
        <v>PQ Cattle MMCH4</v>
      </c>
      <c r="B477" s="95" t="s">
        <v>967</v>
      </c>
      <c r="C477" s="95" t="s">
        <v>1228</v>
      </c>
      <c r="D477" t="s">
        <v>15</v>
      </c>
      <c r="E477" t="s">
        <v>22</v>
      </c>
      <c r="F477" t="s">
        <v>6</v>
      </c>
      <c r="G477" t="s">
        <v>137</v>
      </c>
      <c r="H477" t="s">
        <v>1226</v>
      </c>
      <c r="I477" t="s">
        <v>121</v>
      </c>
      <c r="J477" t="s">
        <v>286</v>
      </c>
      <c r="K477" s="27">
        <f t="shared" si="110"/>
        <v>2.0944490884992821</v>
      </c>
      <c r="L477" s="27">
        <f t="shared" si="109"/>
        <v>2.1061581299686476</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2.1603148348588097</v>
      </c>
      <c r="S477" s="27">
        <f t="shared" si="109"/>
        <v>2.0979177880086217</v>
      </c>
      <c r="T477" s="27">
        <f t="shared" si="109"/>
        <v>2.1402245095961443</v>
      </c>
      <c r="U477" s="27">
        <f t="shared" si="109"/>
        <v>2.1612259574947443</v>
      </c>
      <c r="V477" s="27">
        <f t="shared" si="109"/>
        <v>2.1667106832205718</v>
      </c>
      <c r="W477" s="27">
        <f t="shared" si="109"/>
        <v>2.1745093190247649</v>
      </c>
      <c r="X477" s="27">
        <f t="shared" si="109"/>
        <v>2.1875954886982294</v>
      </c>
      <c r="Y477" s="27">
        <f t="shared" si="109"/>
        <v>2.2048827793746253</v>
      </c>
      <c r="Z477" s="27">
        <f t="shared" si="109"/>
        <v>2.224237828335264</v>
      </c>
      <c r="AA477" s="27">
        <f t="shared" si="109"/>
        <v>2.2462702111259123</v>
      </c>
      <c r="AB477" s="27">
        <f t="shared" si="109"/>
        <v>2.2728689883170463</v>
      </c>
      <c r="AC477" s="27">
        <f t="shared" si="109"/>
        <v>2.3038796435172904</v>
      </c>
      <c r="AD477" s="27">
        <f t="shared" si="109"/>
        <v>2.3376320780887165</v>
      </c>
      <c r="AE477" s="27">
        <f t="shared" si="109"/>
        <v>2.3740957870788466</v>
      </c>
      <c r="AF477" s="27">
        <f t="shared" si="109"/>
        <v>2.4123454662075314</v>
      </c>
      <c r="AG477" s="27">
        <f t="shared" si="109"/>
        <v>2.4528089309609635</v>
      </c>
      <c r="AH477" s="27">
        <f t="shared" si="109"/>
        <v>2.495070128025882</v>
      </c>
      <c r="AI477" s="27">
        <f t="shared" si="109"/>
        <v>2.537500556266326</v>
      </c>
      <c r="AJ477" s="27">
        <f t="shared" si="109"/>
        <v>2.5824868217808161</v>
      </c>
      <c r="AK477" s="27">
        <f t="shared" si="109"/>
        <v>2.6284563419038043</v>
      </c>
      <c r="AL477" s="27">
        <f t="shared" si="109"/>
        <v>2.6752922013096669</v>
      </c>
      <c r="AM477" s="27">
        <f t="shared" si="109"/>
        <v>2.7237489821413385</v>
      </c>
      <c r="AN477" s="27">
        <f t="shared" si="109"/>
        <v>2.772017725162697</v>
      </c>
      <c r="AO477" s="27">
        <f t="shared" si="109"/>
        <v>2.8226050648646934</v>
      </c>
      <c r="AP477" s="27">
        <f t="shared" si="109"/>
        <v>2.8764449779282546</v>
      </c>
      <c r="AQ477" s="27">
        <f t="shared" si="109"/>
        <v>2.9320110795984959</v>
      </c>
      <c r="AR477" s="27">
        <f t="shared" si="109"/>
        <v>2.989403897826326</v>
      </c>
      <c r="AS477" s="27">
        <f t="shared" si="109"/>
        <v>3.0503895466851563</v>
      </c>
      <c r="AT477" s="27">
        <f t="shared" si="109"/>
        <v>3.1144551335274819</v>
      </c>
      <c r="AU477" s="27">
        <f t="shared" si="109"/>
        <v>3.1812701241151289</v>
      </c>
      <c r="AV477" s="27">
        <f t="shared" si="109"/>
        <v>3.2520384741988773</v>
      </c>
      <c r="AW477" s="27">
        <f t="shared" si="109"/>
        <v>3.3201306730475184</v>
      </c>
      <c r="AY477" s="79"/>
    </row>
    <row r="478" spans="1:51" x14ac:dyDescent="0.25">
      <c r="A478" s="95" t="str">
        <f t="shared" si="108"/>
        <v>PQ Cattle MMCH4</v>
      </c>
      <c r="B478" s="95" t="s">
        <v>967</v>
      </c>
      <c r="C478" s="95" t="s">
        <v>1228</v>
      </c>
      <c r="D478" t="s">
        <v>15</v>
      </c>
      <c r="E478" t="s">
        <v>22</v>
      </c>
      <c r="F478" t="s">
        <v>67</v>
      </c>
      <c r="G478" t="s">
        <v>307</v>
      </c>
      <c r="H478" t="s">
        <v>1226</v>
      </c>
      <c r="I478" t="s">
        <v>121</v>
      </c>
      <c r="J478" t="s">
        <v>286</v>
      </c>
      <c r="K478" s="27">
        <f t="shared" si="110"/>
        <v>0.43258377187145641</v>
      </c>
      <c r="L478" s="27">
        <f t="shared" si="109"/>
        <v>0.43500213637199753</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0.44618756541973903</v>
      </c>
      <c r="S478" s="27">
        <f t="shared" si="109"/>
        <v>0.4333001908694058</v>
      </c>
      <c r="T478" s="27">
        <f t="shared" si="109"/>
        <v>0.44203814554223075</v>
      </c>
      <c r="U478" s="27">
        <f t="shared" si="109"/>
        <v>0.44637574706075117</v>
      </c>
      <c r="V478" s="27">
        <f t="shared" si="109"/>
        <v>0.44750855251073168</v>
      </c>
      <c r="W478" s="27">
        <f t="shared" si="109"/>
        <v>0.44911926881324493</v>
      </c>
      <c r="X478" s="27">
        <f t="shared" si="109"/>
        <v>0.45182206291207566</v>
      </c>
      <c r="Y478" s="27">
        <f t="shared" si="109"/>
        <v>0.45539254903527465</v>
      </c>
      <c r="Z478" s="27">
        <f t="shared" si="109"/>
        <v>0.45939010625933163</v>
      </c>
      <c r="AA478" s="27">
        <f t="shared" si="109"/>
        <v>0.46394063522813239</v>
      </c>
      <c r="AB478" s="27">
        <f t="shared" si="109"/>
        <v>0.46943429913607365</v>
      </c>
      <c r="AC478" s="27">
        <f t="shared" si="109"/>
        <v>0.47583918444380807</v>
      </c>
      <c r="AD478" s="27">
        <f t="shared" si="109"/>
        <v>0.48281035196319333</v>
      </c>
      <c r="AE478" s="27">
        <f t="shared" si="109"/>
        <v>0.49034150125585807</v>
      </c>
      <c r="AF478" s="27">
        <f t="shared" si="109"/>
        <v>0.49824152162933733</v>
      </c>
      <c r="AG478" s="27">
        <f t="shared" si="109"/>
        <v>0.50659877332962533</v>
      </c>
      <c r="AH478" s="27">
        <f t="shared" si="109"/>
        <v>0.51532732544890569</v>
      </c>
      <c r="AI478" s="27">
        <f t="shared" si="109"/>
        <v>0.52409083027275605</v>
      </c>
      <c r="AJ478" s="27">
        <f t="shared" si="109"/>
        <v>0.53338221315980094</v>
      </c>
      <c r="AK478" s="27">
        <f t="shared" si="109"/>
        <v>0.54287667569656828</v>
      </c>
      <c r="AL478" s="27">
        <f t="shared" si="109"/>
        <v>0.55255007040063653</v>
      </c>
      <c r="AM478" s="27">
        <f t="shared" si="109"/>
        <v>0.56255824731933757</v>
      </c>
      <c r="AN478" s="27">
        <f t="shared" si="109"/>
        <v>0.57252758724472796</v>
      </c>
      <c r="AO478" s="27">
        <f t="shared" si="109"/>
        <v>0.58297580598510912</v>
      </c>
      <c r="AP478" s="27">
        <f t="shared" si="109"/>
        <v>0.59409580541510443</v>
      </c>
      <c r="AQ478" s="27">
        <f t="shared" si="109"/>
        <v>0.60557232875515321</v>
      </c>
      <c r="AR478" s="27">
        <f t="shared" si="109"/>
        <v>0.61742613886858821</v>
      </c>
      <c r="AS478" s="27">
        <f t="shared" si="109"/>
        <v>0.63002200580001311</v>
      </c>
      <c r="AT478" s="27">
        <f t="shared" si="109"/>
        <v>0.64325399761857238</v>
      </c>
      <c r="AU478" s="27">
        <f t="shared" si="109"/>
        <v>0.65705384637339226</v>
      </c>
      <c r="AV478" s="27">
        <f t="shared" si="109"/>
        <v>0.6716702149337197</v>
      </c>
      <c r="AW478" s="27">
        <f t="shared" si="109"/>
        <v>0.6857338560003412</v>
      </c>
      <c r="AY478" s="79"/>
    </row>
    <row r="479" spans="1:51" x14ac:dyDescent="0.25">
      <c r="A479" s="95" t="str">
        <f t="shared" si="108"/>
        <v>PQ Cattle MMCH4</v>
      </c>
      <c r="B479" s="95" t="s">
        <v>967</v>
      </c>
      <c r="C479" s="95" t="s">
        <v>1228</v>
      </c>
      <c r="D479" t="s">
        <v>15</v>
      </c>
      <c r="E479" t="s">
        <v>22</v>
      </c>
      <c r="F479" t="s">
        <v>67</v>
      </c>
      <c r="G479" t="s">
        <v>122</v>
      </c>
      <c r="H479" t="s">
        <v>1226</v>
      </c>
      <c r="I479" t="s">
        <v>121</v>
      </c>
      <c r="J479" t="s">
        <v>286</v>
      </c>
      <c r="K479" s="27">
        <f t="shared" si="110"/>
        <v>9.4871637196006511E-2</v>
      </c>
      <c r="L479" s="27">
        <f t="shared" si="109"/>
        <v>9.404884578461549E-2</v>
      </c>
      <c r="M479" s="27">
        <f t="shared" si="109"/>
        <v>9.3735634002294205E-2</v>
      </c>
      <c r="N479" s="27">
        <f t="shared" si="109"/>
        <v>9.2483917307495084E-2</v>
      </c>
      <c r="O479" s="27">
        <f t="shared" si="109"/>
        <v>9.0667019955957301E-2</v>
      </c>
      <c r="P479" s="27">
        <f t="shared" ref="L479:AW485" si="111">P1396</f>
        <v>8.8322512540543865E-2</v>
      </c>
      <c r="Q479" s="27">
        <f t="shared" si="111"/>
        <v>8.6473330972337892E-2</v>
      </c>
      <c r="R479" s="27">
        <f t="shared" si="111"/>
        <v>8.4723794986300283E-2</v>
      </c>
      <c r="S479" s="27">
        <f t="shared" si="111"/>
        <v>7.5654493606876719E-2</v>
      </c>
      <c r="T479" s="27">
        <f t="shared" si="111"/>
        <v>7.9271557778310117E-2</v>
      </c>
      <c r="U479" s="27">
        <f t="shared" si="111"/>
        <v>8.0523786090551941E-2</v>
      </c>
      <c r="V479" s="27">
        <f t="shared" si="111"/>
        <v>7.9979986949743884E-2</v>
      </c>
      <c r="W479" s="27">
        <f t="shared" si="111"/>
        <v>7.953764463923213E-2</v>
      </c>
      <c r="X479" s="27">
        <f t="shared" si="111"/>
        <v>7.9566701648766641E-2</v>
      </c>
      <c r="Y479" s="27">
        <f t="shared" si="111"/>
        <v>8.0033923406415561E-2</v>
      </c>
      <c r="Z479" s="27">
        <f t="shared" si="111"/>
        <v>8.0696879014232822E-2</v>
      </c>
      <c r="AA479" s="27">
        <f t="shared" si="111"/>
        <v>8.1608968762296855E-2</v>
      </c>
      <c r="AB479" s="27">
        <f t="shared" si="111"/>
        <v>8.294500125938338E-2</v>
      </c>
      <c r="AC479" s="27">
        <f t="shared" si="111"/>
        <v>8.4667243855728658E-2</v>
      </c>
      <c r="AD479" s="27">
        <f t="shared" si="111"/>
        <v>8.5867982908629403E-2</v>
      </c>
      <c r="AE479" s="27">
        <f t="shared" si="111"/>
        <v>8.7210563420463058E-2</v>
      </c>
      <c r="AF479" s="27">
        <f t="shared" si="111"/>
        <v>8.8593806779096215E-2</v>
      </c>
      <c r="AG479" s="27">
        <f t="shared" si="111"/>
        <v>9.0048440137839775E-2</v>
      </c>
      <c r="AH479" s="27">
        <f t="shared" si="111"/>
        <v>9.1524860898689164E-2</v>
      </c>
      <c r="AI479" s="27">
        <f t="shared" si="111"/>
        <v>9.2873095408058187E-2</v>
      </c>
      <c r="AJ479" s="27">
        <f t="shared" si="111"/>
        <v>9.4295235372679823E-2</v>
      </c>
      <c r="AK479" s="27">
        <f t="shared" si="111"/>
        <v>9.5652981013283067E-2</v>
      </c>
      <c r="AL479" s="27">
        <f t="shared" si="111"/>
        <v>9.6933251950102856E-2</v>
      </c>
      <c r="AM479" s="27">
        <f t="shared" si="111"/>
        <v>9.8190775072259484E-2</v>
      </c>
      <c r="AN479" s="27">
        <f t="shared" si="111"/>
        <v>9.9787639127038461E-2</v>
      </c>
      <c r="AO479" s="27">
        <f t="shared" si="111"/>
        <v>0.1014392914748115</v>
      </c>
      <c r="AP479" s="27">
        <f t="shared" si="111"/>
        <v>0.10320575500989811</v>
      </c>
      <c r="AQ479" s="27">
        <f t="shared" si="111"/>
        <v>0.10496534581683413</v>
      </c>
      <c r="AR479" s="27">
        <f t="shared" si="111"/>
        <v>0.10672034773942209</v>
      </c>
      <c r="AS479" s="27">
        <f t="shared" si="111"/>
        <v>0.10858609964826429</v>
      </c>
      <c r="AT479" s="27">
        <f t="shared" si="111"/>
        <v>0.11051429251988212</v>
      </c>
      <c r="AU479" s="27">
        <f t="shared" si="111"/>
        <v>0.11247140287446589</v>
      </c>
      <c r="AV479" s="27">
        <f t="shared" si="111"/>
        <v>0.11452403240118444</v>
      </c>
      <c r="AW479" s="27">
        <f t="shared" si="111"/>
        <v>0.1162449069229001</v>
      </c>
      <c r="AY479" s="79"/>
    </row>
    <row r="480" spans="1:51" x14ac:dyDescent="0.25">
      <c r="A480" s="95" t="str">
        <f t="shared" si="108"/>
        <v>PQ Cattle MMCH4</v>
      </c>
      <c r="B480" s="95" t="s">
        <v>967</v>
      </c>
      <c r="C480" s="95" t="s">
        <v>1228</v>
      </c>
      <c r="D480" t="s">
        <v>15</v>
      </c>
      <c r="E480" t="s">
        <v>22</v>
      </c>
      <c r="F480" t="s">
        <v>67</v>
      </c>
      <c r="G480" t="s">
        <v>123</v>
      </c>
      <c r="H480" t="s">
        <v>1226</v>
      </c>
      <c r="I480" t="s">
        <v>121</v>
      </c>
      <c r="J480" t="s">
        <v>286</v>
      </c>
      <c r="K480" s="27">
        <f t="shared" si="110"/>
        <v>6.9689449734106276E-2</v>
      </c>
      <c r="L480" s="27">
        <f t="shared" si="111"/>
        <v>6.9085055392440989E-2</v>
      </c>
      <c r="M480" s="27">
        <f t="shared" si="111"/>
        <v>6.8854980763127779E-2</v>
      </c>
      <c r="N480" s="27">
        <f t="shared" si="111"/>
        <v>6.7935512624264269E-2</v>
      </c>
      <c r="O480" s="27">
        <f t="shared" si="111"/>
        <v>6.6600882165738229E-2</v>
      </c>
      <c r="P480" s="27">
        <f t="shared" si="111"/>
        <v>6.4878687456057696E-2</v>
      </c>
      <c r="Q480" s="27">
        <f t="shared" si="111"/>
        <v>6.3520342119606069E-2</v>
      </c>
      <c r="R480" s="27">
        <f t="shared" si="111"/>
        <v>6.2235193009075998E-2</v>
      </c>
      <c r="S480" s="27">
        <f t="shared" si="111"/>
        <v>5.5573195374324494E-2</v>
      </c>
      <c r="T480" s="27">
        <f t="shared" si="111"/>
        <v>5.8230166616839892E-2</v>
      </c>
      <c r="U480" s="27">
        <f t="shared" si="111"/>
        <v>5.9150010572323733E-2</v>
      </c>
      <c r="V480" s="27">
        <f t="shared" si="111"/>
        <v>5.8750554380685591E-2</v>
      </c>
      <c r="W480" s="27">
        <f t="shared" si="111"/>
        <v>5.8425624895701689E-2</v>
      </c>
      <c r="X480" s="27">
        <f t="shared" si="111"/>
        <v>5.8446969177989083E-2</v>
      </c>
      <c r="Y480" s="27">
        <f t="shared" si="111"/>
        <v>5.8790174251251236E-2</v>
      </c>
      <c r="Z480" s="27">
        <f t="shared" si="111"/>
        <v>5.9277158695416256E-2</v>
      </c>
      <c r="AA480" s="27">
        <f t="shared" si="111"/>
        <v>5.9947148531465801E-2</v>
      </c>
      <c r="AB480" s="27">
        <f t="shared" si="111"/>
        <v>6.0928552165899576E-2</v>
      </c>
      <c r="AC480" s="27">
        <f t="shared" si="111"/>
        <v>6.2193652488770283E-2</v>
      </c>
      <c r="AD480" s="27">
        <f t="shared" si="111"/>
        <v>6.3075674200886653E-2</v>
      </c>
      <c r="AE480" s="27">
        <f t="shared" si="111"/>
        <v>6.4061887782297905E-2</v>
      </c>
      <c r="AF480" s="27">
        <f t="shared" si="111"/>
        <v>6.5077970895866852E-2</v>
      </c>
      <c r="AG480" s="27">
        <f t="shared" si="111"/>
        <v>6.6146494654198057E-2</v>
      </c>
      <c r="AH480" s="27">
        <f t="shared" si="111"/>
        <v>6.7231022690612471E-2</v>
      </c>
      <c r="AI480" s="27">
        <f t="shared" si="111"/>
        <v>6.8221389504630262E-2</v>
      </c>
      <c r="AJ480" s="27">
        <f t="shared" si="111"/>
        <v>6.9266044730455056E-2</v>
      </c>
      <c r="AK480" s="27">
        <f t="shared" si="111"/>
        <v>7.026339809516019E-2</v>
      </c>
      <c r="AL480" s="27">
        <f t="shared" si="111"/>
        <v>7.1203841200544876E-2</v>
      </c>
      <c r="AM480" s="27">
        <f t="shared" si="111"/>
        <v>7.2127574541732534E-2</v>
      </c>
      <c r="AN480" s="27">
        <f t="shared" si="111"/>
        <v>7.3300576089579794E-2</v>
      </c>
      <c r="AO480" s="27">
        <f t="shared" si="111"/>
        <v>7.4513823237729482E-2</v>
      </c>
      <c r="AP480" s="27">
        <f t="shared" si="111"/>
        <v>7.5811406745023818E-2</v>
      </c>
      <c r="AQ480" s="27">
        <f t="shared" si="111"/>
        <v>7.7103941782015115E-2</v>
      </c>
      <c r="AR480" s="27">
        <f t="shared" si="111"/>
        <v>7.8393105982004302E-2</v>
      </c>
      <c r="AS480" s="27">
        <f t="shared" si="111"/>
        <v>7.9763623322175625E-2</v>
      </c>
      <c r="AT480" s="27">
        <f t="shared" si="111"/>
        <v>8.1180007651315583E-2</v>
      </c>
      <c r="AU480" s="27">
        <f t="shared" si="111"/>
        <v>8.2617633771312649E-2</v>
      </c>
      <c r="AV480" s="27">
        <f t="shared" si="111"/>
        <v>8.4125424997993567E-2</v>
      </c>
      <c r="AW480" s="27">
        <f t="shared" si="111"/>
        <v>8.5389520380178607E-2</v>
      </c>
      <c r="AY480" s="79"/>
    </row>
    <row r="481" spans="1:51" x14ac:dyDescent="0.25">
      <c r="A481" s="95" t="str">
        <f t="shared" si="108"/>
        <v>PQ Cattle MMCH4</v>
      </c>
      <c r="B481" s="95" t="s">
        <v>967</v>
      </c>
      <c r="C481" s="95" t="s">
        <v>1228</v>
      </c>
      <c r="D481" t="s">
        <v>15</v>
      </c>
      <c r="E481" t="s">
        <v>22</v>
      </c>
      <c r="F481" t="s">
        <v>67</v>
      </c>
      <c r="G481" t="s">
        <v>135</v>
      </c>
      <c r="H481" t="s">
        <v>1226</v>
      </c>
      <c r="I481" t="s">
        <v>121</v>
      </c>
      <c r="J481" t="s">
        <v>286</v>
      </c>
      <c r="K481" s="27">
        <f t="shared" si="110"/>
        <v>0.47107022937833815</v>
      </c>
      <c r="L481" s="27">
        <f t="shared" si="111"/>
        <v>0.48695387967725917</v>
      </c>
      <c r="M481" s="27">
        <f t="shared" si="111"/>
        <v>0.50580611066616787</v>
      </c>
      <c r="N481" s="27">
        <f t="shared" si="111"/>
        <v>0.5198656905589939</v>
      </c>
      <c r="O481" s="27">
        <f t="shared" si="111"/>
        <v>0.53070826286138517</v>
      </c>
      <c r="P481" s="27">
        <f t="shared" si="111"/>
        <v>0.53817886796858128</v>
      </c>
      <c r="Q481" s="27">
        <f t="shared" si="111"/>
        <v>0.54837935702304741</v>
      </c>
      <c r="R481" s="27">
        <f t="shared" si="111"/>
        <v>0.55907244781022658</v>
      </c>
      <c r="S481" s="27">
        <f t="shared" si="111"/>
        <v>0.51940277612263608</v>
      </c>
      <c r="T481" s="27">
        <f t="shared" si="111"/>
        <v>0.55734768073083851</v>
      </c>
      <c r="U481" s="27">
        <f t="shared" si="111"/>
        <v>0.57960474973304943</v>
      </c>
      <c r="V481" s="27">
        <f t="shared" si="111"/>
        <v>0.58919613300783547</v>
      </c>
      <c r="W481" s="27">
        <f t="shared" si="111"/>
        <v>0.59952169359823548</v>
      </c>
      <c r="X481" s="27">
        <f t="shared" si="111"/>
        <v>0.61349330548493453</v>
      </c>
      <c r="Y481" s="27">
        <f t="shared" si="111"/>
        <v>0.63110337066637079</v>
      </c>
      <c r="Z481" s="27">
        <f t="shared" si="111"/>
        <v>0.65064008423990027</v>
      </c>
      <c r="AA481" s="27">
        <f t="shared" si="111"/>
        <v>0.67266194335256146</v>
      </c>
      <c r="AB481" s="27">
        <f t="shared" si="111"/>
        <v>0.69879229877984206</v>
      </c>
      <c r="AC481" s="27">
        <f t="shared" si="111"/>
        <v>0.72895809146559021</v>
      </c>
      <c r="AD481" s="27">
        <f t="shared" si="111"/>
        <v>0.76381313429213382</v>
      </c>
      <c r="AE481" s="27">
        <f t="shared" si="111"/>
        <v>0.80153113832193645</v>
      </c>
      <c r="AF481" s="27">
        <f t="shared" si="111"/>
        <v>0.84136759742134326</v>
      </c>
      <c r="AG481" s="27">
        <f t="shared" si="111"/>
        <v>0.88375975405626439</v>
      </c>
      <c r="AH481" s="27">
        <f t="shared" si="111"/>
        <v>0.92838040456636217</v>
      </c>
      <c r="AI481" s="27">
        <f t="shared" si="111"/>
        <v>0.97379529022362832</v>
      </c>
      <c r="AJ481" s="27">
        <f t="shared" si="111"/>
        <v>1.0221841318210139</v>
      </c>
      <c r="AK481" s="27">
        <f t="shared" si="111"/>
        <v>1.072208285270027</v>
      </c>
      <c r="AL481" s="27">
        <f t="shared" si="111"/>
        <v>1.123785168211771</v>
      </c>
      <c r="AM481" s="27">
        <f t="shared" si="111"/>
        <v>1.1776298462289758</v>
      </c>
      <c r="AN481" s="27">
        <f t="shared" si="111"/>
        <v>1.2305489615866252</v>
      </c>
      <c r="AO481" s="27">
        <f t="shared" si="111"/>
        <v>1.2863335234294737</v>
      </c>
      <c r="AP481" s="27">
        <f t="shared" si="111"/>
        <v>1.3459319381262367</v>
      </c>
      <c r="AQ481" s="27">
        <f t="shared" si="111"/>
        <v>1.4079553802544587</v>
      </c>
      <c r="AR481" s="27">
        <f t="shared" si="111"/>
        <v>1.4725543863966755</v>
      </c>
      <c r="AS481" s="27">
        <f t="shared" si="111"/>
        <v>1.5414959451453387</v>
      </c>
      <c r="AT481" s="27">
        <f t="shared" si="111"/>
        <v>1.6143551492479555</v>
      </c>
      <c r="AU481" s="27">
        <f t="shared" si="111"/>
        <v>1.6908665423569276</v>
      </c>
      <c r="AV481" s="27">
        <f t="shared" si="111"/>
        <v>1.7722717243433437</v>
      </c>
      <c r="AW481" s="27">
        <f t="shared" si="111"/>
        <v>1.852080501247541</v>
      </c>
      <c r="AY481" s="79"/>
    </row>
    <row r="482" spans="1:51" x14ac:dyDescent="0.25">
      <c r="A482" s="95" t="str">
        <f t="shared" si="108"/>
        <v>PQ Sheep MMCH4</v>
      </c>
      <c r="B482" s="95" t="s">
        <v>967</v>
      </c>
      <c r="C482" s="95" t="s">
        <v>1323</v>
      </c>
      <c r="D482" t="s">
        <v>15</v>
      </c>
      <c r="E482" t="s">
        <v>22</v>
      </c>
      <c r="F482" t="s">
        <v>18</v>
      </c>
      <c r="G482" t="s">
        <v>122</v>
      </c>
      <c r="H482" t="s">
        <v>1226</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3.6577867645106926E-2</v>
      </c>
      <c r="T482" s="27">
        <f t="shared" si="111"/>
        <v>3.6604195637780168E-2</v>
      </c>
      <c r="U482" s="27">
        <f t="shared" si="111"/>
        <v>3.6594939276300961E-2</v>
      </c>
      <c r="V482" s="27">
        <f t="shared" si="111"/>
        <v>3.6594272892103465E-2</v>
      </c>
      <c r="W482" s="27">
        <f t="shared" si="111"/>
        <v>3.663308878376182E-2</v>
      </c>
      <c r="X482" s="27">
        <f t="shared" si="111"/>
        <v>3.66966145669788E-2</v>
      </c>
      <c r="Y482" s="27">
        <f t="shared" si="111"/>
        <v>3.6757568260761757E-2</v>
      </c>
      <c r="Z482" s="27">
        <f t="shared" si="111"/>
        <v>3.6816146514376355E-2</v>
      </c>
      <c r="AA482" s="27">
        <f t="shared" si="111"/>
        <v>3.6872269383598041E-2</v>
      </c>
      <c r="AB482" s="27">
        <f t="shared" si="111"/>
        <v>3.6927106456158189E-2</v>
      </c>
      <c r="AC482" s="27">
        <f t="shared" si="111"/>
        <v>3.6981458757835407E-2</v>
      </c>
      <c r="AD482" s="27">
        <f t="shared" si="111"/>
        <v>3.7034780933234084E-2</v>
      </c>
      <c r="AE482" s="27">
        <f t="shared" si="111"/>
        <v>3.7087839668251105E-2</v>
      </c>
      <c r="AF482" s="27">
        <f t="shared" si="111"/>
        <v>3.7140467817616069E-2</v>
      </c>
      <c r="AG482" s="27">
        <f t="shared" si="111"/>
        <v>3.7192243691518308E-2</v>
      </c>
      <c r="AH482" s="27">
        <f t="shared" si="111"/>
        <v>3.7243395244831647E-2</v>
      </c>
      <c r="AI482" s="27">
        <f t="shared" si="111"/>
        <v>3.7293977063567109E-2</v>
      </c>
      <c r="AJ482" s="27">
        <f t="shared" si="111"/>
        <v>3.7344160870083701E-2</v>
      </c>
      <c r="AK482" s="27">
        <f t="shared" si="111"/>
        <v>3.7392411139770994E-2</v>
      </c>
      <c r="AL482" s="27">
        <f t="shared" si="111"/>
        <v>3.743867142078007E-2</v>
      </c>
      <c r="AM482" s="27">
        <f t="shared" si="111"/>
        <v>3.7483374065557115E-2</v>
      </c>
      <c r="AN482" s="27">
        <f t="shared" si="111"/>
        <v>3.7526174858995696E-2</v>
      </c>
      <c r="AO482" s="27">
        <f t="shared" si="111"/>
        <v>3.7567151445085212E-2</v>
      </c>
      <c r="AP482" s="27">
        <f t="shared" si="111"/>
        <v>3.7606119264532091E-2</v>
      </c>
      <c r="AQ482" s="27">
        <f t="shared" si="111"/>
        <v>3.7642520684787982E-2</v>
      </c>
      <c r="AR482" s="27">
        <f t="shared" si="111"/>
        <v>3.7675838960014932E-2</v>
      </c>
      <c r="AS482" s="27">
        <f t="shared" si="111"/>
        <v>3.7706040429411586E-2</v>
      </c>
      <c r="AT482" s="27">
        <f t="shared" si="111"/>
        <v>3.7732893978113372E-2</v>
      </c>
      <c r="AU482" s="27">
        <f t="shared" si="111"/>
        <v>3.7756386655025911E-2</v>
      </c>
      <c r="AV482" s="27">
        <f t="shared" si="111"/>
        <v>3.7776968038330937E-2</v>
      </c>
      <c r="AW482" s="27">
        <f t="shared" si="111"/>
        <v>3.7791964878546927E-2</v>
      </c>
      <c r="AY482" s="79"/>
    </row>
    <row r="483" spans="1:51" x14ac:dyDescent="0.25">
      <c r="A483" s="95" t="str">
        <f t="shared" si="108"/>
        <v>PQ Sheep MMCH4</v>
      </c>
      <c r="B483" s="95" t="s">
        <v>967</v>
      </c>
      <c r="C483" s="95" t="s">
        <v>1323</v>
      </c>
      <c r="D483" t="s">
        <v>15</v>
      </c>
      <c r="E483" t="s">
        <v>22</v>
      </c>
      <c r="F483" t="s">
        <v>18</v>
      </c>
      <c r="G483" t="s">
        <v>123</v>
      </c>
      <c r="H483" t="s">
        <v>1226</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4.1773668344855536E-3</v>
      </c>
      <c r="T483" s="27">
        <f t="shared" si="111"/>
        <v>4.1803736167419408E-3</v>
      </c>
      <c r="U483" s="27">
        <f t="shared" si="111"/>
        <v>4.1793164961403135E-3</v>
      </c>
      <c r="V483" s="27">
        <f t="shared" si="111"/>
        <v>4.1792403918886204E-3</v>
      </c>
      <c r="W483" s="27">
        <f t="shared" si="111"/>
        <v>4.1836733517330218E-3</v>
      </c>
      <c r="X483" s="27">
        <f t="shared" si="111"/>
        <v>4.190928298973798E-3</v>
      </c>
      <c r="Y483" s="27">
        <f t="shared" si="111"/>
        <v>4.197889501341273E-3</v>
      </c>
      <c r="Z483" s="27">
        <f t="shared" si="111"/>
        <v>4.204579417118921E-3</v>
      </c>
      <c r="AA483" s="27">
        <f t="shared" si="111"/>
        <v>4.2109889162952416E-3</v>
      </c>
      <c r="AB483" s="27">
        <f t="shared" si="111"/>
        <v>4.2172515713640264E-3</v>
      </c>
      <c r="AC483" s="27">
        <f t="shared" si="111"/>
        <v>4.2234588632873099E-3</v>
      </c>
      <c r="AD483" s="27">
        <f t="shared" si="111"/>
        <v>4.2295485098794577E-3</v>
      </c>
      <c r="AE483" s="27">
        <f t="shared" si="111"/>
        <v>4.2356080703243246E-3</v>
      </c>
      <c r="AF483" s="27">
        <f t="shared" si="111"/>
        <v>4.2416184558353278E-3</v>
      </c>
      <c r="AG483" s="27">
        <f t="shared" si="111"/>
        <v>4.247531507426093E-3</v>
      </c>
      <c r="AH483" s="27">
        <f t="shared" si="111"/>
        <v>4.2533732586297656E-3</v>
      </c>
      <c r="AI483" s="27">
        <f t="shared" si="111"/>
        <v>4.2591499434289888E-3</v>
      </c>
      <c r="AJ483" s="27">
        <f t="shared" si="111"/>
        <v>4.2648811733356808E-3</v>
      </c>
      <c r="AK483" s="27">
        <f t="shared" si="111"/>
        <v>4.2703915841202098E-3</v>
      </c>
      <c r="AL483" s="27">
        <f t="shared" si="111"/>
        <v>4.2756747287123493E-3</v>
      </c>
      <c r="AM483" s="27">
        <f t="shared" si="111"/>
        <v>4.2807799838222773E-3</v>
      </c>
      <c r="AN483" s="27">
        <f t="shared" si="111"/>
        <v>4.2856680384441249E-3</v>
      </c>
      <c r="AO483" s="27">
        <f t="shared" si="111"/>
        <v>4.2903477598915749E-3</v>
      </c>
      <c r="AP483" s="27">
        <f t="shared" si="111"/>
        <v>4.2947980706135938E-3</v>
      </c>
      <c r="AQ483" s="27">
        <f t="shared" si="111"/>
        <v>4.2989552863151904E-3</v>
      </c>
      <c r="AR483" s="27">
        <f t="shared" si="111"/>
        <v>4.3027603921585852E-3</v>
      </c>
      <c r="AS483" s="27">
        <f t="shared" si="111"/>
        <v>4.3062095439198199E-3</v>
      </c>
      <c r="AT483" s="27">
        <f t="shared" si="111"/>
        <v>4.3092763471797441E-3</v>
      </c>
      <c r="AU483" s="27">
        <f t="shared" si="111"/>
        <v>4.3119593228616469E-3</v>
      </c>
      <c r="AV483" s="27">
        <f t="shared" si="111"/>
        <v>4.3143098149368113E-3</v>
      </c>
      <c r="AW483" s="27">
        <f t="shared" si="111"/>
        <v>4.3160225255723297E-3</v>
      </c>
      <c r="AY483" s="79"/>
    </row>
    <row r="484" spans="1:51" x14ac:dyDescent="0.25">
      <c r="A484" s="95" t="str">
        <f t="shared" si="108"/>
        <v>PQ Goats MMCH4</v>
      </c>
      <c r="B484" s="95" t="s">
        <v>967</v>
      </c>
      <c r="C484" s="95" t="s">
        <v>1324</v>
      </c>
      <c r="D484" t="s">
        <v>15</v>
      </c>
      <c r="E484" t="s">
        <v>22</v>
      </c>
      <c r="F484" t="s">
        <v>19</v>
      </c>
      <c r="G484" t="s">
        <v>122</v>
      </c>
      <c r="H484" t="s">
        <v>1226</v>
      </c>
      <c r="I484" t="s">
        <v>121</v>
      </c>
      <c r="J484" t="s">
        <v>286</v>
      </c>
      <c r="K484" s="27">
        <f t="shared" si="110"/>
        <v>1.5789672763163298E-2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1.623065478441902E-2</v>
      </c>
      <c r="R484" s="27">
        <f t="shared" si="111"/>
        <v>1.6337439810579345E-2</v>
      </c>
      <c r="S484" s="27">
        <f t="shared" si="111"/>
        <v>1.6297380650984187E-2</v>
      </c>
      <c r="T484" s="27">
        <f t="shared" si="111"/>
        <v>1.6325395863941383E-2</v>
      </c>
      <c r="U484" s="27">
        <f t="shared" si="111"/>
        <v>1.6328114418990985E-2</v>
      </c>
      <c r="V484" s="27">
        <f t="shared" si="111"/>
        <v>1.6335588711282864E-2</v>
      </c>
      <c r="W484" s="27">
        <f t="shared" si="111"/>
        <v>1.6368634589950044E-2</v>
      </c>
      <c r="X484" s="27">
        <f t="shared" si="111"/>
        <v>1.641724322972727E-2</v>
      </c>
      <c r="Y484" s="27">
        <f t="shared" si="111"/>
        <v>1.6463127220508685E-2</v>
      </c>
      <c r="Z484" s="27">
        <f t="shared" si="111"/>
        <v>1.6506502302245762E-2</v>
      </c>
      <c r="AA484" s="27">
        <f t="shared" si="111"/>
        <v>1.6547390676749981E-2</v>
      </c>
      <c r="AB484" s="27">
        <f t="shared" si="111"/>
        <v>1.6586638401151873E-2</v>
      </c>
      <c r="AC484" s="27">
        <f t="shared" si="111"/>
        <v>1.6624834346576634E-2</v>
      </c>
      <c r="AD484" s="27">
        <f t="shared" si="111"/>
        <v>1.6661666671952648E-2</v>
      </c>
      <c r="AE484" s="27">
        <f t="shared" si="111"/>
        <v>1.669768859843657E-2</v>
      </c>
      <c r="AF484" s="27">
        <f t="shared" si="111"/>
        <v>1.6732829718107738E-2</v>
      </c>
      <c r="AG484" s="27">
        <f t="shared" si="111"/>
        <v>1.6766849576183976E-2</v>
      </c>
      <c r="AH484" s="27">
        <f t="shared" si="111"/>
        <v>1.6799933327571178E-2</v>
      </c>
      <c r="AI484" s="27">
        <f t="shared" si="111"/>
        <v>1.6832148555186801E-2</v>
      </c>
      <c r="AJ484" s="27">
        <f t="shared" si="111"/>
        <v>1.6863636706256461E-2</v>
      </c>
      <c r="AK484" s="27">
        <f t="shared" si="111"/>
        <v>1.6893421474693429E-2</v>
      </c>
      <c r="AL484" s="27">
        <f t="shared" si="111"/>
        <v>1.6921495820142095E-2</v>
      </c>
      <c r="AM484" s="27">
        <f t="shared" si="111"/>
        <v>1.6948169002433171E-2</v>
      </c>
      <c r="AN484" s="27">
        <f t="shared" si="111"/>
        <v>1.6973242190360595E-2</v>
      </c>
      <c r="AO484" s="27">
        <f t="shared" si="111"/>
        <v>1.699679001880551E-2</v>
      </c>
      <c r="AP484" s="27">
        <f t="shared" si="111"/>
        <v>1.701871561452447E-2</v>
      </c>
      <c r="AQ484" s="27">
        <f t="shared" si="111"/>
        <v>1.7038680545756732E-2</v>
      </c>
      <c r="AR484" s="27">
        <f t="shared" si="111"/>
        <v>1.7056373927880512E-2</v>
      </c>
      <c r="AS484" s="27">
        <f t="shared" si="111"/>
        <v>1.7071796968078184E-2</v>
      </c>
      <c r="AT484" s="27">
        <f t="shared" si="111"/>
        <v>1.7084822941521471E-2</v>
      </c>
      <c r="AU484" s="27">
        <f t="shared" si="111"/>
        <v>1.7095465059373528E-2</v>
      </c>
      <c r="AV484" s="27">
        <f t="shared" si="111"/>
        <v>1.7104031992328298E-2</v>
      </c>
      <c r="AW484" s="27">
        <f t="shared" si="111"/>
        <v>1.7108831686205268E-2</v>
      </c>
      <c r="AY484" s="79"/>
    </row>
    <row r="485" spans="1:51" x14ac:dyDescent="0.25">
      <c r="A485" s="95" t="str">
        <f t="shared" si="108"/>
        <v>PQ Goats MMCH4</v>
      </c>
      <c r="B485" s="95" t="s">
        <v>967</v>
      </c>
      <c r="C485" s="95" t="s">
        <v>1324</v>
      </c>
      <c r="D485" t="s">
        <v>15</v>
      </c>
      <c r="E485" t="s">
        <v>22</v>
      </c>
      <c r="F485" t="s">
        <v>19</v>
      </c>
      <c r="G485" t="s">
        <v>123</v>
      </c>
      <c r="H485" t="s">
        <v>1226</v>
      </c>
      <c r="I485" t="s">
        <v>121</v>
      </c>
      <c r="J485" t="s">
        <v>286</v>
      </c>
      <c r="K485" s="27">
        <f t="shared" si="110"/>
        <v>2.6592218800664796E-2</v>
      </c>
      <c r="L485" s="27">
        <f t="shared" si="111"/>
        <v>2.6661345733624896E-2</v>
      </c>
      <c r="M485" s="27">
        <f t="shared" si="111"/>
        <v>2.6756703894783639E-2</v>
      </c>
      <c r="N485" s="27">
        <f t="shared" si="111"/>
        <v>2.6872875319249701E-2</v>
      </c>
      <c r="O485" s="27">
        <f t="shared" si="111"/>
        <v>2.7009694315810229E-2</v>
      </c>
      <c r="P485" s="27">
        <f t="shared" si="111"/>
        <v>2.7166328132291764E-2</v>
      </c>
      <c r="Q485" s="27">
        <f t="shared" si="111"/>
        <v>2.7334899828466049E-2</v>
      </c>
      <c r="R485" s="27">
        <f t="shared" si="111"/>
        <v>2.7514742110372921E-2</v>
      </c>
      <c r="S485" s="27">
        <f t="shared" si="111"/>
        <v>2.7447276371664872E-2</v>
      </c>
      <c r="T485" s="27">
        <f t="shared" si="111"/>
        <v>2.7494458266051122E-2</v>
      </c>
      <c r="U485" s="27">
        <f t="shared" si="111"/>
        <v>2.7499036727668718E-2</v>
      </c>
      <c r="V485" s="27">
        <f t="shared" si="111"/>
        <v>2.7511624576637288E-2</v>
      </c>
      <c r="W485" s="27">
        <f t="shared" si="111"/>
        <v>2.7567278879874528E-2</v>
      </c>
      <c r="X485" s="27">
        <f t="shared" si="111"/>
        <v>2.7649143248056639E-2</v>
      </c>
      <c r="Y485" s="27">
        <f t="shared" si="111"/>
        <v>2.7726418891485655E-2</v>
      </c>
      <c r="Z485" s="27">
        <f t="shared" si="111"/>
        <v>2.7799469149166745E-2</v>
      </c>
      <c r="AA485" s="27">
        <f t="shared" si="111"/>
        <v>2.7868331412338937E-2</v>
      </c>
      <c r="AB485" s="27">
        <f t="shared" si="111"/>
        <v>2.7934430570337832E-2</v>
      </c>
      <c r="AC485" s="27">
        <f t="shared" si="111"/>
        <v>2.7998758372013564E-2</v>
      </c>
      <c r="AD485" s="27">
        <f t="shared" si="111"/>
        <v>2.8060789629407407E-2</v>
      </c>
      <c r="AE485" s="27">
        <f t="shared" si="111"/>
        <v>2.8121456051381433E-2</v>
      </c>
      <c r="AF485" s="27">
        <f t="shared" si="111"/>
        <v>2.8180639060251388E-2</v>
      </c>
      <c r="AG485" s="27">
        <f t="shared" si="111"/>
        <v>2.8237933693465157E-2</v>
      </c>
      <c r="AH485" s="27">
        <f t="shared" si="111"/>
        <v>2.8293651780143172E-2</v>
      </c>
      <c r="AI485" s="27">
        <f t="shared" si="111"/>
        <v>2.8347907140233115E-2</v>
      </c>
      <c r="AJ485" s="27">
        <f t="shared" si="111"/>
        <v>2.8400937992451046E-2</v>
      </c>
      <c r="AK485" s="27">
        <f t="shared" si="111"/>
        <v>2.845110008834013E-2</v>
      </c>
      <c r="AL485" s="27">
        <f t="shared" si="111"/>
        <v>2.8498381570866985E-2</v>
      </c>
      <c r="AM485" s="27">
        <f t="shared" si="111"/>
        <v>2.8543303280786723E-2</v>
      </c>
      <c r="AN485" s="27">
        <f t="shared" si="111"/>
        <v>2.8585530356002101E-2</v>
      </c>
      <c r="AO485" s="27">
        <f t="shared" si="111"/>
        <v>2.8625188493043956E-2</v>
      </c>
      <c r="AP485" s="27">
        <f t="shared" si="111"/>
        <v>2.8662114542585253E-2</v>
      </c>
      <c r="AQ485" s="27">
        <f t="shared" ref="L485:AW492" si="112">AQ1402</f>
        <v>2.8695738533888428E-2</v>
      </c>
      <c r="AR485" s="27">
        <f t="shared" si="112"/>
        <v>2.8725536889802242E-2</v>
      </c>
      <c r="AS485" s="27">
        <f t="shared" si="112"/>
        <v>2.8751511643406051E-2</v>
      </c>
      <c r="AT485" s="27">
        <f t="shared" si="112"/>
        <v>2.8773449370747915E-2</v>
      </c>
      <c r="AU485" s="27">
        <f t="shared" si="112"/>
        <v>2.8791372321442913E-2</v>
      </c>
      <c r="AV485" s="27">
        <f t="shared" si="112"/>
        <v>2.8805800344049892E-2</v>
      </c>
      <c r="AW485" s="27">
        <f t="shared" si="112"/>
        <v>2.8813883761082477E-2</v>
      </c>
      <c r="AY485" s="79"/>
    </row>
    <row r="486" spans="1:51" x14ac:dyDescent="0.25">
      <c r="A486" s="95" t="str">
        <f t="shared" si="108"/>
        <v>PQ Horses MMCH4</v>
      </c>
      <c r="B486" s="95" t="s">
        <v>967</v>
      </c>
      <c r="C486" s="95" t="s">
        <v>1325</v>
      </c>
      <c r="D486" t="s">
        <v>15</v>
      </c>
      <c r="E486" t="s">
        <v>22</v>
      </c>
      <c r="F486" t="s">
        <v>20</v>
      </c>
      <c r="G486" t="s">
        <v>3</v>
      </c>
      <c r="H486" t="s">
        <v>1226</v>
      </c>
      <c r="I486" t="s">
        <v>121</v>
      </c>
      <c r="J486" t="s">
        <v>286</v>
      </c>
      <c r="K486" s="27">
        <f t="shared" si="110"/>
        <v>4.1336182129460544E-3</v>
      </c>
      <c r="L486" s="27">
        <f t="shared" si="112"/>
        <v>4.1536453250924079E-3</v>
      </c>
      <c r="M486" s="27">
        <f t="shared" si="112"/>
        <v>4.1840370126470525E-3</v>
      </c>
      <c r="N486" s="27">
        <f t="shared" si="112"/>
        <v>4.1905340987284569E-3</v>
      </c>
      <c r="O486" s="27">
        <f t="shared" si="112"/>
        <v>4.1812329246154589E-3</v>
      </c>
      <c r="P486" s="27">
        <f t="shared" si="112"/>
        <v>4.1564738854214548E-3</v>
      </c>
      <c r="Q486" s="27">
        <f t="shared" si="112"/>
        <v>4.1427460620707141E-3</v>
      </c>
      <c r="R486" s="27">
        <f t="shared" si="112"/>
        <v>4.130408792135833E-3</v>
      </c>
      <c r="S486" s="27">
        <f t="shared" si="112"/>
        <v>3.9434601312185527E-3</v>
      </c>
      <c r="T486" s="27">
        <f t="shared" si="112"/>
        <v>4.0605746122765228E-3</v>
      </c>
      <c r="U486" s="27">
        <f t="shared" si="112"/>
        <v>4.1189841670463273E-3</v>
      </c>
      <c r="V486" s="27">
        <f t="shared" si="112"/>
        <v>4.1278057101270405E-3</v>
      </c>
      <c r="W486" s="27">
        <f t="shared" si="112"/>
        <v>4.1355671321311174E-3</v>
      </c>
      <c r="X486" s="27">
        <f t="shared" si="112"/>
        <v>4.1543998592115791E-3</v>
      </c>
      <c r="Y486" s="27">
        <f t="shared" si="112"/>
        <v>4.1865458304734694E-3</v>
      </c>
      <c r="Z486" s="27">
        <f t="shared" si="112"/>
        <v>4.2253320128085251E-3</v>
      </c>
      <c r="AA486" s="27">
        <f t="shared" si="112"/>
        <v>4.272518274488683E-3</v>
      </c>
      <c r="AB486" s="27">
        <f t="shared" si="112"/>
        <v>4.3334009221617396E-3</v>
      </c>
      <c r="AC486" s="27">
        <f t="shared" si="112"/>
        <v>4.4071847194853781E-3</v>
      </c>
      <c r="AD486" s="27">
        <f t="shared" si="112"/>
        <v>4.4888905161837847E-3</v>
      </c>
      <c r="AE486" s="27">
        <f t="shared" si="112"/>
        <v>4.5781841431122572E-3</v>
      </c>
      <c r="AF486" s="27">
        <f t="shared" si="112"/>
        <v>4.6723057323312554E-3</v>
      </c>
      <c r="AG486" s="27">
        <f t="shared" si="112"/>
        <v>4.7725702352352153E-3</v>
      </c>
      <c r="AH486" s="27">
        <f t="shared" si="112"/>
        <v>4.8776647477587476E-3</v>
      </c>
      <c r="AI486" s="27">
        <f t="shared" si="112"/>
        <v>4.9827957618803235E-3</v>
      </c>
      <c r="AJ486" s="27">
        <f t="shared" si="112"/>
        <v>5.0948794457102743E-3</v>
      </c>
      <c r="AK486" s="27">
        <f t="shared" si="112"/>
        <v>5.2096806373507004E-3</v>
      </c>
      <c r="AL486" s="27">
        <f t="shared" si="112"/>
        <v>5.326887127790998E-3</v>
      </c>
      <c r="AM486" s="27">
        <f t="shared" si="112"/>
        <v>5.4485848360062324E-3</v>
      </c>
      <c r="AN486" s="27">
        <f t="shared" si="112"/>
        <v>5.5696508386077004E-3</v>
      </c>
      <c r="AO486" s="27">
        <f t="shared" si="112"/>
        <v>5.6973052536603251E-3</v>
      </c>
      <c r="AP486" s="27">
        <f t="shared" si="112"/>
        <v>5.8342669505017037E-3</v>
      </c>
      <c r="AQ486" s="27">
        <f t="shared" si="112"/>
        <v>5.9763033014494302E-3</v>
      </c>
      <c r="AR486" s="27">
        <f t="shared" si="112"/>
        <v>6.1238672356661557E-3</v>
      </c>
      <c r="AS486" s="27">
        <f t="shared" si="112"/>
        <v>6.2820427526668306E-3</v>
      </c>
      <c r="AT486" s="27">
        <f t="shared" si="112"/>
        <v>6.4494574929913678E-3</v>
      </c>
      <c r="AU486" s="27">
        <f t="shared" si="112"/>
        <v>6.6252174839876625E-3</v>
      </c>
      <c r="AV486" s="27">
        <f t="shared" si="112"/>
        <v>6.8126704322840365E-3</v>
      </c>
      <c r="AW486" s="27">
        <f t="shared" si="112"/>
        <v>6.9938267919267671E-3</v>
      </c>
      <c r="AY486" s="79"/>
    </row>
    <row r="487" spans="1:51" x14ac:dyDescent="0.25">
      <c r="A487" s="95" t="str">
        <f t="shared" si="108"/>
        <v>PQ Mules MMCH4</v>
      </c>
      <c r="B487" s="95" t="s">
        <v>967</v>
      </c>
      <c r="C487" s="95" t="s">
        <v>1326</v>
      </c>
      <c r="D487" t="s">
        <v>15</v>
      </c>
      <c r="E487" t="s">
        <v>22</v>
      </c>
      <c r="F487" t="s">
        <v>140</v>
      </c>
      <c r="G487" t="s">
        <v>124</v>
      </c>
      <c r="H487" t="s">
        <v>1226</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5">
      <c r="A488" s="95" t="str">
        <f t="shared" si="108"/>
        <v>PQ Swine MMCH4</v>
      </c>
      <c r="B488" s="95" t="s">
        <v>967</v>
      </c>
      <c r="C488" s="95" t="s">
        <v>1229</v>
      </c>
      <c r="D488" t="s">
        <v>15</v>
      </c>
      <c r="E488" t="s">
        <v>22</v>
      </c>
      <c r="F488" t="s">
        <v>21</v>
      </c>
      <c r="G488" t="s">
        <v>122</v>
      </c>
      <c r="H488" t="s">
        <v>1226</v>
      </c>
      <c r="I488" t="s">
        <v>121</v>
      </c>
      <c r="J488" t="s">
        <v>286</v>
      </c>
      <c r="K488" s="27">
        <f t="shared" si="110"/>
        <v>23.279067868377393</v>
      </c>
      <c r="L488" s="27">
        <f t="shared" si="112"/>
        <v>23.152530650802596</v>
      </c>
      <c r="M488" s="27">
        <f t="shared" si="112"/>
        <v>23.1629164330643</v>
      </c>
      <c r="N488" s="27">
        <f t="shared" si="112"/>
        <v>22.950263110497293</v>
      </c>
      <c r="O488" s="27">
        <f t="shared" si="112"/>
        <v>22.60295118682059</v>
      </c>
      <c r="P488" s="27">
        <f t="shared" si="112"/>
        <v>22.12653281137495</v>
      </c>
      <c r="Q488" s="27">
        <f t="shared" si="112"/>
        <v>21.780600237355966</v>
      </c>
      <c r="R488" s="27">
        <f t="shared" si="112"/>
        <v>21.465278056857684</v>
      </c>
      <c r="S488" s="27">
        <f t="shared" si="112"/>
        <v>19.28268372841509</v>
      </c>
      <c r="T488" s="27">
        <f t="shared" si="112"/>
        <v>20.154045022941879</v>
      </c>
      <c r="U488" s="27">
        <f t="shared" si="112"/>
        <v>20.417483741296842</v>
      </c>
      <c r="V488" s="27">
        <f t="shared" si="112"/>
        <v>20.215982998578138</v>
      </c>
      <c r="W488" s="27">
        <f t="shared" si="112"/>
        <v>20.038764166788877</v>
      </c>
      <c r="X488" s="27">
        <f t="shared" si="112"/>
        <v>19.983994613990216</v>
      </c>
      <c r="Y488" s="27">
        <f t="shared" si="112"/>
        <v>20.046915484009698</v>
      </c>
      <c r="Z488" s="27">
        <f t="shared" si="112"/>
        <v>20.164111817793334</v>
      </c>
      <c r="AA488" s="27">
        <f t="shared" si="112"/>
        <v>20.348954154275784</v>
      </c>
      <c r="AB488" s="27">
        <f t="shared" si="112"/>
        <v>20.645885200839494</v>
      </c>
      <c r="AC488" s="27">
        <f t="shared" si="112"/>
        <v>21.044537894059989</v>
      </c>
      <c r="AD488" s="27">
        <f t="shared" si="112"/>
        <v>21.498264632191113</v>
      </c>
      <c r="AE488" s="27">
        <f t="shared" si="112"/>
        <v>22.002561256053959</v>
      </c>
      <c r="AF488" s="27">
        <f t="shared" si="112"/>
        <v>22.532202643318037</v>
      </c>
      <c r="AG488" s="27">
        <f t="shared" si="112"/>
        <v>23.096284889499795</v>
      </c>
      <c r="AH488" s="27">
        <f t="shared" si="112"/>
        <v>23.682649825738739</v>
      </c>
      <c r="AI488" s="27">
        <f t="shared" si="112"/>
        <v>24.251675615546215</v>
      </c>
      <c r="AJ488" s="27">
        <f t="shared" si="112"/>
        <v>24.858335489218973</v>
      </c>
      <c r="AK488" s="27">
        <f t="shared" si="112"/>
        <v>25.466205387661859</v>
      </c>
      <c r="AL488" s="27">
        <f t="shared" si="112"/>
        <v>26.072093806701385</v>
      </c>
      <c r="AM488" s="27">
        <f t="shared" si="112"/>
        <v>26.691678242844393</v>
      </c>
      <c r="AN488" s="27">
        <f t="shared" si="112"/>
        <v>27.284891345865745</v>
      </c>
      <c r="AO488" s="27">
        <f t="shared" si="112"/>
        <v>27.905654237830884</v>
      </c>
      <c r="AP488" s="27">
        <f t="shared" si="112"/>
        <v>28.571861719635045</v>
      </c>
      <c r="AQ488" s="27">
        <f t="shared" si="112"/>
        <v>29.249712050194997</v>
      </c>
      <c r="AR488" s="27">
        <f t="shared" si="112"/>
        <v>29.940451406740536</v>
      </c>
      <c r="AS488" s="27">
        <f t="shared" si="112"/>
        <v>30.678211789307159</v>
      </c>
      <c r="AT488" s="27">
        <f t="shared" si="112"/>
        <v>31.450149667179016</v>
      </c>
      <c r="AU488" s="27">
        <f t="shared" si="112"/>
        <v>32.247465982700263</v>
      </c>
      <c r="AV488" s="27">
        <f t="shared" si="112"/>
        <v>33.090843547510339</v>
      </c>
      <c r="AW488" s="27">
        <f t="shared" si="112"/>
        <v>33.85425291015099</v>
      </c>
      <c r="AY488" s="79"/>
    </row>
    <row r="489" spans="1:51" x14ac:dyDescent="0.25">
      <c r="A489" s="95" t="str">
        <f t="shared" si="108"/>
        <v>PQ Swine MMCH4</v>
      </c>
      <c r="B489" s="95" t="s">
        <v>967</v>
      </c>
      <c r="C489" s="95" t="s">
        <v>1229</v>
      </c>
      <c r="D489" t="s">
        <v>15</v>
      </c>
      <c r="E489" t="s">
        <v>22</v>
      </c>
      <c r="F489" t="s">
        <v>21</v>
      </c>
      <c r="G489" t="s">
        <v>123</v>
      </c>
      <c r="H489" t="s">
        <v>1226</v>
      </c>
      <c r="I489" t="s">
        <v>121</v>
      </c>
      <c r="J489" t="s">
        <v>286</v>
      </c>
      <c r="K489" s="27">
        <f t="shared" si="110"/>
        <v>7.7932061732677776E-2</v>
      </c>
      <c r="L489" s="27">
        <f t="shared" si="112"/>
        <v>7.7508449141861113E-2</v>
      </c>
      <c r="M489" s="27">
        <f t="shared" si="112"/>
        <v>7.7543217949140569E-2</v>
      </c>
      <c r="N489" s="27">
        <f t="shared" si="112"/>
        <v>7.6831311787104603E-2</v>
      </c>
      <c r="O489" s="27">
        <f t="shared" si="112"/>
        <v>7.5668604825231994E-2</v>
      </c>
      <c r="P489" s="27">
        <f t="shared" si="112"/>
        <v>7.4073684167079393E-2</v>
      </c>
      <c r="Q489" s="27">
        <f t="shared" si="112"/>
        <v>7.291559489708703E-2</v>
      </c>
      <c r="R489" s="27">
        <f t="shared" si="112"/>
        <v>7.1859980996426709E-2</v>
      </c>
      <c r="S489" s="27">
        <f t="shared" si="112"/>
        <v>6.455324187339509E-2</v>
      </c>
      <c r="T489" s="27">
        <f t="shared" si="112"/>
        <v>6.7470325262664888E-2</v>
      </c>
      <c r="U489" s="27">
        <f t="shared" si="112"/>
        <v>6.8352247278516104E-2</v>
      </c>
      <c r="V489" s="27">
        <f t="shared" si="112"/>
        <v>6.767767695596183E-2</v>
      </c>
      <c r="W489" s="27">
        <f t="shared" si="112"/>
        <v>6.7084395944141104E-2</v>
      </c>
      <c r="X489" s="27">
        <f t="shared" si="112"/>
        <v>6.6901042203608638E-2</v>
      </c>
      <c r="Y489" s="27">
        <f t="shared" si="112"/>
        <v>6.7111684363095322E-2</v>
      </c>
      <c r="Z489" s="27">
        <f t="shared" si="112"/>
        <v>6.7504026185839727E-2</v>
      </c>
      <c r="AA489" s="27">
        <f t="shared" si="112"/>
        <v>6.8122828642149871E-2</v>
      </c>
      <c r="AB489" s="27">
        <f t="shared" si="112"/>
        <v>6.9116873969995066E-2</v>
      </c>
      <c r="AC489" s="27">
        <f t="shared" si="112"/>
        <v>7.0451456027731174E-2</v>
      </c>
      <c r="AD489" s="27">
        <f t="shared" si="112"/>
        <v>7.1970411183742145E-2</v>
      </c>
      <c r="AE489" s="27">
        <f t="shared" si="112"/>
        <v>7.3658660723829941E-2</v>
      </c>
      <c r="AF489" s="27">
        <f t="shared" si="112"/>
        <v>7.5431757719028575E-2</v>
      </c>
      <c r="AG489" s="27">
        <f t="shared" si="112"/>
        <v>7.7320153452066526E-2</v>
      </c>
      <c r="AH489" s="27">
        <f t="shared" si="112"/>
        <v>7.9283145641754912E-2</v>
      </c>
      <c r="AI489" s="27">
        <f t="shared" si="112"/>
        <v>8.1188091030010831E-2</v>
      </c>
      <c r="AJ489" s="27">
        <f t="shared" si="112"/>
        <v>8.3219025214881143E-2</v>
      </c>
      <c r="AK489" s="27">
        <f t="shared" si="112"/>
        <v>8.525401023742317E-2</v>
      </c>
      <c r="AL489" s="27">
        <f t="shared" si="112"/>
        <v>8.7282361799551011E-2</v>
      </c>
      <c r="AM489" s="27">
        <f t="shared" si="112"/>
        <v>8.9356563945406475E-2</v>
      </c>
      <c r="AN489" s="27">
        <f t="shared" si="112"/>
        <v>9.1342481956672425E-2</v>
      </c>
      <c r="AO489" s="27">
        <f t="shared" si="112"/>
        <v>9.3420629255847557E-2</v>
      </c>
      <c r="AP489" s="27">
        <f t="shared" si="112"/>
        <v>9.5650912826147239E-2</v>
      </c>
      <c r="AQ489" s="27">
        <f t="shared" si="112"/>
        <v>9.7920173524444973E-2</v>
      </c>
      <c r="AR489" s="27">
        <f t="shared" si="112"/>
        <v>0.10023258321712952</v>
      </c>
      <c r="AS489" s="27">
        <f t="shared" si="112"/>
        <v>0.1027024066655249</v>
      </c>
      <c r="AT489" s="27">
        <f t="shared" si="112"/>
        <v>0.10528664718117813</v>
      </c>
      <c r="AU489" s="27">
        <f t="shared" si="112"/>
        <v>0.10795584788427327</v>
      </c>
      <c r="AV489" s="27">
        <f t="shared" si="112"/>
        <v>0.11077924926857086</v>
      </c>
      <c r="AW489" s="27">
        <f t="shared" si="112"/>
        <v>0.11333493860772317</v>
      </c>
      <c r="AY489" s="79"/>
    </row>
    <row r="490" spans="1:51" x14ac:dyDescent="0.25">
      <c r="A490" s="95" t="str">
        <f t="shared" si="108"/>
        <v>PQ Poultry MMCH4</v>
      </c>
      <c r="B490" s="95" t="s">
        <v>967</v>
      </c>
      <c r="C490" s="95" t="s">
        <v>1230</v>
      </c>
      <c r="D490" t="s">
        <v>15</v>
      </c>
      <c r="E490" t="s">
        <v>22</v>
      </c>
      <c r="F490" t="s">
        <v>28</v>
      </c>
      <c r="G490" t="s">
        <v>131</v>
      </c>
      <c r="H490" t="s">
        <v>1226</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0.62068986953889782</v>
      </c>
      <c r="S490" s="27">
        <f t="shared" si="112"/>
        <v>0.59573243019488353</v>
      </c>
      <c r="T490" s="27">
        <f t="shared" si="112"/>
        <v>0.62060528502680601</v>
      </c>
      <c r="U490" s="27">
        <f t="shared" si="112"/>
        <v>0.63538739650332932</v>
      </c>
      <c r="V490" s="27">
        <f t="shared" si="112"/>
        <v>0.64244306993256506</v>
      </c>
      <c r="W490" s="27">
        <f t="shared" si="112"/>
        <v>0.65026805947534316</v>
      </c>
      <c r="X490" s="27">
        <f t="shared" si="112"/>
        <v>0.66047268102504608</v>
      </c>
      <c r="Y490" s="27">
        <f t="shared" si="112"/>
        <v>0.67275642094337218</v>
      </c>
      <c r="Z490" s="27">
        <f t="shared" si="112"/>
        <v>0.68607919631568115</v>
      </c>
      <c r="AA490" s="27">
        <f t="shared" si="112"/>
        <v>0.70076804403320936</v>
      </c>
      <c r="AB490" s="27">
        <f t="shared" si="112"/>
        <v>0.71779554918535993</v>
      </c>
      <c r="AC490" s="27">
        <f t="shared" si="112"/>
        <v>0.73711000301021679</v>
      </c>
      <c r="AD490" s="27">
        <f t="shared" si="112"/>
        <v>0.75788984228274747</v>
      </c>
      <c r="AE490" s="27">
        <f t="shared" si="112"/>
        <v>0.78013180876638377</v>
      </c>
      <c r="AF490" s="27">
        <f t="shared" si="112"/>
        <v>0.80337597870999389</v>
      </c>
      <c r="AG490" s="27">
        <f t="shared" si="112"/>
        <v>0.82785833709156575</v>
      </c>
      <c r="AH490" s="27">
        <f t="shared" si="112"/>
        <v>0.85337321588031811</v>
      </c>
      <c r="AI490" s="27">
        <f t="shared" si="112"/>
        <v>0.87907798873871268</v>
      </c>
      <c r="AJ490" s="27">
        <f t="shared" si="112"/>
        <v>0.90622461339542404</v>
      </c>
      <c r="AK490" s="27">
        <f t="shared" si="112"/>
        <v>0.93400977893113157</v>
      </c>
      <c r="AL490" s="27">
        <f t="shared" si="112"/>
        <v>0.96237643638695936</v>
      </c>
      <c r="AM490" s="27">
        <f t="shared" si="112"/>
        <v>0.99172546365777581</v>
      </c>
      <c r="AN490" s="27">
        <f t="shared" si="112"/>
        <v>1.0211032601995891</v>
      </c>
      <c r="AO490" s="27">
        <f t="shared" si="112"/>
        <v>1.0518470326965137</v>
      </c>
      <c r="AP490" s="27">
        <f t="shared" si="112"/>
        <v>1.0844705032412159</v>
      </c>
      <c r="AQ490" s="27">
        <f t="shared" si="112"/>
        <v>1.1181722864478278</v>
      </c>
      <c r="AR490" s="27">
        <f t="shared" si="112"/>
        <v>1.1530181967657136</v>
      </c>
      <c r="AS490" s="27">
        <f t="shared" si="112"/>
        <v>1.1899731342287589</v>
      </c>
      <c r="AT490" s="27">
        <f t="shared" si="112"/>
        <v>1.2287768115471775</v>
      </c>
      <c r="AU490" s="27">
        <f t="shared" si="112"/>
        <v>1.2692627400827883</v>
      </c>
      <c r="AV490" s="27">
        <f t="shared" si="112"/>
        <v>1.3120972726435587</v>
      </c>
      <c r="AW490" s="27">
        <f t="shared" si="112"/>
        <v>1.3536832016924076</v>
      </c>
      <c r="AY490" s="79"/>
    </row>
    <row r="491" spans="1:51" x14ac:dyDescent="0.25">
      <c r="A491" s="95" t="str">
        <f t="shared" si="108"/>
        <v>PQ Poultry MMCH4</v>
      </c>
      <c r="B491" s="95" t="s">
        <v>967</v>
      </c>
      <c r="C491" s="95" t="s">
        <v>1230</v>
      </c>
      <c r="D491" t="s">
        <v>15</v>
      </c>
      <c r="E491" t="s">
        <v>22</v>
      </c>
      <c r="F491" t="s">
        <v>28</v>
      </c>
      <c r="G491" t="s">
        <v>132</v>
      </c>
      <c r="H491" t="s">
        <v>1226</v>
      </c>
      <c r="I491" t="s">
        <v>121</v>
      </c>
      <c r="J491" t="s">
        <v>286</v>
      </c>
      <c r="K491" s="27">
        <f t="shared" si="110"/>
        <v>2.2100196981344111</v>
      </c>
      <c r="L491" s="27">
        <f t="shared" si="112"/>
        <v>2.2391217074451477</v>
      </c>
      <c r="M491" s="27">
        <f t="shared" si="112"/>
        <v>2.2858678822724814</v>
      </c>
      <c r="N491" s="27">
        <f t="shared" si="112"/>
        <v>2.2992900748078591</v>
      </c>
      <c r="O491" s="27">
        <f t="shared" si="112"/>
        <v>2.2910596881616558</v>
      </c>
      <c r="P491" s="27">
        <f t="shared" si="112"/>
        <v>2.2612642885898917</v>
      </c>
      <c r="Q491" s="27">
        <f t="shared" si="112"/>
        <v>2.2487211059946204</v>
      </c>
      <c r="R491" s="27">
        <f t="shared" si="112"/>
        <v>2.2390235702415184</v>
      </c>
      <c r="S491" s="27">
        <f t="shared" si="112"/>
        <v>1.9480109024353172</v>
      </c>
      <c r="T491" s="27">
        <f t="shared" si="112"/>
        <v>2.1242573648526935</v>
      </c>
      <c r="U491" s="27">
        <f t="shared" si="112"/>
        <v>2.2090616174503466</v>
      </c>
      <c r="V491" s="27">
        <f t="shared" si="112"/>
        <v>2.219672639907655</v>
      </c>
      <c r="W491" s="27">
        <f t="shared" si="112"/>
        <v>2.2319049749890385</v>
      </c>
      <c r="X491" s="27">
        <f t="shared" si="112"/>
        <v>2.2629262949362925</v>
      </c>
      <c r="Y491" s="27">
        <f t="shared" si="112"/>
        <v>2.3140044447008137</v>
      </c>
      <c r="Z491" s="27">
        <f t="shared" si="112"/>
        <v>2.3751177408865005</v>
      </c>
      <c r="AA491" s="27">
        <f t="shared" si="112"/>
        <v>2.4489635487241519</v>
      </c>
      <c r="AB491" s="27">
        <f t="shared" si="112"/>
        <v>2.5437406386090786</v>
      </c>
      <c r="AC491" s="27">
        <f t="shared" si="112"/>
        <v>2.6583677679701894</v>
      </c>
      <c r="AD491" s="27">
        <f t="shared" si="112"/>
        <v>2.7852398205087883</v>
      </c>
      <c r="AE491" s="27">
        <f t="shared" si="112"/>
        <v>2.9239358907782309</v>
      </c>
      <c r="AF491" s="27">
        <f t="shared" si="112"/>
        <v>3.0702342900973978</v>
      </c>
      <c r="AG491" s="27">
        <f t="shared" si="112"/>
        <v>3.2260927445342245</v>
      </c>
      <c r="AH491" s="27">
        <f t="shared" si="112"/>
        <v>3.3895233708783912</v>
      </c>
      <c r="AI491" s="27">
        <f t="shared" si="112"/>
        <v>3.5531911169091885</v>
      </c>
      <c r="AJ491" s="27">
        <f t="shared" si="112"/>
        <v>3.7276822125599338</v>
      </c>
      <c r="AK491" s="27">
        <f t="shared" si="112"/>
        <v>3.9062898323416295</v>
      </c>
      <c r="AL491" s="27">
        <f t="shared" si="112"/>
        <v>4.0884842597865152</v>
      </c>
      <c r="AM491" s="27">
        <f t="shared" si="112"/>
        <v>4.2774788120039364</v>
      </c>
      <c r="AN491" s="27">
        <f t="shared" si="112"/>
        <v>4.4653386243384539</v>
      </c>
      <c r="AO491" s="27">
        <f t="shared" si="112"/>
        <v>4.6630770817729719</v>
      </c>
      <c r="AP491" s="27">
        <f t="shared" si="112"/>
        <v>4.8747652719370373</v>
      </c>
      <c r="AQ491" s="27">
        <f t="shared" si="112"/>
        <v>5.0937607978342658</v>
      </c>
      <c r="AR491" s="27">
        <f t="shared" si="112"/>
        <v>5.3205750433635002</v>
      </c>
      <c r="AS491" s="27">
        <f t="shared" si="112"/>
        <v>5.5628565017727221</v>
      </c>
      <c r="AT491" s="27">
        <f t="shared" si="112"/>
        <v>5.8183308290473201</v>
      </c>
      <c r="AU491" s="27">
        <f t="shared" si="112"/>
        <v>6.0854872952292993</v>
      </c>
      <c r="AV491" s="27">
        <f t="shared" si="112"/>
        <v>6.3693601721837521</v>
      </c>
      <c r="AW491" s="27">
        <f t="shared" si="112"/>
        <v>6.641848924312276</v>
      </c>
      <c r="AY491" s="79"/>
    </row>
    <row r="492" spans="1:51" x14ac:dyDescent="0.25">
      <c r="A492" s="95" t="str">
        <f t="shared" si="108"/>
        <v>PQ Poultry MMCH4</v>
      </c>
      <c r="B492" s="95" t="s">
        <v>967</v>
      </c>
      <c r="C492" s="95" t="s">
        <v>1230</v>
      </c>
      <c r="D492" t="s">
        <v>15</v>
      </c>
      <c r="E492" t="s">
        <v>22</v>
      </c>
      <c r="F492" t="s">
        <v>28</v>
      </c>
      <c r="G492" t="s">
        <v>134</v>
      </c>
      <c r="H492" t="s">
        <v>1226</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2.4944242822745922E-2</v>
      </c>
      <c r="P492" s="27">
        <f t="shared" si="112"/>
        <v>2.5198104828966561E-2</v>
      </c>
      <c r="Q492" s="27">
        <f t="shared" si="112"/>
        <v>2.5523625995077459E-2</v>
      </c>
      <c r="R492" s="27">
        <f t="shared" si="112"/>
        <v>2.5862077897454101E-2</v>
      </c>
      <c r="S492" s="27">
        <f t="shared" si="112"/>
        <v>2.4822184591453505E-2</v>
      </c>
      <c r="T492" s="27">
        <f t="shared" si="112"/>
        <v>2.5858553542783609E-2</v>
      </c>
      <c r="U492" s="27">
        <f t="shared" si="112"/>
        <v>2.6474474854305419E-2</v>
      </c>
      <c r="V492" s="27">
        <f t="shared" si="112"/>
        <v>2.6768461247190234E-2</v>
      </c>
      <c r="W492" s="27">
        <f t="shared" si="112"/>
        <v>2.709450247813933E-2</v>
      </c>
      <c r="X492" s="27">
        <f t="shared" si="112"/>
        <v>2.751969504271028E-2</v>
      </c>
      <c r="Y492" s="27">
        <f t="shared" si="112"/>
        <v>2.8031517539307202E-2</v>
      </c>
      <c r="Z492" s="27">
        <f t="shared" si="112"/>
        <v>2.8586633179820076E-2</v>
      </c>
      <c r="AA492" s="27">
        <f t="shared" si="112"/>
        <v>2.9198668501383751E-2</v>
      </c>
      <c r="AB492" s="27">
        <f t="shared" si="112"/>
        <v>2.9908147882723356E-2</v>
      </c>
      <c r="AC492" s="27">
        <f t="shared" si="112"/>
        <v>3.0712916792092395E-2</v>
      </c>
      <c r="AD492" s="27">
        <f t="shared" si="112"/>
        <v>3.1578743428447839E-2</v>
      </c>
      <c r="AE492" s="27">
        <f t="shared" si="112"/>
        <v>3.250549203193269E-2</v>
      </c>
      <c r="AF492" s="27">
        <f t="shared" ref="L492:AW499" si="113">AF1409</f>
        <v>3.3473999112916437E-2</v>
      </c>
      <c r="AG492" s="27">
        <f t="shared" si="113"/>
        <v>3.4494097378815265E-2</v>
      </c>
      <c r="AH492" s="27">
        <f t="shared" si="113"/>
        <v>3.5557217328346623E-2</v>
      </c>
      <c r="AI492" s="27">
        <f t="shared" si="113"/>
        <v>3.6628249530779734E-2</v>
      </c>
      <c r="AJ492" s="27">
        <f t="shared" si="113"/>
        <v>3.7759358891476039E-2</v>
      </c>
      <c r="AK492" s="27">
        <f t="shared" si="113"/>
        <v>3.8917074122130517E-2</v>
      </c>
      <c r="AL492" s="27">
        <f t="shared" si="113"/>
        <v>4.0099018182790006E-2</v>
      </c>
      <c r="AM492" s="27">
        <f t="shared" si="113"/>
        <v>4.1321894319074036E-2</v>
      </c>
      <c r="AN492" s="27">
        <f t="shared" si="113"/>
        <v>4.2545969174982913E-2</v>
      </c>
      <c r="AO492" s="27">
        <f t="shared" si="113"/>
        <v>4.382695969568811E-2</v>
      </c>
      <c r="AP492" s="27">
        <f t="shared" si="113"/>
        <v>4.5186270968384026E-2</v>
      </c>
      <c r="AQ492" s="27">
        <f t="shared" si="113"/>
        <v>4.6590511935326193E-2</v>
      </c>
      <c r="AR492" s="27">
        <f t="shared" si="113"/>
        <v>4.8042424865238111E-2</v>
      </c>
      <c r="AS492" s="27">
        <f t="shared" si="113"/>
        <v>4.958221392619834E-2</v>
      </c>
      <c r="AT492" s="27">
        <f t="shared" si="113"/>
        <v>5.1199033814465784E-2</v>
      </c>
      <c r="AU492" s="27">
        <f t="shared" si="113"/>
        <v>5.2885947503449555E-2</v>
      </c>
      <c r="AV492" s="27">
        <f t="shared" si="113"/>
        <v>5.4670719693481661E-2</v>
      </c>
      <c r="AW492" s="27">
        <f t="shared" si="113"/>
        <v>5.6403466737183702E-2</v>
      </c>
      <c r="AY492" s="79"/>
    </row>
    <row r="493" spans="1:51" x14ac:dyDescent="0.25">
      <c r="A493" s="95" t="str">
        <f t="shared" si="108"/>
        <v>PQ Poultry MMCH4</v>
      </c>
      <c r="B493" s="95" t="s">
        <v>967</v>
      </c>
      <c r="C493" s="95" t="s">
        <v>1230</v>
      </c>
      <c r="D493" t="s">
        <v>15</v>
      </c>
      <c r="E493" t="s">
        <v>22</v>
      </c>
      <c r="F493" t="s">
        <v>28</v>
      </c>
      <c r="G493" t="s">
        <v>133</v>
      </c>
      <c r="H493" t="s">
        <v>1226</v>
      </c>
      <c r="I493" t="s">
        <v>121</v>
      </c>
      <c r="J493" t="s">
        <v>286</v>
      </c>
      <c r="K493" s="27">
        <f t="shared" si="110"/>
        <v>9.2084154088933862E-2</v>
      </c>
      <c r="L493" s="27">
        <f t="shared" si="113"/>
        <v>9.3296737810214581E-2</v>
      </c>
      <c r="M493" s="27">
        <f t="shared" si="113"/>
        <v>9.5244495094686812E-2</v>
      </c>
      <c r="N493" s="27">
        <f t="shared" si="113"/>
        <v>9.5803753116994184E-2</v>
      </c>
      <c r="O493" s="27">
        <f t="shared" si="113"/>
        <v>9.5460820340069058E-2</v>
      </c>
      <c r="P493" s="27">
        <f t="shared" si="113"/>
        <v>9.4219345357912251E-2</v>
      </c>
      <c r="Q493" s="27">
        <f t="shared" si="113"/>
        <v>9.3696712749775937E-2</v>
      </c>
      <c r="R493" s="27">
        <f t="shared" si="113"/>
        <v>9.3292648760063338E-2</v>
      </c>
      <c r="S493" s="27">
        <f t="shared" si="113"/>
        <v>8.1167120934804951E-2</v>
      </c>
      <c r="T493" s="27">
        <f t="shared" si="113"/>
        <v>8.8510723535528968E-2</v>
      </c>
      <c r="U493" s="27">
        <f t="shared" si="113"/>
        <v>9.2044234060431204E-2</v>
      </c>
      <c r="V493" s="27">
        <f t="shared" si="113"/>
        <v>9.2486359996152387E-2</v>
      </c>
      <c r="W493" s="27">
        <f t="shared" si="113"/>
        <v>9.299604062454335E-2</v>
      </c>
      <c r="X493" s="27">
        <f t="shared" si="113"/>
        <v>9.4288595622345608E-2</v>
      </c>
      <c r="Y493" s="27">
        <f t="shared" si="113"/>
        <v>9.6416851862533987E-2</v>
      </c>
      <c r="Z493" s="27">
        <f t="shared" si="113"/>
        <v>9.8963239203604281E-2</v>
      </c>
      <c r="AA493" s="27">
        <f t="shared" si="113"/>
        <v>0.1020401478635064</v>
      </c>
      <c r="AB493" s="27">
        <f t="shared" si="113"/>
        <v>0.10598919327537835</v>
      </c>
      <c r="AC493" s="27">
        <f t="shared" si="113"/>
        <v>0.11076532366542467</v>
      </c>
      <c r="AD493" s="27">
        <f t="shared" si="113"/>
        <v>0.11605165918786628</v>
      </c>
      <c r="AE493" s="27">
        <f t="shared" si="113"/>
        <v>0.12183066211575974</v>
      </c>
      <c r="AF493" s="27">
        <f t="shared" si="113"/>
        <v>0.12792642875405835</v>
      </c>
      <c r="AG493" s="27">
        <f t="shared" si="113"/>
        <v>0.13442053102225948</v>
      </c>
      <c r="AH493" s="27">
        <f t="shared" si="113"/>
        <v>0.1412301404532664</v>
      </c>
      <c r="AI493" s="27">
        <f t="shared" si="113"/>
        <v>0.14804962987121634</v>
      </c>
      <c r="AJ493" s="27">
        <f t="shared" si="113"/>
        <v>0.15532009218999737</v>
      </c>
      <c r="AK493" s="27">
        <f t="shared" si="113"/>
        <v>0.16276207634756804</v>
      </c>
      <c r="AL493" s="27">
        <f t="shared" si="113"/>
        <v>0.17035351082443828</v>
      </c>
      <c r="AM493" s="27">
        <f t="shared" si="113"/>
        <v>0.17822828383349751</v>
      </c>
      <c r="AN493" s="27">
        <f t="shared" si="113"/>
        <v>0.18605577601410239</v>
      </c>
      <c r="AO493" s="27">
        <f t="shared" si="113"/>
        <v>0.19429487840720733</v>
      </c>
      <c r="AP493" s="27">
        <f t="shared" si="113"/>
        <v>0.20311521966404342</v>
      </c>
      <c r="AQ493" s="27">
        <f t="shared" si="113"/>
        <v>0.21224003324309459</v>
      </c>
      <c r="AR493" s="27">
        <f t="shared" si="113"/>
        <v>0.22169062680681273</v>
      </c>
      <c r="AS493" s="27">
        <f t="shared" si="113"/>
        <v>0.23178568757386364</v>
      </c>
      <c r="AT493" s="27">
        <f t="shared" si="113"/>
        <v>0.24243045121030524</v>
      </c>
      <c r="AU493" s="27">
        <f t="shared" si="113"/>
        <v>0.25356197063455443</v>
      </c>
      <c r="AV493" s="27">
        <f t="shared" si="113"/>
        <v>0.26539000717432326</v>
      </c>
      <c r="AW493" s="27">
        <f t="shared" si="113"/>
        <v>0.27674370517967845</v>
      </c>
      <c r="AY493" s="79"/>
    </row>
    <row r="494" spans="1:51" x14ac:dyDescent="0.25">
      <c r="A494" s="95" t="str">
        <f t="shared" si="108"/>
        <v>PQ Cattle MMN2O</v>
      </c>
      <c r="B494" s="95" t="s">
        <v>967</v>
      </c>
      <c r="C494" s="95" t="s">
        <v>1231</v>
      </c>
      <c r="D494" t="s">
        <v>15</v>
      </c>
      <c r="E494" t="s">
        <v>657</v>
      </c>
      <c r="F494" t="s">
        <v>6</v>
      </c>
      <c r="G494" t="s">
        <v>136</v>
      </c>
      <c r="H494" t="s">
        <v>1226</v>
      </c>
      <c r="I494" t="s">
        <v>139</v>
      </c>
      <c r="J494" t="s">
        <v>287</v>
      </c>
      <c r="K494" s="27">
        <f t="shared" si="110"/>
        <v>5.9474079071945893E-2</v>
      </c>
      <c r="L494" s="27">
        <f t="shared" si="113"/>
        <v>5.9806569587962537E-2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6.1344406036983781E-2</v>
      </c>
      <c r="S494" s="27">
        <f t="shared" si="113"/>
        <v>5.9572576433389555E-2</v>
      </c>
      <c r="T494" s="27">
        <f t="shared" si="113"/>
        <v>6.0773920175181823E-2</v>
      </c>
      <c r="U494" s="27">
        <f t="shared" si="113"/>
        <v>6.1370278320054004E-2</v>
      </c>
      <c r="V494" s="27">
        <f t="shared" si="113"/>
        <v>6.1526022860848524E-2</v>
      </c>
      <c r="W494" s="27">
        <f t="shared" si="113"/>
        <v>6.174747330575011E-2</v>
      </c>
      <c r="X494" s="27">
        <f t="shared" si="113"/>
        <v>6.2119068821813103E-2</v>
      </c>
      <c r="Y494" s="27">
        <f t="shared" si="113"/>
        <v>6.2609959575984822E-2</v>
      </c>
      <c r="Z494" s="27">
        <f t="shared" si="113"/>
        <v>6.3159566495841341E-2</v>
      </c>
      <c r="AA494" s="27">
        <f t="shared" si="113"/>
        <v>6.3785199118486416E-2</v>
      </c>
      <c r="AB494" s="27">
        <f t="shared" si="113"/>
        <v>6.4540499300557705E-2</v>
      </c>
      <c r="AC494" s="27">
        <f t="shared" si="113"/>
        <v>6.5421079387025072E-2</v>
      </c>
      <c r="AD494" s="27">
        <f t="shared" si="113"/>
        <v>6.6379515175029838E-2</v>
      </c>
      <c r="AE494" s="27">
        <f t="shared" si="113"/>
        <v>6.7414940444444876E-2</v>
      </c>
      <c r="AF494" s="27">
        <f t="shared" si="113"/>
        <v>6.8501080209535048E-2</v>
      </c>
      <c r="AG494" s="27">
        <f t="shared" si="113"/>
        <v>6.9650082739835181E-2</v>
      </c>
      <c r="AH494" s="27">
        <f t="shared" si="113"/>
        <v>7.085013376505013E-2</v>
      </c>
      <c r="AI494" s="27">
        <f t="shared" si="113"/>
        <v>7.2054990287027845E-2</v>
      </c>
      <c r="AJ494" s="27">
        <f t="shared" si="113"/>
        <v>7.3332422489630317E-2</v>
      </c>
      <c r="AK494" s="27">
        <f t="shared" si="113"/>
        <v>7.4637775238334716E-2</v>
      </c>
      <c r="AL494" s="27">
        <f t="shared" si="113"/>
        <v>7.596772859981879E-2</v>
      </c>
      <c r="AM494" s="27">
        <f t="shared" si="113"/>
        <v>7.734370972563348E-2</v>
      </c>
      <c r="AN494" s="27">
        <f t="shared" si="113"/>
        <v>7.871435132056126E-2</v>
      </c>
      <c r="AO494" s="27">
        <f t="shared" si="113"/>
        <v>8.0150831900584182E-2</v>
      </c>
      <c r="AP494" s="27">
        <f t="shared" si="113"/>
        <v>8.1679672713355286E-2</v>
      </c>
      <c r="AQ494" s="27">
        <f t="shared" si="113"/>
        <v>8.3257530462489515E-2</v>
      </c>
      <c r="AR494" s="27">
        <f t="shared" si="113"/>
        <v>8.4887259744612836E-2</v>
      </c>
      <c r="AS494" s="27">
        <f t="shared" si="113"/>
        <v>8.6619011221600456E-2</v>
      </c>
      <c r="AT494" s="27">
        <f t="shared" si="113"/>
        <v>8.8438220768671E-2</v>
      </c>
      <c r="AU494" s="27">
        <f t="shared" si="113"/>
        <v>9.0335502519381064E-2</v>
      </c>
      <c r="AV494" s="27">
        <f t="shared" si="113"/>
        <v>9.2345044060296602E-2</v>
      </c>
      <c r="AW494" s="27">
        <f t="shared" si="113"/>
        <v>9.4278593479446449E-2</v>
      </c>
      <c r="AY494" s="79"/>
    </row>
    <row r="495" spans="1:51" x14ac:dyDescent="0.25">
      <c r="A495" s="95" t="str">
        <f t="shared" si="108"/>
        <v>PQ Cattle MMN2O</v>
      </c>
      <c r="B495" s="95" t="s">
        <v>967</v>
      </c>
      <c r="C495" s="95" t="s">
        <v>1231</v>
      </c>
      <c r="D495" t="s">
        <v>15</v>
      </c>
      <c r="E495" t="s">
        <v>657</v>
      </c>
      <c r="F495" t="s">
        <v>6</v>
      </c>
      <c r="G495" t="s">
        <v>137</v>
      </c>
      <c r="H495" t="s">
        <v>1226</v>
      </c>
      <c r="I495" t="s">
        <v>139</v>
      </c>
      <c r="J495" t="s">
        <v>287</v>
      </c>
      <c r="K495" s="27">
        <f t="shared" si="110"/>
        <v>0.26041511380118898</v>
      </c>
      <c r="L495" s="27">
        <f t="shared" si="113"/>
        <v>0.26187096745907495</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0.26860458755254507</v>
      </c>
      <c r="S495" s="27">
        <f t="shared" si="113"/>
        <v>0.26084639751318123</v>
      </c>
      <c r="T495" s="27">
        <f t="shared" si="113"/>
        <v>0.26610663982571414</v>
      </c>
      <c r="U495" s="27">
        <f t="shared" si="113"/>
        <v>0.26871787276259229</v>
      </c>
      <c r="V495" s="27">
        <f t="shared" si="113"/>
        <v>0.26939982081370628</v>
      </c>
      <c r="W495" s="27">
        <f t="shared" si="113"/>
        <v>0.27036947084797774</v>
      </c>
      <c r="X495" s="27">
        <f t="shared" si="113"/>
        <v>0.27199655091569075</v>
      </c>
      <c r="Y495" s="27">
        <f t="shared" si="113"/>
        <v>0.27414598094649351</v>
      </c>
      <c r="Z495" s="27">
        <f t="shared" si="113"/>
        <v>0.27655250746718535</v>
      </c>
      <c r="AA495" s="27">
        <f t="shared" si="113"/>
        <v>0.27929192257316399</v>
      </c>
      <c r="AB495" s="27">
        <f t="shared" si="113"/>
        <v>0.28259910422166357</v>
      </c>
      <c r="AC495" s="27">
        <f t="shared" si="113"/>
        <v>0.28645484048537356</v>
      </c>
      <c r="AD495" s="27">
        <f t="shared" si="113"/>
        <v>0.29065147822569842</v>
      </c>
      <c r="AE495" s="27">
        <f t="shared" si="113"/>
        <v>0.29518522458335378</v>
      </c>
      <c r="AF495" s="27">
        <f t="shared" si="113"/>
        <v>0.2999410310614633</v>
      </c>
      <c r="AG495" s="27">
        <f t="shared" si="113"/>
        <v>0.30497209046339202</v>
      </c>
      <c r="AH495" s="27">
        <f t="shared" si="113"/>
        <v>0.31022667244557844</v>
      </c>
      <c r="AI495" s="27">
        <f t="shared" si="113"/>
        <v>0.31550229593031343</v>
      </c>
      <c r="AJ495" s="27">
        <f t="shared" si="113"/>
        <v>0.32109570162242335</v>
      </c>
      <c r="AK495" s="27">
        <f t="shared" si="113"/>
        <v>0.32681136111491149</v>
      </c>
      <c r="AL495" s="27">
        <f t="shared" si="113"/>
        <v>0.33263473764104773</v>
      </c>
      <c r="AM495" s="27">
        <f t="shared" si="113"/>
        <v>0.33865965281516675</v>
      </c>
      <c r="AN495" s="27">
        <f t="shared" si="113"/>
        <v>0.34466118814776064</v>
      </c>
      <c r="AO495" s="27">
        <f t="shared" si="113"/>
        <v>0.35095100817620256</v>
      </c>
      <c r="AP495" s="27">
        <f t="shared" si="113"/>
        <v>0.35764523968771644</v>
      </c>
      <c r="AQ495" s="27">
        <f t="shared" si="113"/>
        <v>0.36455409833193048</v>
      </c>
      <c r="AR495" s="27">
        <f t="shared" si="113"/>
        <v>0.37169008333736225</v>
      </c>
      <c r="AS495" s="27">
        <f t="shared" si="113"/>
        <v>0.37927278600367109</v>
      </c>
      <c r="AT495" s="27">
        <f t="shared" si="113"/>
        <v>0.38723843538607666</v>
      </c>
      <c r="AU495" s="27">
        <f t="shared" si="113"/>
        <v>0.39554593422815865</v>
      </c>
      <c r="AV495" s="27">
        <f t="shared" si="113"/>
        <v>0.4043449773950597</v>
      </c>
      <c r="AW495" s="27">
        <f t="shared" si="113"/>
        <v>0.41281127901561981</v>
      </c>
      <c r="AY495" s="79"/>
    </row>
    <row r="496" spans="1:51" x14ac:dyDescent="0.25">
      <c r="A496" s="95" t="str">
        <f t="shared" si="108"/>
        <v>PQ Cattle MMN2O</v>
      </c>
      <c r="B496" s="95" t="s">
        <v>967</v>
      </c>
      <c r="C496" s="95" t="s">
        <v>1231</v>
      </c>
      <c r="D496" t="s">
        <v>15</v>
      </c>
      <c r="E496" t="s">
        <v>657</v>
      </c>
      <c r="F496" t="s">
        <v>67</v>
      </c>
      <c r="G496" t="s">
        <v>307</v>
      </c>
      <c r="H496" t="s">
        <v>1226</v>
      </c>
      <c r="I496" t="s">
        <v>139</v>
      </c>
      <c r="J496" t="s">
        <v>287</v>
      </c>
      <c r="K496" s="27">
        <f t="shared" si="110"/>
        <v>1.1586934798802538E-2</v>
      </c>
      <c r="L496" s="27">
        <f t="shared" si="113"/>
        <v>1.1651711689683767E-2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1.1951318021451862E-2</v>
      </c>
      <c r="S496" s="27">
        <f t="shared" si="113"/>
        <v>1.1606124377232515E-2</v>
      </c>
      <c r="T496" s="27">
        <f t="shared" si="113"/>
        <v>1.1840174098124497E-2</v>
      </c>
      <c r="U496" s="27">
        <f t="shared" si="113"/>
        <v>1.1956358544343662E-2</v>
      </c>
      <c r="V496" s="27">
        <f t="shared" si="113"/>
        <v>1.198670120567806E-2</v>
      </c>
      <c r="W496" s="27">
        <f t="shared" si="113"/>
        <v>1.2029844906367174E-2</v>
      </c>
      <c r="X496" s="27">
        <f t="shared" si="113"/>
        <v>1.2102240361384485E-2</v>
      </c>
      <c r="Y496" s="27">
        <f t="shared" si="113"/>
        <v>1.2197877305254469E-2</v>
      </c>
      <c r="Z496" s="27">
        <f t="shared" si="113"/>
        <v>1.2304953524755821E-2</v>
      </c>
      <c r="AA496" s="27">
        <f t="shared" si="113"/>
        <v>1.2426841320577307E-2</v>
      </c>
      <c r="AB496" s="27">
        <f t="shared" si="113"/>
        <v>1.2573991374848796E-2</v>
      </c>
      <c r="AC496" s="27">
        <f t="shared" si="113"/>
        <v>1.2745548870252437E-2</v>
      </c>
      <c r="AD496" s="27">
        <f t="shared" si="113"/>
        <v>1.2932274468323759E-2</v>
      </c>
      <c r="AE496" s="27">
        <f t="shared" si="113"/>
        <v>1.3133999409221648E-2</v>
      </c>
      <c r="AF496" s="27">
        <f t="shared" si="113"/>
        <v>1.3345604714202703E-2</v>
      </c>
      <c r="AG496" s="27">
        <f t="shared" si="113"/>
        <v>1.3569457148910296E-2</v>
      </c>
      <c r="AH496" s="27">
        <f t="shared" si="113"/>
        <v>1.3803255018526413E-2</v>
      </c>
      <c r="AI496" s="27">
        <f t="shared" si="113"/>
        <v>1.4037989110754724E-2</v>
      </c>
      <c r="AJ496" s="27">
        <f t="shared" si="113"/>
        <v>1.4286862634690086E-2</v>
      </c>
      <c r="AK496" s="27">
        <f t="shared" si="113"/>
        <v>1.4541175730826956E-2</v>
      </c>
      <c r="AL496" s="27">
        <f t="shared" si="113"/>
        <v>1.4800281598886257E-2</v>
      </c>
      <c r="AM496" s="27">
        <f t="shared" si="113"/>
        <v>1.5068354746684156E-2</v>
      </c>
      <c r="AN496" s="27">
        <f t="shared" si="113"/>
        <v>1.533538762959342E-2</v>
      </c>
      <c r="AO496" s="27">
        <f t="shared" si="113"/>
        <v>1.5615247479131181E-2</v>
      </c>
      <c r="AP496" s="27">
        <f t="shared" si="113"/>
        <v>1.5913101251593929E-2</v>
      </c>
      <c r="AQ496" s="27">
        <f t="shared" si="113"/>
        <v>1.6220504664076991E-2</v>
      </c>
      <c r="AR496" s="27">
        <f t="shared" si="113"/>
        <v>1.6538013858440784E-2</v>
      </c>
      <c r="AS496" s="27">
        <f t="shared" si="113"/>
        <v>1.6875399350821628E-2</v>
      </c>
      <c r="AT496" s="27">
        <f t="shared" si="113"/>
        <v>1.7229823710747674E-2</v>
      </c>
      <c r="AU496" s="27">
        <f t="shared" si="113"/>
        <v>1.7599458352989747E-2</v>
      </c>
      <c r="AV496" s="27">
        <f t="shared" si="113"/>
        <v>1.7990963815090407E-2</v>
      </c>
      <c r="AW496" s="27">
        <f t="shared" si="113"/>
        <v>1.836766424323575E-2</v>
      </c>
      <c r="AY496" s="79"/>
    </row>
    <row r="497" spans="1:51" x14ac:dyDescent="0.25">
      <c r="A497" s="95" t="str">
        <f t="shared" si="108"/>
        <v>PQ Cattle MMN2O</v>
      </c>
      <c r="B497" s="95" t="s">
        <v>967</v>
      </c>
      <c r="C497" s="95" t="s">
        <v>1231</v>
      </c>
      <c r="D497" t="s">
        <v>15</v>
      </c>
      <c r="E497" t="s">
        <v>657</v>
      </c>
      <c r="F497" t="s">
        <v>67</v>
      </c>
      <c r="G497" t="s">
        <v>122</v>
      </c>
      <c r="H497" t="s">
        <v>1226</v>
      </c>
      <c r="I497" t="s">
        <v>139</v>
      </c>
      <c r="J497" t="s">
        <v>287</v>
      </c>
      <c r="K497" s="27">
        <f t="shared" si="110"/>
        <v>0.52525224947331295</v>
      </c>
      <c r="L497" s="27">
        <f t="shared" si="113"/>
        <v>0.52069690445710348</v>
      </c>
      <c r="M497" s="27">
        <f t="shared" si="113"/>
        <v>0.51896282251134851</v>
      </c>
      <c r="N497" s="27">
        <f t="shared" si="113"/>
        <v>0.51203275332440912</v>
      </c>
      <c r="O497" s="27">
        <f t="shared" si="113"/>
        <v>0.50197358865556663</v>
      </c>
      <c r="P497" s="27">
        <f t="shared" si="113"/>
        <v>0.48899333628247271</v>
      </c>
      <c r="Q497" s="27">
        <f t="shared" si="113"/>
        <v>0.47875543160314177</v>
      </c>
      <c r="R497" s="27">
        <f t="shared" si="113"/>
        <v>0.46906920988966794</v>
      </c>
      <c r="S497" s="27">
        <f t="shared" si="113"/>
        <v>0.41885745966075799</v>
      </c>
      <c r="T497" s="27">
        <f t="shared" si="113"/>
        <v>0.43888316121589754</v>
      </c>
      <c r="U497" s="27">
        <f t="shared" si="113"/>
        <v>0.44581606294816456</v>
      </c>
      <c r="V497" s="27">
        <f t="shared" si="113"/>
        <v>0.4428053451992871</v>
      </c>
      <c r="W497" s="27">
        <f t="shared" si="113"/>
        <v>0.44035633830428106</v>
      </c>
      <c r="X497" s="27">
        <f t="shared" si="113"/>
        <v>0.44051721103792468</v>
      </c>
      <c r="Y497" s="27">
        <f t="shared" si="113"/>
        <v>0.44310396179359002</v>
      </c>
      <c r="Z497" s="27">
        <f t="shared" si="113"/>
        <v>0.4467743835824281</v>
      </c>
      <c r="AA497" s="27">
        <f t="shared" si="113"/>
        <v>0.45182412453822507</v>
      </c>
      <c r="AB497" s="27">
        <f t="shared" si="113"/>
        <v>0.4592210041031291</v>
      </c>
      <c r="AC497" s="27">
        <f t="shared" si="113"/>
        <v>0.46875611727926397</v>
      </c>
      <c r="AD497" s="27">
        <f t="shared" si="113"/>
        <v>0.47540395120736983</v>
      </c>
      <c r="AE497" s="27">
        <f t="shared" si="113"/>
        <v>0.48283708354051091</v>
      </c>
      <c r="AF497" s="27">
        <f t="shared" si="113"/>
        <v>0.49049534376627268</v>
      </c>
      <c r="AG497" s="27">
        <f t="shared" si="113"/>
        <v>0.49854885128886806</v>
      </c>
      <c r="AH497" s="27">
        <f t="shared" si="113"/>
        <v>0.50672298371374713</v>
      </c>
      <c r="AI497" s="27">
        <f t="shared" si="113"/>
        <v>0.51418741913189581</v>
      </c>
      <c r="AJ497" s="27">
        <f t="shared" si="113"/>
        <v>0.52206102854310632</v>
      </c>
      <c r="AK497" s="27">
        <f t="shared" si="113"/>
        <v>0.52957812188119258</v>
      </c>
      <c r="AL497" s="27">
        <f t="shared" si="113"/>
        <v>0.53666628025365293</v>
      </c>
      <c r="AM497" s="27">
        <f t="shared" si="113"/>
        <v>0.543628496445968</v>
      </c>
      <c r="AN497" s="27">
        <f t="shared" si="113"/>
        <v>0.55246945736606723</v>
      </c>
      <c r="AO497" s="27">
        <f t="shared" si="113"/>
        <v>0.56161375103123634</v>
      </c>
      <c r="AP497" s="27">
        <f t="shared" si="113"/>
        <v>0.57139369130463846</v>
      </c>
      <c r="AQ497" s="27">
        <f t="shared" si="113"/>
        <v>0.58113558104968666</v>
      </c>
      <c r="AR497" s="27">
        <f t="shared" si="113"/>
        <v>0.59085206465758344</v>
      </c>
      <c r="AS497" s="27">
        <f t="shared" si="113"/>
        <v>0.6011817102296716</v>
      </c>
      <c r="AT497" s="27">
        <f t="shared" si="113"/>
        <v>0.61185705718445471</v>
      </c>
      <c r="AU497" s="27">
        <f t="shared" si="113"/>
        <v>0.6226925043907553</v>
      </c>
      <c r="AV497" s="27">
        <f t="shared" si="113"/>
        <v>0.63405678889252681</v>
      </c>
      <c r="AW497" s="27">
        <f t="shared" si="113"/>
        <v>0.64358432778937325</v>
      </c>
      <c r="AY497" s="79"/>
    </row>
    <row r="498" spans="1:51" x14ac:dyDescent="0.25">
      <c r="A498" s="95" t="str">
        <f t="shared" si="108"/>
        <v>PQ Cattle MMN2O</v>
      </c>
      <c r="B498" s="95" t="s">
        <v>967</v>
      </c>
      <c r="C498" s="95" t="s">
        <v>1231</v>
      </c>
      <c r="D498" t="s">
        <v>15</v>
      </c>
      <c r="E498" t="s">
        <v>657</v>
      </c>
      <c r="F498" t="s">
        <v>67</v>
      </c>
      <c r="G498" t="s">
        <v>123</v>
      </c>
      <c r="H498" t="s">
        <v>1226</v>
      </c>
      <c r="I498" t="s">
        <v>139</v>
      </c>
      <c r="J498" t="s">
        <v>287</v>
      </c>
      <c r="K498" s="27">
        <f t="shared" si="110"/>
        <v>0.80452586370517842</v>
      </c>
      <c r="L498" s="27">
        <f t="shared" si="113"/>
        <v>0.79754846782098032</v>
      </c>
      <c r="M498" s="27">
        <f t="shared" si="113"/>
        <v>0.79489238443144161</v>
      </c>
      <c r="N498" s="27">
        <f t="shared" si="113"/>
        <v>0.78427763712907439</v>
      </c>
      <c r="O498" s="27">
        <f t="shared" si="113"/>
        <v>0.76887007218962278</v>
      </c>
      <c r="P498" s="27">
        <f t="shared" si="113"/>
        <v>0.74898829393537225</v>
      </c>
      <c r="Q498" s="27">
        <f t="shared" si="113"/>
        <v>0.73330695394505496</v>
      </c>
      <c r="R498" s="27">
        <f t="shared" si="113"/>
        <v>0.71847062359542491</v>
      </c>
      <c r="S498" s="27">
        <f t="shared" si="113"/>
        <v>0.64156157320759799</v>
      </c>
      <c r="T498" s="27">
        <f t="shared" si="113"/>
        <v>0.67223482564222559</v>
      </c>
      <c r="U498" s="27">
        <f t="shared" si="113"/>
        <v>0.68285391153805586</v>
      </c>
      <c r="V498" s="27">
        <f t="shared" si="113"/>
        <v>0.67824241239699168</v>
      </c>
      <c r="W498" s="27">
        <f t="shared" si="113"/>
        <v>0.67449128255528179</v>
      </c>
      <c r="X498" s="27">
        <f t="shared" si="113"/>
        <v>0.67473769040048559</v>
      </c>
      <c r="Y498" s="27">
        <f t="shared" si="113"/>
        <v>0.67869980172505096</v>
      </c>
      <c r="Z498" s="27">
        <f t="shared" si="113"/>
        <v>0.68432176576763859</v>
      </c>
      <c r="AA498" s="27">
        <f t="shared" si="113"/>
        <v>0.69205642508232745</v>
      </c>
      <c r="AB498" s="27">
        <f t="shared" si="113"/>
        <v>0.70338618316836132</v>
      </c>
      <c r="AC498" s="27">
        <f t="shared" si="113"/>
        <v>0.71799106143637159</v>
      </c>
      <c r="AD498" s="27">
        <f t="shared" si="113"/>
        <v>0.72817351060844282</v>
      </c>
      <c r="AE498" s="27">
        <f t="shared" si="113"/>
        <v>0.7395587968520555</v>
      </c>
      <c r="AF498" s="27">
        <f t="shared" si="113"/>
        <v>0.75128891020004818</v>
      </c>
      <c r="AG498" s="27">
        <f t="shared" si="113"/>
        <v>0.76362442157000243</v>
      </c>
      <c r="AH498" s="27">
        <f t="shared" si="113"/>
        <v>0.77614469341226622</v>
      </c>
      <c r="AI498" s="27">
        <f t="shared" si="113"/>
        <v>0.78757792641199043</v>
      </c>
      <c r="AJ498" s="27">
        <f t="shared" si="113"/>
        <v>0.79963788887456544</v>
      </c>
      <c r="AK498" s="27">
        <f t="shared" si="113"/>
        <v>0.81115177770881697</v>
      </c>
      <c r="AL498" s="27">
        <f t="shared" si="113"/>
        <v>0.82200866931166305</v>
      </c>
      <c r="AM498" s="27">
        <f t="shared" si="113"/>
        <v>0.83267265599813822</v>
      </c>
      <c r="AN498" s="27">
        <f t="shared" si="113"/>
        <v>0.84621430522926222</v>
      </c>
      <c r="AO498" s="27">
        <f t="shared" si="113"/>
        <v>0.86022056748957776</v>
      </c>
      <c r="AP498" s="27">
        <f t="shared" si="113"/>
        <v>0.87520044602095726</v>
      </c>
      <c r="AQ498" s="27">
        <f t="shared" si="113"/>
        <v>0.89012204277587748</v>
      </c>
      <c r="AR498" s="27">
        <f t="shared" si="113"/>
        <v>0.90500472509596042</v>
      </c>
      <c r="AS498" s="27">
        <f t="shared" si="113"/>
        <v>0.92082658408654217</v>
      </c>
      <c r="AT498" s="27">
        <f t="shared" si="113"/>
        <v>0.93717795190602593</v>
      </c>
      <c r="AU498" s="27">
        <f t="shared" si="113"/>
        <v>0.95377454436426301</v>
      </c>
      <c r="AV498" s="27">
        <f t="shared" si="113"/>
        <v>0.97118115388063697</v>
      </c>
      <c r="AW498" s="27">
        <f t="shared" si="113"/>
        <v>0.98577443066842085</v>
      </c>
      <c r="AY498" s="79"/>
    </row>
    <row r="499" spans="1:51" x14ac:dyDescent="0.25">
      <c r="A499" s="95" t="str">
        <f t="shared" si="108"/>
        <v>PQ Cattle MMN2O</v>
      </c>
      <c r="B499" s="95" t="s">
        <v>967</v>
      </c>
      <c r="C499" s="95" t="s">
        <v>1231</v>
      </c>
      <c r="D499" t="s">
        <v>15</v>
      </c>
      <c r="E499" t="s">
        <v>657</v>
      </c>
      <c r="F499" t="s">
        <v>67</v>
      </c>
      <c r="G499" t="s">
        <v>135</v>
      </c>
      <c r="H499" t="s">
        <v>1226</v>
      </c>
      <c r="I499" t="s">
        <v>139</v>
      </c>
      <c r="J499" t="s">
        <v>287</v>
      </c>
      <c r="K499" s="27">
        <f t="shared" si="110"/>
        <v>0.97926119892671459</v>
      </c>
      <c r="L499" s="27">
        <f t="shared" si="113"/>
        <v>1.0122801448609138</v>
      </c>
      <c r="M499" s="27">
        <f t="shared" si="113"/>
        <v>1.0514701788925804</v>
      </c>
      <c r="N499" s="27">
        <f t="shared" si="113"/>
        <v>1.0806972456941148</v>
      </c>
      <c r="O499" s="27">
        <f t="shared" si="113"/>
        <v>1.103236794343371</v>
      </c>
      <c r="P499" s="27">
        <f t="shared" si="113"/>
        <v>1.1187666946803865</v>
      </c>
      <c r="Q499" s="27">
        <f t="shared" si="113"/>
        <v>1.1399714801203362</v>
      </c>
      <c r="R499" s="27">
        <f t="shared" si="113"/>
        <v>1.1622002864669057</v>
      </c>
      <c r="S499" s="27">
        <f t="shared" si="113"/>
        <v>1.0797349387647497</v>
      </c>
      <c r="T499" s="27">
        <f t="shared" si="113"/>
        <v>1.1586148391754056</v>
      </c>
      <c r="U499" s="27">
        <f t="shared" ref="L499:AW505" si="114">U1416</f>
        <v>1.2048828534043301</v>
      </c>
      <c r="V499" s="27">
        <f t="shared" si="114"/>
        <v>1.2248214292243891</v>
      </c>
      <c r="W499" s="27">
        <f t="shared" si="114"/>
        <v>1.2462862134810584</v>
      </c>
      <c r="X499" s="27">
        <f t="shared" si="114"/>
        <v>1.2753304123156213</v>
      </c>
      <c r="Y499" s="27">
        <f t="shared" si="114"/>
        <v>1.3119382309958816</v>
      </c>
      <c r="Z499" s="27">
        <f t="shared" si="114"/>
        <v>1.352551168014529</v>
      </c>
      <c r="AA499" s="27">
        <f t="shared" si="114"/>
        <v>1.3983302277222904</v>
      </c>
      <c r="AB499" s="27">
        <f t="shared" si="114"/>
        <v>1.45265003311069</v>
      </c>
      <c r="AC499" s="27">
        <f t="shared" si="114"/>
        <v>1.5153587089508171</v>
      </c>
      <c r="AD499" s="27">
        <f t="shared" si="114"/>
        <v>1.5878154020260862</v>
      </c>
      <c r="AE499" s="27">
        <f t="shared" si="114"/>
        <v>1.6662236213187609</v>
      </c>
      <c r="AF499" s="27">
        <f t="shared" si="114"/>
        <v>1.7490356868363826</v>
      </c>
      <c r="AG499" s="27">
        <f t="shared" si="114"/>
        <v>1.8371605385940195</v>
      </c>
      <c r="AH499" s="27">
        <f t="shared" si="114"/>
        <v>1.9299179853404884</v>
      </c>
      <c r="AI499" s="27">
        <f t="shared" si="114"/>
        <v>2.0243264887955772</v>
      </c>
      <c r="AJ499" s="27">
        <f t="shared" si="114"/>
        <v>2.1249172544227406</v>
      </c>
      <c r="AK499" s="27">
        <f t="shared" si="114"/>
        <v>2.2289075077368197</v>
      </c>
      <c r="AL499" s="27">
        <f t="shared" si="114"/>
        <v>2.3361255764589468</v>
      </c>
      <c r="AM499" s="27">
        <f t="shared" si="114"/>
        <v>2.4480579395389377</v>
      </c>
      <c r="AN499" s="27">
        <f t="shared" si="114"/>
        <v>2.5580662421643461</v>
      </c>
      <c r="AO499" s="27">
        <f t="shared" si="114"/>
        <v>2.6740312374133999</v>
      </c>
      <c r="AP499" s="27">
        <f t="shared" si="114"/>
        <v>2.7979244732629738</v>
      </c>
      <c r="AQ499" s="27">
        <f t="shared" si="114"/>
        <v>2.9268588582276069</v>
      </c>
      <c r="AR499" s="27">
        <f t="shared" si="114"/>
        <v>3.0611473278848456</v>
      </c>
      <c r="AS499" s="27">
        <f t="shared" si="114"/>
        <v>3.2044630996439452</v>
      </c>
      <c r="AT499" s="27">
        <f t="shared" si="114"/>
        <v>3.3559228759421229</v>
      </c>
      <c r="AU499" s="27">
        <f t="shared" si="114"/>
        <v>3.5149748258951519</v>
      </c>
      <c r="AV499" s="27">
        <f t="shared" si="114"/>
        <v>3.6841999883853953</v>
      </c>
      <c r="AW499" s="27">
        <f t="shared" si="114"/>
        <v>3.8501065426145096</v>
      </c>
      <c r="AY499" s="79"/>
    </row>
    <row r="500" spans="1:51" x14ac:dyDescent="0.25">
      <c r="A500" s="95" t="str">
        <f t="shared" si="108"/>
        <v>PQ Sheep MMN2O</v>
      </c>
      <c r="B500" s="95" t="s">
        <v>967</v>
      </c>
      <c r="C500" s="95" t="s">
        <v>1327</v>
      </c>
      <c r="D500" t="s">
        <v>15</v>
      </c>
      <c r="E500" t="s">
        <v>657</v>
      </c>
      <c r="F500" t="s">
        <v>18</v>
      </c>
      <c r="G500" t="s">
        <v>122</v>
      </c>
      <c r="H500" t="s">
        <v>1226</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0.11888884787446641</v>
      </c>
      <c r="T500" s="27">
        <f t="shared" si="114"/>
        <v>0.11897442160845599</v>
      </c>
      <c r="U500" s="27">
        <f t="shared" si="114"/>
        <v>0.11894433570617077</v>
      </c>
      <c r="V500" s="27">
        <f t="shared" si="114"/>
        <v>0.11894216976117228</v>
      </c>
      <c r="W500" s="27">
        <f t="shared" si="114"/>
        <v>0.11906833284654554</v>
      </c>
      <c r="X500" s="27">
        <f t="shared" si="114"/>
        <v>0.1192748103604965</v>
      </c>
      <c r="Y500" s="27">
        <f t="shared" si="114"/>
        <v>0.11947292782589553</v>
      </c>
      <c r="Z500" s="27">
        <f t="shared" si="114"/>
        <v>0.11966332441080059</v>
      </c>
      <c r="AA500" s="27">
        <f t="shared" si="114"/>
        <v>0.11984574027292559</v>
      </c>
      <c r="AB500" s="27">
        <f t="shared" si="114"/>
        <v>0.12002397691702794</v>
      </c>
      <c r="AC500" s="27">
        <f t="shared" si="114"/>
        <v>0.12020063791291828</v>
      </c>
      <c r="AD500" s="27">
        <f t="shared" si="114"/>
        <v>0.12037395069486655</v>
      </c>
      <c r="AE500" s="27">
        <f t="shared" si="114"/>
        <v>0.12054640721794915</v>
      </c>
      <c r="AF500" s="27">
        <f t="shared" si="114"/>
        <v>0.12071746421078627</v>
      </c>
      <c r="AG500" s="27">
        <f t="shared" si="114"/>
        <v>0.12088575105723816</v>
      </c>
      <c r="AH500" s="27">
        <f t="shared" si="114"/>
        <v>0.12105200867781399</v>
      </c>
      <c r="AI500" s="27">
        <f t="shared" si="114"/>
        <v>0.12121641449313381</v>
      </c>
      <c r="AJ500" s="27">
        <f t="shared" si="114"/>
        <v>0.12137952665146406</v>
      </c>
      <c r="AK500" s="27">
        <f t="shared" si="114"/>
        <v>0.12153635424536353</v>
      </c>
      <c r="AL500" s="27">
        <f t="shared" si="114"/>
        <v>0.12168671378968904</v>
      </c>
      <c r="AM500" s="27">
        <f t="shared" si="114"/>
        <v>0.12183201055728769</v>
      </c>
      <c r="AN500" s="27">
        <f t="shared" si="114"/>
        <v>0.12197112574763715</v>
      </c>
      <c r="AO500" s="27">
        <f t="shared" si="114"/>
        <v>0.12210431172658152</v>
      </c>
      <c r="AP500" s="27">
        <f t="shared" si="114"/>
        <v>0.12223096862203452</v>
      </c>
      <c r="AQ500" s="27">
        <f t="shared" si="114"/>
        <v>0.12234928396390207</v>
      </c>
      <c r="AR500" s="27">
        <f t="shared" si="114"/>
        <v>0.12245757817594662</v>
      </c>
      <c r="AS500" s="27">
        <f t="shared" si="114"/>
        <v>0.12255574185064526</v>
      </c>
      <c r="AT500" s="27">
        <f t="shared" si="114"/>
        <v>0.12264302379658787</v>
      </c>
      <c r="AU500" s="27">
        <f t="shared" si="114"/>
        <v>0.12271938191890155</v>
      </c>
      <c r="AV500" s="27">
        <f t="shared" si="114"/>
        <v>0.12278627747914957</v>
      </c>
      <c r="AW500" s="27">
        <f t="shared" si="114"/>
        <v>0.12283502162881774</v>
      </c>
      <c r="AY500" s="79"/>
    </row>
    <row r="501" spans="1:51" x14ac:dyDescent="0.25">
      <c r="A501" s="95" t="str">
        <f t="shared" si="108"/>
        <v>PQ Sheep MMN2O</v>
      </c>
      <c r="B501" s="95" t="s">
        <v>967</v>
      </c>
      <c r="C501" s="95" t="s">
        <v>1327</v>
      </c>
      <c r="D501" t="s">
        <v>15</v>
      </c>
      <c r="E501" t="s">
        <v>657</v>
      </c>
      <c r="F501" t="s">
        <v>18</v>
      </c>
      <c r="G501" t="s">
        <v>123</v>
      </c>
      <c r="H501" t="s">
        <v>1226</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6.3574794121898134E-2</v>
      </c>
      <c r="T501" s="27">
        <f t="shared" si="114"/>
        <v>6.362055394393272E-2</v>
      </c>
      <c r="U501" s="27">
        <f t="shared" si="114"/>
        <v>6.3604465765117371E-2</v>
      </c>
      <c r="V501" s="27">
        <f t="shared" si="114"/>
        <v>6.3603307544562435E-2</v>
      </c>
      <c r="W501" s="27">
        <f t="shared" si="114"/>
        <v>6.3670772174944407E-2</v>
      </c>
      <c r="X501" s="27">
        <f t="shared" si="114"/>
        <v>6.3781184258793491E-2</v>
      </c>
      <c r="Y501" s="27">
        <f t="shared" si="114"/>
        <v>6.3887125878212575E-2</v>
      </c>
      <c r="Z501" s="27">
        <f t="shared" si="114"/>
        <v>6.3988938822851713E-2</v>
      </c>
      <c r="AA501" s="27">
        <f t="shared" si="114"/>
        <v>6.4086484144271705E-2</v>
      </c>
      <c r="AB501" s="27">
        <f t="shared" si="114"/>
        <v>6.4181794664613767E-2</v>
      </c>
      <c r="AC501" s="27">
        <f t="shared" si="114"/>
        <v>6.4276262620556607E-2</v>
      </c>
      <c r="AD501" s="27">
        <f t="shared" si="114"/>
        <v>6.4368940147743067E-2</v>
      </c>
      <c r="AE501" s="27">
        <f t="shared" si="114"/>
        <v>6.4461159797827752E-2</v>
      </c>
      <c r="AF501" s="27">
        <f t="shared" si="114"/>
        <v>6.4552631061088828E-2</v>
      </c>
      <c r="AG501" s="27">
        <f t="shared" si="114"/>
        <v>6.4642621012273305E-2</v>
      </c>
      <c r="AH501" s="27">
        <f t="shared" si="114"/>
        <v>6.4731525852283742E-2</v>
      </c>
      <c r="AI501" s="27">
        <f t="shared" si="114"/>
        <v>6.4819440455278599E-2</v>
      </c>
      <c r="AJ501" s="27">
        <f t="shared" si="114"/>
        <v>6.4906663286267555E-2</v>
      </c>
      <c r="AK501" s="27">
        <f t="shared" si="114"/>
        <v>6.499052550020136E-2</v>
      </c>
      <c r="AL501" s="27">
        <f t="shared" si="114"/>
        <v>6.5070928979969703E-2</v>
      </c>
      <c r="AM501" s="27">
        <f t="shared" si="114"/>
        <v>6.5148625183203274E-2</v>
      </c>
      <c r="AN501" s="27">
        <f t="shared" si="114"/>
        <v>6.5223015840895862E-2</v>
      </c>
      <c r="AO501" s="27">
        <f t="shared" si="114"/>
        <v>6.5294235903523207E-2</v>
      </c>
      <c r="AP501" s="27">
        <f t="shared" si="114"/>
        <v>6.5361964594620001E-2</v>
      </c>
      <c r="AQ501" s="27">
        <f t="shared" si="114"/>
        <v>6.542523271131194E-2</v>
      </c>
      <c r="AR501" s="27">
        <f t="shared" si="114"/>
        <v>6.548314211457737E-2</v>
      </c>
      <c r="AS501" s="27">
        <f t="shared" si="114"/>
        <v>6.5535634299679582E-2</v>
      </c>
      <c r="AT501" s="27">
        <f t="shared" si="114"/>
        <v>6.5582307573439622E-2</v>
      </c>
      <c r="AU501" s="27">
        <f t="shared" si="114"/>
        <v>6.5623139425984384E-2</v>
      </c>
      <c r="AV501" s="27">
        <f t="shared" si="114"/>
        <v>6.5658911254431448E-2</v>
      </c>
      <c r="AW501" s="27">
        <f t="shared" si="114"/>
        <v>6.5684976771384518E-2</v>
      </c>
      <c r="AY501" s="79"/>
    </row>
    <row r="502" spans="1:51" x14ac:dyDescent="0.25">
      <c r="A502" s="95" t="str">
        <f t="shared" si="108"/>
        <v>PQ Goats MMN2O</v>
      </c>
      <c r="B502" s="95" t="s">
        <v>967</v>
      </c>
      <c r="C502" s="95" t="s">
        <v>1328</v>
      </c>
      <c r="D502" t="s">
        <v>15</v>
      </c>
      <c r="E502" t="s">
        <v>657</v>
      </c>
      <c r="F502" t="s">
        <v>19</v>
      </c>
      <c r="G502" t="s">
        <v>122</v>
      </c>
      <c r="H502" t="s">
        <v>1226</v>
      </c>
      <c r="I502" t="s">
        <v>139</v>
      </c>
      <c r="J502" t="s">
        <v>287</v>
      </c>
      <c r="K502" s="27">
        <f t="shared" si="110"/>
        <v>1.4486129996083083E-2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1.4890706011157254E-2</v>
      </c>
      <c r="R502" s="27">
        <f t="shared" si="114"/>
        <v>1.4988675221399694E-2</v>
      </c>
      <c r="S502" s="27">
        <f t="shared" si="114"/>
        <v>1.4951923212530764E-2</v>
      </c>
      <c r="T502" s="27">
        <f t="shared" si="114"/>
        <v>1.4977625582861876E-2</v>
      </c>
      <c r="U502" s="27">
        <f t="shared" si="114"/>
        <v>1.4980119703065675E-2</v>
      </c>
      <c r="V502" s="27">
        <f t="shared" si="114"/>
        <v>1.4986976942692673E-2</v>
      </c>
      <c r="W502" s="27">
        <f t="shared" si="114"/>
        <v>1.5017294663736542E-2</v>
      </c>
      <c r="X502" s="27">
        <f t="shared" si="114"/>
        <v>1.5061890336193319E-2</v>
      </c>
      <c r="Y502" s="27">
        <f t="shared" si="114"/>
        <v>1.5103986297595969E-2</v>
      </c>
      <c r="Z502" s="27">
        <f t="shared" si="114"/>
        <v>1.5143780477124499E-2</v>
      </c>
      <c r="AA502" s="27">
        <f t="shared" si="114"/>
        <v>1.518129324368281E-2</v>
      </c>
      <c r="AB502" s="27">
        <f t="shared" si="114"/>
        <v>1.5217300806744069E-2</v>
      </c>
      <c r="AC502" s="27">
        <f t="shared" si="114"/>
        <v>1.5252343422195683E-2</v>
      </c>
      <c r="AD502" s="27">
        <f t="shared" si="114"/>
        <v>1.528613499352576E-2</v>
      </c>
      <c r="AE502" s="27">
        <f t="shared" si="114"/>
        <v>1.5319183069795761E-2</v>
      </c>
      <c r="AF502" s="27">
        <f t="shared" si="114"/>
        <v>1.5351423055728343E-2</v>
      </c>
      <c r="AG502" s="27">
        <f t="shared" si="114"/>
        <v>1.5382634347686872E-2</v>
      </c>
      <c r="AH502" s="27">
        <f t="shared" si="114"/>
        <v>1.5412986814805201E-2</v>
      </c>
      <c r="AI502" s="27">
        <f t="shared" si="114"/>
        <v>1.5442542460580333E-2</v>
      </c>
      <c r="AJ502" s="27">
        <f t="shared" si="114"/>
        <v>1.5471431054826285E-2</v>
      </c>
      <c r="AK502" s="27">
        <f t="shared" si="114"/>
        <v>1.5498756892033489E-2</v>
      </c>
      <c r="AL502" s="27">
        <f t="shared" si="114"/>
        <v>1.5524513513074619E-2</v>
      </c>
      <c r="AM502" s="27">
        <f t="shared" si="114"/>
        <v>1.5548984646319333E-2</v>
      </c>
      <c r="AN502" s="27">
        <f t="shared" si="114"/>
        <v>1.5571987875403363E-2</v>
      </c>
      <c r="AO502" s="27">
        <f t="shared" si="114"/>
        <v>1.5593591673600768E-2</v>
      </c>
      <c r="AP502" s="27">
        <f t="shared" si="114"/>
        <v>1.5613707165200276E-2</v>
      </c>
      <c r="AQ502" s="27">
        <f t="shared" si="114"/>
        <v>1.5632023858239551E-2</v>
      </c>
      <c r="AR502" s="27">
        <f t="shared" si="114"/>
        <v>1.5648256533695205E-2</v>
      </c>
      <c r="AS502" s="27">
        <f t="shared" si="114"/>
        <v>1.5662406299088667E-2</v>
      </c>
      <c r="AT502" s="27">
        <f t="shared" si="114"/>
        <v>1.5674356891571192E-2</v>
      </c>
      <c r="AU502" s="27">
        <f t="shared" si="114"/>
        <v>1.568412043163633E-2</v>
      </c>
      <c r="AV502" s="27">
        <f t="shared" si="114"/>
        <v>1.5691980107154113E-2</v>
      </c>
      <c r="AW502" s="27">
        <f t="shared" si="114"/>
        <v>1.5696383554298719E-2</v>
      </c>
      <c r="AY502" s="79"/>
    </row>
    <row r="503" spans="1:51" x14ac:dyDescent="0.25">
      <c r="A503" s="95" t="str">
        <f t="shared" si="108"/>
        <v>PQ Goats MMN2O</v>
      </c>
      <c r="B503" s="95" t="s">
        <v>967</v>
      </c>
      <c r="C503" s="95" t="s">
        <v>1328</v>
      </c>
      <c r="D503" t="s">
        <v>15</v>
      </c>
      <c r="E503" t="s">
        <v>657</v>
      </c>
      <c r="F503" t="s">
        <v>19</v>
      </c>
      <c r="G503" t="s">
        <v>123</v>
      </c>
      <c r="H503" t="s">
        <v>1226</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0.11664735601685972</v>
      </c>
      <c r="P503" s="27">
        <f t="shared" si="114"/>
        <v>0.11732381389682567</v>
      </c>
      <c r="Q503" s="27">
        <f t="shared" si="114"/>
        <v>0.11805182815822723</v>
      </c>
      <c r="R503" s="27">
        <f t="shared" si="114"/>
        <v>0.11882851694408277</v>
      </c>
      <c r="S503" s="27">
        <f t="shared" si="114"/>
        <v>0.11853715118666242</v>
      </c>
      <c r="T503" s="27">
        <f t="shared" si="114"/>
        <v>0.11874091666314918</v>
      </c>
      <c r="U503" s="27">
        <f t="shared" si="114"/>
        <v>0.11876068976520925</v>
      </c>
      <c r="V503" s="27">
        <f t="shared" si="114"/>
        <v>0.11881505318313448</v>
      </c>
      <c r="W503" s="27">
        <f t="shared" si="114"/>
        <v>0.11905540863653861</v>
      </c>
      <c r="X503" s="27">
        <f t="shared" si="114"/>
        <v>0.11940895806915272</v>
      </c>
      <c r="Y503" s="27">
        <f t="shared" si="114"/>
        <v>0.11974269007607956</v>
      </c>
      <c r="Z503" s="27">
        <f t="shared" si="114"/>
        <v>0.12005817381740651</v>
      </c>
      <c r="AA503" s="27">
        <f t="shared" si="114"/>
        <v>0.12035557077549322</v>
      </c>
      <c r="AB503" s="27">
        <f t="shared" si="114"/>
        <v>0.12064103465099509</v>
      </c>
      <c r="AC503" s="27">
        <f t="shared" si="114"/>
        <v>0.12091884853130468</v>
      </c>
      <c r="AD503" s="27">
        <f t="shared" si="114"/>
        <v>0.12118674427572847</v>
      </c>
      <c r="AE503" s="27">
        <f t="shared" si="114"/>
        <v>0.12144874567565288</v>
      </c>
      <c r="AF503" s="27">
        <f t="shared" si="114"/>
        <v>0.1217043406270464</v>
      </c>
      <c r="AG503" s="27">
        <f t="shared" si="114"/>
        <v>0.12195178020930149</v>
      </c>
      <c r="AH503" s="27">
        <f t="shared" si="114"/>
        <v>0.12219241112564265</v>
      </c>
      <c r="AI503" s="27">
        <f t="shared" si="114"/>
        <v>0.1224267249327608</v>
      </c>
      <c r="AJ503" s="27">
        <f t="shared" si="114"/>
        <v>0.1226557504310213</v>
      </c>
      <c r="AK503" s="27">
        <f t="shared" si="114"/>
        <v>0.12287238656874688</v>
      </c>
      <c r="AL503" s="27">
        <f t="shared" si="114"/>
        <v>0.12307658213870883</v>
      </c>
      <c r="AM503" s="27">
        <f t="shared" si="114"/>
        <v>0.1232705865072376</v>
      </c>
      <c r="AN503" s="27">
        <f t="shared" si="114"/>
        <v>0.12345295349808931</v>
      </c>
      <c r="AO503" s="27">
        <f t="shared" si="114"/>
        <v>0.12362422595961356</v>
      </c>
      <c r="AP503" s="27">
        <f t="shared" si="114"/>
        <v>0.12378369929525287</v>
      </c>
      <c r="AQ503" s="27">
        <f t="shared" si="114"/>
        <v>0.12392891195994982</v>
      </c>
      <c r="AR503" s="27">
        <f t="shared" si="114"/>
        <v>0.12405760276964035</v>
      </c>
      <c r="AS503" s="27">
        <f t="shared" si="114"/>
        <v>0.12416978050462869</v>
      </c>
      <c r="AT503" s="27">
        <f t="shared" si="114"/>
        <v>0.12426452344623794</v>
      </c>
      <c r="AU503" s="27">
        <f t="shared" si="114"/>
        <v>0.12434192768436619</v>
      </c>
      <c r="AV503" s="27">
        <f t="shared" si="114"/>
        <v>0.1244042383003242</v>
      </c>
      <c r="AW503" s="27">
        <f t="shared" si="114"/>
        <v>0.12443914832979021</v>
      </c>
      <c r="AY503" s="79"/>
    </row>
    <row r="504" spans="1:51" x14ac:dyDescent="0.25">
      <c r="A504" s="95" t="str">
        <f t="shared" si="108"/>
        <v>PQ Horses MMN2O</v>
      </c>
      <c r="B504" s="95" t="s">
        <v>967</v>
      </c>
      <c r="C504" s="95" t="s">
        <v>1329</v>
      </c>
      <c r="D504" t="s">
        <v>15</v>
      </c>
      <c r="E504" t="s">
        <v>657</v>
      </c>
      <c r="F504" t="s">
        <v>20</v>
      </c>
      <c r="G504" t="s">
        <v>3</v>
      </c>
      <c r="H504" t="s">
        <v>1226</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5">
      <c r="A505" s="95" t="str">
        <f t="shared" si="108"/>
        <v>PQ Mules MMN2O</v>
      </c>
      <c r="B505" s="95" t="s">
        <v>967</v>
      </c>
      <c r="C505" s="95" t="s">
        <v>1330</v>
      </c>
      <c r="D505" t="s">
        <v>15</v>
      </c>
      <c r="E505" t="s">
        <v>657</v>
      </c>
      <c r="F505" t="s">
        <v>140</v>
      </c>
      <c r="G505" t="s">
        <v>124</v>
      </c>
      <c r="H505" t="s">
        <v>1226</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5">
      <c r="A506" s="95" t="str">
        <f t="shared" si="108"/>
        <v>PQ Swine MMN2O</v>
      </c>
      <c r="B506" s="95" t="s">
        <v>967</v>
      </c>
      <c r="C506" s="95" t="s">
        <v>1232</v>
      </c>
      <c r="D506" t="s">
        <v>15</v>
      </c>
      <c r="E506" t="s">
        <v>657</v>
      </c>
      <c r="F506" t="s">
        <v>21</v>
      </c>
      <c r="G506" t="s">
        <v>122</v>
      </c>
      <c r="H506" t="s">
        <v>1226</v>
      </c>
      <c r="I506" t="s">
        <v>139</v>
      </c>
      <c r="J506" t="s">
        <v>287</v>
      </c>
      <c r="K506" s="27">
        <f t="shared" si="110"/>
        <v>9.7466979224281824E-2</v>
      </c>
      <c r="L506" s="27">
        <f t="shared" si="115"/>
        <v>9.6937181363551519E-2</v>
      </c>
      <c r="M506" s="27">
        <f t="shared" si="115"/>
        <v>9.6980665528366566E-2</v>
      </c>
      <c r="N506" s="27">
        <f t="shared" si="115"/>
        <v>9.6090308702663552E-2</v>
      </c>
      <c r="O506" s="27">
        <f t="shared" si="115"/>
        <v>9.4636150647850456E-2</v>
      </c>
      <c r="P506" s="27">
        <f t="shared" si="115"/>
        <v>9.2641437622218339E-2</v>
      </c>
      <c r="Q506" s="27">
        <f t="shared" si="115"/>
        <v>9.1193054757597189E-2</v>
      </c>
      <c r="R506" s="27">
        <f t="shared" si="115"/>
        <v>8.9872834352323586E-2</v>
      </c>
      <c r="S506" s="27">
        <f t="shared" si="115"/>
        <v>8.0734544225409766E-2</v>
      </c>
      <c r="T506" s="27">
        <f t="shared" si="115"/>
        <v>8.4382841213531623E-2</v>
      </c>
      <c r="U506" s="27">
        <f t="shared" si="115"/>
        <v>8.5485831085546846E-2</v>
      </c>
      <c r="V506" s="27">
        <f t="shared" si="115"/>
        <v>8.4642168924532232E-2</v>
      </c>
      <c r="W506" s="27">
        <f t="shared" si="115"/>
        <v>8.3900172539890919E-2</v>
      </c>
      <c r="X506" s="27">
        <f t="shared" si="115"/>
        <v>8.3670858252268526E-2</v>
      </c>
      <c r="Y506" s="27">
        <f t="shared" si="115"/>
        <v>8.3934301237427442E-2</v>
      </c>
      <c r="Z506" s="27">
        <f t="shared" si="115"/>
        <v>8.44249898120146E-2</v>
      </c>
      <c r="AA506" s="27">
        <f t="shared" si="115"/>
        <v>8.5198904999322256E-2</v>
      </c>
      <c r="AB506" s="27">
        <f t="shared" si="115"/>
        <v>8.6442123684456251E-2</v>
      </c>
      <c r="AC506" s="27">
        <f t="shared" si="115"/>
        <v>8.8111240076380506E-2</v>
      </c>
      <c r="AD506" s="27">
        <f t="shared" si="115"/>
        <v>9.001094563198829E-2</v>
      </c>
      <c r="AE506" s="27">
        <f t="shared" si="115"/>
        <v>9.2122381916242821E-2</v>
      </c>
      <c r="AF506" s="27">
        <f t="shared" si="115"/>
        <v>9.433993402703468E-2</v>
      </c>
      <c r="AG506" s="27">
        <f t="shared" si="115"/>
        <v>9.6701686348057328E-2</v>
      </c>
      <c r="AH506" s="27">
        <f t="shared" si="115"/>
        <v>9.9156733920468212E-2</v>
      </c>
      <c r="AI506" s="27">
        <f t="shared" si="115"/>
        <v>0.10153918433243618</v>
      </c>
      <c r="AJ506" s="27">
        <f t="shared" si="115"/>
        <v>0.10407920464758763</v>
      </c>
      <c r="AK506" s="27">
        <f t="shared" si="115"/>
        <v>0.10662429120765052</v>
      </c>
      <c r="AL506" s="27">
        <f t="shared" si="115"/>
        <v>0.10916108152437015</v>
      </c>
      <c r="AM506" s="27">
        <f t="shared" si="115"/>
        <v>0.11175521560682936</v>
      </c>
      <c r="AN506" s="27">
        <f t="shared" si="115"/>
        <v>0.11423893572460501</v>
      </c>
      <c r="AO506" s="27">
        <f t="shared" si="115"/>
        <v>0.11683800387615073</v>
      </c>
      <c r="AP506" s="27">
        <f t="shared" si="115"/>
        <v>0.11962734368800265</v>
      </c>
      <c r="AQ506" s="27">
        <f t="shared" si="115"/>
        <v>0.12246543086827189</v>
      </c>
      <c r="AR506" s="27">
        <f t="shared" si="115"/>
        <v>0.12535748302837027</v>
      </c>
      <c r="AS506" s="27">
        <f t="shared" si="115"/>
        <v>0.12844640721926534</v>
      </c>
      <c r="AT506" s="27">
        <f t="shared" si="115"/>
        <v>0.13167842894497958</v>
      </c>
      <c r="AU506" s="27">
        <f t="shared" si="115"/>
        <v>0.13501670748772379</v>
      </c>
      <c r="AV506" s="27">
        <f t="shared" si="115"/>
        <v>0.13854783957825018</v>
      </c>
      <c r="AW506" s="27">
        <f t="shared" si="115"/>
        <v>0.14174415331850926</v>
      </c>
      <c r="AY506" s="79"/>
    </row>
    <row r="507" spans="1:51" x14ac:dyDescent="0.25">
      <c r="A507" s="95" t="str">
        <f t="shared" si="108"/>
        <v>PQ Swine MMN2O</v>
      </c>
      <c r="B507" s="95" t="s">
        <v>967</v>
      </c>
      <c r="C507" s="95" t="s">
        <v>1232</v>
      </c>
      <c r="D507" t="s">
        <v>15</v>
      </c>
      <c r="E507" t="s">
        <v>657</v>
      </c>
      <c r="F507" t="s">
        <v>21</v>
      </c>
      <c r="G507" t="s">
        <v>123</v>
      </c>
      <c r="H507" t="s">
        <v>1226</v>
      </c>
      <c r="I507" t="s">
        <v>139</v>
      </c>
      <c r="J507" t="s">
        <v>287</v>
      </c>
      <c r="K507" s="27">
        <f t="shared" si="110"/>
        <v>3.8131055665722169E-2</v>
      </c>
      <c r="L507" s="27">
        <f t="shared" si="115"/>
        <v>3.7923788015899962E-2</v>
      </c>
      <c r="M507" s="27">
        <f t="shared" si="115"/>
        <v>3.794079990159023E-2</v>
      </c>
      <c r="N507" s="27">
        <f t="shared" si="115"/>
        <v>3.7592474284510076E-2</v>
      </c>
      <c r="O507" s="27">
        <f t="shared" si="115"/>
        <v>3.7023578211438556E-2</v>
      </c>
      <c r="P507" s="27">
        <f t="shared" si="115"/>
        <v>3.6243206089281214E-2</v>
      </c>
      <c r="Q507" s="27">
        <f t="shared" si="115"/>
        <v>3.5676569387541837E-2</v>
      </c>
      <c r="R507" s="27">
        <f t="shared" si="115"/>
        <v>3.5160072434777263E-2</v>
      </c>
      <c r="S507" s="27">
        <f t="shared" si="115"/>
        <v>3.1584988316113387E-2</v>
      </c>
      <c r="T507" s="27">
        <f t="shared" si="115"/>
        <v>3.3012275964159274E-2</v>
      </c>
      <c r="U507" s="27">
        <f t="shared" si="115"/>
        <v>3.3443787934092799E-2</v>
      </c>
      <c r="V507" s="27">
        <f t="shared" si="115"/>
        <v>3.3113730215255661E-2</v>
      </c>
      <c r="W507" s="27">
        <f t="shared" si="115"/>
        <v>3.2823446206541117E-2</v>
      </c>
      <c r="X507" s="27">
        <f t="shared" si="115"/>
        <v>3.2733733814345668E-2</v>
      </c>
      <c r="Y507" s="27">
        <f t="shared" si="115"/>
        <v>3.2836798044013883E-2</v>
      </c>
      <c r="Z507" s="27">
        <f t="shared" si="115"/>
        <v>3.3028765349259512E-2</v>
      </c>
      <c r="AA507" s="27">
        <f t="shared" si="115"/>
        <v>3.3331536639830336E-2</v>
      </c>
      <c r="AB507" s="27">
        <f t="shared" si="115"/>
        <v>3.3817908960638868E-2</v>
      </c>
      <c r="AC507" s="27">
        <f t="shared" si="115"/>
        <v>3.4470901087403957E-2</v>
      </c>
      <c r="AD507" s="27">
        <f t="shared" si="115"/>
        <v>3.5214104363691767E-2</v>
      </c>
      <c r="AE507" s="27">
        <f t="shared" si="115"/>
        <v>3.6040140987893189E-2</v>
      </c>
      <c r="AF507" s="27">
        <f t="shared" si="115"/>
        <v>3.6907692271940552E-2</v>
      </c>
      <c r="AG507" s="27">
        <f t="shared" si="115"/>
        <v>3.7831657597821179E-2</v>
      </c>
      <c r="AH507" s="27">
        <f t="shared" si="115"/>
        <v>3.879212191497397E-2</v>
      </c>
      <c r="AI507" s="27">
        <f t="shared" si="115"/>
        <v>3.9724184753102243E-2</v>
      </c>
      <c r="AJ507" s="27">
        <f t="shared" si="115"/>
        <v>4.0717892127640175E-2</v>
      </c>
      <c r="AK507" s="27">
        <f t="shared" si="115"/>
        <v>4.1713581519762656E-2</v>
      </c>
      <c r="AL507" s="27">
        <f t="shared" si="115"/>
        <v>4.270602525351698E-2</v>
      </c>
      <c r="AM507" s="27">
        <f t="shared" si="115"/>
        <v>4.3720903029455652E-2</v>
      </c>
      <c r="AN507" s="27">
        <f t="shared" si="115"/>
        <v>4.4692584626882061E-2</v>
      </c>
      <c r="AO507" s="27">
        <f t="shared" si="115"/>
        <v>4.5709392710546422E-2</v>
      </c>
      <c r="AP507" s="27">
        <f t="shared" si="115"/>
        <v>4.6800638920112353E-2</v>
      </c>
      <c r="AQ507" s="27">
        <f t="shared" si="115"/>
        <v>4.791095608718076E-2</v>
      </c>
      <c r="AR507" s="27">
        <f t="shared" si="115"/>
        <v>4.9042385446975784E-2</v>
      </c>
      <c r="AS507" s="27">
        <f t="shared" si="115"/>
        <v>5.0250835131244558E-2</v>
      </c>
      <c r="AT507" s="27">
        <f t="shared" si="115"/>
        <v>5.1515267468399954E-2</v>
      </c>
      <c r="AU507" s="27">
        <f t="shared" si="115"/>
        <v>5.2821269623736601E-2</v>
      </c>
      <c r="AV507" s="27">
        <f t="shared" si="115"/>
        <v>5.4202719991630371E-2</v>
      </c>
      <c r="AW507" s="27">
        <f t="shared" si="115"/>
        <v>5.5453182641903707E-2</v>
      </c>
      <c r="AY507" s="79"/>
    </row>
    <row r="508" spans="1:51" x14ac:dyDescent="0.25">
      <c r="A508" s="95" t="str">
        <f t="shared" si="108"/>
        <v>PQ Poultry MMN2O</v>
      </c>
      <c r="B508" s="95" t="s">
        <v>967</v>
      </c>
      <c r="C508" s="95" t="s">
        <v>1233</v>
      </c>
      <c r="D508" t="s">
        <v>15</v>
      </c>
      <c r="E508" t="s">
        <v>657</v>
      </c>
      <c r="F508" t="s">
        <v>28</v>
      </c>
      <c r="G508" t="s">
        <v>131</v>
      </c>
      <c r="H508" t="s">
        <v>1226</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0.36607496135357975</v>
      </c>
      <c r="S508" s="27">
        <f t="shared" si="115"/>
        <v>0.35135538223408885</v>
      </c>
      <c r="T508" s="27">
        <f t="shared" si="115"/>
        <v>0.3660250744881503</v>
      </c>
      <c r="U508" s="27">
        <f t="shared" si="115"/>
        <v>0.3747433751291977</v>
      </c>
      <c r="V508" s="27">
        <f t="shared" si="115"/>
        <v>0.37890472124533414</v>
      </c>
      <c r="W508" s="27">
        <f t="shared" si="115"/>
        <v>0.38351980018418114</v>
      </c>
      <c r="X508" s="27">
        <f t="shared" si="115"/>
        <v>0.38953835570243145</v>
      </c>
      <c r="Y508" s="27">
        <f t="shared" si="115"/>
        <v>0.39678314869255904</v>
      </c>
      <c r="Z508" s="27">
        <f t="shared" si="115"/>
        <v>0.40464075152916346</v>
      </c>
      <c r="AA508" s="27">
        <f t="shared" si="115"/>
        <v>0.41330404639575669</v>
      </c>
      <c r="AB508" s="27">
        <f t="shared" si="115"/>
        <v>0.42334665156208889</v>
      </c>
      <c r="AC508" s="27">
        <f t="shared" si="115"/>
        <v>0.43473806986049379</v>
      </c>
      <c r="AD508" s="27">
        <f t="shared" si="115"/>
        <v>0.44699375378888861</v>
      </c>
      <c r="AE508" s="27">
        <f t="shared" si="115"/>
        <v>0.46011178168093952</v>
      </c>
      <c r="AF508" s="27">
        <f t="shared" si="115"/>
        <v>0.47382089637959635</v>
      </c>
      <c r="AG508" s="27">
        <f t="shared" si="115"/>
        <v>0.48826027881230222</v>
      </c>
      <c r="AH508" s="27">
        <f t="shared" si="115"/>
        <v>0.50330862860005154</v>
      </c>
      <c r="AI508" s="27">
        <f t="shared" si="115"/>
        <v>0.5184689754858961</v>
      </c>
      <c r="AJ508" s="27">
        <f t="shared" si="115"/>
        <v>0.53447970815576928</v>
      </c>
      <c r="AK508" s="27">
        <f t="shared" si="115"/>
        <v>0.55086704408448872</v>
      </c>
      <c r="AL508" s="27">
        <f t="shared" si="115"/>
        <v>0.56759733652439393</v>
      </c>
      <c r="AM508" s="27">
        <f t="shared" si="115"/>
        <v>0.58490701814028823</v>
      </c>
      <c r="AN508" s="27">
        <f t="shared" si="115"/>
        <v>0.60223366750494911</v>
      </c>
      <c r="AO508" s="27">
        <f t="shared" si="115"/>
        <v>0.62036595204994383</v>
      </c>
      <c r="AP508" s="27">
        <f t="shared" si="115"/>
        <v>0.63960685850737242</v>
      </c>
      <c r="AQ508" s="27">
        <f t="shared" si="115"/>
        <v>0.65948374000710175</v>
      </c>
      <c r="AR508" s="27">
        <f t="shared" si="115"/>
        <v>0.68003541307118265</v>
      </c>
      <c r="AS508" s="27">
        <f t="shared" si="115"/>
        <v>0.70183096342172768</v>
      </c>
      <c r="AT508" s="27">
        <f t="shared" si="115"/>
        <v>0.72471687693803755</v>
      </c>
      <c r="AU508" s="27">
        <f t="shared" si="115"/>
        <v>0.74859496074669962</v>
      </c>
      <c r="AV508" s="27">
        <f t="shared" si="115"/>
        <v>0.77385822122722236</v>
      </c>
      <c r="AW508" s="27">
        <f t="shared" si="115"/>
        <v>0.79838507129603287</v>
      </c>
      <c r="AY508" s="79"/>
    </row>
    <row r="509" spans="1:51" x14ac:dyDescent="0.25">
      <c r="A509" s="95" t="str">
        <f t="shared" si="108"/>
        <v>PQ Poultry MMN2O</v>
      </c>
      <c r="B509" s="95" t="s">
        <v>967</v>
      </c>
      <c r="C509" s="95" t="s">
        <v>1233</v>
      </c>
      <c r="D509" t="s">
        <v>15</v>
      </c>
      <c r="E509" t="s">
        <v>657</v>
      </c>
      <c r="F509" t="s">
        <v>28</v>
      </c>
      <c r="G509" t="s">
        <v>132</v>
      </c>
      <c r="H509" t="s">
        <v>1226</v>
      </c>
      <c r="I509" t="s">
        <v>139</v>
      </c>
      <c r="J509" t="s">
        <v>287</v>
      </c>
      <c r="K509" s="27">
        <f t="shared" si="110"/>
        <v>1.7017151675634961</v>
      </c>
      <c r="L509" s="27">
        <f t="shared" si="115"/>
        <v>1.7241237147327637</v>
      </c>
      <c r="M509" s="27">
        <f t="shared" si="115"/>
        <v>1.7601182693498105</v>
      </c>
      <c r="N509" s="27">
        <f t="shared" si="115"/>
        <v>1.7704533576020511</v>
      </c>
      <c r="O509" s="27">
        <f t="shared" si="115"/>
        <v>1.7641159598844747</v>
      </c>
      <c r="P509" s="27">
        <f t="shared" si="115"/>
        <v>1.7411735022142167</v>
      </c>
      <c r="Q509" s="27">
        <f t="shared" si="115"/>
        <v>1.7315152516158574</v>
      </c>
      <c r="R509" s="27">
        <f t="shared" si="115"/>
        <v>1.7240481490859689</v>
      </c>
      <c r="S509" s="27">
        <f t="shared" si="115"/>
        <v>1.4999683948751941</v>
      </c>
      <c r="T509" s="27">
        <f t="shared" si="115"/>
        <v>1.635678170936574</v>
      </c>
      <c r="U509" s="27">
        <f t="shared" si="115"/>
        <v>1.7009774454367668</v>
      </c>
      <c r="V509" s="27">
        <f t="shared" si="115"/>
        <v>1.7091479327288939</v>
      </c>
      <c r="W509" s="27">
        <f t="shared" si="115"/>
        <v>1.7185668307415591</v>
      </c>
      <c r="X509" s="27">
        <f t="shared" si="115"/>
        <v>1.7424532471009451</v>
      </c>
      <c r="Y509" s="27">
        <f t="shared" si="115"/>
        <v>1.7817834224196265</v>
      </c>
      <c r="Z509" s="27">
        <f t="shared" si="115"/>
        <v>1.8288406604826053</v>
      </c>
      <c r="AA509" s="27">
        <f t="shared" si="115"/>
        <v>1.885701932517597</v>
      </c>
      <c r="AB509" s="27">
        <f t="shared" si="115"/>
        <v>1.9586802917289898</v>
      </c>
      <c r="AC509" s="27">
        <f t="shared" si="115"/>
        <v>2.0469431813370456</v>
      </c>
      <c r="AD509" s="27">
        <f t="shared" si="115"/>
        <v>2.1446346617917671</v>
      </c>
      <c r="AE509" s="27">
        <f t="shared" si="115"/>
        <v>2.2514306358992373</v>
      </c>
      <c r="AF509" s="27">
        <f t="shared" si="115"/>
        <v>2.364080403374996</v>
      </c>
      <c r="AG509" s="27">
        <f t="shared" si="115"/>
        <v>2.4840914132913525</v>
      </c>
      <c r="AH509" s="27">
        <f t="shared" si="115"/>
        <v>2.609932995576361</v>
      </c>
      <c r="AI509" s="27">
        <f t="shared" si="115"/>
        <v>2.7359571600200745</v>
      </c>
      <c r="AJ509" s="27">
        <f t="shared" si="115"/>
        <v>2.870315303671148</v>
      </c>
      <c r="AK509" s="27">
        <f t="shared" si="115"/>
        <v>3.0078431709030542</v>
      </c>
      <c r="AL509" s="27">
        <f t="shared" si="115"/>
        <v>3.1481328800356168</v>
      </c>
      <c r="AM509" s="27">
        <f t="shared" si="115"/>
        <v>3.293658685243031</v>
      </c>
      <c r="AN509" s="27">
        <f t="shared" si="115"/>
        <v>3.4383107407406079</v>
      </c>
      <c r="AO509" s="27">
        <f t="shared" si="115"/>
        <v>3.5905693529651876</v>
      </c>
      <c r="AP509" s="27">
        <f t="shared" si="115"/>
        <v>3.7535692593915186</v>
      </c>
      <c r="AQ509" s="27">
        <f t="shared" si="115"/>
        <v>3.922195814332385</v>
      </c>
      <c r="AR509" s="27">
        <f t="shared" si="115"/>
        <v>4.0968427833898948</v>
      </c>
      <c r="AS509" s="27">
        <f t="shared" si="115"/>
        <v>4.2833995063649954</v>
      </c>
      <c r="AT509" s="27">
        <f t="shared" si="115"/>
        <v>4.4801147383664359</v>
      </c>
      <c r="AU509" s="27">
        <f t="shared" si="115"/>
        <v>4.6858252173265607</v>
      </c>
      <c r="AV509" s="27">
        <f t="shared" si="115"/>
        <v>4.9044073325814885</v>
      </c>
      <c r="AW509" s="27">
        <f t="shared" si="115"/>
        <v>5.1142236717204526</v>
      </c>
      <c r="AY509" s="79"/>
    </row>
    <row r="510" spans="1:51" x14ac:dyDescent="0.25">
      <c r="A510" s="95" t="str">
        <f t="shared" si="108"/>
        <v>PQ Poultry MMN2O</v>
      </c>
      <c r="B510" s="95" t="s">
        <v>967</v>
      </c>
      <c r="C510" s="95" t="s">
        <v>1233</v>
      </c>
      <c r="D510" t="s">
        <v>15</v>
      </c>
      <c r="E510" t="s">
        <v>657</v>
      </c>
      <c r="F510" t="s">
        <v>28</v>
      </c>
      <c r="G510" t="s">
        <v>134</v>
      </c>
      <c r="H510" t="s">
        <v>1226</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1.4711795979713126E-2</v>
      </c>
      <c r="P510" s="27">
        <f t="shared" si="115"/>
        <v>1.4861520550190493E-2</v>
      </c>
      <c r="Q510" s="27">
        <f t="shared" si="115"/>
        <v>1.5053508778373347E-2</v>
      </c>
      <c r="R510" s="27">
        <f t="shared" si="115"/>
        <v>1.5253123389732505E-2</v>
      </c>
      <c r="S510" s="27">
        <f t="shared" si="115"/>
        <v>1.4639807593087044E-2</v>
      </c>
      <c r="T510" s="27">
        <f t="shared" si="115"/>
        <v>1.525104477033961E-2</v>
      </c>
      <c r="U510" s="27">
        <f t="shared" si="115"/>
        <v>1.5614307297049917E-2</v>
      </c>
      <c r="V510" s="27">
        <f t="shared" si="115"/>
        <v>1.5787696718555604E-2</v>
      </c>
      <c r="W510" s="27">
        <f t="shared" si="115"/>
        <v>1.5979991674340898E-2</v>
      </c>
      <c r="X510" s="27">
        <f t="shared" si="115"/>
        <v>1.6230764820934659E-2</v>
      </c>
      <c r="Y510" s="27">
        <f t="shared" si="115"/>
        <v>1.6532631195523312E-2</v>
      </c>
      <c r="Z510" s="27">
        <f t="shared" si="115"/>
        <v>1.6860031313715163E-2</v>
      </c>
      <c r="AA510" s="27">
        <f t="shared" si="115"/>
        <v>1.7221001933156545E-2</v>
      </c>
      <c r="AB510" s="27">
        <f t="shared" si="115"/>
        <v>1.7639443815087055E-2</v>
      </c>
      <c r="AC510" s="27">
        <f t="shared" si="115"/>
        <v>1.8114086244187262E-2</v>
      </c>
      <c r="AD510" s="27">
        <f t="shared" si="115"/>
        <v>1.8624739741203704E-2</v>
      </c>
      <c r="AE510" s="27">
        <f t="shared" si="115"/>
        <v>1.9171324236705832E-2</v>
      </c>
      <c r="AF510" s="27">
        <f t="shared" si="115"/>
        <v>1.9742537349149866E-2</v>
      </c>
      <c r="AG510" s="27">
        <f t="shared" si="115"/>
        <v>2.0344178283845944E-2</v>
      </c>
      <c r="AH510" s="27">
        <f t="shared" si="115"/>
        <v>2.09711928583355E-2</v>
      </c>
      <c r="AI510" s="27">
        <f t="shared" si="115"/>
        <v>2.1602873978579022E-2</v>
      </c>
      <c r="AJ510" s="27">
        <f t="shared" si="115"/>
        <v>2.226998783982374E-2</v>
      </c>
      <c r="AK510" s="27">
        <f t="shared" si="115"/>
        <v>2.2952793503520384E-2</v>
      </c>
      <c r="AL510" s="27">
        <f t="shared" si="115"/>
        <v>2.3649889021849769E-2</v>
      </c>
      <c r="AM510" s="27">
        <f t="shared" si="115"/>
        <v>2.4371125755845373E-2</v>
      </c>
      <c r="AN510" s="27">
        <f t="shared" si="115"/>
        <v>2.5093069479372905E-2</v>
      </c>
      <c r="AO510" s="27">
        <f t="shared" si="115"/>
        <v>2.5848581335414348E-2</v>
      </c>
      <c r="AP510" s="27">
        <f t="shared" si="115"/>
        <v>2.665028577114054E-2</v>
      </c>
      <c r="AQ510" s="27">
        <f t="shared" si="115"/>
        <v>2.7478489166962602E-2</v>
      </c>
      <c r="AR510" s="27">
        <f t="shared" si="115"/>
        <v>2.8334808877965974E-2</v>
      </c>
      <c r="AS510" s="27">
        <f t="shared" si="115"/>
        <v>2.924295680923868E-2</v>
      </c>
      <c r="AT510" s="27">
        <f t="shared" si="115"/>
        <v>3.0196536539084926E-2</v>
      </c>
      <c r="AU510" s="27">
        <f t="shared" si="115"/>
        <v>3.1191456697779184E-2</v>
      </c>
      <c r="AV510" s="27">
        <f t="shared" si="115"/>
        <v>3.2244092551134286E-2</v>
      </c>
      <c r="AW510" s="27">
        <f t="shared" si="115"/>
        <v>3.3266044637334728E-2</v>
      </c>
      <c r="AY510" s="79"/>
    </row>
    <row r="511" spans="1:51" x14ac:dyDescent="0.25">
      <c r="A511" s="95" t="str">
        <f t="shared" si="108"/>
        <v>PQ Poultry MMN2O</v>
      </c>
      <c r="B511" s="95" t="s">
        <v>967</v>
      </c>
      <c r="C511" s="95" t="s">
        <v>1233</v>
      </c>
      <c r="D511" t="s">
        <v>15</v>
      </c>
      <c r="E511" t="s">
        <v>657</v>
      </c>
      <c r="F511" t="s">
        <v>28</v>
      </c>
      <c r="G511" t="s">
        <v>133</v>
      </c>
      <c r="H511" t="s">
        <v>1226</v>
      </c>
      <c r="I511" t="s">
        <v>139</v>
      </c>
      <c r="J511" t="s">
        <v>287</v>
      </c>
      <c r="K511" s="27">
        <f t="shared" si="110"/>
        <v>7.0904798648479067E-2</v>
      </c>
      <c r="L511" s="27">
        <f t="shared" si="115"/>
        <v>7.1838488113865229E-2</v>
      </c>
      <c r="M511" s="27">
        <f t="shared" si="115"/>
        <v>7.3338261222908846E-2</v>
      </c>
      <c r="N511" s="27">
        <f t="shared" si="115"/>
        <v>7.3768889900085524E-2</v>
      </c>
      <c r="O511" s="27">
        <f t="shared" si="115"/>
        <v>7.3504831661853176E-2</v>
      </c>
      <c r="P511" s="27">
        <f t="shared" si="115"/>
        <v>7.2548895925592424E-2</v>
      </c>
      <c r="Q511" s="27">
        <f t="shared" si="115"/>
        <v>7.2146468817327461E-2</v>
      </c>
      <c r="R511" s="27">
        <f t="shared" si="115"/>
        <v>7.1835339545248775E-2</v>
      </c>
      <c r="S511" s="27">
        <f t="shared" si="115"/>
        <v>6.2498683119799801E-2</v>
      </c>
      <c r="T511" s="27">
        <f t="shared" si="115"/>
        <v>6.81532571223573E-2</v>
      </c>
      <c r="U511" s="27">
        <f t="shared" si="115"/>
        <v>7.0874060226532018E-2</v>
      </c>
      <c r="V511" s="27">
        <f t="shared" si="115"/>
        <v>7.1214497197037332E-2</v>
      </c>
      <c r="W511" s="27">
        <f t="shared" si="115"/>
        <v>7.1606951280898362E-2</v>
      </c>
      <c r="X511" s="27">
        <f t="shared" si="115"/>
        <v>7.26022186292061E-2</v>
      </c>
      <c r="Y511" s="27">
        <f t="shared" si="115"/>
        <v>7.4240975934151174E-2</v>
      </c>
      <c r="Z511" s="27">
        <f t="shared" si="115"/>
        <v>7.620169418677529E-2</v>
      </c>
      <c r="AA511" s="27">
        <f t="shared" si="115"/>
        <v>7.8570913854899935E-2</v>
      </c>
      <c r="AB511" s="27">
        <f t="shared" si="115"/>
        <v>8.1611678822041331E-2</v>
      </c>
      <c r="AC511" s="27">
        <f t="shared" si="115"/>
        <v>8.5289299222376991E-2</v>
      </c>
      <c r="AD511" s="27">
        <f t="shared" si="115"/>
        <v>8.9359777574657032E-2</v>
      </c>
      <c r="AE511" s="27">
        <f t="shared" si="115"/>
        <v>9.3809609829134971E-2</v>
      </c>
      <c r="AF511" s="27">
        <f t="shared" si="115"/>
        <v>9.8503350140624904E-2</v>
      </c>
      <c r="AG511" s="27">
        <f t="shared" si="115"/>
        <v>0.10350380888713978</v>
      </c>
      <c r="AH511" s="27">
        <f t="shared" si="115"/>
        <v>0.10874720814901513</v>
      </c>
      <c r="AI511" s="27">
        <f t="shared" si="115"/>
        <v>0.11399821500083657</v>
      </c>
      <c r="AJ511" s="27">
        <f t="shared" si="115"/>
        <v>0.11959647098629794</v>
      </c>
      <c r="AK511" s="27">
        <f t="shared" si="115"/>
        <v>0.12532679878762737</v>
      </c>
      <c r="AL511" s="27">
        <f t="shared" si="115"/>
        <v>0.13117220333481747</v>
      </c>
      <c r="AM511" s="27">
        <f t="shared" si="115"/>
        <v>0.13723577855179306</v>
      </c>
      <c r="AN511" s="27">
        <f t="shared" si="115"/>
        <v>0.1432629475308588</v>
      </c>
      <c r="AO511" s="27">
        <f t="shared" si="115"/>
        <v>0.14960705637354962</v>
      </c>
      <c r="AP511" s="27">
        <f t="shared" si="115"/>
        <v>0.15639871914131342</v>
      </c>
      <c r="AQ511" s="27">
        <f t="shared" si="115"/>
        <v>0.16342482559718283</v>
      </c>
      <c r="AR511" s="27">
        <f t="shared" si="115"/>
        <v>0.1707017826412458</v>
      </c>
      <c r="AS511" s="27">
        <f t="shared" si="115"/>
        <v>0.17847497943187501</v>
      </c>
      <c r="AT511" s="27">
        <f t="shared" si="115"/>
        <v>0.18667144743193501</v>
      </c>
      <c r="AU511" s="27">
        <f t="shared" si="115"/>
        <v>0.19524271738860685</v>
      </c>
      <c r="AV511" s="27">
        <f t="shared" si="115"/>
        <v>0.20435030552422884</v>
      </c>
      <c r="AW511" s="27">
        <f t="shared" si="115"/>
        <v>0.21309265298835234</v>
      </c>
      <c r="AY511" s="79"/>
    </row>
    <row r="512" spans="1:51" x14ac:dyDescent="0.25">
      <c r="A512" s="95" t="str">
        <f t="shared" si="108"/>
        <v>PQ Synthetic</v>
      </c>
      <c r="B512" s="95" t="s">
        <v>967</v>
      </c>
      <c r="C512" s="95" t="s">
        <v>1125</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6.603634243590573</v>
      </c>
      <c r="U512" s="22">
        <f t="shared" si="116"/>
        <v>6.6004971859529533</v>
      </c>
      <c r="V512" s="22">
        <f t="shared" si="116"/>
        <v>6.5987679285209158</v>
      </c>
      <c r="W512" s="22">
        <f t="shared" si="116"/>
        <v>6.5980968039636112</v>
      </c>
      <c r="X512" s="22">
        <f t="shared" si="116"/>
        <v>6.5973729403354264</v>
      </c>
      <c r="Y512" s="22">
        <f t="shared" si="116"/>
        <v>6.5963716735135058</v>
      </c>
      <c r="Z512" s="22">
        <f t="shared" si="116"/>
        <v>6.5951092743964939</v>
      </c>
      <c r="AA512" s="22">
        <f t="shared" si="116"/>
        <v>6.5937292152761398</v>
      </c>
      <c r="AB512" s="22">
        <f t="shared" si="116"/>
        <v>6.5921980493186423</v>
      </c>
      <c r="AC512" s="22">
        <f t="shared" si="116"/>
        <v>6.5904099002136718</v>
      </c>
      <c r="AD512" s="22">
        <f t="shared" si="116"/>
        <v>6.5883900774121225</v>
      </c>
      <c r="AE512" s="22">
        <f t="shared" si="116"/>
        <v>6.5862502813307362</v>
      </c>
      <c r="AF512" s="22">
        <f t="shared" si="116"/>
        <v>6.5840030111280692</v>
      </c>
      <c r="AG512" s="22">
        <f t="shared" si="116"/>
        <v>6.5817083248767299</v>
      </c>
      <c r="AH512" s="22">
        <f t="shared" si="116"/>
        <v>6.5793473576190653</v>
      </c>
      <c r="AI512" s="22">
        <f t="shared" si="116"/>
        <v>6.5769490947439282</v>
      </c>
      <c r="AJ512" s="22">
        <f t="shared" si="116"/>
        <v>6.5746015679174796</v>
      </c>
      <c r="AK512" s="22">
        <f t="shared" si="116"/>
        <v>6.5721839556094164</v>
      </c>
      <c r="AL512" s="22">
        <f t="shared" si="116"/>
        <v>6.5697772026100587</v>
      </c>
      <c r="AM512" s="22">
        <f t="shared" si="116"/>
        <v>6.5673876647835385</v>
      </c>
      <c r="AN512" s="22">
        <f t="shared" si="116"/>
        <v>6.5649818227366428</v>
      </c>
      <c r="AO512" s="22">
        <f t="shared" si="116"/>
        <v>6.5626429517048157</v>
      </c>
      <c r="AP512" s="22">
        <f t="shared" si="116"/>
        <v>6.5602587146144691</v>
      </c>
      <c r="AQ512" s="22">
        <f t="shared" si="116"/>
        <v>6.557794751435325</v>
      </c>
      <c r="AR512" s="22">
        <f t="shared" si="116"/>
        <v>6.5553213474499907</v>
      </c>
      <c r="AS512" s="22">
        <f t="shared" si="116"/>
        <v>6.552836555002342</v>
      </c>
      <c r="AT512" s="22">
        <f t="shared" si="116"/>
        <v>6.5502749591835583</v>
      </c>
      <c r="AU512" s="22">
        <f t="shared" si="116"/>
        <v>6.5476643110027855</v>
      </c>
      <c r="AV512" s="22">
        <f t="shared" si="116"/>
        <v>6.5450232737774749</v>
      </c>
      <c r="AW512" s="22">
        <f t="shared" si="116"/>
        <v>6.5423151331477944</v>
      </c>
      <c r="AY512" s="79"/>
    </row>
    <row r="513" spans="1:51" x14ac:dyDescent="0.25">
      <c r="A513" s="95" t="str">
        <f t="shared" si="108"/>
        <v>PQ Organic</v>
      </c>
      <c r="B513" s="95" t="s">
        <v>967</v>
      </c>
      <c r="C513" s="95" t="s">
        <v>1126</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4.3583986007697799E-2</v>
      </c>
      <c r="U513" s="22">
        <f t="shared" si="117"/>
        <v>4.3563281427289505E-2</v>
      </c>
      <c r="V513" s="22">
        <f t="shared" si="117"/>
        <v>4.3551868328238041E-2</v>
      </c>
      <c r="W513" s="22">
        <f t="shared" si="117"/>
        <v>4.3547438906159849E-2</v>
      </c>
      <c r="X513" s="22">
        <f t="shared" si="117"/>
        <v>4.3542661406213816E-2</v>
      </c>
      <c r="Y513" s="22">
        <f t="shared" si="117"/>
        <v>4.3536053045189142E-2</v>
      </c>
      <c r="Z513" s="22">
        <f t="shared" si="117"/>
        <v>4.3527721211016876E-2</v>
      </c>
      <c r="AA513" s="22">
        <f t="shared" si="116"/>
        <v>4.3518612820822526E-2</v>
      </c>
      <c r="AB513" s="22">
        <f t="shared" si="116"/>
        <v>4.3508507125503047E-2</v>
      </c>
      <c r="AC513" s="22">
        <f t="shared" si="116"/>
        <v>4.349670534141023E-2</v>
      </c>
      <c r="AD513" s="22">
        <f t="shared" si="116"/>
        <v>4.3483374510920013E-2</v>
      </c>
      <c r="AE513" s="22">
        <f t="shared" si="116"/>
        <v>4.3469251856782874E-2</v>
      </c>
      <c r="AF513" s="22">
        <f t="shared" si="116"/>
        <v>4.3454419873445269E-2</v>
      </c>
      <c r="AG513" s="22">
        <f t="shared" si="116"/>
        <v>4.3439274944186416E-2</v>
      </c>
      <c r="AH513" s="22">
        <f t="shared" si="116"/>
        <v>4.3423692560285852E-2</v>
      </c>
      <c r="AI513" s="22">
        <f t="shared" si="116"/>
        <v>4.3407864025309932E-2</v>
      </c>
      <c r="AJ513" s="22">
        <f t="shared" si="116"/>
        <v>4.3392370348255375E-2</v>
      </c>
      <c r="AK513" s="22">
        <f t="shared" si="116"/>
        <v>4.3376414107022157E-2</v>
      </c>
      <c r="AL513" s="22">
        <f t="shared" si="116"/>
        <v>4.336052953722639E-2</v>
      </c>
      <c r="AM513" s="22">
        <f t="shared" si="116"/>
        <v>4.3344758587571364E-2</v>
      </c>
      <c r="AN513" s="22">
        <f t="shared" si="116"/>
        <v>4.3328880030061849E-2</v>
      </c>
      <c r="AO513" s="22">
        <f t="shared" si="116"/>
        <v>4.3313443481251802E-2</v>
      </c>
      <c r="AP513" s="22">
        <f t="shared" si="116"/>
        <v>4.3297707516455515E-2</v>
      </c>
      <c r="AQ513" s="22">
        <f t="shared" si="116"/>
        <v>4.3281445359473161E-2</v>
      </c>
      <c r="AR513" s="22">
        <f t="shared" si="116"/>
        <v>4.3265120893169952E-2</v>
      </c>
      <c r="AS513" s="22">
        <f t="shared" si="116"/>
        <v>4.324872126301546E-2</v>
      </c>
      <c r="AT513" s="22">
        <f t="shared" si="116"/>
        <v>4.3231814730611481E-2</v>
      </c>
      <c r="AU513" s="22">
        <f t="shared" si="116"/>
        <v>4.3214584452618394E-2</v>
      </c>
      <c r="AV513" s="22">
        <f t="shared" si="116"/>
        <v>4.3197153606931347E-2</v>
      </c>
      <c r="AW513" s="22">
        <f t="shared" si="116"/>
        <v>4.3179279878775449E-2</v>
      </c>
      <c r="AY513" s="79"/>
    </row>
    <row r="514" spans="1:51" x14ac:dyDescent="0.25">
      <c r="A514" s="95" t="str">
        <f t="shared" si="108"/>
        <v>PQ Crop residues</v>
      </c>
      <c r="B514" s="95" t="s">
        <v>967</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2.9705633438591348</v>
      </c>
      <c r="U514" s="22">
        <f t="shared" si="116"/>
        <v>2.9939833213378622</v>
      </c>
      <c r="V514" s="22">
        <f t="shared" si="116"/>
        <v>3.0068932435616724</v>
      </c>
      <c r="W514" s="22">
        <f t="shared" si="116"/>
        <v>3.0119035824948748</v>
      </c>
      <c r="X514" s="22">
        <f t="shared" si="116"/>
        <v>3.0173076495628459</v>
      </c>
      <c r="Y514" s="22">
        <f t="shared" si="116"/>
        <v>3.0247826943750078</v>
      </c>
      <c r="Z514" s="22">
        <f t="shared" si="116"/>
        <v>3.0342072451180488</v>
      </c>
      <c r="AA514" s="22">
        <f t="shared" si="116"/>
        <v>3.0445101968810144</v>
      </c>
      <c r="AB514" s="22">
        <f t="shared" si="116"/>
        <v>3.0559412499196137</v>
      </c>
      <c r="AC514" s="22">
        <f t="shared" si="116"/>
        <v>3.0692908330655531</v>
      </c>
      <c r="AD514" s="22">
        <f t="shared" si="116"/>
        <v>3.0843699964051159</v>
      </c>
      <c r="AE514" s="22">
        <f t="shared" si="116"/>
        <v>3.1003448307320856</v>
      </c>
      <c r="AF514" s="22">
        <f t="shared" si="116"/>
        <v>3.1171220224878007</v>
      </c>
      <c r="AG514" s="22">
        <f t="shared" si="116"/>
        <v>3.1342532028915815</v>
      </c>
      <c r="AH514" s="22">
        <f t="shared" si="116"/>
        <v>3.1518792099305966</v>
      </c>
      <c r="AI514" s="22">
        <f t="shared" si="116"/>
        <v>3.1697836506556398</v>
      </c>
      <c r="AJ514" s="22">
        <f t="shared" si="116"/>
        <v>3.1873093169828417</v>
      </c>
      <c r="AK514" s="22">
        <f t="shared" si="116"/>
        <v>3.2053582125874849</v>
      </c>
      <c r="AL514" s="22">
        <f t="shared" si="116"/>
        <v>3.2233260370755845</v>
      </c>
      <c r="AM514" s="22">
        <f t="shared" si="116"/>
        <v>3.2411653401889731</v>
      </c>
      <c r="AN514" s="22">
        <f t="shared" si="116"/>
        <v>3.2591263638820034</v>
      </c>
      <c r="AO514" s="22">
        <f t="shared" si="116"/>
        <v>3.2765874096193026</v>
      </c>
      <c r="AP514" s="22">
        <f t="shared" si="116"/>
        <v>3.294387139624336</v>
      </c>
      <c r="AQ514" s="22">
        <f t="shared" si="116"/>
        <v>3.3127820717007999</v>
      </c>
      <c r="AR514" s="22">
        <f t="shared" si="116"/>
        <v>3.3312474849395168</v>
      </c>
      <c r="AS514" s="22">
        <f t="shared" si="116"/>
        <v>3.3497979197372052</v>
      </c>
      <c r="AT514" s="22">
        <f t="shared" si="116"/>
        <v>3.3689217368026219</v>
      </c>
      <c r="AU514" s="22">
        <f t="shared" si="116"/>
        <v>3.3884117585559377</v>
      </c>
      <c r="AV514" s="22">
        <f t="shared" si="116"/>
        <v>3.4081286523724397</v>
      </c>
      <c r="AW514" s="22">
        <f t="shared" si="116"/>
        <v>3.4283465125085661</v>
      </c>
      <c r="AY514" s="79"/>
    </row>
    <row r="515" spans="1:51" x14ac:dyDescent="0.25">
      <c r="A515" s="95" t="str">
        <f t="shared" si="108"/>
        <v>PQ Organic</v>
      </c>
      <c r="B515" s="95" t="s">
        <v>967</v>
      </c>
      <c r="C515" s="95" t="s">
        <v>1126</v>
      </c>
      <c r="D515" t="s">
        <v>369</v>
      </c>
      <c r="E515" t="s">
        <v>55</v>
      </c>
      <c r="F515" t="s">
        <v>421</v>
      </c>
      <c r="G515" t="s">
        <v>1151</v>
      </c>
      <c r="H515" t="s">
        <v>1152</v>
      </c>
      <c r="I515" t="s">
        <v>139</v>
      </c>
      <c r="J515" t="s">
        <v>287</v>
      </c>
      <c r="K515" s="22">
        <f t="shared" si="117"/>
        <v>0.31878106382562998</v>
      </c>
      <c r="L515" s="22">
        <f t="shared" si="116"/>
        <v>0.32056321299147922</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0.32880601635823309</v>
      </c>
      <c r="S515" s="22">
        <f t="shared" si="116"/>
        <v>0.31930900968296799</v>
      </c>
      <c r="T515" s="22">
        <f t="shared" si="116"/>
        <v>0.32574821213897459</v>
      </c>
      <c r="U515" s="22">
        <f t="shared" si="116"/>
        <v>0.32894469179548952</v>
      </c>
      <c r="V515" s="22">
        <f t="shared" si="116"/>
        <v>0.32977948253414807</v>
      </c>
      <c r="W515" s="22">
        <f t="shared" si="116"/>
        <v>0.3309664569188206</v>
      </c>
      <c r="X515" s="22">
        <f t="shared" si="116"/>
        <v>0.33295820888491823</v>
      </c>
      <c r="Y515" s="22">
        <f t="shared" si="116"/>
        <v>0.33558938332727861</v>
      </c>
      <c r="Z515" s="22">
        <f t="shared" si="116"/>
        <v>0.33853527641770959</v>
      </c>
      <c r="AA515" s="22">
        <f t="shared" si="116"/>
        <v>0.34188866727508727</v>
      </c>
      <c r="AB515" s="22">
        <f t="shared" si="116"/>
        <v>0.34593707625098935</v>
      </c>
      <c r="AC515" s="22">
        <f t="shared" si="116"/>
        <v>0.35065698551445434</v>
      </c>
      <c r="AD515" s="22">
        <f t="shared" si="116"/>
        <v>0.35579420133815998</v>
      </c>
      <c r="AE515" s="22">
        <f t="shared" si="116"/>
        <v>0.36134408078222452</v>
      </c>
      <c r="AF515" s="22">
        <f t="shared" si="116"/>
        <v>0.36716578992310794</v>
      </c>
      <c r="AG515" s="22">
        <f t="shared" si="116"/>
        <v>0.37332444348551658</v>
      </c>
      <c r="AH515" s="22">
        <f t="shared" si="116"/>
        <v>0.37975671698066876</v>
      </c>
      <c r="AI515" s="22">
        <f t="shared" si="116"/>
        <v>0.38621474793846927</v>
      </c>
      <c r="AJ515" s="22">
        <f t="shared" si="116"/>
        <v>0.39306178454441848</v>
      </c>
      <c r="AK515" s="22">
        <f t="shared" si="116"/>
        <v>0.40005847527747412</v>
      </c>
      <c r="AL515" s="22">
        <f t="shared" si="116"/>
        <v>0.4071870252950287</v>
      </c>
      <c r="AM515" s="22">
        <f t="shared" si="116"/>
        <v>0.41456228412939544</v>
      </c>
      <c r="AN515" s="22">
        <f t="shared" si="116"/>
        <v>0.42190892307820843</v>
      </c>
      <c r="AO515" s="22">
        <f t="shared" si="116"/>
        <v>0.42960845898713129</v>
      </c>
      <c r="AP515" s="22">
        <f t="shared" si="116"/>
        <v>0.43780304574358431</v>
      </c>
      <c r="AQ515" s="22">
        <f t="shared" si="116"/>
        <v>0.44626036327894386</v>
      </c>
      <c r="AR515" s="22">
        <f t="shared" si="116"/>
        <v>0.45499571223112473</v>
      </c>
      <c r="AS515" s="22">
        <f t="shared" si="116"/>
        <v>0.46427790014777842</v>
      </c>
      <c r="AT515" s="22">
        <f t="shared" si="116"/>
        <v>0.4740288633200766</v>
      </c>
      <c r="AU515" s="22">
        <f t="shared" si="116"/>
        <v>0.48419829350388255</v>
      </c>
      <c r="AV515" s="22">
        <f t="shared" si="116"/>
        <v>0.49496943616318984</v>
      </c>
      <c r="AW515" s="22">
        <f t="shared" si="116"/>
        <v>0.50533326104983312</v>
      </c>
      <c r="AY515" s="79"/>
    </row>
    <row r="516" spans="1:51" x14ac:dyDescent="0.25">
      <c r="A516" s="95" t="str">
        <f t="shared" si="108"/>
        <v>PQ Organic</v>
      </c>
      <c r="B516" s="95" t="s">
        <v>967</v>
      </c>
      <c r="C516" s="95" t="s">
        <v>1126</v>
      </c>
      <c r="D516" t="s">
        <v>369</v>
      </c>
      <c r="E516" t="s">
        <v>55</v>
      </c>
      <c r="F516" t="s">
        <v>421</v>
      </c>
      <c r="G516" t="s">
        <v>1153</v>
      </c>
      <c r="H516" t="s">
        <v>1154</v>
      </c>
      <c r="I516" t="s">
        <v>139</v>
      </c>
      <c r="J516" t="s">
        <v>287</v>
      </c>
      <c r="K516" s="22">
        <f t="shared" si="117"/>
        <v>0.93210651077804862</v>
      </c>
      <c r="L516" s="22">
        <f t="shared" si="116"/>
        <v>0.93731746283627526</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0.96141917889497153</v>
      </c>
      <c r="S516" s="22">
        <f t="shared" si="116"/>
        <v>0.93365020902993845</v>
      </c>
      <c r="T516" s="22">
        <f t="shared" si="116"/>
        <v>0.95247824875548714</v>
      </c>
      <c r="U516" s="22">
        <f t="shared" si="116"/>
        <v>0.96182466181920945</v>
      </c>
      <c r="V516" s="22">
        <f t="shared" si="116"/>
        <v>0.96426556553319687</v>
      </c>
      <c r="W516" s="22">
        <f t="shared" si="116"/>
        <v>0.96773624393172708</v>
      </c>
      <c r="X516" s="22">
        <f t="shared" si="116"/>
        <v>0.97356006844995502</v>
      </c>
      <c r="Y516" s="22">
        <f t="shared" si="116"/>
        <v>0.98125354559469047</v>
      </c>
      <c r="Z516" s="22">
        <f t="shared" si="116"/>
        <v>0.9898672508653048</v>
      </c>
      <c r="AA516" s="22">
        <f t="shared" si="116"/>
        <v>0.99967246769291085</v>
      </c>
      <c r="AB516" s="22">
        <f t="shared" si="116"/>
        <v>1.0115098971796095</v>
      </c>
      <c r="AC516" s="22">
        <f t="shared" si="116"/>
        <v>1.0253107738752334</v>
      </c>
      <c r="AD516" s="22">
        <f t="shared" si="116"/>
        <v>1.0403318427526722</v>
      </c>
      <c r="AE516" s="22">
        <f t="shared" si="116"/>
        <v>1.0565595279914524</v>
      </c>
      <c r="AF516" s="22">
        <f t="shared" si="116"/>
        <v>1.0735820353165477</v>
      </c>
      <c r="AG516" s="22">
        <f t="shared" si="116"/>
        <v>1.0915897582793135</v>
      </c>
      <c r="AH516" s="22">
        <f t="shared" si="116"/>
        <v>1.1103975379258981</v>
      </c>
      <c r="AI516" s="22">
        <f t="shared" si="116"/>
        <v>1.1292806316402249</v>
      </c>
      <c r="AJ516" s="22">
        <f t="shared" si="116"/>
        <v>1.1493011664968118</v>
      </c>
      <c r="AK516" s="22">
        <f t="shared" si="116"/>
        <v>1.1697592856457866</v>
      </c>
      <c r="AL516" s="22">
        <f t="shared" si="116"/>
        <v>1.190602957487612</v>
      </c>
      <c r="AM516" s="22">
        <f t="shared" si="116"/>
        <v>1.2121679986970451</v>
      </c>
      <c r="AN516" s="22">
        <f t="shared" si="116"/>
        <v>1.2336493561978465</v>
      </c>
      <c r="AO516" s="22">
        <f t="shared" si="116"/>
        <v>1.2561625740927527</v>
      </c>
      <c r="AP516" s="22">
        <f t="shared" si="116"/>
        <v>1.2801233061925847</v>
      </c>
      <c r="AQ516" s="22">
        <f t="shared" si="116"/>
        <v>1.3048522554087716</v>
      </c>
      <c r="AR516" s="22">
        <f t="shared" si="116"/>
        <v>1.3303941603592482</v>
      </c>
      <c r="AS516" s="22">
        <f t="shared" si="116"/>
        <v>1.3575350064545193</v>
      </c>
      <c r="AT516" s="22">
        <f t="shared" si="116"/>
        <v>1.3860465376922328</v>
      </c>
      <c r="AU516" s="22">
        <f t="shared" si="116"/>
        <v>1.4157816542373405</v>
      </c>
      <c r="AV516" s="22">
        <f t="shared" si="116"/>
        <v>1.4472761604692133</v>
      </c>
      <c r="AW516" s="22">
        <f t="shared" si="116"/>
        <v>1.4775796814421152</v>
      </c>
      <c r="AY516" s="79"/>
    </row>
    <row r="517" spans="1:51" x14ac:dyDescent="0.25">
      <c r="A517" s="95" t="str">
        <f t="shared" si="108"/>
        <v>PQ Organic</v>
      </c>
      <c r="B517" s="95" t="s">
        <v>967</v>
      </c>
      <c r="C517" s="95" t="s">
        <v>1126</v>
      </c>
      <c r="D517" t="s">
        <v>369</v>
      </c>
      <c r="E517" t="s">
        <v>55</v>
      </c>
      <c r="F517" t="s">
        <v>421</v>
      </c>
      <c r="G517" t="s">
        <v>1155</v>
      </c>
      <c r="H517" t="s">
        <v>1156</v>
      </c>
      <c r="I517" t="s">
        <v>139</v>
      </c>
      <c r="J517" t="s">
        <v>287</v>
      </c>
      <c r="K517" s="22">
        <f t="shared" si="117"/>
        <v>4.9862442750846919E-2</v>
      </c>
      <c r="L517" s="22">
        <f t="shared" si="116"/>
        <v>5.0141199304605817E-2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5.1430505218981189E-2</v>
      </c>
      <c r="S517" s="22">
        <f t="shared" si="116"/>
        <v>4.9945021903357263E-2</v>
      </c>
      <c r="T517" s="22">
        <f t="shared" si="116"/>
        <v>5.0952215868929084E-2</v>
      </c>
      <c r="U517" s="22">
        <f t="shared" si="116"/>
        <v>5.1452196269158888E-2</v>
      </c>
      <c r="V517" s="22">
        <f t="shared" si="116"/>
        <v>5.1582770855101254E-2</v>
      </c>
      <c r="W517" s="22">
        <f t="shared" si="116"/>
        <v>5.1768432580400064E-2</v>
      </c>
      <c r="X517" s="22">
        <f t="shared" si="116"/>
        <v>5.2079974355157911E-2</v>
      </c>
      <c r="Y517" s="22">
        <f t="shared" si="116"/>
        <v>5.2491532003611736E-2</v>
      </c>
      <c r="Z517" s="22">
        <f t="shared" si="116"/>
        <v>5.2952316668199217E-2</v>
      </c>
      <c r="AA517" s="22">
        <f t="shared" si="116"/>
        <v>5.3476840482884362E-2</v>
      </c>
      <c r="AB517" s="22">
        <f t="shared" si="116"/>
        <v>5.4110076216432663E-2</v>
      </c>
      <c r="AC517" s="22">
        <f t="shared" si="116"/>
        <v>5.4848345304986328E-2</v>
      </c>
      <c r="AD517" s="22">
        <f t="shared" si="116"/>
        <v>5.5651887795353253E-2</v>
      </c>
      <c r="AE517" s="22">
        <f t="shared" si="116"/>
        <v>5.651997745768382E-2</v>
      </c>
      <c r="AF517" s="22">
        <f t="shared" si="116"/>
        <v>5.7430585620118969E-2</v>
      </c>
      <c r="AG517" s="22">
        <f t="shared" si="116"/>
        <v>5.8393897264143985E-2</v>
      </c>
      <c r="AH517" s="22">
        <f t="shared" si="116"/>
        <v>5.9400007429725336E-2</v>
      </c>
      <c r="AI517" s="22">
        <f t="shared" si="116"/>
        <v>6.0410146473281176E-2</v>
      </c>
      <c r="AJ517" s="22">
        <f t="shared" si="116"/>
        <v>6.1481132204616346E-2</v>
      </c>
      <c r="AK517" s="22">
        <f t="shared" si="116"/>
        <v>6.2575526228325351E-2</v>
      </c>
      <c r="AL517" s="22">
        <f t="shared" si="116"/>
        <v>6.3690545147207192E-2</v>
      </c>
      <c r="AM517" s="22">
        <f t="shared" si="116"/>
        <v>6.4844153259897494E-2</v>
      </c>
      <c r="AN517" s="22">
        <f t="shared" si="116"/>
        <v>6.5993284766017041E-2</v>
      </c>
      <c r="AO517" s="22">
        <f t="shared" si="116"/>
        <v>6.7197614985194512E-2</v>
      </c>
      <c r="AP517" s="22">
        <f t="shared" si="116"/>
        <v>6.8479379052692538E-2</v>
      </c>
      <c r="AQ517" s="22">
        <f t="shared" si="116"/>
        <v>6.9802238404411326E-2</v>
      </c>
      <c r="AR517" s="22">
        <f t="shared" si="116"/>
        <v>7.1168586304156845E-2</v>
      </c>
      <c r="AS517" s="22">
        <f t="shared" si="116"/>
        <v>7.2620468539702415E-2</v>
      </c>
      <c r="AT517" s="22">
        <f t="shared" si="116"/>
        <v>7.4145674701917505E-2</v>
      </c>
      <c r="AU517" s="22">
        <f t="shared" si="116"/>
        <v>7.5736335779032549E-2</v>
      </c>
      <c r="AV517" s="22">
        <f t="shared" si="116"/>
        <v>7.742111428427241E-2</v>
      </c>
      <c r="AW517" s="22">
        <f t="shared" si="116"/>
        <v>7.9042181793391189E-2</v>
      </c>
      <c r="AY517" s="79"/>
    </row>
    <row r="518" spans="1:51" x14ac:dyDescent="0.25">
      <c r="A518" s="95" t="str">
        <f t="shared" si="108"/>
        <v>PQ Organic</v>
      </c>
      <c r="B518" s="95" t="s">
        <v>967</v>
      </c>
      <c r="C518" s="95" t="s">
        <v>1126</v>
      </c>
      <c r="D518" t="s">
        <v>369</v>
      </c>
      <c r="E518" t="s">
        <v>55</v>
      </c>
      <c r="F518" t="s">
        <v>421</v>
      </c>
      <c r="G518" t="s">
        <v>1157</v>
      </c>
      <c r="H518" t="s">
        <v>1158</v>
      </c>
      <c r="I518" t="s">
        <v>139</v>
      </c>
      <c r="J518" t="s">
        <v>287</v>
      </c>
      <c r="K518" s="22">
        <f t="shared" si="117"/>
        <v>0.39999978998352292</v>
      </c>
      <c r="L518" s="22">
        <f t="shared" si="116"/>
        <v>0.39653071954810187</v>
      </c>
      <c r="M518" s="22">
        <f t="shared" si="116"/>
        <v>0.39521014945095007</v>
      </c>
      <c r="N518" s="22">
        <f t="shared" si="116"/>
        <v>0.38993263522397309</v>
      </c>
      <c r="O518" s="22">
        <f t="shared" si="116"/>
        <v>0.38227219443770077</v>
      </c>
      <c r="P518" s="22">
        <f t="shared" si="116"/>
        <v>0.37238723301511378</v>
      </c>
      <c r="Q518" s="22">
        <f t="shared" si="116"/>
        <v>0.36459067483623875</v>
      </c>
      <c r="R518" s="22">
        <f t="shared" si="116"/>
        <v>0.3572142444544395</v>
      </c>
      <c r="S518" s="22">
        <f t="shared" si="116"/>
        <v>0.31897606543396184</v>
      </c>
      <c r="T518" s="22">
        <f t="shared" si="116"/>
        <v>0.33422640738749132</v>
      </c>
      <c r="U518" s="22">
        <f t="shared" si="116"/>
        <v>0.3395060787066792</v>
      </c>
      <c r="V518" s="22">
        <f t="shared" si="116"/>
        <v>0.33721330134407257</v>
      </c>
      <c r="W518" s="22">
        <f t="shared" si="116"/>
        <v>0.33534828840095249</v>
      </c>
      <c r="X518" s="22">
        <f t="shared" si="116"/>
        <v>0.33547079917503503</v>
      </c>
      <c r="Y518" s="22">
        <f t="shared" si="116"/>
        <v>0.33744070936588777</v>
      </c>
      <c r="Z518" s="22">
        <f t="shared" si="116"/>
        <v>0.34023587672815686</v>
      </c>
      <c r="AA518" s="22">
        <f t="shared" si="116"/>
        <v>0.34408144868680218</v>
      </c>
      <c r="AB518" s="22">
        <f t="shared" si="116"/>
        <v>0.34971445697084458</v>
      </c>
      <c r="AC518" s="22">
        <f t="shared" si="116"/>
        <v>0.35697581238959336</v>
      </c>
      <c r="AD518" s="22">
        <f t="shared" si="116"/>
        <v>0.36203839361176637</v>
      </c>
      <c r="AE518" s="22">
        <f t="shared" si="116"/>
        <v>0.36769900977315834</v>
      </c>
      <c r="AF518" s="22">
        <f t="shared" si="116"/>
        <v>0.37353106948354631</v>
      </c>
      <c r="AG518" s="22">
        <f t="shared" si="116"/>
        <v>0.37966412521229187</v>
      </c>
      <c r="AH518" s="22">
        <f t="shared" si="116"/>
        <v>0.38588904144354591</v>
      </c>
      <c r="AI518" s="22">
        <f t="shared" si="116"/>
        <v>0.39157349610813613</v>
      </c>
      <c r="AJ518" s="22">
        <f t="shared" si="116"/>
        <v>0.39756955250590403</v>
      </c>
      <c r="AK518" s="22">
        <f t="shared" si="116"/>
        <v>0.40329410820183131</v>
      </c>
      <c r="AL518" s="22">
        <f t="shared" si="116"/>
        <v>0.4086920134239358</v>
      </c>
      <c r="AM518" s="22">
        <f t="shared" si="116"/>
        <v>0.41399400883192944</v>
      </c>
      <c r="AN518" s="22">
        <f t="shared" si="116"/>
        <v>0.42072674060954357</v>
      </c>
      <c r="AO518" s="22">
        <f t="shared" si="116"/>
        <v>0.42769047193917231</v>
      </c>
      <c r="AP518" s="22">
        <f t="shared" si="116"/>
        <v>0.43513827260891708</v>
      </c>
      <c r="AQ518" s="22">
        <f t="shared" si="116"/>
        <v>0.44255709633783841</v>
      </c>
      <c r="AR518" s="22">
        <f t="shared" si="116"/>
        <v>0.44995657231615971</v>
      </c>
      <c r="AS518" s="22">
        <f t="shared" si="116"/>
        <v>0.45782299471336541</v>
      </c>
      <c r="AT518" s="22">
        <f t="shared" si="116"/>
        <v>0.46595268200970025</v>
      </c>
      <c r="AU518" s="22">
        <f t="shared" si="116"/>
        <v>0.47420429180526752</v>
      </c>
      <c r="AV518" s="22">
        <f t="shared" si="116"/>
        <v>0.48285863154123199</v>
      </c>
      <c r="AW518" s="22">
        <f t="shared" si="116"/>
        <v>0.4901142188549843</v>
      </c>
      <c r="AY518" s="79"/>
    </row>
    <row r="519" spans="1:51" x14ac:dyDescent="0.25">
      <c r="A519" s="95" t="str">
        <f t="shared" si="108"/>
        <v>PQ Organic</v>
      </c>
      <c r="B519" s="95" t="s">
        <v>967</v>
      </c>
      <c r="C519" s="95" t="s">
        <v>1126</v>
      </c>
      <c r="D519" t="s">
        <v>369</v>
      </c>
      <c r="E519" t="s">
        <v>55</v>
      </c>
      <c r="F519" t="s">
        <v>421</v>
      </c>
      <c r="G519" t="s">
        <v>1159</v>
      </c>
      <c r="H519" t="s">
        <v>1160</v>
      </c>
      <c r="I519" t="s">
        <v>139</v>
      </c>
      <c r="J519" t="s">
        <v>287</v>
      </c>
      <c r="K519" s="22">
        <f t="shared" si="117"/>
        <v>2.6602988559851233</v>
      </c>
      <c r="L519" s="22">
        <f t="shared" si="116"/>
        <v>2.6372269335947083</v>
      </c>
      <c r="M519" s="22">
        <f t="shared" si="116"/>
        <v>2.6284441511866339</v>
      </c>
      <c r="N519" s="22">
        <f t="shared" si="116"/>
        <v>2.5933447201068058</v>
      </c>
      <c r="O519" s="22">
        <f t="shared" si="116"/>
        <v>2.5423970387070192</v>
      </c>
      <c r="P519" s="22">
        <f t="shared" ref="L519:AW525" si="118">P1470</f>
        <v>2.4766546252796311</v>
      </c>
      <c r="Q519" s="22">
        <f t="shared" si="118"/>
        <v>2.4248016610449818</v>
      </c>
      <c r="R519" s="22">
        <f t="shared" si="118"/>
        <v>2.3757428620222045</v>
      </c>
      <c r="S519" s="22">
        <f t="shared" si="118"/>
        <v>2.1214302687397906</v>
      </c>
      <c r="T519" s="22">
        <f t="shared" si="118"/>
        <v>2.2228564901236254</v>
      </c>
      <c r="U519" s="22">
        <f t="shared" si="118"/>
        <v>2.2579702674858382</v>
      </c>
      <c r="V519" s="22">
        <f t="shared" si="118"/>
        <v>2.2427215769927198</v>
      </c>
      <c r="W519" s="22">
        <f t="shared" si="118"/>
        <v>2.230317840982798</v>
      </c>
      <c r="X519" s="22">
        <f t="shared" si="118"/>
        <v>2.2311326295909391</v>
      </c>
      <c r="Y519" s="22">
        <f t="shared" si="118"/>
        <v>2.2442340110375012</v>
      </c>
      <c r="Z519" s="22">
        <f t="shared" si="118"/>
        <v>2.2628239721383245</v>
      </c>
      <c r="AA519" s="22">
        <f t="shared" si="118"/>
        <v>2.2883999122722289</v>
      </c>
      <c r="AB519" s="22">
        <f t="shared" si="118"/>
        <v>2.3258636456767143</v>
      </c>
      <c r="AC519" s="22">
        <f t="shared" si="118"/>
        <v>2.3741571098162688</v>
      </c>
      <c r="AD519" s="22">
        <f t="shared" si="118"/>
        <v>2.4078270750785844</v>
      </c>
      <c r="AE519" s="22">
        <f t="shared" si="118"/>
        <v>2.4454744215907969</v>
      </c>
      <c r="AF519" s="22">
        <f t="shared" si="118"/>
        <v>2.4842619963948258</v>
      </c>
      <c r="AG519" s="22">
        <f t="shared" si="118"/>
        <v>2.5250514206581411</v>
      </c>
      <c r="AH519" s="22">
        <f t="shared" si="118"/>
        <v>2.5664517862165597</v>
      </c>
      <c r="AI519" s="22">
        <f t="shared" si="118"/>
        <v>2.6042576766689809</v>
      </c>
      <c r="AJ519" s="22">
        <f t="shared" si="118"/>
        <v>2.6441359525452293</v>
      </c>
      <c r="AK519" s="22">
        <f t="shared" si="118"/>
        <v>2.6822085449571547</v>
      </c>
      <c r="AL519" s="22">
        <f t="shared" si="118"/>
        <v>2.7181086665238992</v>
      </c>
      <c r="AM519" s="22">
        <f t="shared" si="118"/>
        <v>2.7533709158338433</v>
      </c>
      <c r="AN519" s="22">
        <f t="shared" si="118"/>
        <v>2.7981486359580932</v>
      </c>
      <c r="AO519" s="22">
        <f t="shared" si="118"/>
        <v>2.8444626764988703</v>
      </c>
      <c r="AP519" s="22">
        <f t="shared" si="118"/>
        <v>2.8939961415092981</v>
      </c>
      <c r="AQ519" s="22">
        <f t="shared" si="118"/>
        <v>2.9433368881122353</v>
      </c>
      <c r="AR519" s="22">
        <f t="shared" si="118"/>
        <v>2.9925489576506421</v>
      </c>
      <c r="AS519" s="22">
        <f t="shared" si="118"/>
        <v>3.0448665713794991</v>
      </c>
      <c r="AT519" s="22">
        <f t="shared" si="118"/>
        <v>3.0989350943025911</v>
      </c>
      <c r="AU519" s="22">
        <f t="shared" si="118"/>
        <v>3.1538144933644965</v>
      </c>
      <c r="AV519" s="22">
        <f t="shared" si="118"/>
        <v>3.211372348831973</v>
      </c>
      <c r="AW519" s="22">
        <f t="shared" si="118"/>
        <v>3.2596274507435776</v>
      </c>
      <c r="AY519" s="79"/>
    </row>
    <row r="520" spans="1:51" x14ac:dyDescent="0.25">
      <c r="A520" s="95" t="str">
        <f t="shared" si="108"/>
        <v>PQ Organic</v>
      </c>
      <c r="B520" s="95" t="s">
        <v>967</v>
      </c>
      <c r="C520" s="95" t="s">
        <v>1126</v>
      </c>
      <c r="D520" t="s">
        <v>369</v>
      </c>
      <c r="E520" t="s">
        <v>55</v>
      </c>
      <c r="F520" t="s">
        <v>421</v>
      </c>
      <c r="G520" t="s">
        <v>1161</v>
      </c>
      <c r="H520" t="s">
        <v>1162</v>
      </c>
      <c r="I520" t="s">
        <v>139</v>
      </c>
      <c r="J520" t="s">
        <v>287</v>
      </c>
      <c r="K520" s="22">
        <f t="shared" si="117"/>
        <v>0.34358078636628725</v>
      </c>
      <c r="L520" s="22">
        <f t="shared" si="118"/>
        <v>0.35516571939691488</v>
      </c>
      <c r="M520" s="22">
        <f t="shared" si="118"/>
        <v>0.36891582276573964</v>
      </c>
      <c r="N520" s="22">
        <f t="shared" si="118"/>
        <v>0.37917034791782084</v>
      </c>
      <c r="O520" s="22">
        <f t="shared" si="118"/>
        <v>0.3870785095581884</v>
      </c>
      <c r="P520" s="22">
        <f t="shared" si="118"/>
        <v>0.39252728601928993</v>
      </c>
      <c r="Q520" s="22">
        <f t="shared" si="118"/>
        <v>0.39996713645364929</v>
      </c>
      <c r="R520" s="22">
        <f t="shared" si="118"/>
        <v>0.40776627193753145</v>
      </c>
      <c r="S520" s="22">
        <f t="shared" si="118"/>
        <v>0.37883271565803223</v>
      </c>
      <c r="T520" s="22">
        <f t="shared" si="118"/>
        <v>0.40650829214497081</v>
      </c>
      <c r="U520" s="22">
        <f t="shared" si="118"/>
        <v>0.42274175542300491</v>
      </c>
      <c r="V520" s="22">
        <f t="shared" si="118"/>
        <v>0.42973734716787138</v>
      </c>
      <c r="W520" s="22">
        <f t="shared" si="118"/>
        <v>0.43726842004421129</v>
      </c>
      <c r="X520" s="22">
        <f t="shared" si="118"/>
        <v>0.44745878466388073</v>
      </c>
      <c r="Y520" s="22">
        <f t="shared" si="118"/>
        <v>0.46030289933226931</v>
      </c>
      <c r="Z520" s="22">
        <f t="shared" si="118"/>
        <v>0.47455223837766919</v>
      </c>
      <c r="AA520" s="22">
        <f t="shared" si="118"/>
        <v>0.4906141484694207</v>
      </c>
      <c r="AB520" s="22">
        <f t="shared" si="118"/>
        <v>0.50967264018855052</v>
      </c>
      <c r="AC520" s="22">
        <f t="shared" si="118"/>
        <v>0.53167442702617229</v>
      </c>
      <c r="AD520" s="22">
        <f t="shared" si="118"/>
        <v>0.55709637533943834</v>
      </c>
      <c r="AE520" s="22">
        <f t="shared" si="118"/>
        <v>0.58460645913698228</v>
      </c>
      <c r="AF520" s="22">
        <f t="shared" si="118"/>
        <v>0.61366166383859366</v>
      </c>
      <c r="AG520" s="22">
        <f t="shared" si="118"/>
        <v>0.64458089754098746</v>
      </c>
      <c r="AH520" s="22">
        <f t="shared" si="118"/>
        <v>0.67712551028517698</v>
      </c>
      <c r="AI520" s="22">
        <f t="shared" si="118"/>
        <v>0.71024940806884818</v>
      </c>
      <c r="AJ520" s="22">
        <f t="shared" si="118"/>
        <v>0.74554239669460731</v>
      </c>
      <c r="AK520" s="22">
        <f t="shared" si="118"/>
        <v>0.78202811985737553</v>
      </c>
      <c r="AL520" s="22">
        <f t="shared" si="118"/>
        <v>0.81964634511188172</v>
      </c>
      <c r="AM520" s="22">
        <f t="shared" si="118"/>
        <v>0.85891861421537574</v>
      </c>
      <c r="AN520" s="22">
        <f t="shared" si="118"/>
        <v>0.89751581296509064</v>
      </c>
      <c r="AO520" s="22">
        <f t="shared" si="118"/>
        <v>0.93820295986961577</v>
      </c>
      <c r="AP520" s="22">
        <f t="shared" si="118"/>
        <v>0.98167178661912335</v>
      </c>
      <c r="AQ520" s="22">
        <f t="shared" si="118"/>
        <v>1.0269093365438573</v>
      </c>
      <c r="AR520" s="22">
        <f t="shared" si="118"/>
        <v>1.0740254053264544</v>
      </c>
      <c r="AS520" s="22">
        <f t="shared" si="118"/>
        <v>1.1243087675322185</v>
      </c>
      <c r="AT520" s="22">
        <f t="shared" si="118"/>
        <v>1.1774495119019792</v>
      </c>
      <c r="AU520" s="22">
        <f t="shared" si="118"/>
        <v>1.2332540246283563</v>
      </c>
      <c r="AV520" s="22">
        <f t="shared" si="118"/>
        <v>1.2926278816392183</v>
      </c>
      <c r="AW520" s="22">
        <f t="shared" si="118"/>
        <v>1.3508373812373191</v>
      </c>
      <c r="AY520" s="79"/>
    </row>
    <row r="521" spans="1:51" x14ac:dyDescent="0.25">
      <c r="A521" s="95" t="str">
        <f t="shared" si="108"/>
        <v>PQ Organic</v>
      </c>
      <c r="B521" s="95" t="s">
        <v>967</v>
      </c>
      <c r="C521" s="95" t="s">
        <v>1126</v>
      </c>
      <c r="D521" t="s">
        <v>369</v>
      </c>
      <c r="E521" t="s">
        <v>55</v>
      </c>
      <c r="F521" t="s">
        <v>421</v>
      </c>
      <c r="G521" t="s">
        <v>1163</v>
      </c>
      <c r="H521" t="s">
        <v>1164</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5.9206646241484272E-2</v>
      </c>
      <c r="T521" s="22">
        <f t="shared" si="118"/>
        <v>5.9249261961011081E-2</v>
      </c>
      <c r="U521" s="22">
        <f t="shared" si="118"/>
        <v>5.9234279181673045E-2</v>
      </c>
      <c r="V521" s="22">
        <f t="shared" si="118"/>
        <v>5.9233200541063784E-2</v>
      </c>
      <c r="W521" s="22">
        <f t="shared" si="118"/>
        <v>5.9296029757579687E-2</v>
      </c>
      <c r="X521" s="22">
        <f t="shared" si="118"/>
        <v>5.9398855559527265E-2</v>
      </c>
      <c r="Y521" s="22">
        <f t="shared" si="118"/>
        <v>5.9497518057295966E-2</v>
      </c>
      <c r="Z521" s="22">
        <f t="shared" si="118"/>
        <v>5.9592335556578689E-2</v>
      </c>
      <c r="AA521" s="22">
        <f t="shared" si="118"/>
        <v>5.9683178655916949E-2</v>
      </c>
      <c r="AB521" s="22">
        <f t="shared" si="118"/>
        <v>5.9771940504679918E-2</v>
      </c>
      <c r="AC521" s="22">
        <f t="shared" si="118"/>
        <v>5.9859917680633305E-2</v>
      </c>
      <c r="AD521" s="22">
        <f t="shared" si="118"/>
        <v>5.994622744604354E-2</v>
      </c>
      <c r="AE521" s="22">
        <f t="shared" si="118"/>
        <v>6.0032110794538678E-2</v>
      </c>
      <c r="AF521" s="22">
        <f t="shared" si="118"/>
        <v>6.0117297176971563E-2</v>
      </c>
      <c r="AG521" s="22">
        <f t="shared" si="118"/>
        <v>6.0201104026504609E-2</v>
      </c>
      <c r="AH521" s="22">
        <f t="shared" si="118"/>
        <v>6.0283900321551377E-2</v>
      </c>
      <c r="AI521" s="22">
        <f t="shared" si="118"/>
        <v>6.0365774417580641E-2</v>
      </c>
      <c r="AJ521" s="22">
        <f t="shared" si="118"/>
        <v>6.0447004272429113E-2</v>
      </c>
      <c r="AK521" s="22">
        <f t="shared" si="118"/>
        <v>6.0525104414191039E-2</v>
      </c>
      <c r="AL521" s="22">
        <f t="shared" si="118"/>
        <v>6.0599983467265146E-2</v>
      </c>
      <c r="AM521" s="22">
        <f t="shared" si="118"/>
        <v>6.0672341257529266E-2</v>
      </c>
      <c r="AN521" s="22">
        <f t="shared" si="118"/>
        <v>6.0741620622323307E-2</v>
      </c>
      <c r="AO521" s="22">
        <f t="shared" si="118"/>
        <v>6.0807947239837602E-2</v>
      </c>
      <c r="AP521" s="22">
        <f t="shared" si="118"/>
        <v>6.0871022373773183E-2</v>
      </c>
      <c r="AQ521" s="22">
        <f t="shared" si="118"/>
        <v>6.0929943414023247E-2</v>
      </c>
      <c r="AR521" s="22">
        <f t="shared" si="118"/>
        <v>6.098387393162142E-2</v>
      </c>
      <c r="AS521" s="22">
        <f t="shared" si="118"/>
        <v>6.1032759441621343E-2</v>
      </c>
      <c r="AT521" s="22">
        <f t="shared" si="118"/>
        <v>6.1076225850700765E-2</v>
      </c>
      <c r="AU521" s="22">
        <f t="shared" si="118"/>
        <v>6.1114252195612971E-2</v>
      </c>
      <c r="AV521" s="22">
        <f t="shared" si="118"/>
        <v>6.1147566184616489E-2</v>
      </c>
      <c r="AW521" s="22">
        <f t="shared" si="118"/>
        <v>6.1171840771151238E-2</v>
      </c>
      <c r="AY521" s="79"/>
    </row>
    <row r="522" spans="1:51" x14ac:dyDescent="0.25">
      <c r="A522" s="95" t="str">
        <f t="shared" si="108"/>
        <v>PQ Organic</v>
      </c>
      <c r="B522" s="95" t="s">
        <v>967</v>
      </c>
      <c r="C522" s="95" t="s">
        <v>1126</v>
      </c>
      <c r="D522" t="s">
        <v>369</v>
      </c>
      <c r="E522" t="s">
        <v>55</v>
      </c>
      <c r="F522" t="s">
        <v>421</v>
      </c>
      <c r="G522" t="s">
        <v>1165</v>
      </c>
      <c r="H522" t="s">
        <v>1166</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4.8186162011392024E-2</v>
      </c>
      <c r="T522" s="22">
        <f t="shared" si="118"/>
        <v>4.8220845414281899E-2</v>
      </c>
      <c r="U522" s="22">
        <f t="shared" si="118"/>
        <v>4.8208651468527576E-2</v>
      </c>
      <c r="V522" s="22">
        <f t="shared" si="118"/>
        <v>4.8207773601692518E-2</v>
      </c>
      <c r="W522" s="22">
        <f t="shared" si="118"/>
        <v>4.8258908043487037E-2</v>
      </c>
      <c r="X522" s="22">
        <f t="shared" si="118"/>
        <v>4.8342594269039987E-2</v>
      </c>
      <c r="Y522" s="22">
        <f t="shared" si="118"/>
        <v>4.8422892130914143E-2</v>
      </c>
      <c r="Z522" s="22">
        <f t="shared" si="118"/>
        <v>4.8500060686675887E-2</v>
      </c>
      <c r="AA522" s="22">
        <f t="shared" si="118"/>
        <v>4.8573994621127721E-2</v>
      </c>
      <c r="AB522" s="22">
        <f t="shared" si="118"/>
        <v>4.8646234700518105E-2</v>
      </c>
      <c r="AC522" s="22">
        <f t="shared" si="118"/>
        <v>4.8717836162902997E-2</v>
      </c>
      <c r="AD522" s="22">
        <f t="shared" si="118"/>
        <v>4.8788080579758822E-2</v>
      </c>
      <c r="AE522" s="22">
        <f t="shared" si="118"/>
        <v>4.8857977951209122E-2</v>
      </c>
      <c r="AF522" s="22">
        <f t="shared" si="118"/>
        <v>4.8927308087024161E-2</v>
      </c>
      <c r="AG522" s="22">
        <f t="shared" si="118"/>
        <v>4.8995515470580273E-2</v>
      </c>
      <c r="AH522" s="22">
        <f t="shared" si="118"/>
        <v>4.9062900400150392E-2</v>
      </c>
      <c r="AI522" s="22">
        <f t="shared" si="118"/>
        <v>4.9129534785075896E-2</v>
      </c>
      <c r="AJ522" s="22">
        <f t="shared" si="118"/>
        <v>4.9195644845252684E-2</v>
      </c>
      <c r="AK522" s="22">
        <f t="shared" si="118"/>
        <v>4.9259207744402629E-2</v>
      </c>
      <c r="AL522" s="22">
        <f t="shared" si="118"/>
        <v>4.9320149115207046E-2</v>
      </c>
      <c r="AM522" s="22">
        <f t="shared" si="118"/>
        <v>4.9379038520802346E-2</v>
      </c>
      <c r="AN522" s="22">
        <f t="shared" si="118"/>
        <v>4.9435422506519014E-2</v>
      </c>
      <c r="AO522" s="22">
        <f t="shared" si="118"/>
        <v>4.9489403357320404E-2</v>
      </c>
      <c r="AP522" s="22">
        <f t="shared" si="118"/>
        <v>4.9540737942466703E-2</v>
      </c>
      <c r="AQ522" s="22">
        <f t="shared" si="118"/>
        <v>4.9588691660023831E-2</v>
      </c>
      <c r="AR522" s="22">
        <f t="shared" si="118"/>
        <v>4.9632583770509955E-2</v>
      </c>
      <c r="AS522" s="22">
        <f t="shared" si="118"/>
        <v>4.9672369930584929E-2</v>
      </c>
      <c r="AT522" s="22">
        <f t="shared" si="118"/>
        <v>4.9707745679135391E-2</v>
      </c>
      <c r="AU522" s="22">
        <f t="shared" si="118"/>
        <v>4.9738693954928054E-2</v>
      </c>
      <c r="AV522" s="22">
        <f t="shared" si="118"/>
        <v>4.9765807013567136E-2</v>
      </c>
      <c r="AW522" s="22">
        <f t="shared" si="118"/>
        <v>4.9785563227333289E-2</v>
      </c>
      <c r="AY522" s="79"/>
    </row>
    <row r="523" spans="1:51" x14ac:dyDescent="0.25">
      <c r="A523" s="95" t="str">
        <f t="shared" si="108"/>
        <v>PQ Organic</v>
      </c>
      <c r="B523" s="95" t="s">
        <v>967</v>
      </c>
      <c r="C523" s="95" t="s">
        <v>1126</v>
      </c>
      <c r="D523" t="s">
        <v>369</v>
      </c>
      <c r="E523" t="s">
        <v>55</v>
      </c>
      <c r="F523" t="s">
        <v>421</v>
      </c>
      <c r="G523" t="s">
        <v>1167</v>
      </c>
      <c r="H523" t="s">
        <v>1168</v>
      </c>
      <c r="I523" t="s">
        <v>139</v>
      </c>
      <c r="J523" t="s">
        <v>287</v>
      </c>
      <c r="K523" s="22">
        <f t="shared" si="117"/>
        <v>7.2140927380493743E-3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7.4155715935563127E-3</v>
      </c>
      <c r="R523" s="22">
        <f t="shared" si="118"/>
        <v>7.4643602602570466E-3</v>
      </c>
      <c r="S523" s="22">
        <f t="shared" si="118"/>
        <v>7.446057759840319E-3</v>
      </c>
      <c r="T523" s="22">
        <f t="shared" si="118"/>
        <v>7.4588575402652147E-3</v>
      </c>
      <c r="U523" s="22">
        <f t="shared" si="118"/>
        <v>7.4600996121267065E-3</v>
      </c>
      <c r="V523" s="22">
        <f t="shared" si="118"/>
        <v>7.4635145174609509E-3</v>
      </c>
      <c r="W523" s="22">
        <f t="shared" si="118"/>
        <v>7.478612742540797E-3</v>
      </c>
      <c r="X523" s="22">
        <f t="shared" si="118"/>
        <v>7.5008213874242727E-3</v>
      </c>
      <c r="Y523" s="22">
        <f t="shared" si="118"/>
        <v>7.521785176202795E-3</v>
      </c>
      <c r="Z523" s="22">
        <f t="shared" si="118"/>
        <v>7.5416026776079998E-3</v>
      </c>
      <c r="AA523" s="22">
        <f t="shared" si="118"/>
        <v>7.5602840353540396E-3</v>
      </c>
      <c r="AB523" s="22">
        <f t="shared" si="118"/>
        <v>7.5782158017585468E-3</v>
      </c>
      <c r="AC523" s="22">
        <f t="shared" si="118"/>
        <v>7.5956670242534503E-3</v>
      </c>
      <c r="AD523" s="22">
        <f t="shared" si="118"/>
        <v>7.6124952267758277E-3</v>
      </c>
      <c r="AE523" s="22">
        <f t="shared" si="118"/>
        <v>7.6289531687582885E-3</v>
      </c>
      <c r="AF523" s="22">
        <f t="shared" si="118"/>
        <v>7.6450086817527159E-3</v>
      </c>
      <c r="AG523" s="22">
        <f t="shared" si="118"/>
        <v>7.6605519051480614E-3</v>
      </c>
      <c r="AH523" s="22">
        <f t="shared" si="118"/>
        <v>7.6756674337729895E-3</v>
      </c>
      <c r="AI523" s="22">
        <f t="shared" si="118"/>
        <v>7.6903861453690046E-3</v>
      </c>
      <c r="AJ523" s="22">
        <f t="shared" si="118"/>
        <v>7.7047726653034906E-3</v>
      </c>
      <c r="AK523" s="22">
        <f t="shared" si="118"/>
        <v>7.7183809322326768E-3</v>
      </c>
      <c r="AL523" s="22">
        <f t="shared" si="118"/>
        <v>7.7312077295111602E-3</v>
      </c>
      <c r="AM523" s="22">
        <f t="shared" si="118"/>
        <v>7.7433943538670266E-3</v>
      </c>
      <c r="AN523" s="22">
        <f t="shared" si="118"/>
        <v>7.7548499619508725E-3</v>
      </c>
      <c r="AO523" s="22">
        <f t="shared" si="118"/>
        <v>7.7656086534531824E-3</v>
      </c>
      <c r="AP523" s="22">
        <f t="shared" si="118"/>
        <v>7.7756261682697366E-3</v>
      </c>
      <c r="AQ523" s="22">
        <f t="shared" si="118"/>
        <v>7.7847478814032966E-3</v>
      </c>
      <c r="AR523" s="22">
        <f t="shared" si="118"/>
        <v>7.7928317537802119E-3</v>
      </c>
      <c r="AS523" s="22">
        <f t="shared" si="118"/>
        <v>7.7998783369461555E-3</v>
      </c>
      <c r="AT523" s="22">
        <f t="shared" si="118"/>
        <v>7.8058297320024528E-3</v>
      </c>
      <c r="AU523" s="22">
        <f t="shared" si="118"/>
        <v>7.8106919749548918E-3</v>
      </c>
      <c r="AV523" s="22">
        <f t="shared" si="118"/>
        <v>7.8146060933627498E-3</v>
      </c>
      <c r="AW523" s="22">
        <f t="shared" si="118"/>
        <v>7.8167990100407609E-3</v>
      </c>
      <c r="AY523" s="79"/>
    </row>
    <row r="524" spans="1:51" x14ac:dyDescent="0.25">
      <c r="A524" s="95" t="str">
        <f t="shared" si="108"/>
        <v>PQ Organic</v>
      </c>
      <c r="B524" s="95" t="s">
        <v>967</v>
      </c>
      <c r="C524" s="95" t="s">
        <v>1126</v>
      </c>
      <c r="D524" t="s">
        <v>369</v>
      </c>
      <c r="E524" t="s">
        <v>55</v>
      </c>
      <c r="F524" t="s">
        <v>421</v>
      </c>
      <c r="G524" t="s">
        <v>1169</v>
      </c>
      <c r="H524" t="s">
        <v>1170</v>
      </c>
      <c r="I524" t="s">
        <v>139</v>
      </c>
      <c r="J524" t="s">
        <v>287</v>
      </c>
      <c r="K524" s="22">
        <f t="shared" si="117"/>
        <v>8.7045671471293523E-2</v>
      </c>
      <c r="L524" s="22">
        <f t="shared" si="118"/>
        <v>8.7271948200639354E-2</v>
      </c>
      <c r="M524" s="22">
        <f t="shared" si="118"/>
        <v>8.7584088952434122E-2</v>
      </c>
      <c r="N524" s="22">
        <f t="shared" si="118"/>
        <v>8.7964358824768801E-2</v>
      </c>
      <c r="O524" s="22">
        <f t="shared" si="118"/>
        <v>8.8412215452112072E-2</v>
      </c>
      <c r="P524" s="22">
        <f t="shared" si="118"/>
        <v>8.8924932944132923E-2</v>
      </c>
      <c r="Q524" s="22">
        <f t="shared" si="118"/>
        <v>8.9476727309038565E-2</v>
      </c>
      <c r="R524" s="22">
        <f t="shared" si="118"/>
        <v>9.0065414259340087E-2</v>
      </c>
      <c r="S524" s="22">
        <f t="shared" si="118"/>
        <v>8.9844575202202001E-2</v>
      </c>
      <c r="T524" s="22">
        <f t="shared" si="118"/>
        <v>8.9999018113074689E-2</v>
      </c>
      <c r="U524" s="22">
        <f t="shared" si="118"/>
        <v>9.0014005025930557E-2</v>
      </c>
      <c r="V524" s="22">
        <f t="shared" si="118"/>
        <v>9.0055209476527981E-2</v>
      </c>
      <c r="W524" s="22">
        <f t="shared" si="118"/>
        <v>9.0237385557127583E-2</v>
      </c>
      <c r="X524" s="22">
        <f t="shared" si="118"/>
        <v>9.0505356385413932E-2</v>
      </c>
      <c r="Y524" s="22">
        <f t="shared" si="118"/>
        <v>9.0758306705997438E-2</v>
      </c>
      <c r="Z524" s="22">
        <f t="shared" si="118"/>
        <v>9.0997425855048733E-2</v>
      </c>
      <c r="AA524" s="22">
        <f t="shared" si="118"/>
        <v>9.122283622722524E-2</v>
      </c>
      <c r="AB524" s="22">
        <f t="shared" si="118"/>
        <v>9.1439201985751464E-2</v>
      </c>
      <c r="AC524" s="22">
        <f t="shared" si="118"/>
        <v>9.1649769472921652E-2</v>
      </c>
      <c r="AD524" s="22">
        <f t="shared" si="118"/>
        <v>9.1852819564097965E-2</v>
      </c>
      <c r="AE524" s="22">
        <f t="shared" si="118"/>
        <v>9.2051402069607366E-2</v>
      </c>
      <c r="AF524" s="22">
        <f t="shared" si="118"/>
        <v>9.224512884304413E-2</v>
      </c>
      <c r="AG524" s="22">
        <f t="shared" si="118"/>
        <v>9.2432674299750023E-2</v>
      </c>
      <c r="AH524" s="22">
        <f t="shared" si="118"/>
        <v>9.261505916595239E-2</v>
      </c>
      <c r="AI524" s="22">
        <f t="shared" si="118"/>
        <v>9.2792656014314204E-2</v>
      </c>
      <c r="AJ524" s="22">
        <f t="shared" si="118"/>
        <v>9.2966244618356883E-2</v>
      </c>
      <c r="AK524" s="22">
        <f t="shared" si="118"/>
        <v>9.3130442775411881E-2</v>
      </c>
      <c r="AL524" s="22">
        <f t="shared" si="118"/>
        <v>9.3285211673244717E-2</v>
      </c>
      <c r="AM524" s="22">
        <f t="shared" si="118"/>
        <v>9.3432256206569059E-2</v>
      </c>
      <c r="AN524" s="22">
        <f t="shared" si="118"/>
        <v>9.3570480254135169E-2</v>
      </c>
      <c r="AO524" s="22">
        <f t="shared" si="118"/>
        <v>9.3700295264833783E-2</v>
      </c>
      <c r="AP524" s="22">
        <f t="shared" si="118"/>
        <v>9.3821167193618646E-2</v>
      </c>
      <c r="AQ524" s="22">
        <f t="shared" si="118"/>
        <v>9.3931230326088647E-2</v>
      </c>
      <c r="AR524" s="22">
        <f t="shared" si="118"/>
        <v>9.4028770810344664E-2</v>
      </c>
      <c r="AS524" s="22">
        <f t="shared" si="118"/>
        <v>9.4113795301369402E-2</v>
      </c>
      <c r="AT524" s="22">
        <f t="shared" si="118"/>
        <v>9.4185605187612459E-2</v>
      </c>
      <c r="AU524" s="22">
        <f t="shared" si="118"/>
        <v>9.4244273299878237E-2</v>
      </c>
      <c r="AV524" s="22">
        <f t="shared" si="118"/>
        <v>9.429150128507352E-2</v>
      </c>
      <c r="AW524" s="22">
        <f t="shared" si="118"/>
        <v>9.4317961147962676E-2</v>
      </c>
      <c r="AY524" s="79"/>
    </row>
    <row r="525" spans="1:51" x14ac:dyDescent="0.25">
      <c r="A525" s="95" t="str">
        <f t="shared" si="108"/>
        <v>PQ Organic</v>
      </c>
      <c r="B525" s="95" t="s">
        <v>967</v>
      </c>
      <c r="C525" s="95" t="s">
        <v>1126</v>
      </c>
      <c r="D525" t="s">
        <v>369</v>
      </c>
      <c r="E525" t="s">
        <v>55</v>
      </c>
      <c r="F525" t="s">
        <v>421</v>
      </c>
      <c r="G525" t="s">
        <v>1171</v>
      </c>
      <c r="H525" t="s">
        <v>1172</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5">
      <c r="A526" s="95" t="str">
        <f t="shared" si="108"/>
        <v>PQ Organic</v>
      </c>
      <c r="B526" s="95" t="s">
        <v>967</v>
      </c>
      <c r="C526" s="95" t="s">
        <v>1126</v>
      </c>
      <c r="D526" t="s">
        <v>369</v>
      </c>
      <c r="E526" t="s">
        <v>55</v>
      </c>
      <c r="F526" t="s">
        <v>421</v>
      </c>
      <c r="G526" t="s">
        <v>1173</v>
      </c>
      <c r="H526" t="s">
        <v>1174</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5">
      <c r="A527" s="95" t="str">
        <f t="shared" si="108"/>
        <v>PQ Organic</v>
      </c>
      <c r="B527" s="95" t="s">
        <v>967</v>
      </c>
      <c r="C527" s="95" t="s">
        <v>1126</v>
      </c>
      <c r="D527" t="s">
        <v>369</v>
      </c>
      <c r="E527" t="s">
        <v>55</v>
      </c>
      <c r="F527" t="s">
        <v>421</v>
      </c>
      <c r="G527" t="s">
        <v>1175</v>
      </c>
      <c r="H527" t="s">
        <v>1176</v>
      </c>
      <c r="I527" t="s">
        <v>139</v>
      </c>
      <c r="J527" t="s">
        <v>287</v>
      </c>
      <c r="K527" s="22">
        <f t="shared" si="117"/>
        <v>0.12462873299340151</v>
      </c>
      <c r="L527" s="22">
        <f t="shared" si="119"/>
        <v>0.12395129293471774</v>
      </c>
      <c r="M527" s="22">
        <f t="shared" si="119"/>
        <v>0.1240068951131099</v>
      </c>
      <c r="N527" s="22">
        <f t="shared" si="119"/>
        <v>0.12286841678965583</v>
      </c>
      <c r="O527" s="22">
        <f t="shared" si="119"/>
        <v>0.12100901910044995</v>
      </c>
      <c r="P527" s="22">
        <f t="shared" si="119"/>
        <v>0.11845842648899831</v>
      </c>
      <c r="Q527" s="22">
        <f t="shared" si="119"/>
        <v>0.11660641339960404</v>
      </c>
      <c r="R527" s="22">
        <f t="shared" si="119"/>
        <v>0.11491827863139022</v>
      </c>
      <c r="S527" s="22">
        <f t="shared" si="119"/>
        <v>0.10323336206469676</v>
      </c>
      <c r="T527" s="22">
        <f t="shared" si="119"/>
        <v>0.10789835358112609</v>
      </c>
      <c r="U527" s="22">
        <f t="shared" si="119"/>
        <v>0.10930872077776907</v>
      </c>
      <c r="V527" s="22">
        <f t="shared" si="119"/>
        <v>0.10822994982335406</v>
      </c>
      <c r="W527" s="22">
        <f t="shared" si="119"/>
        <v>0.10728117650505167</v>
      </c>
      <c r="X527" s="22">
        <f t="shared" si="119"/>
        <v>0.10698795772109922</v>
      </c>
      <c r="Y527" s="22">
        <f t="shared" si="119"/>
        <v>0.10732481606756347</v>
      </c>
      <c r="Z527" s="22">
        <f t="shared" si="119"/>
        <v>0.10795224800227457</v>
      </c>
      <c r="AA527" s="22">
        <f t="shared" si="119"/>
        <v>0.10894183514251574</v>
      </c>
      <c r="AB527" s="22">
        <f t="shared" si="119"/>
        <v>0.11053150962299221</v>
      </c>
      <c r="AC527" s="22">
        <f t="shared" si="119"/>
        <v>0.1126657694800189</v>
      </c>
      <c r="AD527" s="22">
        <f t="shared" si="119"/>
        <v>0.11509487827502032</v>
      </c>
      <c r="AE527" s="22">
        <f t="shared" si="119"/>
        <v>0.11779472217084282</v>
      </c>
      <c r="AF527" s="22">
        <f t="shared" si="119"/>
        <v>0.12063025387721567</v>
      </c>
      <c r="AG527" s="22">
        <f t="shared" si="119"/>
        <v>0.12365017099946446</v>
      </c>
      <c r="AH527" s="22">
        <f t="shared" si="119"/>
        <v>0.12678938256448105</v>
      </c>
      <c r="AI527" s="22">
        <f t="shared" si="119"/>
        <v>0.1298357658486077</v>
      </c>
      <c r="AJ527" s="22">
        <f t="shared" si="119"/>
        <v>0.13308363006040799</v>
      </c>
      <c r="AK527" s="22">
        <f t="shared" si="119"/>
        <v>0.13633797236037076</v>
      </c>
      <c r="AL527" s="22">
        <f t="shared" si="119"/>
        <v>0.1395817064491762</v>
      </c>
      <c r="AM527" s="22">
        <f t="shared" si="119"/>
        <v>0.1428987646619678</v>
      </c>
      <c r="AN527" s="22">
        <f t="shared" si="119"/>
        <v>0.14607463913609417</v>
      </c>
      <c r="AO527" s="22">
        <f t="shared" si="119"/>
        <v>0.14939800642693096</v>
      </c>
      <c r="AP527" s="22">
        <f t="shared" si="119"/>
        <v>0.15296466961282101</v>
      </c>
      <c r="AQ527" s="22">
        <f t="shared" si="119"/>
        <v>0.1565936649117094</v>
      </c>
      <c r="AR527" s="22">
        <f t="shared" si="119"/>
        <v>0.16029166396054106</v>
      </c>
      <c r="AS527" s="22">
        <f t="shared" si="119"/>
        <v>0.16424139864286944</v>
      </c>
      <c r="AT527" s="22">
        <f t="shared" si="119"/>
        <v>0.1683741087759702</v>
      </c>
      <c r="AU527" s="22">
        <f t="shared" si="119"/>
        <v>0.17264268700084681</v>
      </c>
      <c r="AV527" s="22">
        <f t="shared" si="119"/>
        <v>0.17715786251954191</v>
      </c>
      <c r="AW527" s="22">
        <f t="shared" si="119"/>
        <v>0.1812449136918291</v>
      </c>
      <c r="AY527" s="79"/>
    </row>
    <row r="528" spans="1:51" x14ac:dyDescent="0.25">
      <c r="A528" s="95" t="str">
        <f t="shared" si="108"/>
        <v>PQ Organic</v>
      </c>
      <c r="B528" s="95" t="s">
        <v>967</v>
      </c>
      <c r="C528" s="95" t="s">
        <v>1126</v>
      </c>
      <c r="D528" t="s">
        <v>369</v>
      </c>
      <c r="E528" t="s">
        <v>55</v>
      </c>
      <c r="F528" t="s">
        <v>421</v>
      </c>
      <c r="G528" t="s">
        <v>1177</v>
      </c>
      <c r="H528" t="s">
        <v>1178</v>
      </c>
      <c r="I528" t="s">
        <v>139</v>
      </c>
      <c r="J528" t="s">
        <v>287</v>
      </c>
      <c r="K528" s="22">
        <f t="shared" si="117"/>
        <v>3.1618785484610064E-2</v>
      </c>
      <c r="L528" s="22">
        <f t="shared" si="119"/>
        <v>3.1446916354757493E-2</v>
      </c>
      <c r="M528" s="22">
        <f t="shared" si="119"/>
        <v>3.1461022839745605E-2</v>
      </c>
      <c r="N528" s="22">
        <f t="shared" si="119"/>
        <v>3.1172186541537569E-2</v>
      </c>
      <c r="O528" s="22">
        <f t="shared" si="119"/>
        <v>3.0700450247237818E-2</v>
      </c>
      <c r="P528" s="22">
        <f t="shared" si="119"/>
        <v>3.0053355161673637E-2</v>
      </c>
      <c r="Q528" s="22">
        <f t="shared" si="119"/>
        <v>2.9583492368545926E-2</v>
      </c>
      <c r="R528" s="22">
        <f t="shared" si="119"/>
        <v>2.9155206131309685E-2</v>
      </c>
      <c r="S528" s="22">
        <f t="shared" si="119"/>
        <v>2.6190698176732228E-2</v>
      </c>
      <c r="T528" s="22">
        <f t="shared" si="119"/>
        <v>2.7374224338819714E-2</v>
      </c>
      <c r="U528" s="22">
        <f t="shared" si="119"/>
        <v>2.773203988242751E-2</v>
      </c>
      <c r="V528" s="22">
        <f t="shared" si="119"/>
        <v>2.7458351571751329E-2</v>
      </c>
      <c r="W528" s="22">
        <f t="shared" si="119"/>
        <v>2.7217644157783535E-2</v>
      </c>
      <c r="X528" s="22">
        <f t="shared" si="119"/>
        <v>2.7143253432569785E-2</v>
      </c>
      <c r="Y528" s="22">
        <f t="shared" si="119"/>
        <v>2.7228715681440727E-2</v>
      </c>
      <c r="Z528" s="22">
        <f t="shared" si="119"/>
        <v>2.7387897559273622E-2</v>
      </c>
      <c r="AA528" s="22">
        <f t="shared" si="119"/>
        <v>2.7638959595724485E-2</v>
      </c>
      <c r="AB528" s="22">
        <f t="shared" si="119"/>
        <v>2.8042266081967953E-2</v>
      </c>
      <c r="AC528" s="22">
        <f t="shared" si="119"/>
        <v>2.8583735957869796E-2</v>
      </c>
      <c r="AD528" s="22">
        <f t="shared" si="119"/>
        <v>2.9200010135285986E-2</v>
      </c>
      <c r="AE528" s="22">
        <f t="shared" si="119"/>
        <v>2.988497084164626E-2</v>
      </c>
      <c r="AF528" s="22">
        <f t="shared" si="119"/>
        <v>3.0604356063699028E-2</v>
      </c>
      <c r="AG528" s="22">
        <f t="shared" si="119"/>
        <v>3.1370520569878685E-2</v>
      </c>
      <c r="AH528" s="22">
        <f t="shared" si="119"/>
        <v>3.2166950531742462E-2</v>
      </c>
      <c r="AI528" s="22">
        <f t="shared" si="119"/>
        <v>3.2939829604257814E-2</v>
      </c>
      <c r="AJ528" s="22">
        <f t="shared" si="119"/>
        <v>3.376382515752635E-2</v>
      </c>
      <c r="AK528" s="22">
        <f t="shared" si="119"/>
        <v>3.4589464226499819E-2</v>
      </c>
      <c r="AL528" s="22">
        <f t="shared" si="119"/>
        <v>3.5412411951792733E-2</v>
      </c>
      <c r="AM528" s="22">
        <f t="shared" si="119"/>
        <v>3.625396228734637E-2</v>
      </c>
      <c r="AN528" s="22">
        <f t="shared" si="119"/>
        <v>3.705969376925726E-2</v>
      </c>
      <c r="AO528" s="22">
        <f t="shared" si="119"/>
        <v>3.7902844742003665E-2</v>
      </c>
      <c r="AP528" s="22">
        <f t="shared" si="119"/>
        <v>3.8807720812407763E-2</v>
      </c>
      <c r="AQ528" s="22">
        <f t="shared" si="119"/>
        <v>3.9728410777909444E-2</v>
      </c>
      <c r="AR528" s="22">
        <f t="shared" si="119"/>
        <v>4.0666607258278795E-2</v>
      </c>
      <c r="AS528" s="22">
        <f t="shared" si="119"/>
        <v>4.1668670030178073E-2</v>
      </c>
      <c r="AT528" s="22">
        <f t="shared" si="119"/>
        <v>4.2717154372673226E-2</v>
      </c>
      <c r="AU528" s="22">
        <f t="shared" si="119"/>
        <v>4.380010896889619E-2</v>
      </c>
      <c r="AV528" s="22">
        <f t="shared" si="119"/>
        <v>4.4945626240250815E-2</v>
      </c>
      <c r="AW528" s="22">
        <f t="shared" si="119"/>
        <v>4.5982526730028013E-2</v>
      </c>
      <c r="AY528" s="79"/>
    </row>
    <row r="529" spans="1:51" x14ac:dyDescent="0.25">
      <c r="A529" s="95" t="str">
        <f t="shared" si="108"/>
        <v>PQ Organic</v>
      </c>
      <c r="B529" s="95" t="s">
        <v>967</v>
      </c>
      <c r="C529" s="95" t="s">
        <v>1126</v>
      </c>
      <c r="D529" t="s">
        <v>369</v>
      </c>
      <c r="E529" t="s">
        <v>55</v>
      </c>
      <c r="F529" t="s">
        <v>421</v>
      </c>
      <c r="G529" t="s">
        <v>1179</v>
      </c>
      <c r="H529" t="s">
        <v>1180</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0.17531753251219057</v>
      </c>
      <c r="S529" s="22">
        <f t="shared" si="119"/>
        <v>0.16826815584544114</v>
      </c>
      <c r="T529" s="22">
        <f t="shared" si="119"/>
        <v>0.17529364111541346</v>
      </c>
      <c r="U529" s="22">
        <f t="shared" si="119"/>
        <v>0.179468936116296</v>
      </c>
      <c r="V529" s="22">
        <f t="shared" si="119"/>
        <v>0.18146185289572461</v>
      </c>
      <c r="W529" s="22">
        <f t="shared" si="119"/>
        <v>0.18367206757119967</v>
      </c>
      <c r="X529" s="22">
        <f t="shared" si="119"/>
        <v>0.18655442341123246</v>
      </c>
      <c r="Y529" s="22">
        <f t="shared" si="119"/>
        <v>0.19002403855752484</v>
      </c>
      <c r="Z529" s="22">
        <f t="shared" si="119"/>
        <v>0.19378713542621159</v>
      </c>
      <c r="AA529" s="22">
        <f t="shared" si="119"/>
        <v>0.19793608752558689</v>
      </c>
      <c r="AB529" s="22">
        <f t="shared" si="119"/>
        <v>0.20274560727871463</v>
      </c>
      <c r="AC529" s="22">
        <f t="shared" si="119"/>
        <v>0.2082010892393113</v>
      </c>
      <c r="AD529" s="22">
        <f t="shared" si="119"/>
        <v>0.21407047800501874</v>
      </c>
      <c r="AE529" s="22">
        <f t="shared" si="119"/>
        <v>0.22035285326760637</v>
      </c>
      <c r="AF529" s="22">
        <f t="shared" si="119"/>
        <v>0.22691830683757538</v>
      </c>
      <c r="AG529" s="22">
        <f t="shared" si="119"/>
        <v>0.23383349407065357</v>
      </c>
      <c r="AH529" s="22">
        <f t="shared" si="119"/>
        <v>0.24104032281254165</v>
      </c>
      <c r="AI529" s="22">
        <f t="shared" si="119"/>
        <v>0.24830078825991211</v>
      </c>
      <c r="AJ529" s="22">
        <f t="shared" si="119"/>
        <v>0.25596851329364728</v>
      </c>
      <c r="AK529" s="22">
        <f t="shared" si="119"/>
        <v>0.26381659798331969</v>
      </c>
      <c r="AL529" s="22">
        <f t="shared" si="119"/>
        <v>0.27182892851236273</v>
      </c>
      <c r="AM529" s="22">
        <f t="shared" si="119"/>
        <v>0.28011873521820613</v>
      </c>
      <c r="AN529" s="22">
        <f t="shared" si="119"/>
        <v>0.28841666797515925</v>
      </c>
      <c r="AO529" s="22">
        <f t="shared" si="119"/>
        <v>0.29710042873684378</v>
      </c>
      <c r="AP529" s="22">
        <f t="shared" si="119"/>
        <v>0.30631512135319056</v>
      </c>
      <c r="AQ529" s="22">
        <f t="shared" si="119"/>
        <v>0.31583438977210859</v>
      </c>
      <c r="AR529" s="22">
        <f t="shared" si="119"/>
        <v>0.32567682367490652</v>
      </c>
      <c r="AS529" s="22">
        <f t="shared" si="119"/>
        <v>0.33611496479516756</v>
      </c>
      <c r="AT529" s="22">
        <f t="shared" si="119"/>
        <v>0.34707529344515536</v>
      </c>
      <c r="AU529" s="22">
        <f t="shared" si="119"/>
        <v>0.35851078392222901</v>
      </c>
      <c r="AV529" s="22">
        <f t="shared" si="119"/>
        <v>0.37060965152650638</v>
      </c>
      <c r="AW529" s="22">
        <f t="shared" si="119"/>
        <v>0.38235584366830411</v>
      </c>
      <c r="AY529" s="79"/>
    </row>
    <row r="530" spans="1:51" x14ac:dyDescent="0.25">
      <c r="A530" s="95" t="str">
        <f t="shared" si="108"/>
        <v>PQ Organic</v>
      </c>
      <c r="B530" s="95" t="s">
        <v>967</v>
      </c>
      <c r="C530" s="95" t="s">
        <v>1126</v>
      </c>
      <c r="D530" t="s">
        <v>369</v>
      </c>
      <c r="E530" t="s">
        <v>55</v>
      </c>
      <c r="F530" t="s">
        <v>421</v>
      </c>
      <c r="G530" t="s">
        <v>1181</v>
      </c>
      <c r="H530" t="s">
        <v>1182</v>
      </c>
      <c r="I530" t="s">
        <v>139</v>
      </c>
      <c r="J530" t="s">
        <v>287</v>
      </c>
      <c r="K530" s="22">
        <f t="shared" si="117"/>
        <v>0.78620275218739033</v>
      </c>
      <c r="L530" s="22">
        <f t="shared" si="119"/>
        <v>0.79655563720176326</v>
      </c>
      <c r="M530" s="22">
        <f t="shared" si="119"/>
        <v>0.81318534024672107</v>
      </c>
      <c r="N530" s="22">
        <f t="shared" si="119"/>
        <v>0.81796021384654038</v>
      </c>
      <c r="O530" s="22">
        <f t="shared" si="119"/>
        <v>0.81503229757580586</v>
      </c>
      <c r="P530" s="22">
        <f t="shared" si="119"/>
        <v>0.80443274266431908</v>
      </c>
      <c r="Q530" s="22">
        <f t="shared" si="119"/>
        <v>0.79997057217510736</v>
      </c>
      <c r="R530" s="22">
        <f t="shared" si="119"/>
        <v>0.79652072541357855</v>
      </c>
      <c r="S530" s="22">
        <f t="shared" si="119"/>
        <v>0.6929945167812448</v>
      </c>
      <c r="T530" s="22">
        <f t="shared" si="119"/>
        <v>0.75569325830504319</v>
      </c>
      <c r="U530" s="22">
        <f t="shared" si="119"/>
        <v>0.78586192008020839</v>
      </c>
      <c r="V530" s="22">
        <f t="shared" si="119"/>
        <v>0.78963673487778696</v>
      </c>
      <c r="W530" s="22">
        <f t="shared" si="119"/>
        <v>0.79398832301737687</v>
      </c>
      <c r="X530" s="22">
        <f t="shared" si="119"/>
        <v>0.80502399258159163</v>
      </c>
      <c r="Y530" s="22">
        <f t="shared" si="119"/>
        <v>0.82319477266803398</v>
      </c>
      <c r="Z530" s="22">
        <f t="shared" si="119"/>
        <v>0.84493550271536799</v>
      </c>
      <c r="AA530" s="22">
        <f t="shared" si="119"/>
        <v>0.87120575605676209</v>
      </c>
      <c r="AB530" s="22">
        <f t="shared" si="119"/>
        <v>0.90492220164986781</v>
      </c>
      <c r="AC530" s="22">
        <f t="shared" si="119"/>
        <v>0.94570019320131005</v>
      </c>
      <c r="AD530" s="22">
        <f t="shared" si="119"/>
        <v>0.9908342510405731</v>
      </c>
      <c r="AE530" s="22">
        <f t="shared" si="119"/>
        <v>1.0401746402938727</v>
      </c>
      <c r="AF530" s="22">
        <f t="shared" si="119"/>
        <v>1.0922195176686915</v>
      </c>
      <c r="AG530" s="22">
        <f t="shared" si="119"/>
        <v>1.1476653338002605</v>
      </c>
      <c r="AH530" s="22">
        <f t="shared" si="119"/>
        <v>1.2058049098103554</v>
      </c>
      <c r="AI530" s="22">
        <f t="shared" si="119"/>
        <v>1.2640288398876942</v>
      </c>
      <c r="AJ530" s="22">
        <f t="shared" si="119"/>
        <v>1.3261031190213208</v>
      </c>
      <c r="AK530" s="22">
        <f t="shared" si="119"/>
        <v>1.3896418297181288</v>
      </c>
      <c r="AL530" s="22">
        <f t="shared" si="119"/>
        <v>1.4544565281623518</v>
      </c>
      <c r="AM530" s="22">
        <f t="shared" si="119"/>
        <v>1.521690334823528</v>
      </c>
      <c r="AN530" s="22">
        <f t="shared" si="119"/>
        <v>1.5885204638072115</v>
      </c>
      <c r="AO530" s="22">
        <f t="shared" si="119"/>
        <v>1.6588648682392355</v>
      </c>
      <c r="AP530" s="22">
        <f t="shared" si="119"/>
        <v>1.7341718158890906</v>
      </c>
      <c r="AQ530" s="22">
        <f t="shared" si="119"/>
        <v>1.812078309357211</v>
      </c>
      <c r="AR530" s="22">
        <f t="shared" si="119"/>
        <v>1.8927662707454833</v>
      </c>
      <c r="AS530" s="22">
        <f t="shared" si="119"/>
        <v>1.9789566108434027</v>
      </c>
      <c r="AT530" s="22">
        <f t="shared" si="119"/>
        <v>2.0698402438653445</v>
      </c>
      <c r="AU530" s="22">
        <f t="shared" si="119"/>
        <v>2.1648797356645511</v>
      </c>
      <c r="AV530" s="22">
        <f t="shared" si="119"/>
        <v>2.2658660016789853</v>
      </c>
      <c r="AW530" s="22">
        <f t="shared" si="119"/>
        <v>2.3628024258404521</v>
      </c>
      <c r="AY530" s="79"/>
    </row>
    <row r="531" spans="1:51" x14ac:dyDescent="0.25">
      <c r="A531" s="95" t="str">
        <f t="shared" si="108"/>
        <v>PQ U&amp;D</v>
      </c>
      <c r="B531" s="95" t="s">
        <v>967</v>
      </c>
      <c r="C531" s="95" t="s">
        <v>1335</v>
      </c>
      <c r="D531" t="s">
        <v>369</v>
      </c>
      <c r="E531" t="s">
        <v>55</v>
      </c>
      <c r="F531" t="s">
        <v>422</v>
      </c>
      <c r="G531" t="s">
        <v>1151</v>
      </c>
      <c r="H531" t="s">
        <v>1239</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5">
      <c r="A532" s="95" t="str">
        <f t="shared" si="108"/>
        <v>PQ U&amp;D</v>
      </c>
      <c r="B532" s="95" t="s">
        <v>967</v>
      </c>
      <c r="C532" s="95" t="s">
        <v>1335</v>
      </c>
      <c r="D532" t="s">
        <v>369</v>
      </c>
      <c r="E532" t="s">
        <v>55</v>
      </c>
      <c r="F532" t="s">
        <v>422</v>
      </c>
      <c r="G532" t="s">
        <v>1153</v>
      </c>
      <c r="H532" t="s">
        <v>1240</v>
      </c>
      <c r="I532" t="s">
        <v>139</v>
      </c>
      <c r="J532" t="s">
        <v>287</v>
      </c>
      <c r="K532" s="22">
        <f t="shared" si="117"/>
        <v>1.0775797812462991</v>
      </c>
      <c r="L532" s="22">
        <f t="shared" si="119"/>
        <v>1.0836040032789309</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1.1114672588381174</v>
      </c>
      <c r="S532" s="22">
        <f t="shared" si="119"/>
        <v>1.0793644035028189</v>
      </c>
      <c r="T532" s="22">
        <f t="shared" si="119"/>
        <v>1.1011309234167481</v>
      </c>
      <c r="U532" s="22">
        <f t="shared" si="119"/>
        <v>1.1119360252245196</v>
      </c>
      <c r="V532" s="22">
        <f t="shared" si="119"/>
        <v>1.1147578792291293</v>
      </c>
      <c r="W532" s="22">
        <f t="shared" si="119"/>
        <v>1.1187702241985282</v>
      </c>
      <c r="X532" s="22">
        <f t="shared" si="119"/>
        <v>1.1255029693063063</v>
      </c>
      <c r="Y532" s="22">
        <f t="shared" si="119"/>
        <v>1.1343971625372145</v>
      </c>
      <c r="Z532" s="22">
        <f t="shared" si="119"/>
        <v>1.1443552033124911</v>
      </c>
      <c r="AA532" s="22">
        <f t="shared" si="119"/>
        <v>1.1556907140958508</v>
      </c>
      <c r="AB532" s="22">
        <f t="shared" si="119"/>
        <v>1.1693756036758489</v>
      </c>
      <c r="AC532" s="22">
        <f t="shared" si="119"/>
        <v>1.1853303744222352</v>
      </c>
      <c r="AD532" s="22">
        <f t="shared" si="119"/>
        <v>1.202695771968407</v>
      </c>
      <c r="AE532" s="22">
        <f t="shared" si="119"/>
        <v>1.2214561017242225</v>
      </c>
      <c r="AF532" s="22">
        <f t="shared" ref="L532:AW539" si="120">AF1483</f>
        <v>1.2411353009439861</v>
      </c>
      <c r="AG532" s="22">
        <f t="shared" si="120"/>
        <v>1.2619534777795529</v>
      </c>
      <c r="AH532" s="22">
        <f t="shared" si="120"/>
        <v>1.2836965756368759</v>
      </c>
      <c r="AI532" s="22">
        <f t="shared" si="120"/>
        <v>1.3055267417806069</v>
      </c>
      <c r="AJ532" s="22">
        <f t="shared" si="120"/>
        <v>1.3286718687824415</v>
      </c>
      <c r="AK532" s="22">
        <f t="shared" si="120"/>
        <v>1.3523228735789439</v>
      </c>
      <c r="AL532" s="22">
        <f t="shared" si="120"/>
        <v>1.3764196040319214</v>
      </c>
      <c r="AM532" s="22">
        <f t="shared" si="120"/>
        <v>1.4013502875110349</v>
      </c>
      <c r="AN532" s="22">
        <f t="shared" si="120"/>
        <v>1.4261842268183196</v>
      </c>
      <c r="AO532" s="22">
        <f t="shared" si="120"/>
        <v>1.4522110683153209</v>
      </c>
      <c r="AP532" s="22">
        <f t="shared" si="120"/>
        <v>1.4799113366388263</v>
      </c>
      <c r="AQ532" s="22">
        <f t="shared" si="120"/>
        <v>1.5084997172355739</v>
      </c>
      <c r="AR532" s="22">
        <f t="shared" si="120"/>
        <v>1.538027931051154</v>
      </c>
      <c r="AS532" s="22">
        <f t="shared" si="120"/>
        <v>1.5694046317393286</v>
      </c>
      <c r="AT532" s="22">
        <f t="shared" si="120"/>
        <v>1.602365939528593</v>
      </c>
      <c r="AU532" s="22">
        <f t="shared" si="120"/>
        <v>1.6367417968061735</v>
      </c>
      <c r="AV532" s="22">
        <f t="shared" si="120"/>
        <v>1.673151630600247</v>
      </c>
      <c r="AW532" s="22">
        <f t="shared" si="120"/>
        <v>1.7081846028232541</v>
      </c>
      <c r="AY532" s="79"/>
    </row>
    <row r="533" spans="1:51" x14ac:dyDescent="0.25">
      <c r="A533" s="95" t="str">
        <f t="shared" si="108"/>
        <v>PQ U&amp;D</v>
      </c>
      <c r="B533" s="95" t="s">
        <v>967</v>
      </c>
      <c r="C533" s="95" t="s">
        <v>1335</v>
      </c>
      <c r="D533" t="s">
        <v>369</v>
      </c>
      <c r="E533" t="s">
        <v>55</v>
      </c>
      <c r="F533" t="s">
        <v>422</v>
      </c>
      <c r="G533" t="s">
        <v>1155</v>
      </c>
      <c r="H533" t="s">
        <v>1241</v>
      </c>
      <c r="I533" t="s">
        <v>139</v>
      </c>
      <c r="J533" t="s">
        <v>287</v>
      </c>
      <c r="K533" s="22">
        <f t="shared" si="117"/>
        <v>0.73383920392416069</v>
      </c>
      <c r="L533" s="22">
        <f t="shared" si="120"/>
        <v>0.73794174034663862</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0.75691680802528449</v>
      </c>
      <c r="S533" s="22">
        <f t="shared" si="120"/>
        <v>0.73505454389139269</v>
      </c>
      <c r="T533" s="22">
        <f t="shared" si="120"/>
        <v>0.74987769288121808</v>
      </c>
      <c r="U533" s="22">
        <f t="shared" si="120"/>
        <v>0.75723604114176524</v>
      </c>
      <c r="V533" s="22">
        <f t="shared" si="120"/>
        <v>0.75915774302627725</v>
      </c>
      <c r="W533" s="22">
        <f t="shared" si="120"/>
        <v>0.76189017740325427</v>
      </c>
      <c r="X533" s="22">
        <f t="shared" si="120"/>
        <v>0.7664752228876841</v>
      </c>
      <c r="Y533" s="22">
        <f t="shared" si="120"/>
        <v>0.77253222933278298</v>
      </c>
      <c r="Z533" s="22">
        <f t="shared" si="120"/>
        <v>0.77931372323453529</v>
      </c>
      <c r="AA533" s="22">
        <f t="shared" si="120"/>
        <v>0.78703328363656277</v>
      </c>
      <c r="AB533" s="22">
        <f t="shared" si="120"/>
        <v>0.79635278707375712</v>
      </c>
      <c r="AC533" s="22">
        <f t="shared" si="120"/>
        <v>0.80721809511598763</v>
      </c>
      <c r="AD533" s="22">
        <f t="shared" si="120"/>
        <v>0.81904404966050492</v>
      </c>
      <c r="AE533" s="22">
        <f t="shared" si="120"/>
        <v>0.83181996258403779</v>
      </c>
      <c r="AF533" s="22">
        <f t="shared" si="120"/>
        <v>0.8452216318995045</v>
      </c>
      <c r="AG533" s="22">
        <f t="shared" si="120"/>
        <v>0.85939895276431877</v>
      </c>
      <c r="AH533" s="22">
        <f t="shared" si="120"/>
        <v>0.87420615117333955</v>
      </c>
      <c r="AI533" s="22">
        <f t="shared" si="120"/>
        <v>0.88907264368113259</v>
      </c>
      <c r="AJ533" s="22">
        <f t="shared" si="120"/>
        <v>0.90483463353037208</v>
      </c>
      <c r="AK533" s="22">
        <f t="shared" si="120"/>
        <v>0.92094112961904073</v>
      </c>
      <c r="AL533" s="22">
        <f t="shared" si="120"/>
        <v>0.93735116792946294</v>
      </c>
      <c r="AM533" s="22">
        <f t="shared" si="120"/>
        <v>0.9543291339566633</v>
      </c>
      <c r="AN533" s="22">
        <f t="shared" si="120"/>
        <v>0.97124121654091655</v>
      </c>
      <c r="AO533" s="22">
        <f t="shared" si="120"/>
        <v>0.98896567367830823</v>
      </c>
      <c r="AP533" s="22">
        <f t="shared" si="120"/>
        <v>1.0078297459342822</v>
      </c>
      <c r="AQ533" s="22">
        <f t="shared" si="120"/>
        <v>1.0272986287248762</v>
      </c>
      <c r="AR533" s="22">
        <f t="shared" si="120"/>
        <v>1.0474075443679165</v>
      </c>
      <c r="AS533" s="22">
        <f t="shared" si="120"/>
        <v>1.068775292218703</v>
      </c>
      <c r="AT533" s="22">
        <f t="shared" si="120"/>
        <v>1.0912221683473529</v>
      </c>
      <c r="AU533" s="22">
        <f t="shared" si="120"/>
        <v>1.1146323623560173</v>
      </c>
      <c r="AV533" s="22">
        <f t="shared" si="120"/>
        <v>1.1394277082890591</v>
      </c>
      <c r="AW533" s="22">
        <f t="shared" si="120"/>
        <v>1.1632854020715975</v>
      </c>
      <c r="AY533" s="79"/>
    </row>
    <row r="534" spans="1:51" x14ac:dyDescent="0.25">
      <c r="A534" s="95" t="str">
        <f t="shared" si="108"/>
        <v>PQ U&amp;D</v>
      </c>
      <c r="B534" s="95" t="s">
        <v>967</v>
      </c>
      <c r="C534" s="95" t="s">
        <v>1335</v>
      </c>
      <c r="D534" t="s">
        <v>369</v>
      </c>
      <c r="E534" t="s">
        <v>55</v>
      </c>
      <c r="F534" t="s">
        <v>422</v>
      </c>
      <c r="G534" t="s">
        <v>1157</v>
      </c>
      <c r="H534" t="s">
        <v>1242</v>
      </c>
      <c r="I534" t="s">
        <v>139</v>
      </c>
      <c r="J534" t="s">
        <v>287</v>
      </c>
      <c r="K534" s="22">
        <f t="shared" si="117"/>
        <v>15.353527292296837</v>
      </c>
      <c r="L534" s="22">
        <f t="shared" si="120"/>
        <v>15.220371053361486</v>
      </c>
      <c r="M534" s="22">
        <f t="shared" si="120"/>
        <v>15.169682504177882</v>
      </c>
      <c r="N534" s="22">
        <f t="shared" si="120"/>
        <v>14.967111251021189</v>
      </c>
      <c r="O534" s="22">
        <f t="shared" si="120"/>
        <v>14.673074129931946</v>
      </c>
      <c r="P534" s="22">
        <f t="shared" si="120"/>
        <v>14.293651368256896</v>
      </c>
      <c r="Q534" s="22">
        <f t="shared" si="120"/>
        <v>13.994389539168758</v>
      </c>
      <c r="R534" s="22">
        <f t="shared" si="120"/>
        <v>13.711253827544139</v>
      </c>
      <c r="S534" s="22">
        <f t="shared" si="120"/>
        <v>12.243525743929849</v>
      </c>
      <c r="T534" s="22">
        <f t="shared" si="120"/>
        <v>12.828892404772391</v>
      </c>
      <c r="U534" s="22">
        <f t="shared" si="120"/>
        <v>13.031546455407888</v>
      </c>
      <c r="V534" s="22">
        <f t="shared" si="120"/>
        <v>12.943540859671467</v>
      </c>
      <c r="W534" s="22">
        <f t="shared" si="120"/>
        <v>12.871954504278984</v>
      </c>
      <c r="X534" s="22">
        <f t="shared" si="120"/>
        <v>12.876656938031642</v>
      </c>
      <c r="Y534" s="22">
        <f t="shared" si="120"/>
        <v>12.952269652428015</v>
      </c>
      <c r="Z534" s="22">
        <f t="shared" si="120"/>
        <v>13.059558904717129</v>
      </c>
      <c r="AA534" s="22">
        <f t="shared" si="120"/>
        <v>13.207166717271191</v>
      </c>
      <c r="AB534" s="22">
        <f t="shared" si="120"/>
        <v>13.423383196860698</v>
      </c>
      <c r="AC534" s="22">
        <f t="shared" si="120"/>
        <v>13.702101889701561</v>
      </c>
      <c r="AD534" s="22">
        <f t="shared" si="120"/>
        <v>13.896423189138504</v>
      </c>
      <c r="AE534" s="22">
        <f t="shared" si="120"/>
        <v>14.113699365030318</v>
      </c>
      <c r="AF534" s="22">
        <f t="shared" si="120"/>
        <v>14.337556202398742</v>
      </c>
      <c r="AG534" s="22">
        <f t="shared" si="120"/>
        <v>14.572966422289987</v>
      </c>
      <c r="AH534" s="22">
        <f t="shared" si="120"/>
        <v>14.811902600863377</v>
      </c>
      <c r="AI534" s="22">
        <f t="shared" si="120"/>
        <v>15.030093790009266</v>
      </c>
      <c r="AJ534" s="22">
        <f t="shared" si="120"/>
        <v>15.260245449721568</v>
      </c>
      <c r="AK534" s="22">
        <f t="shared" si="120"/>
        <v>15.479975870373321</v>
      </c>
      <c r="AL534" s="22">
        <f t="shared" si="120"/>
        <v>15.687168192029855</v>
      </c>
      <c r="AM534" s="22">
        <f t="shared" si="120"/>
        <v>15.890679126882141</v>
      </c>
      <c r="AN534" s="22">
        <f t="shared" si="120"/>
        <v>16.149107215315812</v>
      </c>
      <c r="AO534" s="22">
        <f t="shared" si="120"/>
        <v>16.416401953220753</v>
      </c>
      <c r="AP534" s="22">
        <f t="shared" si="120"/>
        <v>16.702277130443278</v>
      </c>
      <c r="AQ534" s="22">
        <f t="shared" si="120"/>
        <v>16.98704006145238</v>
      </c>
      <c r="AR534" s="22">
        <f t="shared" si="120"/>
        <v>17.271060351529361</v>
      </c>
      <c r="AS534" s="22">
        <f t="shared" si="120"/>
        <v>17.573003837482712</v>
      </c>
      <c r="AT534" s="22">
        <f t="shared" si="120"/>
        <v>17.88505244077637</v>
      </c>
      <c r="AU534" s="22">
        <f t="shared" si="120"/>
        <v>18.201780897575926</v>
      </c>
      <c r="AV534" s="22">
        <f t="shared" si="120"/>
        <v>18.533967675320017</v>
      </c>
      <c r="AW534" s="22">
        <f t="shared" si="120"/>
        <v>18.812464966150909</v>
      </c>
      <c r="AY534" s="79"/>
    </row>
    <row r="535" spans="1:51" x14ac:dyDescent="0.25">
      <c r="A535" s="95" t="str">
        <f t="shared" si="108"/>
        <v>PQ U&amp;D</v>
      </c>
      <c r="B535" s="95" t="s">
        <v>967</v>
      </c>
      <c r="C535" s="95" t="s">
        <v>1335</v>
      </c>
      <c r="D535" t="s">
        <v>369</v>
      </c>
      <c r="E535" t="s">
        <v>55</v>
      </c>
      <c r="F535" t="s">
        <v>422</v>
      </c>
      <c r="G535" t="s">
        <v>1159</v>
      </c>
      <c r="H535" t="s">
        <v>1243</v>
      </c>
      <c r="I535" t="s">
        <v>139</v>
      </c>
      <c r="J535" t="s">
        <v>287</v>
      </c>
      <c r="K535" s="22">
        <f t="shared" si="117"/>
        <v>9.6543103644621411</v>
      </c>
      <c r="L535" s="22">
        <f t="shared" si="120"/>
        <v>9.570581613851763</v>
      </c>
      <c r="M535" s="22">
        <f t="shared" si="120"/>
        <v>9.5387086131772989</v>
      </c>
      <c r="N535" s="22">
        <f t="shared" si="120"/>
        <v>9.4113316455488931</v>
      </c>
      <c r="O535" s="22">
        <f t="shared" si="120"/>
        <v>9.2264408662754729</v>
      </c>
      <c r="P535" s="22">
        <f t="shared" si="120"/>
        <v>8.9878595272244652</v>
      </c>
      <c r="Q535" s="22">
        <f t="shared" si="120"/>
        <v>8.7996834473406587</v>
      </c>
      <c r="R535" s="22">
        <f t="shared" si="120"/>
        <v>8.6216474831450967</v>
      </c>
      <c r="S535" s="22">
        <f t="shared" si="120"/>
        <v>7.6987388784911763</v>
      </c>
      <c r="T535" s="22">
        <f t="shared" si="120"/>
        <v>8.0668179077067048</v>
      </c>
      <c r="U535" s="22">
        <f t="shared" si="120"/>
        <v>8.1942469384566685</v>
      </c>
      <c r="V535" s="22">
        <f t="shared" si="120"/>
        <v>8.1389089487638984</v>
      </c>
      <c r="W535" s="22">
        <f t="shared" si="120"/>
        <v>8.0938953906633806</v>
      </c>
      <c r="X535" s="22">
        <f t="shared" si="120"/>
        <v>8.0968522848058253</v>
      </c>
      <c r="Y535" s="22">
        <f t="shared" si="120"/>
        <v>8.1443976207006106</v>
      </c>
      <c r="Z535" s="22">
        <f t="shared" si="120"/>
        <v>8.2118611892116604</v>
      </c>
      <c r="AA535" s="22">
        <f t="shared" si="120"/>
        <v>8.304677100987929</v>
      </c>
      <c r="AB535" s="22">
        <f t="shared" si="120"/>
        <v>8.4406341980203354</v>
      </c>
      <c r="AC535" s="22">
        <f t="shared" si="120"/>
        <v>8.6158927372364591</v>
      </c>
      <c r="AD535" s="22">
        <f t="shared" si="120"/>
        <v>8.738082127301313</v>
      </c>
      <c r="AE535" s="22">
        <f t="shared" si="120"/>
        <v>8.8747055622246656</v>
      </c>
      <c r="AF535" s="22">
        <f t="shared" si="120"/>
        <v>9.015466922400579</v>
      </c>
      <c r="AG535" s="22">
        <f t="shared" si="120"/>
        <v>9.1634930588400287</v>
      </c>
      <c r="AH535" s="22">
        <f t="shared" si="120"/>
        <v>9.3137363209471946</v>
      </c>
      <c r="AI535" s="22">
        <f t="shared" si="120"/>
        <v>9.4509351169438833</v>
      </c>
      <c r="AJ535" s="22">
        <f t="shared" si="120"/>
        <v>9.5956546664947826</v>
      </c>
      <c r="AK535" s="22">
        <f t="shared" si="120"/>
        <v>9.7338213325058032</v>
      </c>
      <c r="AL535" s="22">
        <f t="shared" si="120"/>
        <v>9.8641040317399575</v>
      </c>
      <c r="AM535" s="22">
        <f t="shared" si="120"/>
        <v>9.9920718719776573</v>
      </c>
      <c r="AN535" s="22">
        <f t="shared" si="120"/>
        <v>10.154571662751145</v>
      </c>
      <c r="AO535" s="22">
        <f t="shared" si="120"/>
        <v>10.322646809874932</v>
      </c>
      <c r="AP535" s="22">
        <f t="shared" si="120"/>
        <v>10.502405352251484</v>
      </c>
      <c r="AQ535" s="22">
        <f t="shared" si="120"/>
        <v>10.681464513310528</v>
      </c>
      <c r="AR535" s="22">
        <f t="shared" si="120"/>
        <v>10.860056701151523</v>
      </c>
      <c r="AS535" s="22">
        <f t="shared" si="120"/>
        <v>11.049919009038504</v>
      </c>
      <c r="AT535" s="22">
        <f t="shared" si="120"/>
        <v>11.246135422872308</v>
      </c>
      <c r="AU535" s="22">
        <f t="shared" si="120"/>
        <v>11.445294532371156</v>
      </c>
      <c r="AV535" s="22">
        <f t="shared" si="120"/>
        <v>11.654173846567643</v>
      </c>
      <c r="AW535" s="22">
        <f t="shared" si="120"/>
        <v>11.829293168021046</v>
      </c>
      <c r="AY535" s="79"/>
    </row>
    <row r="536" spans="1:51" x14ac:dyDescent="0.25">
      <c r="A536" s="95" t="str">
        <f t="shared" si="108"/>
        <v>PQ U&amp;D</v>
      </c>
      <c r="B536" s="95" t="s">
        <v>967</v>
      </c>
      <c r="C536" s="95" t="s">
        <v>1335</v>
      </c>
      <c r="D536" t="s">
        <v>369</v>
      </c>
      <c r="E536" t="s">
        <v>55</v>
      </c>
      <c r="F536" t="s">
        <v>422</v>
      </c>
      <c r="G536" t="s">
        <v>1161</v>
      </c>
      <c r="H536" t="s">
        <v>1244</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5">
      <c r="A537" s="95" t="str">
        <f t="shared" si="108"/>
        <v>PQ U&amp;D</v>
      </c>
      <c r="B537" s="95" t="s">
        <v>967</v>
      </c>
      <c r="C537" s="95" t="s">
        <v>1335</v>
      </c>
      <c r="D537" t="s">
        <v>369</v>
      </c>
      <c r="E537" t="s">
        <v>55</v>
      </c>
      <c r="F537" t="s">
        <v>422</v>
      </c>
      <c r="G537" t="s">
        <v>1163</v>
      </c>
      <c r="H537" t="s">
        <v>1245</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5.8849979697860864</v>
      </c>
      <c r="T537" s="22">
        <f t="shared" si="120"/>
        <v>5.8892338696185709</v>
      </c>
      <c r="U537" s="22">
        <f t="shared" si="120"/>
        <v>5.8877446174554535</v>
      </c>
      <c r="V537" s="22">
        <f t="shared" si="120"/>
        <v>5.8876374031780276</v>
      </c>
      <c r="W537" s="22">
        <f t="shared" si="120"/>
        <v>5.8938824759040038</v>
      </c>
      <c r="X537" s="22">
        <f t="shared" si="120"/>
        <v>5.9041031128445773</v>
      </c>
      <c r="Y537" s="22">
        <f t="shared" si="120"/>
        <v>5.9139099273818276</v>
      </c>
      <c r="Z537" s="22">
        <f t="shared" si="120"/>
        <v>5.9233345583346297</v>
      </c>
      <c r="AA537" s="22">
        <f t="shared" si="120"/>
        <v>5.9323641435098171</v>
      </c>
      <c r="AB537" s="22">
        <f t="shared" si="120"/>
        <v>5.9411868573928839</v>
      </c>
      <c r="AC537" s="22">
        <f t="shared" si="120"/>
        <v>5.9499315766894556</v>
      </c>
      <c r="AD537" s="22">
        <f t="shared" si="120"/>
        <v>5.9585105593958936</v>
      </c>
      <c r="AE537" s="22">
        <f t="shared" si="120"/>
        <v>5.9670471572884827</v>
      </c>
      <c r="AF537" s="22">
        <f t="shared" si="120"/>
        <v>5.9755144784339187</v>
      </c>
      <c r="AG537" s="22">
        <f t="shared" si="120"/>
        <v>5.9838446773332894</v>
      </c>
      <c r="AH537" s="22">
        <f t="shared" si="120"/>
        <v>5.992074429551792</v>
      </c>
      <c r="AI537" s="22">
        <f t="shared" si="120"/>
        <v>6.0002125174101231</v>
      </c>
      <c r="AJ537" s="22">
        <f t="shared" si="120"/>
        <v>6.0082865692474714</v>
      </c>
      <c r="AK537" s="22">
        <f t="shared" si="120"/>
        <v>6.0160495351454939</v>
      </c>
      <c r="AL537" s="22">
        <f t="shared" si="120"/>
        <v>6.0234923325896075</v>
      </c>
      <c r="AM537" s="22">
        <f t="shared" si="120"/>
        <v>6.0306845225857399</v>
      </c>
      <c r="AN537" s="22">
        <f t="shared" si="120"/>
        <v>6.0375707245080381</v>
      </c>
      <c r="AO537" s="22">
        <f t="shared" si="120"/>
        <v>6.0441634304657859</v>
      </c>
      <c r="AP537" s="22">
        <f t="shared" si="120"/>
        <v>6.0504329467907079</v>
      </c>
      <c r="AQ537" s="22">
        <f t="shared" si="120"/>
        <v>6.0562895562131533</v>
      </c>
      <c r="AR537" s="22">
        <f t="shared" si="120"/>
        <v>6.0616501197093573</v>
      </c>
      <c r="AS537" s="22">
        <f t="shared" si="120"/>
        <v>6.0665092216069407</v>
      </c>
      <c r="AT537" s="22">
        <f t="shared" si="120"/>
        <v>6.0708296779310995</v>
      </c>
      <c r="AU537" s="22">
        <f t="shared" si="120"/>
        <v>6.0746094049856261</v>
      </c>
      <c r="AV537" s="22">
        <f t="shared" si="120"/>
        <v>6.0779207352179032</v>
      </c>
      <c r="AW537" s="22">
        <f t="shared" si="120"/>
        <v>6.0803335706264781</v>
      </c>
      <c r="AY537" s="79"/>
    </row>
    <row r="538" spans="1:51" x14ac:dyDescent="0.25">
      <c r="A538" s="95" t="str">
        <f t="shared" si="108"/>
        <v>PQ U&amp;D</v>
      </c>
      <c r="B538" s="95" t="s">
        <v>967</v>
      </c>
      <c r="C538" s="95" t="s">
        <v>1335</v>
      </c>
      <c r="D538" t="s">
        <v>369</v>
      </c>
      <c r="E538" t="s">
        <v>55</v>
      </c>
      <c r="F538" t="s">
        <v>422</v>
      </c>
      <c r="G538" t="s">
        <v>1165</v>
      </c>
      <c r="H538" t="s">
        <v>1246</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0.65693953925961401</v>
      </c>
      <c r="T538" s="22">
        <f t="shared" si="120"/>
        <v>0.65741239075397129</v>
      </c>
      <c r="U538" s="22">
        <f t="shared" si="120"/>
        <v>0.65724614623954603</v>
      </c>
      <c r="V538" s="22">
        <f t="shared" si="120"/>
        <v>0.65723417796047845</v>
      </c>
      <c r="W538" s="22">
        <f t="shared" si="120"/>
        <v>0.65793131247442549</v>
      </c>
      <c r="X538" s="22">
        <f t="shared" si="120"/>
        <v>0.65907223734086595</v>
      </c>
      <c r="Y538" s="22">
        <f t="shared" si="120"/>
        <v>0.66016696740819658</v>
      </c>
      <c r="Z538" s="22">
        <f t="shared" si="120"/>
        <v>0.66121903450280095</v>
      </c>
      <c r="AA538" s="22">
        <f t="shared" si="120"/>
        <v>0.66222700282414093</v>
      </c>
      <c r="AB538" s="22">
        <f t="shared" si="120"/>
        <v>0.66321187820100891</v>
      </c>
      <c r="AC538" s="22">
        <f t="shared" si="120"/>
        <v>0.66418804707908485</v>
      </c>
      <c r="AD538" s="22">
        <f t="shared" si="120"/>
        <v>0.66514571486001184</v>
      </c>
      <c r="AE538" s="22">
        <f t="shared" si="120"/>
        <v>0.66609865124422019</v>
      </c>
      <c r="AF538" s="22">
        <f t="shared" si="120"/>
        <v>0.6670438542979179</v>
      </c>
      <c r="AG538" s="22">
        <f t="shared" si="120"/>
        <v>0.6679737504601575</v>
      </c>
      <c r="AH538" s="22">
        <f t="shared" si="120"/>
        <v>0.66889243380693197</v>
      </c>
      <c r="AI538" s="22">
        <f t="shared" si="120"/>
        <v>0.66980088470454557</v>
      </c>
      <c r="AJ538" s="22">
        <f t="shared" si="120"/>
        <v>0.67070218729143127</v>
      </c>
      <c r="AK538" s="22">
        <f t="shared" si="120"/>
        <v>0.6715687635020805</v>
      </c>
      <c r="AL538" s="22">
        <f t="shared" si="120"/>
        <v>0.67239959945968686</v>
      </c>
      <c r="AM538" s="22">
        <f t="shared" si="120"/>
        <v>0.67320246022643382</v>
      </c>
      <c r="AN538" s="22">
        <f t="shared" si="120"/>
        <v>0.67397116368925725</v>
      </c>
      <c r="AO538" s="22">
        <f t="shared" si="120"/>
        <v>0.67470710433640646</v>
      </c>
      <c r="AP538" s="22">
        <f t="shared" si="120"/>
        <v>0.67540696747773998</v>
      </c>
      <c r="AQ538" s="22">
        <f t="shared" si="120"/>
        <v>0.67606073801688993</v>
      </c>
      <c r="AR538" s="22">
        <f t="shared" si="120"/>
        <v>0.67665913518396625</v>
      </c>
      <c r="AS538" s="22">
        <f t="shared" si="120"/>
        <v>0.67720155443002239</v>
      </c>
      <c r="AT538" s="22">
        <f t="shared" si="120"/>
        <v>0.67768384492554279</v>
      </c>
      <c r="AU538" s="22">
        <f t="shared" si="120"/>
        <v>0.67810577406850514</v>
      </c>
      <c r="AV538" s="22">
        <f t="shared" si="120"/>
        <v>0.67847541629579156</v>
      </c>
      <c r="AW538" s="22">
        <f t="shared" si="120"/>
        <v>0.67874475997097328</v>
      </c>
      <c r="AY538" s="79"/>
    </row>
    <row r="539" spans="1:51" x14ac:dyDescent="0.25">
      <c r="A539" s="95" t="str">
        <f t="shared" si="108"/>
        <v>PQ U&amp;D</v>
      </c>
      <c r="B539" s="95" t="s">
        <v>967</v>
      </c>
      <c r="C539" s="95" t="s">
        <v>1335</v>
      </c>
      <c r="D539" t="s">
        <v>369</v>
      </c>
      <c r="E539" t="s">
        <v>55</v>
      </c>
      <c r="F539" t="s">
        <v>422</v>
      </c>
      <c r="G539" t="s">
        <v>1167</v>
      </c>
      <c r="H539" t="s">
        <v>1247</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0.73708994755228407</v>
      </c>
      <c r="R539" s="22">
        <f t="shared" si="120"/>
        <v>0.74193942345928476</v>
      </c>
      <c r="S539" s="22">
        <f t="shared" si="120"/>
        <v>0.74012019902027282</v>
      </c>
      <c r="T539" s="22">
        <f t="shared" si="120"/>
        <v>0.74139246635166289</v>
      </c>
      <c r="U539" s="22">
        <f t="shared" ref="L539:AW545" si="121">U1490</f>
        <v>0.74151592530175092</v>
      </c>
      <c r="V539" s="22">
        <f t="shared" si="121"/>
        <v>0.74185535866328745</v>
      </c>
      <c r="W539" s="22">
        <f t="shared" si="121"/>
        <v>0.74335608585495871</v>
      </c>
      <c r="X539" s="22">
        <f t="shared" si="121"/>
        <v>0.74556357164156939</v>
      </c>
      <c r="Y539" s="22">
        <f t="shared" si="121"/>
        <v>0.74764732173100068</v>
      </c>
      <c r="Z539" s="22">
        <f t="shared" si="121"/>
        <v>0.74961713361766258</v>
      </c>
      <c r="AA539" s="22">
        <f t="shared" si="121"/>
        <v>0.75147401556229898</v>
      </c>
      <c r="AB539" s="22">
        <f t="shared" si="121"/>
        <v>0.75325638993383137</v>
      </c>
      <c r="AC539" s="22">
        <f t="shared" si="121"/>
        <v>0.75499099939868619</v>
      </c>
      <c r="AD539" s="22">
        <f t="shared" si="121"/>
        <v>0.75666368217952507</v>
      </c>
      <c r="AE539" s="22">
        <f t="shared" si="121"/>
        <v>0.75829956195489012</v>
      </c>
      <c r="AF539" s="22">
        <f t="shared" si="121"/>
        <v>0.75989544125855291</v>
      </c>
      <c r="AG539" s="22">
        <f t="shared" si="121"/>
        <v>0.76144040021050008</v>
      </c>
      <c r="AH539" s="22">
        <f t="shared" si="121"/>
        <v>0.76294284733285755</v>
      </c>
      <c r="AI539" s="22">
        <f t="shared" si="121"/>
        <v>0.76440585179872644</v>
      </c>
      <c r="AJ539" s="22">
        <f t="shared" si="121"/>
        <v>0.76583583721390103</v>
      </c>
      <c r="AK539" s="22">
        <f t="shared" si="121"/>
        <v>0.76718846615565761</v>
      </c>
      <c r="AL539" s="22">
        <f t="shared" si="121"/>
        <v>0.76846341889719361</v>
      </c>
      <c r="AM539" s="22">
        <f t="shared" si="121"/>
        <v>0.769674739992807</v>
      </c>
      <c r="AN539" s="22">
        <f t="shared" si="121"/>
        <v>0.77081339983246644</v>
      </c>
      <c r="AO539" s="22">
        <f t="shared" si="121"/>
        <v>0.77188278784323794</v>
      </c>
      <c r="AP539" s="22">
        <f t="shared" si="121"/>
        <v>0.77287850467741359</v>
      </c>
      <c r="AQ539" s="22">
        <f t="shared" si="121"/>
        <v>0.77378518098285765</v>
      </c>
      <c r="AR539" s="22">
        <f t="shared" si="121"/>
        <v>0.77458869841791256</v>
      </c>
      <c r="AS539" s="22">
        <f t="shared" si="121"/>
        <v>0.77528911180488913</v>
      </c>
      <c r="AT539" s="22">
        <f t="shared" si="121"/>
        <v>0.77588066613277407</v>
      </c>
      <c r="AU539" s="22">
        <f t="shared" si="121"/>
        <v>0.77636396136599817</v>
      </c>
      <c r="AV539" s="22">
        <f t="shared" si="121"/>
        <v>0.77675301530412866</v>
      </c>
      <c r="AW539" s="22">
        <f t="shared" si="121"/>
        <v>0.77697098593778646</v>
      </c>
      <c r="AY539" s="79"/>
    </row>
    <row r="540" spans="1:51" x14ac:dyDescent="0.25">
      <c r="A540" s="95" t="str">
        <f t="shared" si="108"/>
        <v>PQ U&amp;D</v>
      </c>
      <c r="B540" s="95" t="s">
        <v>967</v>
      </c>
      <c r="C540" s="95" t="s">
        <v>1335</v>
      </c>
      <c r="D540" t="s">
        <v>369</v>
      </c>
      <c r="E540" t="s">
        <v>55</v>
      </c>
      <c r="F540" t="s">
        <v>422</v>
      </c>
      <c r="G540" t="s">
        <v>1169</v>
      </c>
      <c r="H540" t="s">
        <v>1248</v>
      </c>
      <c r="I540" t="s">
        <v>139</v>
      </c>
      <c r="J540" t="s">
        <v>287</v>
      </c>
      <c r="K540" s="22">
        <f t="shared" si="117"/>
        <v>1.1867254191644501</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1.2198688909683482</v>
      </c>
      <c r="R540" s="22">
        <f t="shared" si="121"/>
        <v>1.2278946750888551</v>
      </c>
      <c r="S540" s="22">
        <f t="shared" si="121"/>
        <v>1.2248838955955119</v>
      </c>
      <c r="T540" s="22">
        <f t="shared" si="121"/>
        <v>1.2269894721858747</v>
      </c>
      <c r="U540" s="22">
        <f t="shared" si="121"/>
        <v>1.2271937942404954</v>
      </c>
      <c r="V540" s="22">
        <f t="shared" si="121"/>
        <v>1.2277555495590562</v>
      </c>
      <c r="W540" s="22">
        <f t="shared" si="121"/>
        <v>1.2302392225775656</v>
      </c>
      <c r="X540" s="22">
        <f t="shared" si="121"/>
        <v>1.2338925667145779</v>
      </c>
      <c r="Y540" s="22">
        <f t="shared" si="121"/>
        <v>1.2373411307861553</v>
      </c>
      <c r="Z540" s="22">
        <f t="shared" si="121"/>
        <v>1.2406011294465342</v>
      </c>
      <c r="AA540" s="22">
        <f t="shared" si="121"/>
        <v>1.2436742313467632</v>
      </c>
      <c r="AB540" s="22">
        <f t="shared" si="121"/>
        <v>1.2466240247269491</v>
      </c>
      <c r="AC540" s="22">
        <f t="shared" si="121"/>
        <v>1.2494947681568149</v>
      </c>
      <c r="AD540" s="22">
        <f t="shared" si="121"/>
        <v>1.2522630241825274</v>
      </c>
      <c r="AE540" s="22">
        <f t="shared" si="121"/>
        <v>1.2549703719817464</v>
      </c>
      <c r="AF540" s="22">
        <f t="shared" si="121"/>
        <v>1.2576115198128128</v>
      </c>
      <c r="AG540" s="22">
        <f t="shared" si="121"/>
        <v>1.2601683954961149</v>
      </c>
      <c r="AH540" s="22">
        <f t="shared" si="121"/>
        <v>1.2626549149649742</v>
      </c>
      <c r="AI540" s="22">
        <f t="shared" si="121"/>
        <v>1.2650761576385281</v>
      </c>
      <c r="AJ540" s="22">
        <f t="shared" si="121"/>
        <v>1.2674427544538867</v>
      </c>
      <c r="AK540" s="22">
        <f t="shared" si="121"/>
        <v>1.2696813278770511</v>
      </c>
      <c r="AL540" s="22">
        <f t="shared" si="121"/>
        <v>1.2717913487666579</v>
      </c>
      <c r="AM540" s="22">
        <f t="shared" si="121"/>
        <v>1.2737960605747884</v>
      </c>
      <c r="AN540" s="22">
        <f t="shared" si="121"/>
        <v>1.2756805194802561</v>
      </c>
      <c r="AO540" s="22">
        <f t="shared" si="121"/>
        <v>1.2774503349160069</v>
      </c>
      <c r="AP540" s="22">
        <f t="shared" si="121"/>
        <v>1.2790982260509465</v>
      </c>
      <c r="AQ540" s="22">
        <f t="shared" si="121"/>
        <v>1.2805987569194814</v>
      </c>
      <c r="AR540" s="22">
        <f t="shared" si="121"/>
        <v>1.2819285619529504</v>
      </c>
      <c r="AS540" s="22">
        <f t="shared" si="121"/>
        <v>1.2830877318811631</v>
      </c>
      <c r="AT540" s="22">
        <f t="shared" si="121"/>
        <v>1.2840667422777918</v>
      </c>
      <c r="AU540" s="22">
        <f t="shared" si="121"/>
        <v>1.2848665860717841</v>
      </c>
      <c r="AV540" s="22">
        <f t="shared" si="121"/>
        <v>1.2855104624366835</v>
      </c>
      <c r="AW540" s="22">
        <f t="shared" si="121"/>
        <v>1.2858711994078322</v>
      </c>
      <c r="AY540" s="79"/>
    </row>
    <row r="541" spans="1:51" x14ac:dyDescent="0.25">
      <c r="A541" s="95" t="str">
        <f t="shared" si="108"/>
        <v>PQ U&amp;D</v>
      </c>
      <c r="B541" s="95" t="s">
        <v>967</v>
      </c>
      <c r="C541" s="95" t="s">
        <v>1335</v>
      </c>
      <c r="D541" t="s">
        <v>369</v>
      </c>
      <c r="E541" t="s">
        <v>55</v>
      </c>
      <c r="F541" t="s">
        <v>422</v>
      </c>
      <c r="G541" t="s">
        <v>1171</v>
      </c>
      <c r="H541" t="s">
        <v>1249</v>
      </c>
      <c r="I541" t="s">
        <v>139</v>
      </c>
      <c r="J541" t="s">
        <v>287</v>
      </c>
      <c r="K541" s="22">
        <f t="shared" si="117"/>
        <v>0.19147730421375916</v>
      </c>
      <c r="L541" s="22">
        <f t="shared" si="121"/>
        <v>0.19240499933397132</v>
      </c>
      <c r="M541" s="22">
        <f t="shared" si="121"/>
        <v>0.19381280191845884</v>
      </c>
      <c r="N541" s="22">
        <f t="shared" si="121"/>
        <v>0.19411375969056655</v>
      </c>
      <c r="O541" s="22">
        <f t="shared" si="121"/>
        <v>0.19368291106027893</v>
      </c>
      <c r="P541" s="22">
        <f t="shared" si="121"/>
        <v>0.19253602379697463</v>
      </c>
      <c r="Q541" s="22">
        <f t="shared" si="121"/>
        <v>0.19190012409058904</v>
      </c>
      <c r="R541" s="22">
        <f t="shared" si="121"/>
        <v>0.19132863754616411</v>
      </c>
      <c r="S541" s="22">
        <f t="shared" si="121"/>
        <v>0.18266880885015579</v>
      </c>
      <c r="T541" s="22">
        <f t="shared" si="121"/>
        <v>0.18809378134692423</v>
      </c>
      <c r="U541" s="22">
        <f t="shared" si="121"/>
        <v>0.19079942650123977</v>
      </c>
      <c r="V541" s="22">
        <f t="shared" si="121"/>
        <v>0.19120805768125793</v>
      </c>
      <c r="W541" s="22">
        <f t="shared" si="121"/>
        <v>0.191567581973451</v>
      </c>
      <c r="X541" s="22">
        <f t="shared" si="121"/>
        <v>0.19243995083448096</v>
      </c>
      <c r="Y541" s="22">
        <f t="shared" si="121"/>
        <v>0.1939290152815269</v>
      </c>
      <c r="Z541" s="22">
        <f t="shared" si="121"/>
        <v>0.19572566733105584</v>
      </c>
      <c r="AA541" s="22">
        <f t="shared" si="121"/>
        <v>0.19791142753361757</v>
      </c>
      <c r="AB541" s="22">
        <f t="shared" si="121"/>
        <v>0.20073163120248141</v>
      </c>
      <c r="AC541" s="22">
        <f t="shared" si="121"/>
        <v>0.20414944143031946</v>
      </c>
      <c r="AD541" s="22">
        <f t="shared" si="121"/>
        <v>0.2079342142091529</v>
      </c>
      <c r="AE541" s="22">
        <f t="shared" si="121"/>
        <v>0.2120704701686861</v>
      </c>
      <c r="AF541" s="22">
        <f t="shared" si="121"/>
        <v>0.21643036681214611</v>
      </c>
      <c r="AG541" s="22">
        <f t="shared" si="121"/>
        <v>0.22107481526755876</v>
      </c>
      <c r="AH541" s="22">
        <f t="shared" si="121"/>
        <v>0.22594299924319575</v>
      </c>
      <c r="AI541" s="22">
        <f t="shared" si="121"/>
        <v>0.23081287404445633</v>
      </c>
      <c r="AJ541" s="22">
        <f t="shared" si="121"/>
        <v>0.23600481014510816</v>
      </c>
      <c r="AK541" s="22">
        <f t="shared" si="121"/>
        <v>0.24132262653826006</v>
      </c>
      <c r="AL541" s="22">
        <f t="shared" si="121"/>
        <v>0.24675186109010536</v>
      </c>
      <c r="AM541" s="22">
        <f t="shared" si="121"/>
        <v>0.25238913765935056</v>
      </c>
      <c r="AN541" s="22">
        <f t="shared" si="121"/>
        <v>0.25799715238539928</v>
      </c>
      <c r="AO541" s="22">
        <f t="shared" si="121"/>
        <v>0.26391035530015045</v>
      </c>
      <c r="AP541" s="22">
        <f t="shared" si="121"/>
        <v>0.27025468976471112</v>
      </c>
      <c r="AQ541" s="22">
        <f t="shared" si="121"/>
        <v>0.27683409216202315</v>
      </c>
      <c r="AR541" s="22">
        <f t="shared" si="121"/>
        <v>0.28366954305937575</v>
      </c>
      <c r="AS541" s="22">
        <f t="shared" si="121"/>
        <v>0.29099654328717883</v>
      </c>
      <c r="AT541" s="22">
        <f t="shared" si="121"/>
        <v>0.29875152246319292</v>
      </c>
      <c r="AU541" s="22">
        <f t="shared" si="121"/>
        <v>0.30689307002053717</v>
      </c>
      <c r="AV541" s="22">
        <f t="shared" si="121"/>
        <v>0.31557625829716562</v>
      </c>
      <c r="AW541" s="22">
        <f t="shared" si="121"/>
        <v>0.32396777623584005</v>
      </c>
      <c r="AY541" s="79"/>
    </row>
    <row r="542" spans="1:51" x14ac:dyDescent="0.25">
      <c r="A542" s="95" t="str">
        <f t="shared" si="108"/>
        <v>PQ U&amp;D</v>
      </c>
      <c r="B542" s="95" t="s">
        <v>967</v>
      </c>
      <c r="C542" s="95" t="s">
        <v>1335</v>
      </c>
      <c r="D542" t="s">
        <v>369</v>
      </c>
      <c r="E542" t="s">
        <v>55</v>
      </c>
      <c r="F542" t="s">
        <v>422</v>
      </c>
      <c r="G542" t="s">
        <v>1173</v>
      </c>
      <c r="H542" t="s">
        <v>1250</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5">
      <c r="A543" s="95" t="str">
        <f t="shared" si="108"/>
        <v>PQ U&amp;D</v>
      </c>
      <c r="B543" s="95" t="s">
        <v>967</v>
      </c>
      <c r="C543" s="95" t="s">
        <v>1335</v>
      </c>
      <c r="D543" t="s">
        <v>369</v>
      </c>
      <c r="E543" t="s">
        <v>55</v>
      </c>
      <c r="F543" t="s">
        <v>422</v>
      </c>
      <c r="G543" t="s">
        <v>1175</v>
      </c>
      <c r="H543" t="s">
        <v>1251</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5">
      <c r="A544" s="95" t="str">
        <f t="shared" si="108"/>
        <v>PQ U&amp;D</v>
      </c>
      <c r="B544" s="95" t="s">
        <v>967</v>
      </c>
      <c r="C544" s="95" t="s">
        <v>1335</v>
      </c>
      <c r="D544" t="s">
        <v>369</v>
      </c>
      <c r="E544" t="s">
        <v>55</v>
      </c>
      <c r="F544" t="s">
        <v>422</v>
      </c>
      <c r="G544" t="s">
        <v>1177</v>
      </c>
      <c r="H544" t="s">
        <v>1252</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5">
      <c r="A545" s="95" t="str">
        <f t="shared" si="108"/>
        <v>PQ U&amp;D</v>
      </c>
      <c r="B545" s="95" t="s">
        <v>967</v>
      </c>
      <c r="C545" s="95" t="s">
        <v>1335</v>
      </c>
      <c r="D545" t="s">
        <v>369</v>
      </c>
      <c r="E545" t="s">
        <v>55</v>
      </c>
      <c r="F545" t="s">
        <v>422</v>
      </c>
      <c r="G545" t="s">
        <v>1179</v>
      </c>
      <c r="H545" t="s">
        <v>1253</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5">
      <c r="A546" s="95" t="str">
        <f t="shared" si="108"/>
        <v>PQ U&amp;D</v>
      </c>
      <c r="B546" s="95" t="s">
        <v>967</v>
      </c>
      <c r="C546" s="95" t="s">
        <v>1335</v>
      </c>
      <c r="D546" t="s">
        <v>369</v>
      </c>
      <c r="E546" t="s">
        <v>55</v>
      </c>
      <c r="F546" t="s">
        <v>422</v>
      </c>
      <c r="G546" t="s">
        <v>1181</v>
      </c>
      <c r="H546" t="s">
        <v>1254</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5">
      <c r="A547" s="95" t="str">
        <f t="shared" si="108"/>
        <v>PQ FSOM</v>
      </c>
      <c r="B547" s="95" t="s">
        <v>967</v>
      </c>
      <c r="C547" s="95" t="s">
        <v>60</v>
      </c>
      <c r="D547" t="s">
        <v>369</v>
      </c>
      <c r="E547" t="s">
        <v>55</v>
      </c>
      <c r="F547" t="s">
        <v>60</v>
      </c>
      <c r="G547" t="s">
        <v>1265</v>
      </c>
      <c r="H547" t="s">
        <v>1266</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5">
      <c r="A548" s="95" t="str">
        <f t="shared" si="108"/>
        <v>PQ FSOM</v>
      </c>
      <c r="B548" s="95" t="s">
        <v>967</v>
      </c>
      <c r="C548" s="95" t="s">
        <v>60</v>
      </c>
      <c r="D548" t="s">
        <v>369</v>
      </c>
      <c r="E548" t="s">
        <v>55</v>
      </c>
      <c r="F548" t="s">
        <v>60</v>
      </c>
      <c r="G548" t="s">
        <v>1267</v>
      </c>
      <c r="H548" t="s">
        <v>1268</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5">
      <c r="A549" s="95" t="str">
        <f t="shared" si="108"/>
        <v>PQ FSOM</v>
      </c>
      <c r="B549" s="95" t="s">
        <v>967</v>
      </c>
      <c r="C549" s="95" t="s">
        <v>60</v>
      </c>
      <c r="D549" t="s">
        <v>369</v>
      </c>
      <c r="E549" t="s">
        <v>55</v>
      </c>
      <c r="F549" t="s">
        <v>60</v>
      </c>
      <c r="G549" t="s">
        <v>1269</v>
      </c>
      <c r="H549" t="s">
        <v>1270</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5">
      <c r="A550" s="95" t="str">
        <f t="shared" si="108"/>
        <v>PQ FSOM</v>
      </c>
      <c r="B550" s="95" t="s">
        <v>967</v>
      </c>
      <c r="C550" s="95" t="s">
        <v>60</v>
      </c>
      <c r="D550" t="s">
        <v>369</v>
      </c>
      <c r="E550" t="s">
        <v>55</v>
      </c>
      <c r="F550" t="s">
        <v>60</v>
      </c>
      <c r="G550" t="s">
        <v>1271</v>
      </c>
      <c r="H550" t="s">
        <v>1272</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5">
      <c r="A551" s="95" t="str">
        <f t="shared" si="108"/>
        <v>PQ FSOM</v>
      </c>
      <c r="B551" s="95" t="s">
        <v>967</v>
      </c>
      <c r="C551" s="95" t="s">
        <v>60</v>
      </c>
      <c r="D551" t="s">
        <v>369</v>
      </c>
      <c r="E551" t="s">
        <v>55</v>
      </c>
      <c r="F551" t="s">
        <v>60</v>
      </c>
      <c r="G551" t="s">
        <v>1273</v>
      </c>
      <c r="H551" t="s">
        <v>1274</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5">
      <c r="A552" s="95" t="str">
        <f t="shared" si="108"/>
        <v>PQ FSOM</v>
      </c>
      <c r="B552" s="95" t="s">
        <v>967</v>
      </c>
      <c r="C552" s="95" t="s">
        <v>60</v>
      </c>
      <c r="D552" t="s">
        <v>369</v>
      </c>
      <c r="E552" t="s">
        <v>55</v>
      </c>
      <c r="F552" t="s">
        <v>60</v>
      </c>
      <c r="G552" t="s">
        <v>1275</v>
      </c>
      <c r="H552" t="s">
        <v>1276</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5">
      <c r="A553" s="95" t="str">
        <f t="shared" si="108"/>
        <v>PQ FSOM</v>
      </c>
      <c r="B553" s="95" t="s">
        <v>967</v>
      </c>
      <c r="C553" s="95" t="s">
        <v>60</v>
      </c>
      <c r="D553" t="s">
        <v>369</v>
      </c>
      <c r="E553" t="s">
        <v>55</v>
      </c>
      <c r="F553" t="s">
        <v>60</v>
      </c>
      <c r="G553" t="s">
        <v>1277</v>
      </c>
      <c r="H553" t="s">
        <v>1278</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5">
      <c r="A554" s="95" t="str">
        <f t="shared" si="108"/>
        <v>PQ FSOM</v>
      </c>
      <c r="B554" s="95" t="s">
        <v>967</v>
      </c>
      <c r="C554" s="95" t="s">
        <v>60</v>
      </c>
      <c r="D554" t="s">
        <v>369</v>
      </c>
      <c r="E554" t="s">
        <v>55</v>
      </c>
      <c r="F554" t="s">
        <v>60</v>
      </c>
      <c r="G554" t="s">
        <v>1279</v>
      </c>
      <c r="H554" t="s">
        <v>1280</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5">
      <c r="A555" s="95" t="str">
        <f t="shared" si="108"/>
        <v>PQ FSOM</v>
      </c>
      <c r="B555" s="95" t="s">
        <v>967</v>
      </c>
      <c r="C555" s="95" t="s">
        <v>60</v>
      </c>
      <c r="D555" t="s">
        <v>369</v>
      </c>
      <c r="E555" t="s">
        <v>55</v>
      </c>
      <c r="F555" t="s">
        <v>60</v>
      </c>
      <c r="G555" t="s">
        <v>1281</v>
      </c>
      <c r="H555" t="s">
        <v>1282</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5">
      <c r="A556" s="95" t="str">
        <f t="shared" si="108"/>
        <v>PQ FSOM</v>
      </c>
      <c r="B556" s="95" t="s">
        <v>967</v>
      </c>
      <c r="C556" s="95" t="s">
        <v>60</v>
      </c>
      <c r="D556" t="s">
        <v>369</v>
      </c>
      <c r="E556" t="s">
        <v>55</v>
      </c>
      <c r="F556" t="s">
        <v>60</v>
      </c>
      <c r="G556" t="s">
        <v>1283</v>
      </c>
      <c r="H556" t="s">
        <v>1284</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5">
      <c r="A557" s="95" t="str">
        <f t="shared" si="108"/>
        <v>PQ FSOM</v>
      </c>
      <c r="B557" s="95" t="s">
        <v>967</v>
      </c>
      <c r="C557" s="95" t="s">
        <v>60</v>
      </c>
      <c r="D557" t="s">
        <v>369</v>
      </c>
      <c r="E557" t="s">
        <v>55</v>
      </c>
      <c r="F557" t="s">
        <v>60</v>
      </c>
      <c r="G557" t="s">
        <v>1285</v>
      </c>
      <c r="H557" t="s">
        <v>1286</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5">
      <c r="A558" s="95" t="str">
        <f t="shared" si="108"/>
        <v>PQ FSOM</v>
      </c>
      <c r="B558" s="95" t="s">
        <v>967</v>
      </c>
      <c r="C558" s="95" t="s">
        <v>60</v>
      </c>
      <c r="D558" t="s">
        <v>369</v>
      </c>
      <c r="E558" t="s">
        <v>55</v>
      </c>
      <c r="F558" t="s">
        <v>60</v>
      </c>
      <c r="G558" t="s">
        <v>1287</v>
      </c>
      <c r="H558" t="s">
        <v>1288</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5">
      <c r="A559" s="95" t="str">
        <f t="shared" si="108"/>
        <v>PQ Volatilisation</v>
      </c>
      <c r="B559" s="95" t="s">
        <v>967</v>
      </c>
      <c r="C559" s="95" t="s">
        <v>62</v>
      </c>
      <c r="D559" t="s">
        <v>369</v>
      </c>
      <c r="E559" t="s">
        <v>61</v>
      </c>
      <c r="F559" t="s">
        <v>62</v>
      </c>
      <c r="G559" t="s">
        <v>435</v>
      </c>
      <c r="H559" t="s">
        <v>1183</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0.66036342435905737</v>
      </c>
      <c r="U559" s="22">
        <f t="shared" si="123"/>
        <v>0.66004971859529549</v>
      </c>
      <c r="V559" s="22">
        <f t="shared" si="123"/>
        <v>0.65987679285209155</v>
      </c>
      <c r="W559" s="22">
        <f t="shared" si="123"/>
        <v>0.65980968039636112</v>
      </c>
      <c r="X559" s="22">
        <f t="shared" si="123"/>
        <v>0.65973729403354264</v>
      </c>
      <c r="Y559" s="22">
        <f t="shared" si="123"/>
        <v>0.6596371673513507</v>
      </c>
      <c r="Z559" s="22">
        <f t="shared" ref="L559:AW566" si="124">Z1510</f>
        <v>0.65951092743964945</v>
      </c>
      <c r="AA559" s="22">
        <f t="shared" si="124"/>
        <v>0.65937292152761395</v>
      </c>
      <c r="AB559" s="22">
        <f t="shared" si="124"/>
        <v>0.65921980493186427</v>
      </c>
      <c r="AC559" s="22">
        <f t="shared" si="124"/>
        <v>0.65904099002136718</v>
      </c>
      <c r="AD559" s="22">
        <f t="shared" si="124"/>
        <v>0.6588390077412124</v>
      </c>
      <c r="AE559" s="22">
        <f t="shared" si="124"/>
        <v>0.65862502813307378</v>
      </c>
      <c r="AF559" s="22">
        <f t="shared" si="124"/>
        <v>0.65840030111280701</v>
      </c>
      <c r="AG559" s="22">
        <f t="shared" si="124"/>
        <v>0.65817083248767305</v>
      </c>
      <c r="AH559" s="22">
        <f t="shared" si="124"/>
        <v>0.65793473576190653</v>
      </c>
      <c r="AI559" s="22">
        <f t="shared" si="124"/>
        <v>0.65769490947439302</v>
      </c>
      <c r="AJ559" s="22">
        <f t="shared" si="124"/>
        <v>0.65746015679174796</v>
      </c>
      <c r="AK559" s="22">
        <f t="shared" si="124"/>
        <v>0.65721839556094175</v>
      </c>
      <c r="AL559" s="22">
        <f t="shared" si="124"/>
        <v>0.65697772026100598</v>
      </c>
      <c r="AM559" s="22">
        <f t="shared" si="124"/>
        <v>0.65673876647835383</v>
      </c>
      <c r="AN559" s="22">
        <f t="shared" si="124"/>
        <v>0.65649818227366441</v>
      </c>
      <c r="AO559" s="22">
        <f t="shared" si="124"/>
        <v>0.65626429517048157</v>
      </c>
      <c r="AP559" s="22">
        <f t="shared" si="124"/>
        <v>0.65602587146144697</v>
      </c>
      <c r="AQ559" s="22">
        <f t="shared" si="124"/>
        <v>0.65577947514353263</v>
      </c>
      <c r="AR559" s="22">
        <f t="shared" si="124"/>
        <v>0.65553213474499905</v>
      </c>
      <c r="AS559" s="22">
        <f t="shared" si="124"/>
        <v>0.65528365550023426</v>
      </c>
      <c r="AT559" s="22">
        <f t="shared" si="124"/>
        <v>0.65502749591835585</v>
      </c>
      <c r="AU559" s="22">
        <f t="shared" si="124"/>
        <v>0.65476643110027843</v>
      </c>
      <c r="AV559" s="22">
        <f t="shared" si="124"/>
        <v>0.65450232737774761</v>
      </c>
      <c r="AW559" s="22">
        <f t="shared" si="124"/>
        <v>0.65423151331477958</v>
      </c>
      <c r="AY559" s="79"/>
    </row>
    <row r="560" spans="1:51" x14ac:dyDescent="0.25">
      <c r="A560" s="95" t="str">
        <f t="shared" si="108"/>
        <v>PQ Volatilisation</v>
      </c>
      <c r="B560" s="95" t="s">
        <v>967</v>
      </c>
      <c r="C560" s="95" t="s">
        <v>62</v>
      </c>
      <c r="D560" t="s">
        <v>369</v>
      </c>
      <c r="E560" t="s">
        <v>61</v>
      </c>
      <c r="F560" t="s">
        <v>62</v>
      </c>
      <c r="G560" t="s">
        <v>436</v>
      </c>
      <c r="H560" t="s">
        <v>1184</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8.7167972015395577E-3</v>
      </c>
      <c r="U560" s="22">
        <f t="shared" si="124"/>
        <v>8.7126562854578996E-3</v>
      </c>
      <c r="V560" s="22">
        <f t="shared" si="124"/>
        <v>8.7103736656476104E-3</v>
      </c>
      <c r="W560" s="22">
        <f t="shared" si="124"/>
        <v>8.7094877812319699E-3</v>
      </c>
      <c r="X560" s="22">
        <f t="shared" si="124"/>
        <v>8.7085322812427632E-3</v>
      </c>
      <c r="Y560" s="22">
        <f t="shared" si="124"/>
        <v>8.7072106090378288E-3</v>
      </c>
      <c r="Z560" s="22">
        <f t="shared" si="124"/>
        <v>8.7055442422033745E-3</v>
      </c>
      <c r="AA560" s="22">
        <f t="shared" si="124"/>
        <v>8.7037225641645056E-3</v>
      </c>
      <c r="AB560" s="22">
        <f t="shared" si="124"/>
        <v>8.7017014251006084E-3</v>
      </c>
      <c r="AC560" s="22">
        <f t="shared" si="124"/>
        <v>8.699341068282046E-3</v>
      </c>
      <c r="AD560" s="22">
        <f t="shared" si="124"/>
        <v>8.6966749021840043E-3</v>
      </c>
      <c r="AE560" s="22">
        <f t="shared" si="124"/>
        <v>8.6938503713565752E-3</v>
      </c>
      <c r="AF560" s="22">
        <f t="shared" si="124"/>
        <v>8.6908839746890534E-3</v>
      </c>
      <c r="AG560" s="22">
        <f t="shared" si="124"/>
        <v>8.687854988837283E-3</v>
      </c>
      <c r="AH560" s="22">
        <f t="shared" si="124"/>
        <v>8.6847385120571701E-3</v>
      </c>
      <c r="AI560" s="22">
        <f t="shared" si="124"/>
        <v>8.6815728050619895E-3</v>
      </c>
      <c r="AJ560" s="22">
        <f t="shared" si="124"/>
        <v>8.6784740696510734E-3</v>
      </c>
      <c r="AK560" s="22">
        <f t="shared" si="124"/>
        <v>8.6752828214044318E-3</v>
      </c>
      <c r="AL560" s="22">
        <f t="shared" si="124"/>
        <v>8.672105907445278E-3</v>
      </c>
      <c r="AM560" s="22">
        <f t="shared" si="124"/>
        <v>8.6689517175142713E-3</v>
      </c>
      <c r="AN560" s="22">
        <f t="shared" si="124"/>
        <v>8.6657760060123695E-3</v>
      </c>
      <c r="AO560" s="22">
        <f t="shared" si="124"/>
        <v>8.6626886962503594E-3</v>
      </c>
      <c r="AP560" s="22">
        <f t="shared" si="124"/>
        <v>8.6595415032911013E-3</v>
      </c>
      <c r="AQ560" s="22">
        <f t="shared" si="124"/>
        <v>8.6562890718946302E-3</v>
      </c>
      <c r="AR560" s="22">
        <f t="shared" si="124"/>
        <v>8.65302417863399E-3</v>
      </c>
      <c r="AS560" s="22">
        <f t="shared" si="124"/>
        <v>8.6497442526030921E-3</v>
      </c>
      <c r="AT560" s="22">
        <f t="shared" si="124"/>
        <v>8.6463629461222963E-3</v>
      </c>
      <c r="AU560" s="22">
        <f t="shared" si="124"/>
        <v>8.6429168905236796E-3</v>
      </c>
      <c r="AV560" s="22">
        <f t="shared" si="124"/>
        <v>8.6394307213862702E-3</v>
      </c>
      <c r="AW560" s="22">
        <f t="shared" si="124"/>
        <v>8.6358559757550891E-3</v>
      </c>
      <c r="AY560" s="79"/>
    </row>
    <row r="561" spans="1:51" x14ac:dyDescent="0.25">
      <c r="A561" s="95" t="str">
        <f t="shared" si="108"/>
        <v>PQ Volatilisation</v>
      </c>
      <c r="B561" s="95" t="s">
        <v>967</v>
      </c>
      <c r="C561" s="95" t="s">
        <v>62</v>
      </c>
      <c r="D561" t="s">
        <v>369</v>
      </c>
      <c r="E561" t="s">
        <v>61</v>
      </c>
      <c r="F561" t="s">
        <v>62</v>
      </c>
      <c r="G561" t="s">
        <v>437</v>
      </c>
      <c r="H561" t="s">
        <v>1185</v>
      </c>
      <c r="I561" t="s">
        <v>139</v>
      </c>
      <c r="J561" t="s">
        <v>287</v>
      </c>
      <c r="K561" s="22">
        <f t="shared" si="117"/>
        <v>1.2008407282256133</v>
      </c>
      <c r="L561" s="22">
        <f t="shared" si="124"/>
        <v>1.2019035107607592</v>
      </c>
      <c r="M561" s="22">
        <f t="shared" si="124"/>
        <v>1.2088775122881088</v>
      </c>
      <c r="N561" s="22">
        <f t="shared" si="124"/>
        <v>1.2055442230548152</v>
      </c>
      <c r="O561" s="22">
        <f t="shared" si="124"/>
        <v>1.1958435838326273</v>
      </c>
      <c r="P561" s="22">
        <f t="shared" si="124"/>
        <v>1.1799964998501222</v>
      </c>
      <c r="Q561" s="22">
        <f t="shared" si="124"/>
        <v>1.169776622170569</v>
      </c>
      <c r="R561" s="22">
        <f t="shared" si="124"/>
        <v>1.1606871439933113</v>
      </c>
      <c r="S561" s="22">
        <f t="shared" si="124"/>
        <v>1.0635026929062164</v>
      </c>
      <c r="T561" s="22">
        <f t="shared" si="124"/>
        <v>1.1127914653577025</v>
      </c>
      <c r="U561" s="22">
        <f t="shared" si="124"/>
        <v>1.1339456607288676</v>
      </c>
      <c r="V561" s="22">
        <f t="shared" si="124"/>
        <v>1.1334093263464944</v>
      </c>
      <c r="W561" s="22">
        <f t="shared" si="124"/>
        <v>1.1341671660422112</v>
      </c>
      <c r="X561" s="22">
        <f t="shared" si="124"/>
        <v>1.1408235439735572</v>
      </c>
      <c r="Y561" s="22">
        <f t="shared" si="124"/>
        <v>1.1530569851412431</v>
      </c>
      <c r="Z561" s="22">
        <f t="shared" si="124"/>
        <v>1.1679322279348805</v>
      </c>
      <c r="AA561" s="22">
        <f t="shared" si="124"/>
        <v>1.1861792833479095</v>
      </c>
      <c r="AB561" s="22">
        <f t="shared" si="124"/>
        <v>1.2100969940218784</v>
      </c>
      <c r="AC561" s="22">
        <f t="shared" si="124"/>
        <v>1.2393194864291859</v>
      </c>
      <c r="AD561" s="22">
        <f t="shared" si="124"/>
        <v>1.2672278032377093</v>
      </c>
      <c r="AE561" s="22">
        <f t="shared" si="124"/>
        <v>1.2977962214580763</v>
      </c>
      <c r="AF561" s="22">
        <f t="shared" si="124"/>
        <v>1.329788063562543</v>
      </c>
      <c r="AG561" s="22">
        <f t="shared" si="124"/>
        <v>1.3636827815165269</v>
      </c>
      <c r="AH561" s="22">
        <f t="shared" si="124"/>
        <v>1.3988919386644247</v>
      </c>
      <c r="AI561" s="22">
        <f t="shared" si="124"/>
        <v>1.4334139363721508</v>
      </c>
      <c r="AJ561" s="22">
        <f t="shared" si="124"/>
        <v>1.4700649477851668</v>
      </c>
      <c r="AK561" s="22">
        <f t="shared" si="124"/>
        <v>1.5069886120645011</v>
      </c>
      <c r="AL561" s="22">
        <f t="shared" si="124"/>
        <v>1.5440287360100955</v>
      </c>
      <c r="AM561" s="22">
        <f t="shared" si="124"/>
        <v>1.5820093604594603</v>
      </c>
      <c r="AN561" s="22">
        <f t="shared" si="124"/>
        <v>1.6219033183214897</v>
      </c>
      <c r="AO561" s="22">
        <f t="shared" si="124"/>
        <v>1.6636708318066389</v>
      </c>
      <c r="AP561" s="22">
        <f t="shared" si="124"/>
        <v>1.7082959626143681</v>
      </c>
      <c r="AQ561" s="22">
        <f t="shared" si="124"/>
        <v>1.7540375132373072</v>
      </c>
      <c r="AR561" s="22">
        <f t="shared" si="124"/>
        <v>1.8009857640186506</v>
      </c>
      <c r="AS561" s="22">
        <f t="shared" si="124"/>
        <v>1.8510064312178449</v>
      </c>
      <c r="AT561" s="22">
        <f t="shared" si="124"/>
        <v>1.9034681141674186</v>
      </c>
      <c r="AU561" s="22">
        <f t="shared" si="124"/>
        <v>1.9579460640600546</v>
      </c>
      <c r="AV561" s="22">
        <f t="shared" si="124"/>
        <v>2.0156248390942006</v>
      </c>
      <c r="AW561" s="22">
        <f t="shared" si="124"/>
        <v>2.0696024098416643</v>
      </c>
      <c r="AY561" s="79"/>
    </row>
    <row r="562" spans="1:51" x14ac:dyDescent="0.25">
      <c r="A562" s="95" t="str">
        <f t="shared" si="108"/>
        <v>PQ Volatilisation</v>
      </c>
      <c r="B562" s="95" t="s">
        <v>967</v>
      </c>
      <c r="C562" s="95" t="s">
        <v>62</v>
      </c>
      <c r="D562" t="s">
        <v>369</v>
      </c>
      <c r="E562" t="s">
        <v>61</v>
      </c>
      <c r="F562" t="s">
        <v>62</v>
      </c>
      <c r="G562" t="s">
        <v>438</v>
      </c>
      <c r="H562" t="s">
        <v>1264</v>
      </c>
      <c r="I562" t="s">
        <v>139</v>
      </c>
      <c r="J562" t="s">
        <v>287</v>
      </c>
      <c r="K562" s="22">
        <f t="shared" si="117"/>
        <v>4.3975799639737021</v>
      </c>
      <c r="L562" s="22">
        <f t="shared" si="124"/>
        <v>4.3787767883653972</v>
      </c>
      <c r="M562" s="22">
        <f t="shared" si="124"/>
        <v>4.3752716537638934</v>
      </c>
      <c r="N562" s="22">
        <f t="shared" si="124"/>
        <v>4.3473821211305586</v>
      </c>
      <c r="O562" s="22">
        <f t="shared" si="124"/>
        <v>4.3052096453824591</v>
      </c>
      <c r="P562" s="22">
        <f t="shared" si="124"/>
        <v>4.2496956169043703</v>
      </c>
      <c r="Q562" s="22">
        <f t="shared" si="124"/>
        <v>4.2083609134426787</v>
      </c>
      <c r="R562" s="22">
        <f t="shared" si="124"/>
        <v>4.1703852155628214</v>
      </c>
      <c r="S562" s="22">
        <f t="shared" si="124"/>
        <v>3.920518553769567</v>
      </c>
      <c r="T562" s="22">
        <f t="shared" si="124"/>
        <v>4.022224403214822</v>
      </c>
      <c r="U562" s="22">
        <f t="shared" si="124"/>
        <v>4.0573246422564955</v>
      </c>
      <c r="V562" s="22">
        <f t="shared" si="124"/>
        <v>4.0437027667632135</v>
      </c>
      <c r="W562" s="22">
        <f t="shared" si="124"/>
        <v>4.0349744796970102</v>
      </c>
      <c r="X562" s="22">
        <f t="shared" si="124"/>
        <v>4.0404911436640738</v>
      </c>
      <c r="Y562" s="22">
        <f t="shared" si="124"/>
        <v>4.0578866533033189</v>
      </c>
      <c r="Z562" s="22">
        <f t="shared" si="124"/>
        <v>4.0805365209798321</v>
      </c>
      <c r="AA562" s="22">
        <f t="shared" si="124"/>
        <v>4.109915060040195</v>
      </c>
      <c r="AB562" s="22">
        <f t="shared" si="124"/>
        <v>4.1509048491402085</v>
      </c>
      <c r="AC562" s="22">
        <f t="shared" si="124"/>
        <v>4.202533390484211</v>
      </c>
      <c r="AD562" s="22">
        <f t="shared" si="124"/>
        <v>4.2406560670580085</v>
      </c>
      <c r="AE562" s="22">
        <f t="shared" si="124"/>
        <v>4.2827934559696441</v>
      </c>
      <c r="AF562" s="22">
        <f t="shared" si="124"/>
        <v>4.3261652521730651</v>
      </c>
      <c r="AG562" s="22">
        <f t="shared" si="124"/>
        <v>4.3716097132066274</v>
      </c>
      <c r="AH562" s="22">
        <f t="shared" si="124"/>
        <v>4.417783804127744</v>
      </c>
      <c r="AI562" s="22">
        <f t="shared" si="124"/>
        <v>4.46055260064648</v>
      </c>
      <c r="AJ562" s="22">
        <f t="shared" si="124"/>
        <v>4.5055232078089906</v>
      </c>
      <c r="AK562" s="22">
        <f t="shared" si="124"/>
        <v>4.5487963787371326</v>
      </c>
      <c r="AL562" s="22">
        <f t="shared" si="124"/>
        <v>4.5900121260194853</v>
      </c>
      <c r="AM562" s="22">
        <f t="shared" si="124"/>
        <v>4.6307205405262888</v>
      </c>
      <c r="AN562" s="22">
        <f t="shared" si="124"/>
        <v>4.6802451384074173</v>
      </c>
      <c r="AO562" s="22">
        <f t="shared" si="124"/>
        <v>4.7313734673669652</v>
      </c>
      <c r="AP562" s="22">
        <f t="shared" si="124"/>
        <v>4.7857847377648062</v>
      </c>
      <c r="AQ562" s="22">
        <f t="shared" si="124"/>
        <v>4.8400720712169321</v>
      </c>
      <c r="AR562" s="22">
        <f t="shared" si="124"/>
        <v>4.8942825787604232</v>
      </c>
      <c r="AS562" s="22">
        <f t="shared" si="124"/>
        <v>4.9516552239356777</v>
      </c>
      <c r="AT562" s="22">
        <f t="shared" si="124"/>
        <v>5.010848202184258</v>
      </c>
      <c r="AU562" s="22">
        <f t="shared" si="124"/>
        <v>5.070940832499133</v>
      </c>
      <c r="AV562" s="22">
        <f t="shared" si="124"/>
        <v>5.1338473778737468</v>
      </c>
      <c r="AW562" s="22">
        <f t="shared" si="124"/>
        <v>5.1874285866281769</v>
      </c>
      <c r="AY562" s="79"/>
    </row>
    <row r="563" spans="1:51" x14ac:dyDescent="0.25">
      <c r="A563" s="95" t="str">
        <f t="shared" si="108"/>
        <v>PQ Leaching</v>
      </c>
      <c r="B563" s="95" t="s">
        <v>967</v>
      </c>
      <c r="C563" s="95" t="s">
        <v>1189</v>
      </c>
      <c r="D563" t="s">
        <v>369</v>
      </c>
      <c r="E563" t="s">
        <v>61</v>
      </c>
      <c r="F563" t="s">
        <v>63</v>
      </c>
      <c r="G563" t="s">
        <v>435</v>
      </c>
      <c r="H563" t="s">
        <v>1186</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2.2782538140387479E-4</v>
      </c>
      <c r="U563" s="22">
        <f t="shared" si="124"/>
        <v>2.2771715291537687E-4</v>
      </c>
      <c r="V563" s="22">
        <f t="shared" si="124"/>
        <v>2.2765749353397156E-4</v>
      </c>
      <c r="W563" s="22">
        <f t="shared" si="124"/>
        <v>2.2763433973674462E-4</v>
      </c>
      <c r="X563" s="22">
        <f t="shared" si="124"/>
        <v>2.2760936644157216E-4</v>
      </c>
      <c r="Y563" s="22">
        <f t="shared" si="124"/>
        <v>2.2757482273621599E-4</v>
      </c>
      <c r="Z563" s="22">
        <f t="shared" si="124"/>
        <v>2.27531269966679E-4</v>
      </c>
      <c r="AA563" s="22">
        <f t="shared" si="124"/>
        <v>2.2748365792702683E-4</v>
      </c>
      <c r="AB563" s="22">
        <f t="shared" si="124"/>
        <v>2.2743083270149308E-4</v>
      </c>
      <c r="AC563" s="22">
        <f t="shared" si="124"/>
        <v>2.2736914155737162E-4</v>
      </c>
      <c r="AD563" s="22">
        <f t="shared" si="124"/>
        <v>2.272994576707182E-4</v>
      </c>
      <c r="AE563" s="22">
        <f t="shared" si="124"/>
        <v>2.2722563470591042E-4</v>
      </c>
      <c r="AF563" s="22">
        <f t="shared" si="124"/>
        <v>2.2714810388391836E-4</v>
      </c>
      <c r="AG563" s="22">
        <f t="shared" si="124"/>
        <v>2.2706893720824713E-4</v>
      </c>
      <c r="AH563" s="22">
        <f t="shared" si="124"/>
        <v>2.2698748383785777E-4</v>
      </c>
      <c r="AI563" s="22">
        <f t="shared" si="124"/>
        <v>2.2690474376866552E-4</v>
      </c>
      <c r="AJ563" s="22">
        <f t="shared" si="124"/>
        <v>2.2682375409315307E-4</v>
      </c>
      <c r="AK563" s="22">
        <f t="shared" si="124"/>
        <v>2.2674034646852486E-4</v>
      </c>
      <c r="AL563" s="22">
        <f t="shared" si="124"/>
        <v>2.26657313490047E-4</v>
      </c>
      <c r="AM563" s="22">
        <f t="shared" si="124"/>
        <v>2.2657487443503212E-4</v>
      </c>
      <c r="AN563" s="22">
        <f t="shared" si="124"/>
        <v>2.2649187288441419E-4</v>
      </c>
      <c r="AO563" s="22">
        <f t="shared" si="124"/>
        <v>2.2641118183381611E-4</v>
      </c>
      <c r="AP563" s="22">
        <f t="shared" si="124"/>
        <v>2.2632892565419918E-4</v>
      </c>
      <c r="AQ563" s="22">
        <f t="shared" si="124"/>
        <v>2.2624391892451869E-4</v>
      </c>
      <c r="AR563" s="22">
        <f t="shared" si="124"/>
        <v>2.2615858648702465E-4</v>
      </c>
      <c r="AS563" s="22">
        <f t="shared" si="124"/>
        <v>2.2607286114758075E-4</v>
      </c>
      <c r="AT563" s="22">
        <f t="shared" si="124"/>
        <v>2.2598448609183276E-4</v>
      </c>
      <c r="AU563" s="22">
        <f t="shared" si="124"/>
        <v>2.2589441872959606E-4</v>
      </c>
      <c r="AV563" s="22">
        <f t="shared" si="124"/>
        <v>2.2580330294532294E-4</v>
      </c>
      <c r="AW563" s="22">
        <f t="shared" si="124"/>
        <v>2.2570987209359888E-4</v>
      </c>
      <c r="AY563" s="79"/>
    </row>
    <row r="564" spans="1:51" x14ac:dyDescent="0.25">
      <c r="A564" s="95" t="str">
        <f t="shared" si="108"/>
        <v>PQ Leaching</v>
      </c>
      <c r="B564" s="95" t="s">
        <v>967</v>
      </c>
      <c r="C564" s="95" t="s">
        <v>1189</v>
      </c>
      <c r="D564" t="s">
        <v>369</v>
      </c>
      <c r="E564" t="s">
        <v>61</v>
      </c>
      <c r="F564" t="s">
        <v>63</v>
      </c>
      <c r="G564" t="s">
        <v>436</v>
      </c>
      <c r="H564" t="s">
        <v>1187</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1.5036475172655738E-6</v>
      </c>
      <c r="U564" s="22">
        <f t="shared" si="124"/>
        <v>1.5029332092414877E-6</v>
      </c>
      <c r="V564" s="22">
        <f t="shared" si="124"/>
        <v>1.5025394573242125E-6</v>
      </c>
      <c r="W564" s="22">
        <f t="shared" si="124"/>
        <v>1.5023866422625144E-6</v>
      </c>
      <c r="X564" s="22">
        <f t="shared" si="124"/>
        <v>1.5022218185143764E-6</v>
      </c>
      <c r="Y564" s="22">
        <f t="shared" si="124"/>
        <v>1.5019938300590255E-6</v>
      </c>
      <c r="Z564" s="22">
        <f t="shared" si="124"/>
        <v>1.5017063817800821E-6</v>
      </c>
      <c r="AA564" s="22">
        <f t="shared" si="124"/>
        <v>1.5013921423183768E-6</v>
      </c>
      <c r="AB564" s="22">
        <f t="shared" si="124"/>
        <v>1.5010434958298549E-6</v>
      </c>
      <c r="AC564" s="22">
        <f t="shared" si="124"/>
        <v>1.5006363342786528E-6</v>
      </c>
      <c r="AD564" s="22">
        <f t="shared" si="124"/>
        <v>1.5001764206267405E-6</v>
      </c>
      <c r="AE564" s="22">
        <f t="shared" si="124"/>
        <v>1.4996891890590088E-6</v>
      </c>
      <c r="AF564" s="22">
        <f t="shared" si="124"/>
        <v>1.4991774856338616E-6</v>
      </c>
      <c r="AG564" s="22">
        <f t="shared" si="124"/>
        <v>1.4986549855744315E-6</v>
      </c>
      <c r="AH564" s="22">
        <f t="shared" si="124"/>
        <v>1.4981173933298619E-6</v>
      </c>
      <c r="AI564" s="22">
        <f t="shared" si="124"/>
        <v>1.4975713088731927E-6</v>
      </c>
      <c r="AJ564" s="22">
        <f t="shared" si="124"/>
        <v>1.4970367770148105E-6</v>
      </c>
      <c r="AK564" s="22">
        <f t="shared" si="124"/>
        <v>1.4964862866922644E-6</v>
      </c>
      <c r="AL564" s="22">
        <f t="shared" si="124"/>
        <v>1.4959382690343105E-6</v>
      </c>
      <c r="AM564" s="22">
        <f t="shared" si="124"/>
        <v>1.4953941712712119E-6</v>
      </c>
      <c r="AN564" s="22">
        <f t="shared" si="124"/>
        <v>1.4948463610371335E-6</v>
      </c>
      <c r="AO564" s="22">
        <f t="shared" si="124"/>
        <v>1.4943138001031867E-6</v>
      </c>
      <c r="AP564" s="22">
        <f t="shared" si="124"/>
        <v>1.4937709093177149E-6</v>
      </c>
      <c r="AQ564" s="22">
        <f t="shared" si="124"/>
        <v>1.4932098649018236E-6</v>
      </c>
      <c r="AR564" s="22">
        <f t="shared" si="124"/>
        <v>1.4926466708143633E-6</v>
      </c>
      <c r="AS564" s="22">
        <f t="shared" si="124"/>
        <v>1.4920808835740333E-6</v>
      </c>
      <c r="AT564" s="22">
        <f t="shared" si="124"/>
        <v>1.4914976082060963E-6</v>
      </c>
      <c r="AU564" s="22">
        <f t="shared" si="124"/>
        <v>1.4909031636153342E-6</v>
      </c>
      <c r="AV564" s="22">
        <f t="shared" si="124"/>
        <v>1.4903017994391313E-6</v>
      </c>
      <c r="AW564" s="22">
        <f t="shared" si="124"/>
        <v>1.4896851558177531E-6</v>
      </c>
      <c r="AY564" s="79"/>
    </row>
    <row r="565" spans="1:51" x14ac:dyDescent="0.25">
      <c r="A565" s="95" t="str">
        <f t="shared" si="108"/>
        <v>PQ Leaching</v>
      </c>
      <c r="B565" s="95" t="s">
        <v>967</v>
      </c>
      <c r="C565" s="95" t="s">
        <v>1189</v>
      </c>
      <c r="D565" t="s">
        <v>369</v>
      </c>
      <c r="E565" t="s">
        <v>61</v>
      </c>
      <c r="F565" t="s">
        <v>63</v>
      </c>
      <c r="G565" t="s">
        <v>437</v>
      </c>
      <c r="H565" t="s">
        <v>1188</v>
      </c>
      <c r="I565" t="s">
        <v>139</v>
      </c>
      <c r="J565" t="s">
        <v>287</v>
      </c>
      <c r="K565" s="22">
        <f t="shared" si="117"/>
        <v>0.20714502561891826</v>
      </c>
      <c r="L565" s="22">
        <f t="shared" si="124"/>
        <v>0.20732835560623097</v>
      </c>
      <c r="M565" s="22">
        <f t="shared" si="124"/>
        <v>0.20853137086969875</v>
      </c>
      <c r="N565" s="22">
        <f t="shared" si="124"/>
        <v>0.20795637847695561</v>
      </c>
      <c r="O565" s="22">
        <f t="shared" si="124"/>
        <v>0.20628301821112818</v>
      </c>
      <c r="P565" s="22">
        <f t="shared" si="124"/>
        <v>0.20354939622414608</v>
      </c>
      <c r="Q565" s="22">
        <f t="shared" si="124"/>
        <v>0.20178646732442315</v>
      </c>
      <c r="R565" s="22">
        <f t="shared" si="124"/>
        <v>0.20021853233884618</v>
      </c>
      <c r="S565" s="22">
        <f t="shared" si="124"/>
        <v>0.18345421452632232</v>
      </c>
      <c r="T565" s="22">
        <f t="shared" si="124"/>
        <v>0.19195652777420363</v>
      </c>
      <c r="U565" s="22">
        <f t="shared" si="124"/>
        <v>0.19560562647572965</v>
      </c>
      <c r="V565" s="22">
        <f t="shared" si="124"/>
        <v>0.19551310879477027</v>
      </c>
      <c r="W565" s="22">
        <f t="shared" si="124"/>
        <v>0.19564383614228145</v>
      </c>
      <c r="X565" s="22">
        <f t="shared" si="124"/>
        <v>0.19679206133543856</v>
      </c>
      <c r="Y565" s="22">
        <f t="shared" si="124"/>
        <v>0.19890232993686438</v>
      </c>
      <c r="Z565" s="22">
        <f t="shared" si="124"/>
        <v>0.20146830931876691</v>
      </c>
      <c r="AA565" s="22">
        <f t="shared" si="124"/>
        <v>0.20461592637751433</v>
      </c>
      <c r="AB565" s="22">
        <f t="shared" si="124"/>
        <v>0.20874173146877406</v>
      </c>
      <c r="AC565" s="22">
        <f t="shared" si="124"/>
        <v>0.21378261140903454</v>
      </c>
      <c r="AD565" s="22">
        <f t="shared" si="124"/>
        <v>0.21859679605850485</v>
      </c>
      <c r="AE565" s="22">
        <f t="shared" si="124"/>
        <v>0.22386984820151812</v>
      </c>
      <c r="AF565" s="22">
        <f t="shared" si="124"/>
        <v>0.22938844096453867</v>
      </c>
      <c r="AG565" s="22">
        <f t="shared" si="124"/>
        <v>0.23523527981160089</v>
      </c>
      <c r="AH565" s="22">
        <f t="shared" si="124"/>
        <v>0.24130885941961319</v>
      </c>
      <c r="AI565" s="22">
        <f t="shared" si="124"/>
        <v>0.2472639040241959</v>
      </c>
      <c r="AJ565" s="22">
        <f t="shared" si="124"/>
        <v>0.2535862034929412</v>
      </c>
      <c r="AK565" s="22">
        <f t="shared" si="124"/>
        <v>0.25995553558112644</v>
      </c>
      <c r="AL565" s="22">
        <f t="shared" si="124"/>
        <v>0.26634495696174137</v>
      </c>
      <c r="AM565" s="22">
        <f t="shared" si="124"/>
        <v>0.27289661467925691</v>
      </c>
      <c r="AN565" s="22">
        <f t="shared" si="124"/>
        <v>0.27977832241045703</v>
      </c>
      <c r="AO565" s="22">
        <f t="shared" si="124"/>
        <v>0.28698321848664521</v>
      </c>
      <c r="AP565" s="22">
        <f t="shared" si="124"/>
        <v>0.29468105355097846</v>
      </c>
      <c r="AQ565" s="22">
        <f t="shared" si="124"/>
        <v>0.3025714710334354</v>
      </c>
      <c r="AR565" s="22">
        <f t="shared" si="124"/>
        <v>0.31067004429321721</v>
      </c>
      <c r="AS565" s="22">
        <f t="shared" si="124"/>
        <v>0.31929860938507826</v>
      </c>
      <c r="AT565" s="22">
        <f t="shared" si="124"/>
        <v>0.32834824969387966</v>
      </c>
      <c r="AU565" s="22">
        <f t="shared" si="124"/>
        <v>0.33774569605035937</v>
      </c>
      <c r="AV565" s="22">
        <f t="shared" si="124"/>
        <v>0.34769528474374956</v>
      </c>
      <c r="AW565" s="22">
        <f t="shared" si="124"/>
        <v>0.3570064156976871</v>
      </c>
      <c r="AY565" s="79"/>
    </row>
    <row r="566" spans="1:51" x14ac:dyDescent="0.25">
      <c r="A566" s="95" t="str">
        <f t="shared" si="108"/>
        <v>PQ Leaching</v>
      </c>
      <c r="B566" s="95" t="s">
        <v>967</v>
      </c>
      <c r="C566" s="95" t="s">
        <v>1189</v>
      </c>
      <c r="D566" t="s">
        <v>369</v>
      </c>
      <c r="E566" t="s">
        <v>61</v>
      </c>
      <c r="F566" t="s">
        <v>63</v>
      </c>
      <c r="G566" t="s">
        <v>438</v>
      </c>
      <c r="H566" t="s">
        <v>1190</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5">
      <c r="A567" s="95" t="str">
        <f t="shared" si="108"/>
        <v>PQ Leaching</v>
      </c>
      <c r="B567" s="95" t="s">
        <v>967</v>
      </c>
      <c r="C567" s="95" t="s">
        <v>1189</v>
      </c>
      <c r="D567" t="s">
        <v>369</v>
      </c>
      <c r="E567" t="s">
        <v>61</v>
      </c>
      <c r="F567" t="s">
        <v>63</v>
      </c>
      <c r="G567" t="s">
        <v>439</v>
      </c>
      <c r="H567" t="s">
        <v>1191</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0.10248443536314014</v>
      </c>
      <c r="U567" s="22">
        <f t="shared" si="125"/>
        <v>0.10329242458615623</v>
      </c>
      <c r="V567" s="22">
        <f t="shared" si="125"/>
        <v>0.1037378169028777</v>
      </c>
      <c r="W567" s="22">
        <f t="shared" si="125"/>
        <v>0.10391067359607317</v>
      </c>
      <c r="X567" s="22">
        <f t="shared" si="125"/>
        <v>0.10409711390991817</v>
      </c>
      <c r="Y567" s="22">
        <f t="shared" si="125"/>
        <v>0.10435500295593778</v>
      </c>
      <c r="Z567" s="22">
        <f t="shared" si="125"/>
        <v>0.10468014995657268</v>
      </c>
      <c r="AA567" s="22">
        <f t="shared" si="125"/>
        <v>0.10503560179239499</v>
      </c>
      <c r="AB567" s="22">
        <f t="shared" si="125"/>
        <v>0.10542997312222666</v>
      </c>
      <c r="AC567" s="22">
        <f t="shared" si="125"/>
        <v>0.10589053374076159</v>
      </c>
      <c r="AD567" s="22">
        <f t="shared" si="125"/>
        <v>0.10641076487597649</v>
      </c>
      <c r="AE567" s="22">
        <f t="shared" si="125"/>
        <v>0.10696189666025695</v>
      </c>
      <c r="AF567" s="22">
        <f t="shared" si="125"/>
        <v>0.10754070977582914</v>
      </c>
      <c r="AG567" s="22">
        <f t="shared" si="125"/>
        <v>0.10813173549975955</v>
      </c>
      <c r="AH567" s="22">
        <f t="shared" si="125"/>
        <v>0.10873983274260557</v>
      </c>
      <c r="AI567" s="22">
        <f t="shared" si="125"/>
        <v>0.10935753594761956</v>
      </c>
      <c r="AJ567" s="22">
        <f t="shared" si="125"/>
        <v>0.10996217143590806</v>
      </c>
      <c r="AK567" s="22">
        <f t="shared" si="125"/>
        <v>0.11058485833426822</v>
      </c>
      <c r="AL567" s="22">
        <f t="shared" si="125"/>
        <v>0.11120474827910765</v>
      </c>
      <c r="AM567" s="22">
        <f t="shared" si="125"/>
        <v>0.11182020423651956</v>
      </c>
      <c r="AN567" s="22">
        <f t="shared" si="125"/>
        <v>0.11243985955392911</v>
      </c>
      <c r="AO567" s="22">
        <f t="shared" si="125"/>
        <v>0.11304226563186594</v>
      </c>
      <c r="AP567" s="22">
        <f t="shared" si="125"/>
        <v>0.1136563563170396</v>
      </c>
      <c r="AQ567" s="22">
        <f t="shared" si="125"/>
        <v>0.1142909814736776</v>
      </c>
      <c r="AR567" s="22">
        <f t="shared" si="125"/>
        <v>0.11492803823041334</v>
      </c>
      <c r="AS567" s="22">
        <f t="shared" si="125"/>
        <v>0.11556802823093357</v>
      </c>
      <c r="AT567" s="22">
        <f t="shared" si="125"/>
        <v>0.11622779991969046</v>
      </c>
      <c r="AU567" s="22">
        <f t="shared" si="125"/>
        <v>0.11690020567017985</v>
      </c>
      <c r="AV567" s="22">
        <f t="shared" si="125"/>
        <v>0.11758043850684917</v>
      </c>
      <c r="AW567" s="22">
        <f t="shared" si="125"/>
        <v>0.11827795468154553</v>
      </c>
      <c r="AY567" s="79"/>
    </row>
    <row r="568" spans="1:51" x14ac:dyDescent="0.25">
      <c r="A568" s="95" t="str">
        <f t="shared" si="108"/>
        <v>PQ Leaching</v>
      </c>
      <c r="B568" s="95" t="s">
        <v>967</v>
      </c>
      <c r="C568" s="95" t="s">
        <v>1189</v>
      </c>
      <c r="D568" t="s">
        <v>369</v>
      </c>
      <c r="E568" t="s">
        <v>61</v>
      </c>
      <c r="F568" t="s">
        <v>63</v>
      </c>
      <c r="G568" t="s">
        <v>1192</v>
      </c>
      <c r="H568" t="s">
        <v>1193</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5">
      <c r="A569" s="95" t="str">
        <f t="shared" si="108"/>
        <v>PQ Leaching</v>
      </c>
      <c r="B569" s="95" t="s">
        <v>967</v>
      </c>
      <c r="C569" s="95" t="s">
        <v>1189</v>
      </c>
      <c r="D569" t="s">
        <v>369</v>
      </c>
      <c r="E569" t="s">
        <v>61</v>
      </c>
      <c r="F569" t="s">
        <v>63</v>
      </c>
      <c r="G569" t="s">
        <v>1194</v>
      </c>
      <c r="H569" t="s">
        <v>1195</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5">
      <c r="A570" s="95" t="str">
        <f t="shared" si="108"/>
        <v>PQ Leaching</v>
      </c>
      <c r="B570" s="95" t="s">
        <v>967</v>
      </c>
      <c r="C570" s="95" t="s">
        <v>1189</v>
      </c>
      <c r="D570" t="s">
        <v>369</v>
      </c>
      <c r="E570" t="s">
        <v>61</v>
      </c>
      <c r="F570" t="s">
        <v>63</v>
      </c>
      <c r="G570" t="s">
        <v>1196</v>
      </c>
      <c r="H570" t="s">
        <v>1197</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5">
      <c r="A571" s="95" t="str">
        <f t="shared" si="108"/>
        <v>PQ Leaching</v>
      </c>
      <c r="B571" s="95" t="s">
        <v>967</v>
      </c>
      <c r="C571" s="95" t="s">
        <v>1189</v>
      </c>
      <c r="D571" t="s">
        <v>369</v>
      </c>
      <c r="E571" t="s">
        <v>61</v>
      </c>
      <c r="F571" t="s">
        <v>63</v>
      </c>
      <c r="G571" t="s">
        <v>1198</v>
      </c>
      <c r="H571" t="s">
        <v>1199</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5">
      <c r="A572" s="95" t="str">
        <f t="shared" si="108"/>
        <v>PQ Leaching</v>
      </c>
      <c r="B572" s="95" t="s">
        <v>967</v>
      </c>
      <c r="C572" s="95" t="s">
        <v>1189</v>
      </c>
      <c r="D572" t="s">
        <v>369</v>
      </c>
      <c r="E572" t="s">
        <v>61</v>
      </c>
      <c r="F572" t="s">
        <v>63</v>
      </c>
      <c r="G572" t="s">
        <v>1200</v>
      </c>
      <c r="H572" t="s">
        <v>1201</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5">
      <c r="A573" s="95" t="str">
        <f t="shared" si="108"/>
        <v>PQ Leaching</v>
      </c>
      <c r="B573" s="95" t="s">
        <v>967</v>
      </c>
      <c r="C573" s="95" t="s">
        <v>1189</v>
      </c>
      <c r="D573" t="s">
        <v>369</v>
      </c>
      <c r="E573" t="s">
        <v>61</v>
      </c>
      <c r="F573" t="s">
        <v>63</v>
      </c>
      <c r="G573" t="s">
        <v>1202</v>
      </c>
      <c r="H573" t="s">
        <v>1203</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5">
      <c r="A574" s="95" t="str">
        <f t="shared" si="108"/>
        <v>PQ Leaching</v>
      </c>
      <c r="B574" s="95" t="s">
        <v>967</v>
      </c>
      <c r="C574" s="95" t="s">
        <v>1189</v>
      </c>
      <c r="D574" t="s">
        <v>369</v>
      </c>
      <c r="E574" t="s">
        <v>61</v>
      </c>
      <c r="F574" t="s">
        <v>63</v>
      </c>
      <c r="G574" t="s">
        <v>1204</v>
      </c>
      <c r="H574" t="s">
        <v>1205</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5">
      <c r="A575" s="95" t="str">
        <f t="shared" si="108"/>
        <v>PQ Leaching</v>
      </c>
      <c r="B575" s="95" t="s">
        <v>967</v>
      </c>
      <c r="C575" s="95" t="s">
        <v>1189</v>
      </c>
      <c r="D575" t="s">
        <v>369</v>
      </c>
      <c r="E575" t="s">
        <v>61</v>
      </c>
      <c r="F575" t="s">
        <v>63</v>
      </c>
      <c r="G575" t="s">
        <v>1206</v>
      </c>
      <c r="H575" t="s">
        <v>1207</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5">
      <c r="A576" s="95" t="str">
        <f t="shared" si="108"/>
        <v>PQ Leaching</v>
      </c>
      <c r="B576" s="95" t="s">
        <v>967</v>
      </c>
      <c r="C576" s="95" t="s">
        <v>1189</v>
      </c>
      <c r="D576" t="s">
        <v>369</v>
      </c>
      <c r="E576" t="s">
        <v>61</v>
      </c>
      <c r="F576" t="s">
        <v>63</v>
      </c>
      <c r="G576" t="s">
        <v>1208</v>
      </c>
      <c r="H576" t="s">
        <v>1209</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5">
      <c r="A577" s="95" t="str">
        <f t="shared" si="108"/>
        <v>PQ Leaching</v>
      </c>
      <c r="B577" s="95" t="s">
        <v>967</v>
      </c>
      <c r="C577" s="95" t="s">
        <v>1189</v>
      </c>
      <c r="D577" t="s">
        <v>369</v>
      </c>
      <c r="E577" t="s">
        <v>61</v>
      </c>
      <c r="F577" t="s">
        <v>63</v>
      </c>
      <c r="G577" t="s">
        <v>1210</v>
      </c>
      <c r="H577" t="s">
        <v>1211</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5">
      <c r="A578" s="95" t="str">
        <f t="shared" si="108"/>
        <v>PQ Leaching</v>
      </c>
      <c r="B578" s="95" t="s">
        <v>967</v>
      </c>
      <c r="C578" s="95" t="s">
        <v>1189</v>
      </c>
      <c r="D578" t="s">
        <v>369</v>
      </c>
      <c r="E578" t="s">
        <v>61</v>
      </c>
      <c r="F578" t="s">
        <v>63</v>
      </c>
      <c r="G578" t="s">
        <v>1212</v>
      </c>
      <c r="H578" t="s">
        <v>1213</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5">
      <c r="A579" s="95" t="str">
        <f t="shared" si="108"/>
        <v xml:space="preserve">PQ </v>
      </c>
      <c r="B579" s="95" t="s">
        <v>967</v>
      </c>
      <c r="C579" s="95"/>
      <c r="D579" t="s">
        <v>369</v>
      </c>
      <c r="E579" t="s">
        <v>61</v>
      </c>
      <c r="F579" t="s">
        <v>63</v>
      </c>
      <c r="G579" t="s">
        <v>1214</v>
      </c>
      <c r="H579" t="s">
        <v>1215</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5">
      <c r="A580" s="95" t="str">
        <f t="shared" si="108"/>
        <v>PQ MM Volatilisation</v>
      </c>
      <c r="B580" s="95" t="s">
        <v>967</v>
      </c>
      <c r="C580" s="95" t="s">
        <v>1331</v>
      </c>
      <c r="D580" t="s">
        <v>369</v>
      </c>
      <c r="E580" t="s">
        <v>64</v>
      </c>
      <c r="F580" t="s">
        <v>62</v>
      </c>
      <c r="G580" t="s">
        <v>1151</v>
      </c>
      <c r="H580" t="s">
        <v>1289</v>
      </c>
      <c r="I580" t="s">
        <v>139</v>
      </c>
      <c r="J580" t="s">
        <v>287</v>
      </c>
      <c r="K580" s="22">
        <f t="shared" si="127"/>
        <v>0.39609736661915962</v>
      </c>
      <c r="L580" s="22">
        <f t="shared" si="128"/>
        <v>0.39831175345583053</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0.40855374420631202</v>
      </c>
      <c r="S580" s="22">
        <f t="shared" si="128"/>
        <v>0.39675335904637443</v>
      </c>
      <c r="T580" s="22">
        <f t="shared" si="128"/>
        <v>0.40475430836671095</v>
      </c>
      <c r="U580" s="22">
        <f t="shared" si="128"/>
        <v>0.40872605361155973</v>
      </c>
      <c r="V580" s="22">
        <f t="shared" si="128"/>
        <v>0.40976331225325113</v>
      </c>
      <c r="W580" s="22">
        <f t="shared" si="128"/>
        <v>0.41123817221629572</v>
      </c>
      <c r="X580" s="22">
        <f t="shared" si="128"/>
        <v>0.41371299835327524</v>
      </c>
      <c r="Y580" s="22">
        <f t="shared" si="128"/>
        <v>0.41698233077605895</v>
      </c>
      <c r="Z580" s="22">
        <f t="shared" si="128"/>
        <v>0.42064271286230337</v>
      </c>
      <c r="AA580" s="22">
        <f t="shared" si="128"/>
        <v>0.42480942612911948</v>
      </c>
      <c r="AB580" s="22">
        <f t="shared" si="128"/>
        <v>0.42983972534171444</v>
      </c>
      <c r="AC580" s="22">
        <f t="shared" si="128"/>
        <v>0.43570438871758699</v>
      </c>
      <c r="AD580" s="22">
        <f t="shared" si="128"/>
        <v>0.44208757106569879</v>
      </c>
      <c r="AE580" s="22">
        <f t="shared" si="128"/>
        <v>0.44898350336000287</v>
      </c>
      <c r="AF580" s="22">
        <f t="shared" si="128"/>
        <v>0.45621719419550344</v>
      </c>
      <c r="AG580" s="22">
        <f t="shared" si="128"/>
        <v>0.46386955104730232</v>
      </c>
      <c r="AH580" s="22">
        <f t="shared" si="128"/>
        <v>0.47186189087523389</v>
      </c>
      <c r="AI580" s="22">
        <f t="shared" si="128"/>
        <v>0.47988623531160551</v>
      </c>
      <c r="AJ580" s="22">
        <f t="shared" si="128"/>
        <v>0.48839393378093798</v>
      </c>
      <c r="AK580" s="22">
        <f t="shared" si="128"/>
        <v>0.49708758308730938</v>
      </c>
      <c r="AL580" s="22">
        <f t="shared" si="128"/>
        <v>0.50594507247479314</v>
      </c>
      <c r="AM580" s="22">
        <f t="shared" si="128"/>
        <v>0.51510910677271904</v>
      </c>
      <c r="AN580" s="22">
        <f t="shared" si="128"/>
        <v>0.52423757979493812</v>
      </c>
      <c r="AO580" s="22">
        <f t="shared" si="128"/>
        <v>0.53380454045789072</v>
      </c>
      <c r="AP580" s="22">
        <f t="shared" si="128"/>
        <v>0.54398662027094624</v>
      </c>
      <c r="AQ580" s="22">
        <f t="shared" si="128"/>
        <v>0.55449515288018025</v>
      </c>
      <c r="AR580" s="22">
        <f t="shared" si="128"/>
        <v>0.56534914989912133</v>
      </c>
      <c r="AS580" s="22">
        <f t="shared" si="128"/>
        <v>0.57688261473585911</v>
      </c>
      <c r="AT580" s="22">
        <f t="shared" si="128"/>
        <v>0.58899855031934889</v>
      </c>
      <c r="AU580" s="22">
        <f t="shared" si="128"/>
        <v>0.60163444677907796</v>
      </c>
      <c r="AV580" s="22">
        <f t="shared" si="128"/>
        <v>0.61501799344157537</v>
      </c>
      <c r="AW580" s="22">
        <f t="shared" si="128"/>
        <v>0.62789543257311353</v>
      </c>
      <c r="AY580" s="79"/>
    </row>
    <row r="581" spans="1:51" x14ac:dyDescent="0.25">
      <c r="A581" s="95" t="str">
        <f t="shared" si="108"/>
        <v>PQ MM Volatilisation</v>
      </c>
      <c r="B581" s="95" t="s">
        <v>967</v>
      </c>
      <c r="C581" s="95" t="s">
        <v>1331</v>
      </c>
      <c r="D581" t="s">
        <v>369</v>
      </c>
      <c r="E581" t="s">
        <v>64</v>
      </c>
      <c r="F581" t="s">
        <v>62</v>
      </c>
      <c r="G581" t="s">
        <v>1153</v>
      </c>
      <c r="H581" t="s">
        <v>1290</v>
      </c>
      <c r="I581" t="s">
        <v>139</v>
      </c>
      <c r="J581" t="s">
        <v>287</v>
      </c>
      <c r="K581" s="22">
        <f t="shared" si="127"/>
        <v>3.1249813656142676E-2</v>
      </c>
      <c r="L581" s="22">
        <f t="shared" si="128"/>
        <v>3.1424516095088999E-2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3.2232550506305399E-2</v>
      </c>
      <c r="S581" s="22">
        <f t="shared" si="128"/>
        <v>3.1301567701581753E-2</v>
      </c>
      <c r="T581" s="22">
        <f t="shared" si="128"/>
        <v>3.1932796779085698E-2</v>
      </c>
      <c r="U581" s="22">
        <f t="shared" si="128"/>
        <v>3.2246144731511071E-2</v>
      </c>
      <c r="V581" s="22">
        <f t="shared" si="128"/>
        <v>3.2327978497644752E-2</v>
      </c>
      <c r="W581" s="22">
        <f t="shared" si="128"/>
        <v>3.2444336501757327E-2</v>
      </c>
      <c r="X581" s="22">
        <f t="shared" si="128"/>
        <v>3.2639586109882893E-2</v>
      </c>
      <c r="Y581" s="22">
        <f t="shared" si="128"/>
        <v>3.2897517713579225E-2</v>
      </c>
      <c r="Z581" s="22">
        <f t="shared" si="128"/>
        <v>3.318630089606224E-2</v>
      </c>
      <c r="AA581" s="22">
        <f t="shared" si="128"/>
        <v>3.3515030708779675E-2</v>
      </c>
      <c r="AB581" s="22">
        <f t="shared" si="128"/>
        <v>3.3911892506599629E-2</v>
      </c>
      <c r="AC581" s="22">
        <f t="shared" si="128"/>
        <v>3.4374580858244831E-2</v>
      </c>
      <c r="AD581" s="22">
        <f t="shared" si="128"/>
        <v>3.4878177387083813E-2</v>
      </c>
      <c r="AE581" s="22">
        <f t="shared" si="128"/>
        <v>3.5422226950002453E-2</v>
      </c>
      <c r="AF581" s="22">
        <f t="shared" si="128"/>
        <v>3.5992923727375593E-2</v>
      </c>
      <c r="AG581" s="22">
        <f t="shared" si="128"/>
        <v>3.6596650855607031E-2</v>
      </c>
      <c r="AH581" s="22">
        <f t="shared" si="128"/>
        <v>3.7227200693469409E-2</v>
      </c>
      <c r="AI581" s="22">
        <f t="shared" si="128"/>
        <v>3.7860275511637599E-2</v>
      </c>
      <c r="AJ581" s="22">
        <f t="shared" si="128"/>
        <v>3.8531484194690796E-2</v>
      </c>
      <c r="AK581" s="22">
        <f t="shared" si="128"/>
        <v>3.9217363333789369E-2</v>
      </c>
      <c r="AL581" s="22">
        <f t="shared" si="128"/>
        <v>3.9916168516925726E-2</v>
      </c>
      <c r="AM581" s="22">
        <f t="shared" si="128"/>
        <v>4.0639158337820017E-2</v>
      </c>
      <c r="AN581" s="22">
        <f t="shared" si="128"/>
        <v>4.1359342577731273E-2</v>
      </c>
      <c r="AO581" s="22">
        <f t="shared" si="128"/>
        <v>4.211412098114431E-2</v>
      </c>
      <c r="AP581" s="22">
        <f t="shared" si="128"/>
        <v>4.2917428762525973E-2</v>
      </c>
      <c r="AQ581" s="22">
        <f t="shared" si="128"/>
        <v>4.3746491799831644E-2</v>
      </c>
      <c r="AR581" s="22">
        <f t="shared" si="128"/>
        <v>4.4602810000483467E-2</v>
      </c>
      <c r="AS581" s="22">
        <f t="shared" si="128"/>
        <v>4.5512734320440534E-2</v>
      </c>
      <c r="AT581" s="22">
        <f t="shared" si="128"/>
        <v>4.64686122463292E-2</v>
      </c>
      <c r="AU581" s="22">
        <f t="shared" si="128"/>
        <v>4.7465512107379045E-2</v>
      </c>
      <c r="AV581" s="22">
        <f t="shared" si="128"/>
        <v>4.8521397287407161E-2</v>
      </c>
      <c r="AW581" s="22">
        <f t="shared" si="128"/>
        <v>4.953735348187438E-2</v>
      </c>
      <c r="AY581" s="79"/>
    </row>
    <row r="582" spans="1:51" x14ac:dyDescent="0.25">
      <c r="A582" s="95" t="str">
        <f t="shared" si="108"/>
        <v>PQ MM Volatilisation</v>
      </c>
      <c r="B582" s="95" t="s">
        <v>967</v>
      </c>
      <c r="C582" s="95" t="s">
        <v>1331</v>
      </c>
      <c r="D582" t="s">
        <v>369</v>
      </c>
      <c r="E582" t="s">
        <v>64</v>
      </c>
      <c r="F582" t="s">
        <v>62</v>
      </c>
      <c r="G582" t="s">
        <v>1155</v>
      </c>
      <c r="H582" t="s">
        <v>1291</v>
      </c>
      <c r="I582" t="s">
        <v>139</v>
      </c>
      <c r="J582" t="s">
        <v>287</v>
      </c>
      <c r="K582" s="22">
        <f t="shared" si="127"/>
        <v>2.8967336997006343E-4</v>
      </c>
      <c r="L582" s="22">
        <f t="shared" si="128"/>
        <v>2.9129279224209421E-4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2.9878295053629658E-4</v>
      </c>
      <c r="S582" s="22">
        <f t="shared" si="128"/>
        <v>2.9015310943081291E-4</v>
      </c>
      <c r="T582" s="22">
        <f t="shared" si="128"/>
        <v>2.9600435245311237E-4</v>
      </c>
      <c r="U582" s="22">
        <f t="shared" si="128"/>
        <v>2.9890896360859154E-4</v>
      </c>
      <c r="V582" s="22">
        <f t="shared" si="128"/>
        <v>2.9966753014195159E-4</v>
      </c>
      <c r="W582" s="22">
        <f t="shared" si="128"/>
        <v>3.0074612265917932E-4</v>
      </c>
      <c r="X582" s="22">
        <f t="shared" si="128"/>
        <v>3.0255600903461219E-4</v>
      </c>
      <c r="Y582" s="22">
        <f t="shared" si="128"/>
        <v>3.0494693263136179E-4</v>
      </c>
      <c r="Z582" s="22">
        <f t="shared" si="128"/>
        <v>3.0762383811889561E-4</v>
      </c>
      <c r="AA582" s="22">
        <f t="shared" si="128"/>
        <v>3.1067103301443271E-4</v>
      </c>
      <c r="AB582" s="22">
        <f t="shared" si="128"/>
        <v>3.1434978437121989E-4</v>
      </c>
      <c r="AC582" s="22">
        <f t="shared" si="128"/>
        <v>3.1863872175631096E-4</v>
      </c>
      <c r="AD582" s="22">
        <f t="shared" si="128"/>
        <v>3.2330686170809402E-4</v>
      </c>
      <c r="AE582" s="22">
        <f t="shared" si="128"/>
        <v>3.2834998523054116E-4</v>
      </c>
      <c r="AF582" s="22">
        <f t="shared" si="128"/>
        <v>3.3364011785506768E-4</v>
      </c>
      <c r="AG582" s="22">
        <f t="shared" si="128"/>
        <v>3.3923642872275747E-4</v>
      </c>
      <c r="AH582" s="22">
        <f t="shared" si="128"/>
        <v>3.4508137546316036E-4</v>
      </c>
      <c r="AI582" s="22">
        <f t="shared" si="128"/>
        <v>3.5094972776886815E-4</v>
      </c>
      <c r="AJ582" s="22">
        <f t="shared" si="128"/>
        <v>3.5717156586725218E-4</v>
      </c>
      <c r="AK582" s="22">
        <f t="shared" si="128"/>
        <v>3.6352939327067397E-4</v>
      </c>
      <c r="AL582" s="22">
        <f t="shared" si="128"/>
        <v>3.7000703997215649E-4</v>
      </c>
      <c r="AM582" s="22">
        <f t="shared" si="128"/>
        <v>3.7670886866710392E-4</v>
      </c>
      <c r="AN582" s="22">
        <f t="shared" si="128"/>
        <v>3.8338469073983557E-4</v>
      </c>
      <c r="AO582" s="22">
        <f t="shared" si="128"/>
        <v>3.9038118697827962E-4</v>
      </c>
      <c r="AP582" s="22">
        <f t="shared" si="128"/>
        <v>3.9782753128984823E-4</v>
      </c>
      <c r="AQ582" s="22">
        <f t="shared" si="128"/>
        <v>4.0551261660192481E-4</v>
      </c>
      <c r="AR582" s="22">
        <f t="shared" si="128"/>
        <v>4.134503464610197E-4</v>
      </c>
      <c r="AS582" s="22">
        <f t="shared" si="128"/>
        <v>4.218849837705407E-4</v>
      </c>
      <c r="AT582" s="22">
        <f t="shared" si="128"/>
        <v>4.3074559276869194E-4</v>
      </c>
      <c r="AU582" s="22">
        <f t="shared" si="128"/>
        <v>4.3998645882474367E-4</v>
      </c>
      <c r="AV582" s="22">
        <f t="shared" si="128"/>
        <v>4.4977409537726024E-4</v>
      </c>
      <c r="AW582" s="22">
        <f t="shared" si="128"/>
        <v>4.5919160608089382E-4</v>
      </c>
      <c r="AY582" s="79"/>
    </row>
    <row r="583" spans="1:51" x14ac:dyDescent="0.25">
      <c r="A583" s="95" t="str">
        <f t="shared" si="108"/>
        <v>PQ MM Volatilisation</v>
      </c>
      <c r="B583" s="95" t="s">
        <v>967</v>
      </c>
      <c r="C583" s="95" t="s">
        <v>1331</v>
      </c>
      <c r="D583" t="s">
        <v>369</v>
      </c>
      <c r="E583" t="s">
        <v>64</v>
      </c>
      <c r="F583" t="s">
        <v>62</v>
      </c>
      <c r="G583" t="s">
        <v>1157</v>
      </c>
      <c r="H583" t="s">
        <v>1292</v>
      </c>
      <c r="I583" t="s">
        <v>139</v>
      </c>
      <c r="J583" t="s">
        <v>287</v>
      </c>
      <c r="K583" s="22">
        <f t="shared" si="127"/>
        <v>3.2323215352203869E-3</v>
      </c>
      <c r="L583" s="22">
        <f t="shared" si="128"/>
        <v>3.2042886428129448E-3</v>
      </c>
      <c r="M583" s="22">
        <f t="shared" si="128"/>
        <v>3.1936173693006072E-3</v>
      </c>
      <c r="N583" s="22">
        <f t="shared" si="128"/>
        <v>3.150970789688672E-3</v>
      </c>
      <c r="O583" s="22">
        <f t="shared" si="128"/>
        <v>3.0890682378804098E-3</v>
      </c>
      <c r="P583" s="22">
        <f t="shared" si="128"/>
        <v>3.0091897617382942E-3</v>
      </c>
      <c r="Q583" s="22">
        <f t="shared" si="128"/>
        <v>2.9461872714039495E-3</v>
      </c>
      <c r="R583" s="22">
        <f t="shared" si="128"/>
        <v>2.8865797531671877E-3</v>
      </c>
      <c r="S583" s="22">
        <f t="shared" si="128"/>
        <v>2.5775843671431266E-3</v>
      </c>
      <c r="T583" s="22">
        <f t="shared" si="128"/>
        <v>2.7008194536362932E-3</v>
      </c>
      <c r="U583" s="22">
        <f t="shared" si="128"/>
        <v>2.7434834642963983E-3</v>
      </c>
      <c r="V583" s="22">
        <f t="shared" si="128"/>
        <v>2.7249559704571515E-3</v>
      </c>
      <c r="W583" s="22">
        <f t="shared" si="128"/>
        <v>2.7098851587955765E-3</v>
      </c>
      <c r="X583" s="22">
        <f t="shared" si="128"/>
        <v>2.7108751448487677E-3</v>
      </c>
      <c r="Y583" s="22">
        <f t="shared" si="128"/>
        <v>2.7267936110374771E-3</v>
      </c>
      <c r="Z583" s="22">
        <f t="shared" si="128"/>
        <v>2.7493808220457119E-3</v>
      </c>
      <c r="AA583" s="22">
        <f t="shared" si="128"/>
        <v>2.7804561510044621E-3</v>
      </c>
      <c r="AB583" s="22">
        <f t="shared" si="128"/>
        <v>2.8259754098654112E-3</v>
      </c>
      <c r="AC583" s="22">
        <f t="shared" si="128"/>
        <v>2.8846530294108553E-3</v>
      </c>
      <c r="AD583" s="22">
        <f t="shared" si="128"/>
        <v>2.9255627766607379E-3</v>
      </c>
      <c r="AE583" s="22">
        <f t="shared" si="128"/>
        <v>2.9713051294800673E-3</v>
      </c>
      <c r="AF583" s="22">
        <f t="shared" si="128"/>
        <v>3.0184328847155249E-3</v>
      </c>
      <c r="AG583" s="22">
        <f t="shared" si="128"/>
        <v>3.0679929310084191E-3</v>
      </c>
      <c r="AH583" s="22">
        <f t="shared" si="128"/>
        <v>3.1182952843922906E-3</v>
      </c>
      <c r="AI583" s="22">
        <f t="shared" si="128"/>
        <v>3.1642302715808976E-3</v>
      </c>
      <c r="AJ583" s="22">
        <f t="shared" si="128"/>
        <v>3.2126832525729617E-3</v>
      </c>
      <c r="AK583" s="22">
        <f t="shared" si="128"/>
        <v>3.2589422884996468E-3</v>
      </c>
      <c r="AL583" s="22">
        <f t="shared" si="128"/>
        <v>3.3025617246378643E-3</v>
      </c>
      <c r="AM583" s="22">
        <f t="shared" si="128"/>
        <v>3.3454061319751881E-3</v>
      </c>
      <c r="AN583" s="22">
        <f t="shared" si="128"/>
        <v>3.3998120453296449E-3</v>
      </c>
      <c r="AO583" s="22">
        <f t="shared" si="128"/>
        <v>3.4560846217306851E-3</v>
      </c>
      <c r="AP583" s="22">
        <f t="shared" si="128"/>
        <v>3.5162688695670069E-3</v>
      </c>
      <c r="AQ583" s="22">
        <f t="shared" si="128"/>
        <v>3.576218960305765E-3</v>
      </c>
      <c r="AR583" s="22">
        <f t="shared" si="128"/>
        <v>3.6360127055851286E-3</v>
      </c>
      <c r="AS583" s="22">
        <f t="shared" si="128"/>
        <v>3.6995797552595183E-3</v>
      </c>
      <c r="AT583" s="22">
        <f t="shared" si="128"/>
        <v>3.7652741980581834E-3</v>
      </c>
      <c r="AU583" s="22">
        <f t="shared" si="128"/>
        <v>3.831953873173879E-3</v>
      </c>
      <c r="AV583" s="22">
        <f t="shared" si="128"/>
        <v>3.9018879316463188E-3</v>
      </c>
      <c r="AW583" s="22">
        <f t="shared" si="128"/>
        <v>3.9605189402422969E-3</v>
      </c>
      <c r="AY583" s="79"/>
    </row>
    <row r="584" spans="1:51" x14ac:dyDescent="0.25">
      <c r="A584" s="95" t="str">
        <f t="shared" si="108"/>
        <v>PQ MM Volatilisation</v>
      </c>
      <c r="B584" s="95" t="s">
        <v>967</v>
      </c>
      <c r="C584" s="95" t="s">
        <v>1331</v>
      </c>
      <c r="D584" t="s">
        <v>369</v>
      </c>
      <c r="E584" t="s">
        <v>64</v>
      </c>
      <c r="F584" t="s">
        <v>62</v>
      </c>
      <c r="G584" t="s">
        <v>1159</v>
      </c>
      <c r="H584" t="s">
        <v>1293</v>
      </c>
      <c r="I584" t="s">
        <v>139</v>
      </c>
      <c r="J584" t="s">
        <v>287</v>
      </c>
      <c r="K584" s="22">
        <f t="shared" si="127"/>
        <v>1.6090517274103568E-2</v>
      </c>
      <c r="L584" s="22">
        <f t="shared" si="128"/>
        <v>1.5950969356419605E-2</v>
      </c>
      <c r="M584" s="22">
        <f t="shared" si="128"/>
        <v>1.5897847688628834E-2</v>
      </c>
      <c r="N584" s="22">
        <f t="shared" si="128"/>
        <v>1.5685552742581484E-2</v>
      </c>
      <c r="O584" s="22">
        <f t="shared" si="128"/>
        <v>1.5377401443792453E-2</v>
      </c>
      <c r="P584" s="22">
        <f t="shared" si="128"/>
        <v>1.4979765878707444E-2</v>
      </c>
      <c r="Q584" s="22">
        <f t="shared" si="128"/>
        <v>1.4666139078901097E-2</v>
      </c>
      <c r="R584" s="22">
        <f t="shared" si="128"/>
        <v>1.4369412471908495E-2</v>
      </c>
      <c r="S584" s="22">
        <f t="shared" si="128"/>
        <v>1.283123146415196E-2</v>
      </c>
      <c r="T584" s="22">
        <f t="shared" si="128"/>
        <v>1.3444696512844507E-2</v>
      </c>
      <c r="U584" s="22">
        <f t="shared" si="128"/>
        <v>1.3657078230761113E-2</v>
      </c>
      <c r="V584" s="22">
        <f t="shared" si="128"/>
        <v>1.3564848247939834E-2</v>
      </c>
      <c r="W584" s="22">
        <f t="shared" si="128"/>
        <v>1.3489825651105632E-2</v>
      </c>
      <c r="X584" s="22">
        <f t="shared" si="128"/>
        <v>1.3494753808009711E-2</v>
      </c>
      <c r="Y584" s="22">
        <f t="shared" si="128"/>
        <v>1.3573996034501018E-2</v>
      </c>
      <c r="Z584" s="22">
        <f t="shared" si="128"/>
        <v>1.3686435315352767E-2</v>
      </c>
      <c r="AA584" s="22">
        <f t="shared" si="128"/>
        <v>1.3841128501646547E-2</v>
      </c>
      <c r="AB584" s="22">
        <f t="shared" si="128"/>
        <v>1.4067723663367223E-2</v>
      </c>
      <c r="AC584" s="22">
        <f t="shared" si="128"/>
        <v>1.4359821228727431E-2</v>
      </c>
      <c r="AD584" s="22">
        <f t="shared" si="128"/>
        <v>1.4563470212168856E-2</v>
      </c>
      <c r="AE584" s="22">
        <f t="shared" si="128"/>
        <v>1.4791175937041108E-2</v>
      </c>
      <c r="AF584" s="22">
        <f t="shared" si="128"/>
        <v>1.5025778204000962E-2</v>
      </c>
      <c r="AG584" s="22">
        <f t="shared" si="128"/>
        <v>1.5272488431400047E-2</v>
      </c>
      <c r="AH584" s="22">
        <f t="shared" si="128"/>
        <v>1.5522893868245321E-2</v>
      </c>
      <c r="AI584" s="22">
        <f t="shared" si="128"/>
        <v>1.5751558528239808E-2</v>
      </c>
      <c r="AJ584" s="22">
        <f t="shared" si="128"/>
        <v>1.5992757777491307E-2</v>
      </c>
      <c r="AK584" s="22">
        <f t="shared" si="128"/>
        <v>1.622303555417634E-2</v>
      </c>
      <c r="AL584" s="22">
        <f t="shared" si="128"/>
        <v>1.6440173386233263E-2</v>
      </c>
      <c r="AM584" s="22">
        <f t="shared" si="128"/>
        <v>1.6653453119962761E-2</v>
      </c>
      <c r="AN584" s="22">
        <f t="shared" si="128"/>
        <v>1.6924286104585243E-2</v>
      </c>
      <c r="AO584" s="22">
        <f t="shared" si="128"/>
        <v>1.7204411349791553E-2</v>
      </c>
      <c r="AP584" s="22">
        <f t="shared" si="128"/>
        <v>1.7504008920419142E-2</v>
      </c>
      <c r="AQ584" s="22">
        <f t="shared" si="128"/>
        <v>1.7802440855517548E-2</v>
      </c>
      <c r="AR584" s="22">
        <f t="shared" si="128"/>
        <v>1.8100094501919208E-2</v>
      </c>
      <c r="AS584" s="22">
        <f t="shared" si="128"/>
        <v>1.8416531681730838E-2</v>
      </c>
      <c r="AT584" s="22">
        <f t="shared" si="128"/>
        <v>1.874355903812051E-2</v>
      </c>
      <c r="AU584" s="22">
        <f t="shared" si="128"/>
        <v>1.9075490887285256E-2</v>
      </c>
      <c r="AV584" s="22">
        <f t="shared" si="128"/>
        <v>1.9423623077612737E-2</v>
      </c>
      <c r="AW584" s="22">
        <f t="shared" si="128"/>
        <v>1.9715488613368411E-2</v>
      </c>
      <c r="AY584" s="79"/>
    </row>
    <row r="585" spans="1:51" x14ac:dyDescent="0.25">
      <c r="A585" s="95" t="str">
        <f t="shared" si="108"/>
        <v>PQ MM Volatilisation</v>
      </c>
      <c r="B585" s="95" t="s">
        <v>967</v>
      </c>
      <c r="C585" s="95" t="s">
        <v>1331</v>
      </c>
      <c r="D585" t="s">
        <v>369</v>
      </c>
      <c r="E585" t="s">
        <v>64</v>
      </c>
      <c r="F585" t="s">
        <v>62</v>
      </c>
      <c r="G585" t="s">
        <v>1161</v>
      </c>
      <c r="H585" t="s">
        <v>1294</v>
      </c>
      <c r="I585" t="s">
        <v>139</v>
      </c>
      <c r="J585" t="s">
        <v>287</v>
      </c>
      <c r="K585" s="22">
        <f t="shared" si="127"/>
        <v>0.15836052531214867</v>
      </c>
      <c r="L585" s="22">
        <f t="shared" si="128"/>
        <v>0.16370016056893633</v>
      </c>
      <c r="M585" s="22">
        <f t="shared" si="128"/>
        <v>0.17003774892948584</v>
      </c>
      <c r="N585" s="22">
        <f t="shared" si="128"/>
        <v>0.17476418316081965</v>
      </c>
      <c r="O585" s="22">
        <f t="shared" si="128"/>
        <v>0.17840915017095652</v>
      </c>
      <c r="P585" s="22">
        <f t="shared" si="128"/>
        <v>0.18092055691117107</v>
      </c>
      <c r="Q585" s="22">
        <f t="shared" si="128"/>
        <v>0.18434967364231716</v>
      </c>
      <c r="R585" s="22">
        <f t="shared" si="128"/>
        <v>0.18794438918293385</v>
      </c>
      <c r="S585" s="22">
        <f t="shared" si="128"/>
        <v>0.17460856438309952</v>
      </c>
      <c r="T585" s="22">
        <f t="shared" si="128"/>
        <v>0.1873645711352227</v>
      </c>
      <c r="U585" s="22">
        <f t="shared" si="128"/>
        <v>0.19484677000767164</v>
      </c>
      <c r="V585" s="22">
        <f t="shared" si="128"/>
        <v>0.19807112255457257</v>
      </c>
      <c r="W585" s="22">
        <f t="shared" si="128"/>
        <v>0.20154228480865111</v>
      </c>
      <c r="X585" s="22">
        <f t="shared" si="128"/>
        <v>0.20623914667732615</v>
      </c>
      <c r="Y585" s="22">
        <f t="shared" si="128"/>
        <v>0.21215915392676254</v>
      </c>
      <c r="Z585" s="22">
        <f t="shared" si="128"/>
        <v>0.21872684602749243</v>
      </c>
      <c r="AA585" s="22">
        <f t="shared" si="128"/>
        <v>0.22612997396880463</v>
      </c>
      <c r="AB585" s="22">
        <f t="shared" si="128"/>
        <v>0.23491426249732866</v>
      </c>
      <c r="AC585" s="22">
        <f t="shared" si="128"/>
        <v>0.24505515121890351</v>
      </c>
      <c r="AD585" s="22">
        <f t="shared" si="128"/>
        <v>0.25677243358478996</v>
      </c>
      <c r="AE585" s="22">
        <f t="shared" si="128"/>
        <v>0.26945216276183381</v>
      </c>
      <c r="AF585" s="22">
        <f t="shared" si="128"/>
        <v>0.2828440567855407</v>
      </c>
      <c r="AG585" s="22">
        <f t="shared" si="128"/>
        <v>0.29709510424120422</v>
      </c>
      <c r="AH585" s="22">
        <f t="shared" si="128"/>
        <v>0.31209530848649036</v>
      </c>
      <c r="AI585" s="22">
        <f t="shared" si="128"/>
        <v>0.32736251218808471</v>
      </c>
      <c r="AJ585" s="22">
        <f t="shared" si="128"/>
        <v>0.34362947600093458</v>
      </c>
      <c r="AK585" s="22">
        <f t="shared" si="128"/>
        <v>0.36044618553686847</v>
      </c>
      <c r="AL585" s="22">
        <f t="shared" si="128"/>
        <v>0.37778487893593249</v>
      </c>
      <c r="AM585" s="22">
        <f t="shared" si="128"/>
        <v>0.3958859410797253</v>
      </c>
      <c r="AN585" s="22">
        <f t="shared" si="128"/>
        <v>0.41367585516143429</v>
      </c>
      <c r="AO585" s="22">
        <f t="shared" si="128"/>
        <v>0.43242905153599548</v>
      </c>
      <c r="AP585" s="22">
        <f t="shared" si="128"/>
        <v>0.45246435767624088</v>
      </c>
      <c r="AQ585" s="22">
        <f t="shared" si="128"/>
        <v>0.47331488964480717</v>
      </c>
      <c r="AR585" s="22">
        <f t="shared" si="128"/>
        <v>0.49503125359509215</v>
      </c>
      <c r="AS585" s="22">
        <f t="shared" si="128"/>
        <v>0.51820746125670647</v>
      </c>
      <c r="AT585" s="22">
        <f t="shared" si="128"/>
        <v>0.54270067079521189</v>
      </c>
      <c r="AU585" s="22">
        <f t="shared" si="128"/>
        <v>0.56842164327333022</v>
      </c>
      <c r="AV585" s="22">
        <f t="shared" si="128"/>
        <v>0.59578776955032364</v>
      </c>
      <c r="AW585" s="22">
        <f t="shared" si="128"/>
        <v>0.6226172294628034</v>
      </c>
      <c r="AY585" s="79"/>
    </row>
    <row r="586" spans="1:51" x14ac:dyDescent="0.25">
      <c r="A586" s="95" t="str">
        <f t="shared" si="108"/>
        <v>PQ MM Volatilisation</v>
      </c>
      <c r="B586" s="95" t="s">
        <v>967</v>
      </c>
      <c r="C586" s="95" t="s">
        <v>1331</v>
      </c>
      <c r="D586" t="s">
        <v>369</v>
      </c>
      <c r="E586" t="s">
        <v>64</v>
      </c>
      <c r="F586" t="s">
        <v>62</v>
      </c>
      <c r="G586" t="s">
        <v>1163</v>
      </c>
      <c r="H586" t="s">
        <v>1295</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1.1888884787446641E-4</v>
      </c>
      <c r="T586" s="22">
        <f t="shared" si="128"/>
        <v>1.18974421608456E-4</v>
      </c>
      <c r="U586" s="22">
        <f t="shared" si="128"/>
        <v>1.1894433570617077E-4</v>
      </c>
      <c r="V586" s="22">
        <f t="shared" si="128"/>
        <v>1.1894216976117226E-4</v>
      </c>
      <c r="W586" s="22">
        <f t="shared" si="128"/>
        <v>1.1906833284654552E-4</v>
      </c>
      <c r="X586" s="22">
        <f t="shared" si="128"/>
        <v>1.1927481036049653E-4</v>
      </c>
      <c r="Y586" s="22">
        <f t="shared" si="128"/>
        <v>1.1947292782589552E-4</v>
      </c>
      <c r="Z586" s="22">
        <f t="shared" si="128"/>
        <v>1.1966332441080059E-4</v>
      </c>
      <c r="AA586" s="22">
        <f t="shared" si="128"/>
        <v>1.198457402729256E-4</v>
      </c>
      <c r="AB586" s="22">
        <f t="shared" si="128"/>
        <v>1.2002397691702796E-4</v>
      </c>
      <c r="AC586" s="22">
        <f t="shared" si="128"/>
        <v>1.2020063791291827E-4</v>
      </c>
      <c r="AD586" s="22">
        <f t="shared" si="128"/>
        <v>1.2037395069486653E-4</v>
      </c>
      <c r="AE586" s="22">
        <f t="shared" si="128"/>
        <v>1.2054640721794917E-4</v>
      </c>
      <c r="AF586" s="22">
        <f t="shared" si="128"/>
        <v>1.2071746421078628E-4</v>
      </c>
      <c r="AG586" s="22">
        <f t="shared" si="128"/>
        <v>1.2088575105723818E-4</v>
      </c>
      <c r="AH586" s="22">
        <f t="shared" si="128"/>
        <v>1.2105200867781398E-4</v>
      </c>
      <c r="AI586" s="22">
        <f t="shared" ref="L586:AW593" si="129">AI1537</f>
        <v>1.2121641449313381E-4</v>
      </c>
      <c r="AJ586" s="22">
        <f t="shared" si="129"/>
        <v>1.2137952665146409E-4</v>
      </c>
      <c r="AK586" s="22">
        <f t="shared" si="129"/>
        <v>1.2153635424536354E-4</v>
      </c>
      <c r="AL586" s="22">
        <f t="shared" si="129"/>
        <v>1.2168671378968904E-4</v>
      </c>
      <c r="AM586" s="22">
        <f t="shared" si="129"/>
        <v>1.2183201055728766E-4</v>
      </c>
      <c r="AN586" s="22">
        <f t="shared" si="129"/>
        <v>1.2197112574763714E-4</v>
      </c>
      <c r="AO586" s="22">
        <f t="shared" si="129"/>
        <v>1.2210431172658153E-4</v>
      </c>
      <c r="AP586" s="22">
        <f t="shared" si="129"/>
        <v>1.2223096862203452E-4</v>
      </c>
      <c r="AQ586" s="22">
        <f t="shared" si="129"/>
        <v>1.2234928396390209E-4</v>
      </c>
      <c r="AR586" s="22">
        <f t="shared" si="129"/>
        <v>1.2245757817594662E-4</v>
      </c>
      <c r="AS586" s="22">
        <f t="shared" si="129"/>
        <v>1.2255574185064525E-4</v>
      </c>
      <c r="AT586" s="22">
        <f t="shared" si="129"/>
        <v>1.2264302379658788E-4</v>
      </c>
      <c r="AU586" s="22">
        <f t="shared" si="129"/>
        <v>1.2271938191890156E-4</v>
      </c>
      <c r="AV586" s="22">
        <f t="shared" si="129"/>
        <v>1.2278627747914955E-4</v>
      </c>
      <c r="AW586" s="22">
        <f t="shared" si="129"/>
        <v>1.2283502162881773E-4</v>
      </c>
      <c r="AY586" s="79"/>
    </row>
    <row r="587" spans="1:51" x14ac:dyDescent="0.25">
      <c r="A587" s="95" t="str">
        <f t="shared" si="108"/>
        <v>PQ MM Volatilisation</v>
      </c>
      <c r="B587" s="95" t="s">
        <v>967</v>
      </c>
      <c r="C587" s="95" t="s">
        <v>1331</v>
      </c>
      <c r="D587" t="s">
        <v>369</v>
      </c>
      <c r="E587" t="s">
        <v>64</v>
      </c>
      <c r="F587" t="s">
        <v>62</v>
      </c>
      <c r="G587" t="s">
        <v>1165</v>
      </c>
      <c r="H587" t="s">
        <v>1296</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8.158765245643595E-4</v>
      </c>
      <c r="T587" s="22">
        <f t="shared" si="129"/>
        <v>8.1646377561380335E-4</v>
      </c>
      <c r="U587" s="22">
        <f t="shared" si="129"/>
        <v>8.1625731065233949E-4</v>
      </c>
      <c r="V587" s="22">
        <f t="shared" si="129"/>
        <v>8.1624244682188473E-4</v>
      </c>
      <c r="W587" s="22">
        <f t="shared" si="129"/>
        <v>8.1710824291178659E-4</v>
      </c>
      <c r="X587" s="22">
        <f t="shared" si="129"/>
        <v>8.1852519798784992E-4</v>
      </c>
      <c r="Y587" s="22">
        <f t="shared" si="129"/>
        <v>8.1988478210372824E-4</v>
      </c>
      <c r="Z587" s="22">
        <f t="shared" si="129"/>
        <v>8.2119138155993044E-4</v>
      </c>
      <c r="AA587" s="22">
        <f t="shared" si="129"/>
        <v>8.2244321318482034E-4</v>
      </c>
      <c r="AB587" s="22">
        <f t="shared" si="129"/>
        <v>8.2366636486254352E-4</v>
      </c>
      <c r="AC587" s="22">
        <f t="shared" si="129"/>
        <v>8.2487870363047661E-4</v>
      </c>
      <c r="AD587" s="22">
        <f t="shared" si="129"/>
        <v>8.2606806522936944E-4</v>
      </c>
      <c r="AE587" s="22">
        <f t="shared" si="129"/>
        <v>8.2725155073878963E-4</v>
      </c>
      <c r="AF587" s="22">
        <f t="shared" si="129"/>
        <v>8.2842543195064012E-4</v>
      </c>
      <c r="AG587" s="22">
        <f t="shared" si="129"/>
        <v>8.2958030299084108E-4</v>
      </c>
      <c r="AH587" s="22">
        <f t="shared" si="129"/>
        <v>8.3072124843764142E-4</v>
      </c>
      <c r="AI587" s="22">
        <f t="shared" si="129"/>
        <v>8.3184948584274219E-4</v>
      </c>
      <c r="AJ587" s="22">
        <f t="shared" si="129"/>
        <v>8.3296884550710043E-4</v>
      </c>
      <c r="AK587" s="22">
        <f t="shared" si="129"/>
        <v>8.3404507725258427E-4</v>
      </c>
      <c r="AL587" s="22">
        <f t="shared" si="129"/>
        <v>8.3507692190961139E-4</v>
      </c>
      <c r="AM587" s="22">
        <f t="shared" si="129"/>
        <v>8.3607402318444201E-4</v>
      </c>
      <c r="AN587" s="22">
        <f t="shared" si="129"/>
        <v>8.3702870329149695E-4</v>
      </c>
      <c r="AO587" s="22">
        <f t="shared" si="129"/>
        <v>8.3794269409521473E-4</v>
      </c>
      <c r="AP587" s="22">
        <f t="shared" si="129"/>
        <v>8.3881187896429009E-4</v>
      </c>
      <c r="AQ587" s="22">
        <f t="shared" si="129"/>
        <v>8.3962381979516996E-4</v>
      </c>
      <c r="AR587" s="22">
        <f t="shared" si="129"/>
        <v>8.4036699047040963E-4</v>
      </c>
      <c r="AS587" s="22">
        <f t="shared" si="129"/>
        <v>8.4104064017922141E-4</v>
      </c>
      <c r="AT587" s="22">
        <f t="shared" si="129"/>
        <v>8.4163961385914194E-4</v>
      </c>
      <c r="AU587" s="22">
        <f t="shared" si="129"/>
        <v>8.4216362263346621E-4</v>
      </c>
      <c r="AV587" s="22">
        <f t="shared" si="129"/>
        <v>8.4262269443187052E-4</v>
      </c>
      <c r="AW587" s="22">
        <f t="shared" si="129"/>
        <v>8.4295720189943475E-4</v>
      </c>
      <c r="AY587" s="79"/>
    </row>
    <row r="588" spans="1:51" x14ac:dyDescent="0.25">
      <c r="A588" s="95" t="str">
        <f t="shared" si="108"/>
        <v>PQ MM Volatilisation</v>
      </c>
      <c r="B588" s="95" t="s">
        <v>967</v>
      </c>
      <c r="C588" s="95" t="s">
        <v>1331</v>
      </c>
      <c r="D588" t="s">
        <v>369</v>
      </c>
      <c r="E588" t="s">
        <v>64</v>
      </c>
      <c r="F588" t="s">
        <v>62</v>
      </c>
      <c r="G588" t="s">
        <v>1167</v>
      </c>
      <c r="H588" t="s">
        <v>1297</v>
      </c>
      <c r="I588" t="s">
        <v>139</v>
      </c>
      <c r="J588" t="s">
        <v>287</v>
      </c>
      <c r="K588" s="22">
        <f t="shared" si="127"/>
        <v>1.4486129996083081E-5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1.4890706011157255E-5</v>
      </c>
      <c r="R588" s="22">
        <f t="shared" si="129"/>
        <v>1.4988675221399694E-5</v>
      </c>
      <c r="S588" s="22">
        <f t="shared" si="129"/>
        <v>1.4951923212530766E-5</v>
      </c>
      <c r="T588" s="22">
        <f t="shared" si="129"/>
        <v>1.4977625582861877E-5</v>
      </c>
      <c r="U588" s="22">
        <f t="shared" si="129"/>
        <v>1.4980119703065675E-5</v>
      </c>
      <c r="V588" s="22">
        <f t="shared" si="129"/>
        <v>1.4986976942692676E-5</v>
      </c>
      <c r="W588" s="22">
        <f t="shared" si="129"/>
        <v>1.5017294663736538E-5</v>
      </c>
      <c r="X588" s="22">
        <f t="shared" si="129"/>
        <v>1.5061890336193319E-5</v>
      </c>
      <c r="Y588" s="22">
        <f t="shared" si="129"/>
        <v>1.5103986297595971E-5</v>
      </c>
      <c r="Z588" s="22">
        <f t="shared" si="129"/>
        <v>1.5143780477124499E-5</v>
      </c>
      <c r="AA588" s="22">
        <f t="shared" si="129"/>
        <v>1.5181293243682811E-5</v>
      </c>
      <c r="AB588" s="22">
        <f t="shared" si="129"/>
        <v>1.5217300806744068E-5</v>
      </c>
      <c r="AC588" s="22">
        <f t="shared" si="129"/>
        <v>1.5252343422195684E-5</v>
      </c>
      <c r="AD588" s="22">
        <f t="shared" si="129"/>
        <v>1.5286134993525756E-5</v>
      </c>
      <c r="AE588" s="22">
        <f t="shared" si="129"/>
        <v>1.531918306979576E-5</v>
      </c>
      <c r="AF588" s="22">
        <f t="shared" si="129"/>
        <v>1.5351423055728344E-5</v>
      </c>
      <c r="AG588" s="22">
        <f t="shared" si="129"/>
        <v>1.5382634347686873E-5</v>
      </c>
      <c r="AH588" s="22">
        <f t="shared" si="129"/>
        <v>1.5412986814805202E-5</v>
      </c>
      <c r="AI588" s="22">
        <f t="shared" si="129"/>
        <v>1.5442542460580333E-5</v>
      </c>
      <c r="AJ588" s="22">
        <f t="shared" si="129"/>
        <v>1.5471431054826288E-5</v>
      </c>
      <c r="AK588" s="22">
        <f t="shared" si="129"/>
        <v>1.5498756892033488E-5</v>
      </c>
      <c r="AL588" s="22">
        <f t="shared" si="129"/>
        <v>1.5524513513074621E-5</v>
      </c>
      <c r="AM588" s="22">
        <f t="shared" si="129"/>
        <v>1.5548984646319332E-5</v>
      </c>
      <c r="AN588" s="22">
        <f t="shared" si="129"/>
        <v>1.5571987875403361E-5</v>
      </c>
      <c r="AO588" s="22">
        <f t="shared" si="129"/>
        <v>1.5593591673600764E-5</v>
      </c>
      <c r="AP588" s="22">
        <f t="shared" si="129"/>
        <v>1.5613707165200276E-5</v>
      </c>
      <c r="AQ588" s="22">
        <f t="shared" si="129"/>
        <v>1.5632023858239551E-5</v>
      </c>
      <c r="AR588" s="22">
        <f t="shared" si="129"/>
        <v>1.5648256533695206E-5</v>
      </c>
      <c r="AS588" s="22">
        <f t="shared" si="129"/>
        <v>1.5662406299088669E-5</v>
      </c>
      <c r="AT588" s="22">
        <f t="shared" si="129"/>
        <v>1.5674356891571193E-5</v>
      </c>
      <c r="AU588" s="22">
        <f t="shared" si="129"/>
        <v>1.5684120431636331E-5</v>
      </c>
      <c r="AV588" s="22">
        <f t="shared" si="129"/>
        <v>1.5691980107154113E-5</v>
      </c>
      <c r="AW588" s="22">
        <f t="shared" si="129"/>
        <v>1.5696383554298718E-5</v>
      </c>
      <c r="AY588" s="79"/>
    </row>
    <row r="589" spans="1:51" x14ac:dyDescent="0.25">
      <c r="A589" s="95" t="str">
        <f t="shared" si="108"/>
        <v>PQ MM Volatilisation</v>
      </c>
      <c r="B589" s="95" t="s">
        <v>967</v>
      </c>
      <c r="C589" s="95" t="s">
        <v>1331</v>
      </c>
      <c r="D589" t="s">
        <v>369</v>
      </c>
      <c r="E589" t="s">
        <v>64</v>
      </c>
      <c r="F589" t="s">
        <v>62</v>
      </c>
      <c r="G589" t="s">
        <v>1169</v>
      </c>
      <c r="H589" t="s">
        <v>1298</v>
      </c>
      <c r="I589" t="s">
        <v>139</v>
      </c>
      <c r="J589" t="s">
        <v>287</v>
      </c>
      <c r="K589" s="22">
        <f t="shared" si="127"/>
        <v>1.4738364076719785E-3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1.5149984613639165E-3</v>
      </c>
      <c r="R589" s="22">
        <f t="shared" si="129"/>
        <v>1.5249659674490626E-3</v>
      </c>
      <c r="S589" s="22">
        <f t="shared" si="129"/>
        <v>1.5212267735621682E-3</v>
      </c>
      <c r="T589" s="22">
        <f t="shared" si="129"/>
        <v>1.523841763843748E-3</v>
      </c>
      <c r="U589" s="22">
        <f t="shared" si="129"/>
        <v>1.5240955186535188E-3</v>
      </c>
      <c r="V589" s="22">
        <f t="shared" si="129"/>
        <v>1.5247931825168926E-3</v>
      </c>
      <c r="W589" s="22">
        <f t="shared" si="129"/>
        <v>1.5278777441689124E-3</v>
      </c>
      <c r="X589" s="22">
        <f t="shared" si="129"/>
        <v>1.53241496188746E-3</v>
      </c>
      <c r="Y589" s="22">
        <f t="shared" si="129"/>
        <v>1.536697855976355E-3</v>
      </c>
      <c r="Z589" s="22">
        <f t="shared" si="129"/>
        <v>1.5407465639900506E-3</v>
      </c>
      <c r="AA589" s="22">
        <f t="shared" si="129"/>
        <v>1.5445631582854966E-3</v>
      </c>
      <c r="AB589" s="22">
        <f t="shared" si="129"/>
        <v>1.5482266113544371E-3</v>
      </c>
      <c r="AC589" s="22">
        <f t="shared" si="129"/>
        <v>1.551791889485077E-3</v>
      </c>
      <c r="AD589" s="22">
        <f t="shared" si="129"/>
        <v>1.555229884871849E-3</v>
      </c>
      <c r="AE589" s="22">
        <f t="shared" si="129"/>
        <v>1.5585922361708792E-3</v>
      </c>
      <c r="AF589" s="22">
        <f t="shared" si="129"/>
        <v>1.561872371380429E-3</v>
      </c>
      <c r="AG589" s="22">
        <f t="shared" si="129"/>
        <v>1.5650478460193693E-3</v>
      </c>
      <c r="AH589" s="22">
        <f t="shared" si="129"/>
        <v>1.5681359427790809E-3</v>
      </c>
      <c r="AI589" s="22">
        <f t="shared" si="129"/>
        <v>1.5711429699704306E-3</v>
      </c>
      <c r="AJ589" s="22">
        <f t="shared" si="129"/>
        <v>1.5740821305314401E-3</v>
      </c>
      <c r="AK589" s="22">
        <f t="shared" si="129"/>
        <v>1.5768622942989184E-3</v>
      </c>
      <c r="AL589" s="22">
        <f t="shared" si="129"/>
        <v>1.5794828041134305E-3</v>
      </c>
      <c r="AM589" s="22">
        <f t="shared" si="129"/>
        <v>1.5819725268428828E-3</v>
      </c>
      <c r="AN589" s="22">
        <f t="shared" si="129"/>
        <v>1.5843129032254801E-3</v>
      </c>
      <c r="AO589" s="22">
        <f t="shared" si="129"/>
        <v>1.586510899815041E-3</v>
      </c>
      <c r="AP589" s="22">
        <f t="shared" si="129"/>
        <v>1.5885574742890791E-3</v>
      </c>
      <c r="AQ589" s="22">
        <f t="shared" si="129"/>
        <v>1.5904210368193567E-3</v>
      </c>
      <c r="AR589" s="22">
        <f t="shared" si="129"/>
        <v>1.592072568877052E-3</v>
      </c>
      <c r="AS589" s="22">
        <f t="shared" si="129"/>
        <v>1.5935121831427352E-3</v>
      </c>
      <c r="AT589" s="22">
        <f t="shared" si="129"/>
        <v>1.5947280508933873E-3</v>
      </c>
      <c r="AU589" s="22">
        <f t="shared" si="129"/>
        <v>1.5957214052826996E-3</v>
      </c>
      <c r="AV589" s="22">
        <f t="shared" si="129"/>
        <v>1.5965210581874944E-3</v>
      </c>
      <c r="AW589" s="22">
        <f t="shared" si="129"/>
        <v>1.596969070232308E-3</v>
      </c>
      <c r="AY589" s="79"/>
    </row>
    <row r="590" spans="1:51" x14ac:dyDescent="0.25">
      <c r="A590" s="95" t="str">
        <f t="shared" si="108"/>
        <v>PQ MM Volatilisation</v>
      </c>
      <c r="B590" s="95" t="s">
        <v>967</v>
      </c>
      <c r="C590" s="95" t="s">
        <v>1331</v>
      </c>
      <c r="D590" t="s">
        <v>369</v>
      </c>
      <c r="E590" t="s">
        <v>64</v>
      </c>
      <c r="F590" t="s">
        <v>62</v>
      </c>
      <c r="G590" t="s">
        <v>1171</v>
      </c>
      <c r="H590" t="s">
        <v>1299</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5">
      <c r="A591" s="95" t="str">
        <f t="shared" si="108"/>
        <v>PQ MM Volatilisation</v>
      </c>
      <c r="B591" s="95" t="s">
        <v>967</v>
      </c>
      <c r="C591" s="95" t="s">
        <v>1331</v>
      </c>
      <c r="D591" t="s">
        <v>369</v>
      </c>
      <c r="E591" t="s">
        <v>64</v>
      </c>
      <c r="F591" t="s">
        <v>62</v>
      </c>
      <c r="G591" t="s">
        <v>1173</v>
      </c>
      <c r="H591" t="s">
        <v>1300</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5">
      <c r="A592" s="95" t="str">
        <f t="shared" si="108"/>
        <v>PQ MM Volatilisation</v>
      </c>
      <c r="B592" s="95" t="s">
        <v>967</v>
      </c>
      <c r="C592" s="95" t="s">
        <v>1331</v>
      </c>
      <c r="D592" t="s">
        <v>369</v>
      </c>
      <c r="E592" t="s">
        <v>64</v>
      </c>
      <c r="F592" t="s">
        <v>62</v>
      </c>
      <c r="G592" t="s">
        <v>1175</v>
      </c>
      <c r="H592" t="s">
        <v>1301</v>
      </c>
      <c r="I592" t="s">
        <v>139</v>
      </c>
      <c r="J592" t="s">
        <v>287</v>
      </c>
      <c r="K592" s="22">
        <f t="shared" si="127"/>
        <v>0.13075625264316332</v>
      </c>
      <c r="L592" s="22">
        <f t="shared" si="129"/>
        <v>0.13004550543955865</v>
      </c>
      <c r="M592" s="22">
        <f t="shared" si="129"/>
        <v>0.13010384136507705</v>
      </c>
      <c r="N592" s="22">
        <f t="shared" si="129"/>
        <v>0.12890938840294827</v>
      </c>
      <c r="O592" s="22">
        <f t="shared" si="129"/>
        <v>0.12695857121838466</v>
      </c>
      <c r="P592" s="22">
        <f t="shared" si="129"/>
        <v>0.12428257569245393</v>
      </c>
      <c r="Q592" s="22">
        <f t="shared" si="129"/>
        <v>0.12233950618032063</v>
      </c>
      <c r="R592" s="22">
        <f t="shared" si="129"/>
        <v>0.12056837226162823</v>
      </c>
      <c r="S592" s="22">
        <f t="shared" si="129"/>
        <v>0.10830895289651481</v>
      </c>
      <c r="T592" s="22">
        <f t="shared" si="129"/>
        <v>0.11320330426035914</v>
      </c>
      <c r="U592" s="22">
        <f t="shared" si="129"/>
        <v>0.11468301383498544</v>
      </c>
      <c r="V592" s="22">
        <f t="shared" si="129"/>
        <v>0.11355120382559489</v>
      </c>
      <c r="W592" s="22">
        <f t="shared" si="129"/>
        <v>0.11255578294046394</v>
      </c>
      <c r="X592" s="22">
        <f t="shared" si="129"/>
        <v>0.11224814770681171</v>
      </c>
      <c r="Y592" s="22">
        <f t="shared" si="129"/>
        <v>0.11260156809388705</v>
      </c>
      <c r="Z592" s="22">
        <f t="shared" si="129"/>
        <v>0.11325984846472106</v>
      </c>
      <c r="AA592" s="22">
        <f t="shared" si="129"/>
        <v>0.11429808983181136</v>
      </c>
      <c r="AB592" s="22">
        <f t="shared" si="129"/>
        <v>0.11596592254580176</v>
      </c>
      <c r="AC592" s="22">
        <f t="shared" si="129"/>
        <v>0.11820511582305605</v>
      </c>
      <c r="AD592" s="22">
        <f t="shared" si="129"/>
        <v>0.12075365463644311</v>
      </c>
      <c r="AE592" s="22">
        <f t="shared" si="129"/>
        <v>0.12358623956337132</v>
      </c>
      <c r="AF592" s="22">
        <f t="shared" si="129"/>
        <v>0.12656118355318</v>
      </c>
      <c r="AG592" s="22">
        <f t="shared" si="129"/>
        <v>0.12972957848678721</v>
      </c>
      <c r="AH592" s="22">
        <f t="shared" si="129"/>
        <v>0.13302313311609873</v>
      </c>
      <c r="AI592" s="22">
        <f t="shared" si="129"/>
        <v>0.13621929545186015</v>
      </c>
      <c r="AJ592" s="22">
        <f t="shared" si="129"/>
        <v>0.13962684476435561</v>
      </c>
      <c r="AK592" s="22">
        <f t="shared" si="129"/>
        <v>0.14304119066791054</v>
      </c>
      <c r="AL592" s="22">
        <f t="shared" si="129"/>
        <v>0.14644440679500975</v>
      </c>
      <c r="AM592" s="22">
        <f t="shared" si="129"/>
        <v>0.14992455211372072</v>
      </c>
      <c r="AN592" s="22">
        <f t="shared" si="129"/>
        <v>0.15325657222760428</v>
      </c>
      <c r="AO592" s="22">
        <f t="shared" si="129"/>
        <v>0.15674333681767427</v>
      </c>
      <c r="AP592" s="22">
        <f t="shared" si="129"/>
        <v>0.16048535923438295</v>
      </c>
      <c r="AQ592" s="22">
        <f t="shared" si="129"/>
        <v>0.16429277839644263</v>
      </c>
      <c r="AR592" s="22">
        <f t="shared" si="129"/>
        <v>0.16817259395975112</v>
      </c>
      <c r="AS592" s="22">
        <f t="shared" si="129"/>
        <v>0.17231652203790412</v>
      </c>
      <c r="AT592" s="22">
        <f t="shared" si="129"/>
        <v>0.17665242177214358</v>
      </c>
      <c r="AU592" s="22">
        <f t="shared" si="129"/>
        <v>0.18113086971422945</v>
      </c>
      <c r="AV592" s="22">
        <f t="shared" si="129"/>
        <v>0.18586803919890985</v>
      </c>
      <c r="AW592" s="22">
        <f t="shared" si="129"/>
        <v>0.19015603509530893</v>
      </c>
      <c r="AY592" s="79"/>
    </row>
    <row r="593" spans="1:51" x14ac:dyDescent="0.25">
      <c r="A593" s="95" t="str">
        <f t="shared" si="108"/>
        <v>PQ MM Volatilisation</v>
      </c>
      <c r="B593" s="95" t="s">
        <v>967</v>
      </c>
      <c r="C593" s="95" t="s">
        <v>1331</v>
      </c>
      <c r="D593" t="s">
        <v>369</v>
      </c>
      <c r="E593" t="s">
        <v>64</v>
      </c>
      <c r="F593" t="s">
        <v>62</v>
      </c>
      <c r="G593" t="s">
        <v>1177</v>
      </c>
      <c r="H593" t="s">
        <v>1302</v>
      </c>
      <c r="I593" t="s">
        <v>139</v>
      </c>
      <c r="J593" t="s">
        <v>287</v>
      </c>
      <c r="K593" s="22">
        <f t="shared" si="127"/>
        <v>1.2724633182830876E-2</v>
      </c>
      <c r="L593" s="22">
        <f t="shared" si="129"/>
        <v>1.2655466337890211E-2</v>
      </c>
      <c r="M593" s="22">
        <f t="shared" si="129"/>
        <v>1.2661143337946403E-2</v>
      </c>
      <c r="N593" s="22">
        <f t="shared" si="129"/>
        <v>1.2544904339887072E-2</v>
      </c>
      <c r="O593" s="22">
        <f t="shared" si="129"/>
        <v>1.2355059245839609E-2</v>
      </c>
      <c r="P593" s="22">
        <f t="shared" si="129"/>
        <v>1.2094642930917438E-2</v>
      </c>
      <c r="Q593" s="22">
        <f t="shared" si="129"/>
        <v>1.1905551806853848E-2</v>
      </c>
      <c r="R593" s="22">
        <f t="shared" si="129"/>
        <v>1.1733192711380727E-2</v>
      </c>
      <c r="S593" s="22">
        <f t="shared" si="129"/>
        <v>1.0540159022343456E-2</v>
      </c>
      <c r="T593" s="22">
        <f t="shared" si="129"/>
        <v>1.1016456136354276E-2</v>
      </c>
      <c r="U593" s="22">
        <f t="shared" si="129"/>
        <v>1.1160455074635459E-2</v>
      </c>
      <c r="V593" s="22">
        <f t="shared" si="129"/>
        <v>1.1050312217899923E-2</v>
      </c>
      <c r="W593" s="22">
        <f t="shared" si="129"/>
        <v>1.0953442161059227E-2</v>
      </c>
      <c r="X593" s="22">
        <f t="shared" ref="L593:AW600" si="130">X1544</f>
        <v>1.092350443018052E-2</v>
      </c>
      <c r="Y593" s="22">
        <f t="shared" si="130"/>
        <v>1.0957897774238343E-2</v>
      </c>
      <c r="Z593" s="22">
        <f t="shared" si="130"/>
        <v>1.1021958773854017E-2</v>
      </c>
      <c r="AA593" s="22">
        <f t="shared" si="130"/>
        <v>1.1122995934864729E-2</v>
      </c>
      <c r="AB593" s="22">
        <f t="shared" si="130"/>
        <v>1.1285302203718813E-2</v>
      </c>
      <c r="AC593" s="22">
        <f t="shared" si="130"/>
        <v>1.1503210812313454E-2</v>
      </c>
      <c r="AD593" s="22">
        <f t="shared" si="130"/>
        <v>1.1751223591029727E-2</v>
      </c>
      <c r="AE593" s="22">
        <f t="shared" si="130"/>
        <v>1.2026878509443005E-2</v>
      </c>
      <c r="AF593" s="22">
        <f t="shared" si="130"/>
        <v>1.231638719636668E-2</v>
      </c>
      <c r="AG593" s="22">
        <f t="shared" si="130"/>
        <v>1.2624721692756056E-2</v>
      </c>
      <c r="AH593" s="22">
        <f t="shared" si="130"/>
        <v>1.2945236189603672E-2</v>
      </c>
      <c r="AI593" s="22">
        <f t="shared" si="130"/>
        <v>1.3256272889518386E-2</v>
      </c>
      <c r="AJ593" s="22">
        <f t="shared" si="130"/>
        <v>1.3587880856077676E-2</v>
      </c>
      <c r="AK593" s="22">
        <f t="shared" si="130"/>
        <v>1.3920150237493829E-2</v>
      </c>
      <c r="AL593" s="22">
        <f t="shared" si="130"/>
        <v>1.4251336517184878E-2</v>
      </c>
      <c r="AM593" s="22">
        <f t="shared" si="130"/>
        <v>1.459000921320037E-2</v>
      </c>
      <c r="AN593" s="22">
        <f t="shared" si="130"/>
        <v>1.4914267004701089E-2</v>
      </c>
      <c r="AO593" s="22">
        <f t="shared" si="130"/>
        <v>1.5253583859586839E-2</v>
      </c>
      <c r="AP593" s="22">
        <f t="shared" si="130"/>
        <v>1.5617741302554344E-2</v>
      </c>
      <c r="AQ593" s="22">
        <f t="shared" si="130"/>
        <v>1.5988262874036725E-2</v>
      </c>
      <c r="AR593" s="22">
        <f t="shared" si="130"/>
        <v>1.6365829750282931E-2</v>
      </c>
      <c r="AS593" s="22">
        <f t="shared" si="130"/>
        <v>1.676909891458386E-2</v>
      </c>
      <c r="AT593" s="22">
        <f t="shared" si="130"/>
        <v>1.7191049930466051E-2</v>
      </c>
      <c r="AU593" s="22">
        <f t="shared" si="130"/>
        <v>1.7626873121628955E-2</v>
      </c>
      <c r="AV593" s="22">
        <f t="shared" si="130"/>
        <v>1.8087873974735078E-2</v>
      </c>
      <c r="AW593" s="22">
        <f t="shared" si="130"/>
        <v>1.8505163196230787E-2</v>
      </c>
      <c r="AY593" s="79"/>
    </row>
    <row r="594" spans="1:51" x14ac:dyDescent="0.25">
      <c r="A594" s="95" t="str">
        <f t="shared" si="108"/>
        <v>PQ MM Volatilisation</v>
      </c>
      <c r="B594" s="95" t="s">
        <v>967</v>
      </c>
      <c r="C594" s="95" t="s">
        <v>1331</v>
      </c>
      <c r="D594" t="s">
        <v>369</v>
      </c>
      <c r="E594" t="s">
        <v>64</v>
      </c>
      <c r="F594" t="s">
        <v>62</v>
      </c>
      <c r="G594" t="s">
        <v>1179</v>
      </c>
      <c r="H594" t="s">
        <v>1303</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7.1969839340941866E-2</v>
      </c>
      <c r="S594" s="22">
        <f t="shared" si="130"/>
        <v>6.9075990112688196E-2</v>
      </c>
      <c r="T594" s="22">
        <f t="shared" si="130"/>
        <v>7.1960031651071718E-2</v>
      </c>
      <c r="U594" s="22">
        <f t="shared" si="130"/>
        <v>7.3674037695468111E-2</v>
      </c>
      <c r="V594" s="22">
        <f t="shared" si="130"/>
        <v>7.4492152680205134E-2</v>
      </c>
      <c r="W594" s="22">
        <f t="shared" si="130"/>
        <v>7.5399470920563483E-2</v>
      </c>
      <c r="X594" s="22">
        <f t="shared" si="130"/>
        <v>7.6582710746940591E-2</v>
      </c>
      <c r="Y594" s="22">
        <f t="shared" si="130"/>
        <v>7.8007027191938444E-2</v>
      </c>
      <c r="Z594" s="22">
        <f t="shared" si="130"/>
        <v>7.95518212189988E-2</v>
      </c>
      <c r="AA594" s="22">
        <f t="shared" si="130"/>
        <v>8.125501320297529E-2</v>
      </c>
      <c r="AB594" s="22">
        <f t="shared" si="130"/>
        <v>8.3229375715267798E-2</v>
      </c>
      <c r="AC594" s="22">
        <f t="shared" si="130"/>
        <v>8.5468913054205911E-2</v>
      </c>
      <c r="AD594" s="22">
        <f t="shared" si="130"/>
        <v>8.7878363840128426E-2</v>
      </c>
      <c r="AE594" s="22">
        <f t="shared" si="130"/>
        <v>9.0457350276048634E-2</v>
      </c>
      <c r="AF594" s="22">
        <f t="shared" si="130"/>
        <v>9.3152543573947852E-2</v>
      </c>
      <c r="AG594" s="22">
        <f t="shared" si="130"/>
        <v>9.5991306514799535E-2</v>
      </c>
      <c r="AH594" s="22">
        <f t="shared" si="130"/>
        <v>9.8949791609125759E-2</v>
      </c>
      <c r="AI594" s="22">
        <f t="shared" si="130"/>
        <v>0.10193029518056052</v>
      </c>
      <c r="AJ594" s="22">
        <f t="shared" si="130"/>
        <v>0.10507798344014782</v>
      </c>
      <c r="AK594" s="22">
        <f t="shared" si="130"/>
        <v>0.10829971138803891</v>
      </c>
      <c r="AL594" s="22">
        <f t="shared" si="130"/>
        <v>0.11158886411942164</v>
      </c>
      <c r="AM594" s="22">
        <f t="shared" si="130"/>
        <v>0.11499192397451925</v>
      </c>
      <c r="AN594" s="22">
        <f t="shared" si="130"/>
        <v>0.11839831966593896</v>
      </c>
      <c r="AO594" s="22">
        <f t="shared" si="130"/>
        <v>0.12196310213771001</v>
      </c>
      <c r="AP594" s="22">
        <f t="shared" si="130"/>
        <v>0.12574583816913645</v>
      </c>
      <c r="AQ594" s="22">
        <f t="shared" si="130"/>
        <v>0.12965360602860704</v>
      </c>
      <c r="AR594" s="22">
        <f t="shared" si="130"/>
        <v>0.13369403699154539</v>
      </c>
      <c r="AS594" s="22">
        <f t="shared" si="130"/>
        <v>0.1379790125366526</v>
      </c>
      <c r="AT594" s="22">
        <f t="shared" si="130"/>
        <v>0.14247835199666176</v>
      </c>
      <c r="AU594" s="22">
        <f t="shared" si="130"/>
        <v>0.14717275078625591</v>
      </c>
      <c r="AV594" s="22">
        <f t="shared" si="130"/>
        <v>0.15213947342494369</v>
      </c>
      <c r="AW594" s="22">
        <f t="shared" si="130"/>
        <v>0.15696141877860778</v>
      </c>
      <c r="AY594" s="79"/>
    </row>
    <row r="595" spans="1:51" x14ac:dyDescent="0.25">
      <c r="A595" s="95" t="str">
        <f t="shared" si="108"/>
        <v>PQ MM Volatilisation</v>
      </c>
      <c r="B595" s="95" t="s">
        <v>967</v>
      </c>
      <c r="C595" s="95" t="s">
        <v>1331</v>
      </c>
      <c r="D595" t="s">
        <v>369</v>
      </c>
      <c r="E595" t="s">
        <v>64</v>
      </c>
      <c r="F595" t="s">
        <v>62</v>
      </c>
      <c r="G595" t="s">
        <v>1181</v>
      </c>
      <c r="H595" t="s">
        <v>1304</v>
      </c>
      <c r="I595" t="s">
        <v>139</v>
      </c>
      <c r="J595" t="s">
        <v>287</v>
      </c>
      <c r="K595" s="22">
        <f t="shared" si="127"/>
        <v>0.31034319165291718</v>
      </c>
      <c r="L595" s="22">
        <f t="shared" si="130"/>
        <v>0.31442985679016972</v>
      </c>
      <c r="M595" s="22">
        <f t="shared" si="130"/>
        <v>0.3209942132552846</v>
      </c>
      <c r="N595" s="22">
        <f t="shared" si="130"/>
        <v>0.3228790317815291</v>
      </c>
      <c r="O595" s="22">
        <f t="shared" si="130"/>
        <v>0.3217232753588708</v>
      </c>
      <c r="P595" s="22">
        <f t="shared" si="130"/>
        <v>0.31753924052538912</v>
      </c>
      <c r="Q595" s="22">
        <f t="shared" si="130"/>
        <v>0.31577785743754239</v>
      </c>
      <c r="R595" s="22">
        <f t="shared" si="130"/>
        <v>0.31441607582114939</v>
      </c>
      <c r="S595" s="22">
        <f t="shared" si="130"/>
        <v>0.27355046715049131</v>
      </c>
      <c r="T595" s="22">
        <f t="shared" si="130"/>
        <v>0.2982999703835697</v>
      </c>
      <c r="U595" s="22">
        <f t="shared" si="130"/>
        <v>0.31020865266324016</v>
      </c>
      <c r="V595" s="22">
        <f t="shared" si="130"/>
        <v>0.31169871113596848</v>
      </c>
      <c r="W595" s="22">
        <f t="shared" si="130"/>
        <v>0.313416443296333</v>
      </c>
      <c r="X595" s="22">
        <f t="shared" si="130"/>
        <v>0.31777262865062833</v>
      </c>
      <c r="Y595" s="22">
        <f t="shared" si="130"/>
        <v>0.32494530500053975</v>
      </c>
      <c r="Z595" s="22">
        <f t="shared" si="130"/>
        <v>0.33352717212448735</v>
      </c>
      <c r="AA595" s="22">
        <f t="shared" si="130"/>
        <v>0.34389700896977449</v>
      </c>
      <c r="AB595" s="22">
        <f t="shared" si="130"/>
        <v>0.35720613223021092</v>
      </c>
      <c r="AC595" s="22">
        <f t="shared" si="130"/>
        <v>0.37330270784262232</v>
      </c>
      <c r="AD595" s="22">
        <f t="shared" si="130"/>
        <v>0.39111878330548938</v>
      </c>
      <c r="AE595" s="22">
        <f t="shared" si="130"/>
        <v>0.41059525274758124</v>
      </c>
      <c r="AF595" s="22">
        <f t="shared" si="130"/>
        <v>0.4311392832902729</v>
      </c>
      <c r="AG595" s="22">
        <f t="shared" si="130"/>
        <v>0.45302578965799745</v>
      </c>
      <c r="AH595" s="22">
        <f t="shared" si="130"/>
        <v>0.47597562229356133</v>
      </c>
      <c r="AI595" s="22">
        <f t="shared" si="130"/>
        <v>0.49895875258724764</v>
      </c>
      <c r="AJ595" s="22">
        <f t="shared" si="130"/>
        <v>0.52346175750841617</v>
      </c>
      <c r="AK595" s="22">
        <f t="shared" si="130"/>
        <v>0.54854282752031391</v>
      </c>
      <c r="AL595" s="22">
        <f t="shared" si="130"/>
        <v>0.57412757690619154</v>
      </c>
      <c r="AM595" s="22">
        <f t="shared" si="130"/>
        <v>0.60066723743034001</v>
      </c>
      <c r="AN595" s="22">
        <f t="shared" si="130"/>
        <v>0.62704755150284652</v>
      </c>
      <c r="AO595" s="22">
        <f t="shared" si="130"/>
        <v>0.65481507956811935</v>
      </c>
      <c r="AP595" s="22">
        <f t="shared" si="130"/>
        <v>0.68454150627200949</v>
      </c>
      <c r="AQ595" s="22">
        <f t="shared" si="130"/>
        <v>0.71529406948310958</v>
      </c>
      <c r="AR595" s="22">
        <f t="shared" si="130"/>
        <v>0.74714458055742761</v>
      </c>
      <c r="AS595" s="22">
        <f t="shared" si="130"/>
        <v>0.78116708322765893</v>
      </c>
      <c r="AT595" s="22">
        <f t="shared" si="130"/>
        <v>0.81704220152579388</v>
      </c>
      <c r="AU595" s="22">
        <f t="shared" si="130"/>
        <v>0.85455779039390145</v>
      </c>
      <c r="AV595" s="22">
        <f t="shared" si="130"/>
        <v>0.8944207901364416</v>
      </c>
      <c r="AW595" s="22">
        <f t="shared" si="130"/>
        <v>0.93268516809491542</v>
      </c>
      <c r="AY595" s="79"/>
    </row>
    <row r="596" spans="1:51" x14ac:dyDescent="0.25">
      <c r="A596" s="95" t="str">
        <f t="shared" si="108"/>
        <v>PQ MM Leaching</v>
      </c>
      <c r="B596" s="95" t="s">
        <v>967</v>
      </c>
      <c r="C596" s="95" t="s">
        <v>1332</v>
      </c>
      <c r="D596" t="s">
        <v>369</v>
      </c>
      <c r="E596" t="s">
        <v>64</v>
      </c>
      <c r="F596" t="s">
        <v>63</v>
      </c>
      <c r="G596" t="s">
        <v>1151</v>
      </c>
      <c r="H596" t="s">
        <v>1305</v>
      </c>
      <c r="I596" t="s">
        <v>139</v>
      </c>
      <c r="J596" t="s">
        <v>287</v>
      </c>
      <c r="K596" s="22">
        <f t="shared" si="127"/>
        <v>8.9211118607918846E-2</v>
      </c>
      <c r="L596" s="22">
        <f t="shared" si="130"/>
        <v>8.9709854381943815E-2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9.2016609055475665E-2</v>
      </c>
      <c r="S596" s="22">
        <f t="shared" si="130"/>
        <v>8.9358864650084344E-2</v>
      </c>
      <c r="T596" s="22">
        <f t="shared" si="130"/>
        <v>9.1160880262772734E-2</v>
      </c>
      <c r="U596" s="22">
        <f t="shared" si="130"/>
        <v>9.2055417480081031E-2</v>
      </c>
      <c r="V596" s="22">
        <f t="shared" si="130"/>
        <v>9.2289034291272776E-2</v>
      </c>
      <c r="W596" s="22">
        <f t="shared" si="130"/>
        <v>9.2621209958625161E-2</v>
      </c>
      <c r="X596" s="22">
        <f t="shared" si="130"/>
        <v>9.3178603232719648E-2</v>
      </c>
      <c r="Y596" s="22">
        <f t="shared" si="130"/>
        <v>9.3914939363977226E-2</v>
      </c>
      <c r="Z596" s="22">
        <f t="shared" si="130"/>
        <v>9.4739349743762011E-2</v>
      </c>
      <c r="AA596" s="22">
        <f t="shared" si="130"/>
        <v>9.5677798677729631E-2</v>
      </c>
      <c r="AB596" s="22">
        <f t="shared" si="130"/>
        <v>9.6810748950836578E-2</v>
      </c>
      <c r="AC596" s="22">
        <f t="shared" si="130"/>
        <v>9.8131619080537594E-2</v>
      </c>
      <c r="AD596" s="22">
        <f t="shared" si="130"/>
        <v>9.956927276254475E-2</v>
      </c>
      <c r="AE596" s="22">
        <f t="shared" si="130"/>
        <v>0.10112241066666731</v>
      </c>
      <c r="AF596" s="22">
        <f t="shared" si="130"/>
        <v>0.10275162031430257</v>
      </c>
      <c r="AG596" s="22">
        <f t="shared" si="130"/>
        <v>0.10447512410975278</v>
      </c>
      <c r="AH596" s="22">
        <f t="shared" si="130"/>
        <v>0.10627520064757517</v>
      </c>
      <c r="AI596" s="22">
        <f t="shared" si="130"/>
        <v>0.10808248543054177</v>
      </c>
      <c r="AJ596" s="22">
        <f t="shared" si="130"/>
        <v>0.10999863373444546</v>
      </c>
      <c r="AK596" s="22">
        <f t="shared" si="130"/>
        <v>0.11195666285750208</v>
      </c>
      <c r="AL596" s="22">
        <f t="shared" si="130"/>
        <v>0.11395159289972816</v>
      </c>
      <c r="AM596" s="22">
        <f t="shared" si="130"/>
        <v>0.11601556458845022</v>
      </c>
      <c r="AN596" s="22">
        <f t="shared" si="130"/>
        <v>0.1180715269808419</v>
      </c>
      <c r="AO596" s="22">
        <f t="shared" si="130"/>
        <v>0.12022624785087629</v>
      </c>
      <c r="AP596" s="22">
        <f t="shared" si="130"/>
        <v>0.12251950907003291</v>
      </c>
      <c r="AQ596" s="22">
        <f t="shared" si="130"/>
        <v>0.12488629569373427</v>
      </c>
      <c r="AR596" s="22">
        <f t="shared" si="130"/>
        <v>0.12733088961691924</v>
      </c>
      <c r="AS596" s="22">
        <f t="shared" si="130"/>
        <v>0.1299285168324007</v>
      </c>
      <c r="AT596" s="22">
        <f t="shared" si="130"/>
        <v>0.13265733115300649</v>
      </c>
      <c r="AU596" s="22">
        <f t="shared" si="130"/>
        <v>0.1355032537790716</v>
      </c>
      <c r="AV596" s="22">
        <f t="shared" si="130"/>
        <v>0.13851756609044491</v>
      </c>
      <c r="AW596" s="22">
        <f t="shared" si="130"/>
        <v>0.1414178902191697</v>
      </c>
      <c r="AY596" s="79"/>
    </row>
    <row r="597" spans="1:51" x14ac:dyDescent="0.25">
      <c r="A597" s="95" t="str">
        <f t="shared" si="108"/>
        <v>PQ MM Leaching</v>
      </c>
      <c r="B597" s="95" t="s">
        <v>967</v>
      </c>
      <c r="C597" s="95" t="s">
        <v>1332</v>
      </c>
      <c r="D597" t="s">
        <v>369</v>
      </c>
      <c r="E597" t="s">
        <v>64</v>
      </c>
      <c r="F597" t="s">
        <v>63</v>
      </c>
      <c r="G597" t="s">
        <v>1153</v>
      </c>
      <c r="H597" t="s">
        <v>1306</v>
      </c>
      <c r="I597" t="s">
        <v>139</v>
      </c>
      <c r="J597" t="s">
        <v>287</v>
      </c>
      <c r="K597" s="22">
        <f t="shared" si="127"/>
        <v>2.6939494531157477E-2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2.7786681470952937E-2</v>
      </c>
      <c r="S597" s="22">
        <f t="shared" si="130"/>
        <v>2.6984110087570477E-2</v>
      </c>
      <c r="T597" s="22">
        <f t="shared" si="130"/>
        <v>2.7528273085418706E-2</v>
      </c>
      <c r="U597" s="22">
        <f t="shared" si="130"/>
        <v>2.7798400630612993E-2</v>
      </c>
      <c r="V597" s="22">
        <f t="shared" si="130"/>
        <v>2.786894698072824E-2</v>
      </c>
      <c r="W597" s="22">
        <f t="shared" si="130"/>
        <v>2.7969255604963213E-2</v>
      </c>
      <c r="X597" s="22">
        <f t="shared" si="130"/>
        <v>2.8137574232657669E-2</v>
      </c>
      <c r="Y597" s="22">
        <f t="shared" si="130"/>
        <v>2.8359929063430364E-2</v>
      </c>
      <c r="Z597" s="22">
        <f t="shared" si="130"/>
        <v>2.8608880082812278E-2</v>
      </c>
      <c r="AA597" s="22">
        <f t="shared" si="130"/>
        <v>2.8892267852396274E-2</v>
      </c>
      <c r="AB597" s="22">
        <f t="shared" si="130"/>
        <v>2.9234390091896226E-2</v>
      </c>
      <c r="AC597" s="22">
        <f t="shared" si="130"/>
        <v>2.9633259360555886E-2</v>
      </c>
      <c r="AD597" s="22">
        <f t="shared" si="130"/>
        <v>3.0067394299210185E-2</v>
      </c>
      <c r="AE597" s="22">
        <f t="shared" si="130"/>
        <v>3.0536402543105565E-2</v>
      </c>
      <c r="AF597" s="22">
        <f t="shared" si="130"/>
        <v>3.102838252359965E-2</v>
      </c>
      <c r="AG597" s="22">
        <f t="shared" si="130"/>
        <v>3.1548836944488824E-2</v>
      </c>
      <c r="AH597" s="22">
        <f t="shared" si="130"/>
        <v>3.2092414390921906E-2</v>
      </c>
      <c r="AI597" s="22">
        <f t="shared" si="130"/>
        <v>3.2638168544515178E-2</v>
      </c>
      <c r="AJ597" s="22">
        <f t="shared" si="130"/>
        <v>3.3216796719561036E-2</v>
      </c>
      <c r="AK597" s="22">
        <f t="shared" si="130"/>
        <v>3.3808071839473604E-2</v>
      </c>
      <c r="AL597" s="22">
        <f t="shared" si="130"/>
        <v>3.4410490100798045E-2</v>
      </c>
      <c r="AM597" s="22">
        <f t="shared" si="130"/>
        <v>3.5033757187775863E-2</v>
      </c>
      <c r="AN597" s="22">
        <f t="shared" si="130"/>
        <v>3.5654605670458001E-2</v>
      </c>
      <c r="AO597" s="22">
        <f t="shared" si="130"/>
        <v>3.6305276707883034E-2</v>
      </c>
      <c r="AP597" s="22">
        <f t="shared" si="130"/>
        <v>3.699778341597066E-2</v>
      </c>
      <c r="AQ597" s="22">
        <f t="shared" si="130"/>
        <v>3.7712492930889352E-2</v>
      </c>
      <c r="AR597" s="22">
        <f t="shared" si="130"/>
        <v>3.8450698276278859E-2</v>
      </c>
      <c r="AS597" s="22">
        <f t="shared" si="130"/>
        <v>3.9235115793483218E-2</v>
      </c>
      <c r="AT597" s="22">
        <f t="shared" si="130"/>
        <v>4.0059148488214832E-2</v>
      </c>
      <c r="AU597" s="22">
        <f t="shared" si="130"/>
        <v>4.0918544920154343E-2</v>
      </c>
      <c r="AV597" s="22">
        <f t="shared" si="130"/>
        <v>4.1828790765006174E-2</v>
      </c>
      <c r="AW597" s="22">
        <f t="shared" si="130"/>
        <v>4.2704615070581362E-2</v>
      </c>
      <c r="AY597" s="79"/>
    </row>
    <row r="598" spans="1:51" x14ac:dyDescent="0.25">
      <c r="A598" s="95" t="str">
        <f t="shared" si="108"/>
        <v>PQ MM Leaching</v>
      </c>
      <c r="B598" s="95" t="s">
        <v>967</v>
      </c>
      <c r="C598" s="95" t="s">
        <v>1332</v>
      </c>
      <c r="D598" t="s">
        <v>369</v>
      </c>
      <c r="E598" t="s">
        <v>64</v>
      </c>
      <c r="F598" t="s">
        <v>63</v>
      </c>
      <c r="G598" t="s">
        <v>1155</v>
      </c>
      <c r="H598" t="s">
        <v>1307</v>
      </c>
      <c r="I598" t="s">
        <v>139</v>
      </c>
      <c r="J598" t="s">
        <v>287</v>
      </c>
      <c r="K598" s="22">
        <f t="shared" si="127"/>
        <v>1.4483668498503175E-3</v>
      </c>
      <c r="L598" s="22">
        <f t="shared" si="130"/>
        <v>1.4564639612104711E-3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1.4939147526814829E-3</v>
      </c>
      <c r="S598" s="22">
        <f t="shared" si="130"/>
        <v>1.4507655471540646E-3</v>
      </c>
      <c r="T598" s="22">
        <f t="shared" si="130"/>
        <v>1.4800217622655623E-3</v>
      </c>
      <c r="U598" s="22">
        <f t="shared" si="130"/>
        <v>1.4945448180429578E-3</v>
      </c>
      <c r="V598" s="22">
        <f t="shared" si="130"/>
        <v>1.4983376507097578E-3</v>
      </c>
      <c r="W598" s="22">
        <f t="shared" si="130"/>
        <v>1.5037306132958967E-3</v>
      </c>
      <c r="X598" s="22">
        <f t="shared" si="130"/>
        <v>1.5127800451730611E-3</v>
      </c>
      <c r="Y598" s="22">
        <f t="shared" si="130"/>
        <v>1.5247346631568088E-3</v>
      </c>
      <c r="Z598" s="22">
        <f t="shared" si="130"/>
        <v>1.5381191905944778E-3</v>
      </c>
      <c r="AA598" s="22">
        <f t="shared" si="130"/>
        <v>1.5533551650721636E-3</v>
      </c>
      <c r="AB598" s="22">
        <f t="shared" si="130"/>
        <v>1.5717489218560997E-3</v>
      </c>
      <c r="AC598" s="22">
        <f t="shared" si="130"/>
        <v>1.5931936087815548E-3</v>
      </c>
      <c r="AD598" s="22">
        <f t="shared" si="130"/>
        <v>1.6165343085404703E-3</v>
      </c>
      <c r="AE598" s="22">
        <f t="shared" si="130"/>
        <v>1.641749926152706E-3</v>
      </c>
      <c r="AF598" s="22">
        <f t="shared" si="130"/>
        <v>1.6682005892753381E-3</v>
      </c>
      <c r="AG598" s="22">
        <f t="shared" si="130"/>
        <v>1.6961821436137869E-3</v>
      </c>
      <c r="AH598" s="22">
        <f t="shared" si="130"/>
        <v>1.7254068773158021E-3</v>
      </c>
      <c r="AI598" s="22">
        <f t="shared" si="130"/>
        <v>1.7547486388443409E-3</v>
      </c>
      <c r="AJ598" s="22">
        <f t="shared" si="130"/>
        <v>1.785857829336261E-3</v>
      </c>
      <c r="AK598" s="22">
        <f t="shared" si="130"/>
        <v>1.81764696635337E-3</v>
      </c>
      <c r="AL598" s="22">
        <f t="shared" si="130"/>
        <v>1.8500351998607825E-3</v>
      </c>
      <c r="AM598" s="22">
        <f t="shared" si="130"/>
        <v>1.88354434333552E-3</v>
      </c>
      <c r="AN598" s="22">
        <f t="shared" si="130"/>
        <v>1.9169234536991781E-3</v>
      </c>
      <c r="AO598" s="22">
        <f t="shared" si="130"/>
        <v>1.9519059348913977E-3</v>
      </c>
      <c r="AP598" s="22">
        <f t="shared" si="130"/>
        <v>1.9891376564492419E-3</v>
      </c>
      <c r="AQ598" s="22">
        <f t="shared" si="130"/>
        <v>2.0275630830096244E-3</v>
      </c>
      <c r="AR598" s="22">
        <f t="shared" si="130"/>
        <v>2.0672517323050989E-3</v>
      </c>
      <c r="AS598" s="22">
        <f t="shared" si="130"/>
        <v>2.1094249188527039E-3</v>
      </c>
      <c r="AT598" s="22">
        <f t="shared" si="130"/>
        <v>2.1537279638434597E-3</v>
      </c>
      <c r="AU598" s="22">
        <f t="shared" si="130"/>
        <v>2.1999322941237188E-3</v>
      </c>
      <c r="AV598" s="22">
        <f t="shared" si="130"/>
        <v>2.2488704768863013E-3</v>
      </c>
      <c r="AW598" s="22">
        <f t="shared" si="130"/>
        <v>2.2959580304044692E-3</v>
      </c>
      <c r="AY598" s="79"/>
    </row>
    <row r="599" spans="1:51" x14ac:dyDescent="0.25">
      <c r="A599" s="95" t="str">
        <f t="shared" si="108"/>
        <v>PQ MM Leaching</v>
      </c>
      <c r="B599" s="95" t="s">
        <v>967</v>
      </c>
      <c r="C599" s="95" t="s">
        <v>1332</v>
      </c>
      <c r="D599" t="s">
        <v>369</v>
      </c>
      <c r="E599" t="s">
        <v>64</v>
      </c>
      <c r="F599" t="s">
        <v>63</v>
      </c>
      <c r="G599" t="s">
        <v>1157</v>
      </c>
      <c r="H599" t="s">
        <v>1308</v>
      </c>
      <c r="I599" t="s">
        <v>139</v>
      </c>
      <c r="J599" t="s">
        <v>287</v>
      </c>
      <c r="K599" s="22">
        <f t="shared" si="127"/>
        <v>3.0303014392691133E-2</v>
      </c>
      <c r="L599" s="22">
        <f t="shared" si="130"/>
        <v>3.0040206026371356E-2</v>
      </c>
      <c r="M599" s="22">
        <f t="shared" si="130"/>
        <v>2.9940162837193186E-2</v>
      </c>
      <c r="N599" s="22">
        <f t="shared" si="130"/>
        <v>2.9540351153331298E-2</v>
      </c>
      <c r="O599" s="22">
        <f t="shared" si="130"/>
        <v>2.8960014730128842E-2</v>
      </c>
      <c r="P599" s="22">
        <f t="shared" si="130"/>
        <v>2.8211154016296501E-2</v>
      </c>
      <c r="Q599" s="22">
        <f t="shared" si="130"/>
        <v>2.7620505669412022E-2</v>
      </c>
      <c r="R599" s="22">
        <f t="shared" si="130"/>
        <v>2.7061685185942385E-2</v>
      </c>
      <c r="S599" s="22">
        <f t="shared" si="130"/>
        <v>2.416485344196681E-2</v>
      </c>
      <c r="T599" s="22">
        <f t="shared" si="130"/>
        <v>2.5320182377840249E-2</v>
      </c>
      <c r="U599" s="22">
        <f t="shared" si="130"/>
        <v>2.5720157477778727E-2</v>
      </c>
      <c r="V599" s="22">
        <f t="shared" si="130"/>
        <v>2.5546462223035794E-2</v>
      </c>
      <c r="W599" s="22">
        <f t="shared" si="130"/>
        <v>2.5405173363708521E-2</v>
      </c>
      <c r="X599" s="22">
        <f t="shared" si="130"/>
        <v>2.5414454482957191E-2</v>
      </c>
      <c r="Y599" s="22">
        <f t="shared" si="130"/>
        <v>2.5563690103476349E-2</v>
      </c>
      <c r="Z599" s="22">
        <f t="shared" si="130"/>
        <v>2.5775445206678543E-2</v>
      </c>
      <c r="AA599" s="22">
        <f t="shared" si="130"/>
        <v>2.6066776415666827E-2</v>
      </c>
      <c r="AB599" s="22">
        <f t="shared" si="130"/>
        <v>2.6493519467488225E-2</v>
      </c>
      <c r="AC599" s="22">
        <f t="shared" si="130"/>
        <v>2.7043622150726768E-2</v>
      </c>
      <c r="AD599" s="22">
        <f t="shared" si="130"/>
        <v>2.7427151031194422E-2</v>
      </c>
      <c r="AE599" s="22">
        <f t="shared" si="130"/>
        <v>2.7855985588875625E-2</v>
      </c>
      <c r="AF599" s="22">
        <f t="shared" si="130"/>
        <v>2.8297808294208047E-2</v>
      </c>
      <c r="AG599" s="22">
        <f t="shared" si="130"/>
        <v>2.8762433728203925E-2</v>
      </c>
      <c r="AH599" s="22">
        <f t="shared" si="130"/>
        <v>2.9234018291177721E-2</v>
      </c>
      <c r="AI599" s="22">
        <f t="shared" si="130"/>
        <v>2.9664658796070921E-2</v>
      </c>
      <c r="AJ599" s="22">
        <f t="shared" si="130"/>
        <v>3.0118905492871519E-2</v>
      </c>
      <c r="AK599" s="22">
        <f t="shared" si="130"/>
        <v>3.0552583954684191E-2</v>
      </c>
      <c r="AL599" s="22">
        <f t="shared" si="130"/>
        <v>3.0961516168479985E-2</v>
      </c>
      <c r="AM599" s="22">
        <f t="shared" si="130"/>
        <v>3.1363182487267389E-2</v>
      </c>
      <c r="AN599" s="22">
        <f t="shared" si="130"/>
        <v>3.1873237924965422E-2</v>
      </c>
      <c r="AO599" s="22">
        <f t="shared" si="130"/>
        <v>3.2400793328725176E-2</v>
      </c>
      <c r="AP599" s="22">
        <f t="shared" si="130"/>
        <v>3.2965020652190688E-2</v>
      </c>
      <c r="AQ599" s="22">
        <f t="shared" si="130"/>
        <v>3.3527052752866549E-2</v>
      </c>
      <c r="AR599" s="22">
        <f t="shared" si="130"/>
        <v>3.4087619114860586E-2</v>
      </c>
      <c r="AS599" s="22">
        <f t="shared" si="130"/>
        <v>3.4683560205557983E-2</v>
      </c>
      <c r="AT599" s="22">
        <f t="shared" si="130"/>
        <v>3.5299445606795467E-2</v>
      </c>
      <c r="AU599" s="22">
        <f t="shared" si="130"/>
        <v>3.5924567561005115E-2</v>
      </c>
      <c r="AV599" s="22">
        <f t="shared" si="130"/>
        <v>3.6580199359184239E-2</v>
      </c>
      <c r="AW599" s="22">
        <f t="shared" si="130"/>
        <v>3.712986506477154E-2</v>
      </c>
      <c r="AY599" s="79"/>
    </row>
    <row r="600" spans="1:51" x14ac:dyDescent="0.25">
      <c r="A600" s="95" t="str">
        <f t="shared" si="108"/>
        <v>PQ MM Leaching</v>
      </c>
      <c r="B600" s="95" t="s">
        <v>967</v>
      </c>
      <c r="C600" s="95" t="s">
        <v>1332</v>
      </c>
      <c r="D600" t="s">
        <v>369</v>
      </c>
      <c r="E600" t="s">
        <v>64</v>
      </c>
      <c r="F600" t="s">
        <v>63</v>
      </c>
      <c r="G600" t="s">
        <v>1159</v>
      </c>
      <c r="H600" t="s">
        <v>1309</v>
      </c>
      <c r="I600" t="s">
        <v>139</v>
      </c>
      <c r="J600" t="s">
        <v>287</v>
      </c>
      <c r="K600" s="22">
        <f t="shared" si="127"/>
        <v>4.0226293185258916E-2</v>
      </c>
      <c r="L600" s="22">
        <f t="shared" si="130"/>
        <v>3.9877423391049015E-2</v>
      </c>
      <c r="M600" s="22">
        <f t="shared" ref="L600:AW606" si="131">M1551</f>
        <v>3.9744619221572089E-2</v>
      </c>
      <c r="N600" s="22">
        <f t="shared" si="131"/>
        <v>3.9213881856453713E-2</v>
      </c>
      <c r="O600" s="22">
        <f t="shared" si="131"/>
        <v>3.8443503609481136E-2</v>
      </c>
      <c r="P600" s="22">
        <f t="shared" si="131"/>
        <v>3.7449414696768608E-2</v>
      </c>
      <c r="Q600" s="22">
        <f t="shared" si="131"/>
        <v>3.666534769725275E-2</v>
      </c>
      <c r="R600" s="22">
        <f t="shared" si="131"/>
        <v>3.5923531179771241E-2</v>
      </c>
      <c r="S600" s="22">
        <f t="shared" si="131"/>
        <v>3.20780786603799E-2</v>
      </c>
      <c r="T600" s="22">
        <f t="shared" si="131"/>
        <v>3.3611741282111272E-2</v>
      </c>
      <c r="U600" s="22">
        <f t="shared" si="131"/>
        <v>3.414269557690279E-2</v>
      </c>
      <c r="V600" s="22">
        <f t="shared" si="131"/>
        <v>3.3912120619849585E-2</v>
      </c>
      <c r="W600" s="22">
        <f t="shared" si="131"/>
        <v>3.372456412776409E-2</v>
      </c>
      <c r="X600" s="22">
        <f t="shared" si="131"/>
        <v>3.3736884520024282E-2</v>
      </c>
      <c r="Y600" s="22">
        <f t="shared" si="131"/>
        <v>3.3934990086252545E-2</v>
      </c>
      <c r="Z600" s="22">
        <f t="shared" si="131"/>
        <v>3.4216088288381921E-2</v>
      </c>
      <c r="AA600" s="22">
        <f t="shared" si="131"/>
        <v>3.4602821254116366E-2</v>
      </c>
      <c r="AB600" s="22">
        <f t="shared" si="131"/>
        <v>3.5169309158418066E-2</v>
      </c>
      <c r="AC600" s="22">
        <f t="shared" si="131"/>
        <v>3.589955307181858E-2</v>
      </c>
      <c r="AD600" s="22">
        <f t="shared" si="131"/>
        <v>3.6408675530422145E-2</v>
      </c>
      <c r="AE600" s="22">
        <f t="shared" si="131"/>
        <v>3.6977939842602774E-2</v>
      </c>
      <c r="AF600" s="22">
        <f t="shared" si="131"/>
        <v>3.7564445510002403E-2</v>
      </c>
      <c r="AG600" s="22">
        <f t="shared" si="131"/>
        <v>3.8181221078500117E-2</v>
      </c>
      <c r="AH600" s="22">
        <f t="shared" si="131"/>
        <v>3.8807234670613311E-2</v>
      </c>
      <c r="AI600" s="22">
        <f t="shared" si="131"/>
        <v>3.9378896320599516E-2</v>
      </c>
      <c r="AJ600" s="22">
        <f t="shared" si="131"/>
        <v>3.9981894443728266E-2</v>
      </c>
      <c r="AK600" s="22">
        <f t="shared" si="131"/>
        <v>4.0557588885440844E-2</v>
      </c>
      <c r="AL600" s="22">
        <f t="shared" si="131"/>
        <v>4.1100433465583154E-2</v>
      </c>
      <c r="AM600" s="22">
        <f t="shared" si="131"/>
        <v>4.1633632799906894E-2</v>
      </c>
      <c r="AN600" s="22">
        <f t="shared" si="131"/>
        <v>4.23107152614631E-2</v>
      </c>
      <c r="AO600" s="22">
        <f t="shared" si="131"/>
        <v>4.3011028374478885E-2</v>
      </c>
      <c r="AP600" s="22">
        <f t="shared" si="131"/>
        <v>4.3760022301047856E-2</v>
      </c>
      <c r="AQ600" s="22">
        <f t="shared" si="131"/>
        <v>4.4506102138793871E-2</v>
      </c>
      <c r="AR600" s="22">
        <f t="shared" si="131"/>
        <v>4.5250236254798015E-2</v>
      </c>
      <c r="AS600" s="22">
        <f t="shared" si="131"/>
        <v>4.6041329204327096E-2</v>
      </c>
      <c r="AT600" s="22">
        <f t="shared" si="131"/>
        <v>4.6858897595301277E-2</v>
      </c>
      <c r="AU600" s="22">
        <f t="shared" si="131"/>
        <v>4.7688727218213149E-2</v>
      </c>
      <c r="AV600" s="22">
        <f t="shared" si="131"/>
        <v>4.8559057694031842E-2</v>
      </c>
      <c r="AW600" s="22">
        <f t="shared" si="131"/>
        <v>4.928872153342103E-2</v>
      </c>
      <c r="AY600" s="79"/>
    </row>
    <row r="601" spans="1:51" x14ac:dyDescent="0.25">
      <c r="A601" s="95" t="str">
        <f t="shared" si="108"/>
        <v>PQ MM Leaching</v>
      </c>
      <c r="B601" s="95" t="s">
        <v>967</v>
      </c>
      <c r="C601" s="95" t="s">
        <v>1332</v>
      </c>
      <c r="D601" t="s">
        <v>369</v>
      </c>
      <c r="E601" t="s">
        <v>64</v>
      </c>
      <c r="F601" t="s">
        <v>63</v>
      </c>
      <c r="G601" t="s">
        <v>1161</v>
      </c>
      <c r="H601" t="s">
        <v>1310</v>
      </c>
      <c r="I601" t="s">
        <v>139</v>
      </c>
      <c r="J601" t="s">
        <v>287</v>
      </c>
      <c r="K601" s="22">
        <f t="shared" si="127"/>
        <v>4.1968337096859189E-2</v>
      </c>
      <c r="L601" s="22">
        <f t="shared" si="131"/>
        <v>4.3383434779753448E-2</v>
      </c>
      <c r="M601" s="22">
        <f t="shared" si="131"/>
        <v>4.5063007666824861E-2</v>
      </c>
      <c r="N601" s="22">
        <f t="shared" si="131"/>
        <v>4.6315596244033488E-2</v>
      </c>
      <c r="O601" s="22">
        <f t="shared" si="131"/>
        <v>4.7281576900430174E-2</v>
      </c>
      <c r="P601" s="22">
        <f t="shared" si="131"/>
        <v>4.7947144057730852E-2</v>
      </c>
      <c r="Q601" s="22">
        <f t="shared" si="131"/>
        <v>4.8855920576585825E-2</v>
      </c>
      <c r="R601" s="22">
        <f t="shared" si="131"/>
        <v>4.9808583705724517E-2</v>
      </c>
      <c r="S601" s="22">
        <f t="shared" si="131"/>
        <v>4.6274354518489276E-2</v>
      </c>
      <c r="T601" s="22">
        <f t="shared" si="131"/>
        <v>4.9654921678945953E-2</v>
      </c>
      <c r="U601" s="22">
        <f t="shared" si="131"/>
        <v>5.1637836574471289E-2</v>
      </c>
      <c r="V601" s="22">
        <f t="shared" si="131"/>
        <v>5.2492346966759522E-2</v>
      </c>
      <c r="W601" s="22">
        <f t="shared" si="131"/>
        <v>5.3412266292045346E-2</v>
      </c>
      <c r="X601" s="22">
        <f t="shared" si="131"/>
        <v>5.4657017670669474E-2</v>
      </c>
      <c r="Y601" s="22">
        <f t="shared" si="131"/>
        <v>5.6225924185537776E-2</v>
      </c>
      <c r="Z601" s="22">
        <f t="shared" si="131"/>
        <v>5.7966478629194101E-2</v>
      </c>
      <c r="AA601" s="22">
        <f t="shared" si="131"/>
        <v>5.9928438330955298E-2</v>
      </c>
      <c r="AB601" s="22">
        <f t="shared" si="131"/>
        <v>6.2256429990458134E-2</v>
      </c>
      <c r="AC601" s="22">
        <f t="shared" si="131"/>
        <v>6.4943944669320713E-2</v>
      </c>
      <c r="AD601" s="22">
        <f t="shared" si="131"/>
        <v>6.8049231515403694E-2</v>
      </c>
      <c r="AE601" s="22">
        <f t="shared" si="131"/>
        <v>7.140958377080403E-2</v>
      </c>
      <c r="AF601" s="22">
        <f t="shared" si="131"/>
        <v>7.4958672292987819E-2</v>
      </c>
      <c r="AG601" s="22">
        <f t="shared" si="131"/>
        <v>7.8735451654029412E-2</v>
      </c>
      <c r="AH601" s="22">
        <f t="shared" si="131"/>
        <v>8.2710770800306643E-2</v>
      </c>
      <c r="AI601" s="22">
        <f t="shared" si="131"/>
        <v>8.6756849519810442E-2</v>
      </c>
      <c r="AJ601" s="22">
        <f t="shared" si="131"/>
        <v>9.1067882332403163E-2</v>
      </c>
      <c r="AK601" s="22">
        <f t="shared" si="131"/>
        <v>9.5524607474435114E-2</v>
      </c>
      <c r="AL601" s="22">
        <f t="shared" si="131"/>
        <v>0.10011966756252628</v>
      </c>
      <c r="AM601" s="22">
        <f t="shared" si="131"/>
        <v>0.10491676883738305</v>
      </c>
      <c r="AN601" s="22">
        <f t="shared" si="131"/>
        <v>0.10963141037847199</v>
      </c>
      <c r="AO601" s="22">
        <f t="shared" si="131"/>
        <v>0.11460133874628856</v>
      </c>
      <c r="AP601" s="22">
        <f t="shared" si="131"/>
        <v>0.11991104885412743</v>
      </c>
      <c r="AQ601" s="22">
        <f t="shared" si="131"/>
        <v>0.12543680820975456</v>
      </c>
      <c r="AR601" s="22">
        <f t="shared" si="131"/>
        <v>0.13119202833792193</v>
      </c>
      <c r="AS601" s="22">
        <f t="shared" si="131"/>
        <v>0.13733413284188337</v>
      </c>
      <c r="AT601" s="22">
        <f t="shared" si="131"/>
        <v>0.14382526611180527</v>
      </c>
      <c r="AU601" s="22">
        <f t="shared" si="131"/>
        <v>0.15064177825264938</v>
      </c>
      <c r="AV601" s="22">
        <f t="shared" si="131"/>
        <v>0.15789428521651691</v>
      </c>
      <c r="AW601" s="22">
        <f t="shared" si="131"/>
        <v>0.16500456611205044</v>
      </c>
      <c r="AY601" s="79"/>
    </row>
    <row r="602" spans="1:51" x14ac:dyDescent="0.25">
      <c r="A602" s="95" t="str">
        <f t="shared" si="108"/>
        <v>PQ MM Leaching</v>
      </c>
      <c r="B602" s="95" t="s">
        <v>967</v>
      </c>
      <c r="C602" s="95" t="s">
        <v>1332</v>
      </c>
      <c r="D602" t="s">
        <v>369</v>
      </c>
      <c r="E602" t="s">
        <v>64</v>
      </c>
      <c r="F602" t="s">
        <v>63</v>
      </c>
      <c r="G602" t="s">
        <v>1163</v>
      </c>
      <c r="H602" t="s">
        <v>1311</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4.4583317952924901E-3</v>
      </c>
      <c r="T602" s="22">
        <f t="shared" si="131"/>
        <v>4.461540810317099E-3</v>
      </c>
      <c r="U602" s="22">
        <f t="shared" si="131"/>
        <v>4.460412588981404E-3</v>
      </c>
      <c r="V602" s="22">
        <f t="shared" si="131"/>
        <v>4.4603313660439596E-3</v>
      </c>
      <c r="W602" s="22">
        <f t="shared" si="131"/>
        <v>4.4650624817454574E-3</v>
      </c>
      <c r="X602" s="22">
        <f t="shared" si="131"/>
        <v>4.472805388518619E-3</v>
      </c>
      <c r="Y602" s="22">
        <f t="shared" si="131"/>
        <v>4.480234793471081E-3</v>
      </c>
      <c r="Z602" s="22">
        <f t="shared" si="131"/>
        <v>4.4873746654050216E-3</v>
      </c>
      <c r="AA602" s="22">
        <f t="shared" si="131"/>
        <v>4.494215260234709E-3</v>
      </c>
      <c r="AB602" s="22">
        <f t="shared" si="131"/>
        <v>4.5008991343885481E-3</v>
      </c>
      <c r="AC602" s="22">
        <f t="shared" si="131"/>
        <v>4.5075239217344356E-3</v>
      </c>
      <c r="AD602" s="22">
        <f t="shared" si="131"/>
        <v>4.5140231510574953E-3</v>
      </c>
      <c r="AE602" s="22">
        <f t="shared" si="131"/>
        <v>4.5204902706730936E-3</v>
      </c>
      <c r="AF602" s="22">
        <f t="shared" si="131"/>
        <v>4.5269049079044851E-3</v>
      </c>
      <c r="AG602" s="22">
        <f t="shared" si="131"/>
        <v>4.5332156646464309E-3</v>
      </c>
      <c r="AH602" s="22">
        <f t="shared" si="131"/>
        <v>4.5394503254180246E-3</v>
      </c>
      <c r="AI602" s="22">
        <f t="shared" si="131"/>
        <v>4.5456155434925177E-3</v>
      </c>
      <c r="AJ602" s="22">
        <f t="shared" si="131"/>
        <v>4.5517322494299031E-3</v>
      </c>
      <c r="AK602" s="22">
        <f t="shared" si="131"/>
        <v>4.5576132842011325E-3</v>
      </c>
      <c r="AL602" s="22">
        <f t="shared" si="131"/>
        <v>4.5632517671133398E-3</v>
      </c>
      <c r="AM602" s="22">
        <f t="shared" si="131"/>
        <v>4.5687003958982874E-3</v>
      </c>
      <c r="AN602" s="22">
        <f t="shared" si="131"/>
        <v>4.5739172155363928E-3</v>
      </c>
      <c r="AO602" s="22">
        <f t="shared" si="131"/>
        <v>4.5789116897468072E-3</v>
      </c>
      <c r="AP602" s="22">
        <f t="shared" si="131"/>
        <v>4.5836613233262938E-3</v>
      </c>
      <c r="AQ602" s="22">
        <f t="shared" si="131"/>
        <v>4.5880981486463275E-3</v>
      </c>
      <c r="AR602" s="22">
        <f t="shared" si="131"/>
        <v>4.592159181597999E-3</v>
      </c>
      <c r="AS602" s="22">
        <f t="shared" si="131"/>
        <v>4.5958403193991975E-3</v>
      </c>
      <c r="AT602" s="22">
        <f t="shared" si="131"/>
        <v>4.5991133923720465E-3</v>
      </c>
      <c r="AU602" s="22">
        <f t="shared" si="131"/>
        <v>4.6019768219588081E-3</v>
      </c>
      <c r="AV602" s="22">
        <f t="shared" si="131"/>
        <v>4.6044854054681089E-3</v>
      </c>
      <c r="AW602" s="22">
        <f t="shared" si="131"/>
        <v>4.6063133110806655E-3</v>
      </c>
      <c r="AY602" s="79"/>
    </row>
    <row r="603" spans="1:51" x14ac:dyDescent="0.25">
      <c r="A603" s="95" t="str">
        <f t="shared" si="108"/>
        <v>PQ MM Leaching</v>
      </c>
      <c r="B603" s="95" t="s">
        <v>967</v>
      </c>
      <c r="C603" s="95" t="s">
        <v>1332</v>
      </c>
      <c r="D603" t="s">
        <v>369</v>
      </c>
      <c r="E603" t="s">
        <v>64</v>
      </c>
      <c r="F603" t="s">
        <v>63</v>
      </c>
      <c r="G603" t="s">
        <v>1165</v>
      </c>
      <c r="H603" t="s">
        <v>1312</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3.7085296571107255E-3</v>
      </c>
      <c r="T603" s="22">
        <f t="shared" si="131"/>
        <v>3.7111989800627421E-3</v>
      </c>
      <c r="U603" s="22">
        <f t="shared" si="131"/>
        <v>3.7102605029651799E-3</v>
      </c>
      <c r="V603" s="22">
        <f t="shared" si="131"/>
        <v>3.7101929400994759E-3</v>
      </c>
      <c r="W603" s="22">
        <f t="shared" si="131"/>
        <v>3.7141283768717579E-3</v>
      </c>
      <c r="X603" s="22">
        <f t="shared" si="131"/>
        <v>3.7205690817629544E-3</v>
      </c>
      <c r="Y603" s="22">
        <f t="shared" si="131"/>
        <v>3.7267490095624013E-3</v>
      </c>
      <c r="Z603" s="22">
        <f t="shared" si="131"/>
        <v>3.732688097999684E-3</v>
      </c>
      <c r="AA603" s="22">
        <f t="shared" si="131"/>
        <v>3.7383782417491837E-3</v>
      </c>
      <c r="AB603" s="22">
        <f t="shared" si="131"/>
        <v>3.7439380221024701E-3</v>
      </c>
      <c r="AC603" s="22">
        <f t="shared" si="131"/>
        <v>3.7494486528658025E-3</v>
      </c>
      <c r="AD603" s="22">
        <f t="shared" si="131"/>
        <v>3.7548548419516796E-3</v>
      </c>
      <c r="AE603" s="22">
        <f t="shared" si="131"/>
        <v>3.7602343215399525E-3</v>
      </c>
      <c r="AF603" s="22">
        <f t="shared" si="131"/>
        <v>3.7655701452301818E-3</v>
      </c>
      <c r="AG603" s="22">
        <f t="shared" si="131"/>
        <v>3.7708195590492773E-3</v>
      </c>
      <c r="AH603" s="22">
        <f t="shared" si="131"/>
        <v>3.7760056747165515E-3</v>
      </c>
      <c r="AI603" s="22">
        <f t="shared" si="131"/>
        <v>3.7811340265579189E-3</v>
      </c>
      <c r="AJ603" s="22">
        <f t="shared" si="131"/>
        <v>3.7862220250322745E-3</v>
      </c>
      <c r="AK603" s="22">
        <f t="shared" si="131"/>
        <v>3.791113987511746E-3</v>
      </c>
      <c r="AL603" s="22">
        <f t="shared" si="131"/>
        <v>3.7958041904982334E-3</v>
      </c>
      <c r="AM603" s="22">
        <f t="shared" si="131"/>
        <v>3.8003364690201913E-3</v>
      </c>
      <c r="AN603" s="22">
        <f t="shared" si="131"/>
        <v>3.8046759240522587E-3</v>
      </c>
      <c r="AO603" s="22">
        <f t="shared" si="131"/>
        <v>3.8088304277055216E-3</v>
      </c>
      <c r="AP603" s="22">
        <f t="shared" si="131"/>
        <v>3.8127812680195002E-3</v>
      </c>
      <c r="AQ603" s="22">
        <f t="shared" si="131"/>
        <v>3.8164719081598638E-3</v>
      </c>
      <c r="AR603" s="22">
        <f t="shared" si="131"/>
        <v>3.8198499566836808E-3</v>
      </c>
      <c r="AS603" s="22">
        <f t="shared" si="131"/>
        <v>3.822912000814643E-3</v>
      </c>
      <c r="AT603" s="22">
        <f t="shared" si="131"/>
        <v>3.8256346084506454E-3</v>
      </c>
      <c r="AU603" s="22">
        <f t="shared" si="131"/>
        <v>3.8280164665157558E-3</v>
      </c>
      <c r="AV603" s="22">
        <f t="shared" si="131"/>
        <v>3.830103156508502E-3</v>
      </c>
      <c r="AW603" s="22">
        <f t="shared" si="131"/>
        <v>3.831623644997431E-3</v>
      </c>
      <c r="AY603" s="79"/>
    </row>
    <row r="604" spans="1:51" x14ac:dyDescent="0.25">
      <c r="A604" s="95" t="str">
        <f t="shared" si="108"/>
        <v>PQ MM Leaching</v>
      </c>
      <c r="B604" s="95" t="s">
        <v>967</v>
      </c>
      <c r="C604" s="95" t="s">
        <v>1332</v>
      </c>
      <c r="D604" t="s">
        <v>369</v>
      </c>
      <c r="E604" t="s">
        <v>64</v>
      </c>
      <c r="F604" t="s">
        <v>63</v>
      </c>
      <c r="G604" t="s">
        <v>1167</v>
      </c>
      <c r="H604" t="s">
        <v>1313</v>
      </c>
      <c r="I604" t="s">
        <v>139</v>
      </c>
      <c r="J604" t="s">
        <v>287</v>
      </c>
      <c r="K604" s="22">
        <f t="shared" si="127"/>
        <v>5.4322987485311551E-4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5.5840147541839707E-4</v>
      </c>
      <c r="R604" s="22">
        <f t="shared" si="131"/>
        <v>5.620753208024884E-4</v>
      </c>
      <c r="S604" s="22">
        <f t="shared" si="131"/>
        <v>5.6069712046990367E-4</v>
      </c>
      <c r="T604" s="22">
        <f t="shared" si="131"/>
        <v>5.6166095935732032E-4</v>
      </c>
      <c r="U604" s="22">
        <f t="shared" si="131"/>
        <v>5.6175448886496286E-4</v>
      </c>
      <c r="V604" s="22">
        <f t="shared" si="131"/>
        <v>5.6201163535097535E-4</v>
      </c>
      <c r="W604" s="22">
        <f t="shared" si="131"/>
        <v>5.6314854989012028E-4</v>
      </c>
      <c r="X604" s="22">
        <f t="shared" si="131"/>
        <v>5.6482088760724937E-4</v>
      </c>
      <c r="Y604" s="22">
        <f t="shared" si="131"/>
        <v>5.6639948615984891E-4</v>
      </c>
      <c r="Z604" s="22">
        <f t="shared" si="131"/>
        <v>5.6789176789216864E-4</v>
      </c>
      <c r="AA604" s="22">
        <f t="shared" si="131"/>
        <v>5.692984966381053E-4</v>
      </c>
      <c r="AB604" s="22">
        <f t="shared" si="131"/>
        <v>5.7064878025290242E-4</v>
      </c>
      <c r="AC604" s="22">
        <f t="shared" si="131"/>
        <v>5.7196287833233815E-4</v>
      </c>
      <c r="AD604" s="22">
        <f t="shared" si="131"/>
        <v>5.7323006225721597E-4</v>
      </c>
      <c r="AE604" s="22">
        <f t="shared" si="131"/>
        <v>5.7446936511734096E-4</v>
      </c>
      <c r="AF604" s="22">
        <f t="shared" si="131"/>
        <v>5.7567836458981281E-4</v>
      </c>
      <c r="AG604" s="22">
        <f t="shared" si="131"/>
        <v>5.7684878803825762E-4</v>
      </c>
      <c r="AH604" s="22">
        <f t="shared" si="131"/>
        <v>5.7798700555519505E-4</v>
      </c>
      <c r="AI604" s="22">
        <f t="shared" si="131"/>
        <v>5.7909534227176243E-4</v>
      </c>
      <c r="AJ604" s="22">
        <f t="shared" si="131"/>
        <v>5.8017866455598575E-4</v>
      </c>
      <c r="AK604" s="22">
        <f t="shared" si="131"/>
        <v>5.8120338345125585E-4</v>
      </c>
      <c r="AL604" s="22">
        <f t="shared" si="131"/>
        <v>5.8216925674029819E-4</v>
      </c>
      <c r="AM604" s="22">
        <f t="shared" si="131"/>
        <v>5.8308692423697495E-4</v>
      </c>
      <c r="AN604" s="22">
        <f t="shared" si="131"/>
        <v>5.839495453276261E-4</v>
      </c>
      <c r="AO604" s="22">
        <f t="shared" si="131"/>
        <v>5.8475968776002874E-4</v>
      </c>
      <c r="AP604" s="22">
        <f t="shared" si="131"/>
        <v>5.8551401869501036E-4</v>
      </c>
      <c r="AQ604" s="22">
        <f t="shared" si="131"/>
        <v>5.8620089468398309E-4</v>
      </c>
      <c r="AR604" s="22">
        <f t="shared" si="131"/>
        <v>5.868096200135702E-4</v>
      </c>
      <c r="AS604" s="22">
        <f t="shared" si="131"/>
        <v>5.87340236215825E-4</v>
      </c>
      <c r="AT604" s="22">
        <f t="shared" si="131"/>
        <v>5.8778838343391971E-4</v>
      </c>
      <c r="AU604" s="22">
        <f t="shared" si="131"/>
        <v>5.8815451618636234E-4</v>
      </c>
      <c r="AV604" s="22">
        <f t="shared" si="131"/>
        <v>5.8844925401827929E-4</v>
      </c>
      <c r="AW604" s="22">
        <f t="shared" si="131"/>
        <v>5.8861438328620193E-4</v>
      </c>
      <c r="AY604" s="79"/>
    </row>
    <row r="605" spans="1:51" x14ac:dyDescent="0.25">
      <c r="A605" s="95" t="str">
        <f t="shared" si="108"/>
        <v>PQ MM Leaching</v>
      </c>
      <c r="B605" s="95" t="s">
        <v>967</v>
      </c>
      <c r="C605" s="95" t="s">
        <v>1332</v>
      </c>
      <c r="D605" t="s">
        <v>369</v>
      </c>
      <c r="E605" t="s">
        <v>64</v>
      </c>
      <c r="F605" t="s">
        <v>63</v>
      </c>
      <c r="G605" t="s">
        <v>1169</v>
      </c>
      <c r="H605" t="s">
        <v>1314</v>
      </c>
      <c r="I605" t="s">
        <v>139</v>
      </c>
      <c r="J605" t="s">
        <v>287</v>
      </c>
      <c r="K605" s="22">
        <f t="shared" si="127"/>
        <v>6.6992563985089938E-3</v>
      </c>
      <c r="L605" s="22">
        <f t="shared" si="131"/>
        <v>6.716671231449923E-3</v>
      </c>
      <c r="M605" s="22">
        <f t="shared" si="131"/>
        <v>6.7406943780734313E-3</v>
      </c>
      <c r="N605" s="22">
        <f t="shared" si="131"/>
        <v>6.769960915195136E-3</v>
      </c>
      <c r="O605" s="22">
        <f t="shared" si="131"/>
        <v>6.8044291009834836E-3</v>
      </c>
      <c r="P605" s="22">
        <f t="shared" si="131"/>
        <v>6.8438891439814974E-3</v>
      </c>
      <c r="Q605" s="22">
        <f t="shared" si="131"/>
        <v>6.8863566425632549E-3</v>
      </c>
      <c r="R605" s="22">
        <f t="shared" si="131"/>
        <v>6.9316634884048298E-3</v>
      </c>
      <c r="S605" s="22">
        <f t="shared" si="131"/>
        <v>6.9146671525553097E-3</v>
      </c>
      <c r="T605" s="22">
        <f t="shared" si="131"/>
        <v>6.9265534720170359E-3</v>
      </c>
      <c r="U605" s="22">
        <f t="shared" si="131"/>
        <v>6.92770690297054E-3</v>
      </c>
      <c r="V605" s="22">
        <f t="shared" si="131"/>
        <v>6.9308781023495105E-3</v>
      </c>
      <c r="W605" s="22">
        <f t="shared" si="131"/>
        <v>6.9448988371314212E-3</v>
      </c>
      <c r="X605" s="22">
        <f t="shared" si="131"/>
        <v>6.9655225540339091E-3</v>
      </c>
      <c r="Y605" s="22">
        <f t="shared" si="131"/>
        <v>6.9849902544379758E-3</v>
      </c>
      <c r="Z605" s="22">
        <f t="shared" si="131"/>
        <v>7.0033934726820464E-3</v>
      </c>
      <c r="AA605" s="22">
        <f t="shared" si="131"/>
        <v>7.0207416285704375E-3</v>
      </c>
      <c r="AB605" s="22">
        <f t="shared" si="131"/>
        <v>7.0373936879747148E-3</v>
      </c>
      <c r="AC605" s="22">
        <f t="shared" si="131"/>
        <v>7.0535994976594404E-3</v>
      </c>
      <c r="AD605" s="22">
        <f t="shared" si="131"/>
        <v>7.0692267494174947E-3</v>
      </c>
      <c r="AE605" s="22">
        <f t="shared" si="131"/>
        <v>7.0845101644130852E-3</v>
      </c>
      <c r="AF605" s="22">
        <f t="shared" si="131"/>
        <v>7.0994198699110417E-3</v>
      </c>
      <c r="AG605" s="22">
        <f t="shared" si="131"/>
        <v>7.113853845542588E-3</v>
      </c>
      <c r="AH605" s="22">
        <f t="shared" si="131"/>
        <v>7.1278906489958219E-3</v>
      </c>
      <c r="AI605" s="22">
        <f t="shared" si="131"/>
        <v>7.1415589544110468E-3</v>
      </c>
      <c r="AJ605" s="22">
        <f t="shared" si="131"/>
        <v>7.1549187751429096E-3</v>
      </c>
      <c r="AK605" s="22">
        <f t="shared" si="131"/>
        <v>7.1675558831769013E-3</v>
      </c>
      <c r="AL605" s="22">
        <f t="shared" si="131"/>
        <v>7.179467291424684E-3</v>
      </c>
      <c r="AM605" s="22">
        <f t="shared" si="131"/>
        <v>7.1907842129221942E-3</v>
      </c>
      <c r="AN605" s="22">
        <f t="shared" si="131"/>
        <v>7.2014222873885451E-3</v>
      </c>
      <c r="AO605" s="22">
        <f t="shared" si="131"/>
        <v>7.2114131809774594E-3</v>
      </c>
      <c r="AP605" s="22">
        <f t="shared" si="131"/>
        <v>7.2207157922230866E-3</v>
      </c>
      <c r="AQ605" s="22">
        <f t="shared" si="131"/>
        <v>7.2291865309970747E-3</v>
      </c>
      <c r="AR605" s="22">
        <f t="shared" si="131"/>
        <v>7.2366934948956893E-3</v>
      </c>
      <c r="AS605" s="22">
        <f t="shared" si="131"/>
        <v>7.2432371961033398E-3</v>
      </c>
      <c r="AT605" s="22">
        <f t="shared" si="131"/>
        <v>7.2487638676972145E-3</v>
      </c>
      <c r="AU605" s="22">
        <f t="shared" si="131"/>
        <v>7.2532791149213611E-3</v>
      </c>
      <c r="AV605" s="22">
        <f t="shared" si="131"/>
        <v>7.2569139008522455E-3</v>
      </c>
      <c r="AW605" s="22">
        <f t="shared" si="131"/>
        <v>7.258950319237764E-3</v>
      </c>
      <c r="AY605" s="79"/>
    </row>
    <row r="606" spans="1:51" x14ac:dyDescent="0.25">
      <c r="A606" s="95" t="str">
        <f t="shared" si="108"/>
        <v>PQ MM Leaching</v>
      </c>
      <c r="B606" s="95" t="s">
        <v>967</v>
      </c>
      <c r="C606" s="95" t="s">
        <v>1332</v>
      </c>
      <c r="D606" t="s">
        <v>369</v>
      </c>
      <c r="E606" t="s">
        <v>64</v>
      </c>
      <c r="F606" t="s">
        <v>63</v>
      </c>
      <c r="G606" t="s">
        <v>1171</v>
      </c>
      <c r="H606" t="s">
        <v>1315</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5">
      <c r="A607" s="95" t="str">
        <f t="shared" si="108"/>
        <v>PQ MM Leaching</v>
      </c>
      <c r="B607" s="95" t="s">
        <v>967</v>
      </c>
      <c r="C607" s="95" t="s">
        <v>1332</v>
      </c>
      <c r="D607" t="s">
        <v>369</v>
      </c>
      <c r="E607" t="s">
        <v>64</v>
      </c>
      <c r="F607" t="s">
        <v>63</v>
      </c>
      <c r="G607" t="s">
        <v>1173</v>
      </c>
      <c r="H607" t="s">
        <v>1316</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5">
      <c r="A608" s="95" t="str">
        <f t="shared" si="108"/>
        <v>PQ MM Leaching</v>
      </c>
      <c r="B608" s="95" t="s">
        <v>967</v>
      </c>
      <c r="C608" s="95" t="s">
        <v>1332</v>
      </c>
      <c r="D608" t="s">
        <v>369</v>
      </c>
      <c r="E608" t="s">
        <v>64</v>
      </c>
      <c r="F608" t="s">
        <v>63</v>
      </c>
      <c r="G608" t="s">
        <v>1175</v>
      </c>
      <c r="H608" t="s">
        <v>1317</v>
      </c>
      <c r="I608" t="s">
        <v>139</v>
      </c>
      <c r="J608" t="s">
        <v>287</v>
      </c>
      <c r="K608" s="22">
        <f t="shared" si="127"/>
        <v>2.6875086183165937E-2</v>
      </c>
      <c r="L608" s="22">
        <f t="shared" si="132"/>
        <v>2.6729002214214575E-2</v>
      </c>
      <c r="M608" s="22">
        <f t="shared" si="132"/>
        <v>2.6740992333189311E-2</v>
      </c>
      <c r="N608" s="22">
        <f t="shared" si="132"/>
        <v>2.6495489531984436E-2</v>
      </c>
      <c r="O608" s="22">
        <f t="shared" si="132"/>
        <v>2.6094526833046999E-2</v>
      </c>
      <c r="P608" s="22">
        <f t="shared" si="132"/>
        <v>2.5544514050244028E-2</v>
      </c>
      <c r="Q608" s="22">
        <f t="shared" si="132"/>
        <v>2.5145143775072754E-2</v>
      </c>
      <c r="R608" s="22">
        <f t="shared" si="132"/>
        <v>2.4781112413324518E-2</v>
      </c>
      <c r="S608" s="22">
        <f t="shared" si="132"/>
        <v>2.2261363297447542E-2</v>
      </c>
      <c r="T608" s="22">
        <f t="shared" si="132"/>
        <v>2.326732754049585E-2</v>
      </c>
      <c r="U608" s="22">
        <f t="shared" si="132"/>
        <v>2.3571460777264748E-2</v>
      </c>
      <c r="V608" s="22">
        <f t="shared" si="132"/>
        <v>2.3338833343161457E-2</v>
      </c>
      <c r="W608" s="22">
        <f t="shared" si="132"/>
        <v>2.3134238751808155E-2</v>
      </c>
      <c r="X608" s="22">
        <f t="shared" si="132"/>
        <v>2.3071008709265216E-2</v>
      </c>
      <c r="Y608" s="22">
        <f t="shared" si="132"/>
        <v>2.3143649238261243E-2</v>
      </c>
      <c r="Z608" s="22">
        <f t="shared" si="132"/>
        <v>2.3278949396695201E-2</v>
      </c>
      <c r="AA608" s="22">
        <f t="shared" si="132"/>
        <v>2.3492345128489588E-2</v>
      </c>
      <c r="AB608" s="22">
        <f t="shared" si="132"/>
        <v>2.3835144398287569E-2</v>
      </c>
      <c r="AC608" s="22">
        <f t="shared" si="132"/>
        <v>2.4295378697531386E-2</v>
      </c>
      <c r="AD608" s="22">
        <f t="shared" si="132"/>
        <v>2.4819194567643824E-2</v>
      </c>
      <c r="AE608" s="22">
        <f t="shared" si="132"/>
        <v>2.5401392072493423E-2</v>
      </c>
      <c r="AF608" s="22">
        <f t="shared" si="132"/>
        <v>2.6012849455983828E-2</v>
      </c>
      <c r="AG608" s="22">
        <f t="shared" si="132"/>
        <v>2.6664067926854041E-2</v>
      </c>
      <c r="AH608" s="22">
        <f t="shared" si="132"/>
        <v>2.734101119130557E-2</v>
      </c>
      <c r="AI608" s="22">
        <f t="shared" si="132"/>
        <v>2.7997936856370267E-2</v>
      </c>
      <c r="AJ608" s="22">
        <f t="shared" si="132"/>
        <v>2.8698310105033351E-2</v>
      </c>
      <c r="AK608" s="22">
        <f t="shared" si="132"/>
        <v>2.9400080296227163E-2</v>
      </c>
      <c r="AL608" s="22">
        <f t="shared" si="132"/>
        <v>3.0099562920322648E-2</v>
      </c>
      <c r="AM608" s="22">
        <f t="shared" si="132"/>
        <v>3.0814857244530154E-2</v>
      </c>
      <c r="AN608" s="22">
        <f t="shared" si="132"/>
        <v>3.1499706541710935E-2</v>
      </c>
      <c r="AO608" s="22">
        <f t="shared" si="132"/>
        <v>3.2216361362909209E-2</v>
      </c>
      <c r="AP608" s="22">
        <f t="shared" si="132"/>
        <v>3.2985480796324254E-2</v>
      </c>
      <c r="AQ608" s="22">
        <f t="shared" si="132"/>
        <v>3.376804159970731E-2</v>
      </c>
      <c r="AR608" s="22">
        <f t="shared" si="132"/>
        <v>3.4565482452675621E-2</v>
      </c>
      <c r="AS608" s="22">
        <f t="shared" si="132"/>
        <v>3.5417207872959197E-2</v>
      </c>
      <c r="AT608" s="22">
        <f t="shared" si="132"/>
        <v>3.6308390334093638E-2</v>
      </c>
      <c r="AU608" s="22">
        <f t="shared" si="132"/>
        <v>3.7228871549923839E-2</v>
      </c>
      <c r="AV608" s="22">
        <f t="shared" si="132"/>
        <v>3.8202529295473395E-2</v>
      </c>
      <c r="AW608" s="22">
        <f t="shared" si="132"/>
        <v>3.9083865804736009E-2</v>
      </c>
      <c r="AY608" s="79"/>
    </row>
    <row r="609" spans="1:52" x14ac:dyDescent="0.25">
      <c r="A609" s="95" t="str">
        <f t="shared" si="108"/>
        <v>PQ MM Leaching</v>
      </c>
      <c r="B609" s="95" t="s">
        <v>967</v>
      </c>
      <c r="C609" s="95" t="s">
        <v>1332</v>
      </c>
      <c r="D609" t="s">
        <v>369</v>
      </c>
      <c r="E609" t="s">
        <v>64</v>
      </c>
      <c r="F609" t="s">
        <v>63</v>
      </c>
      <c r="G609" t="s">
        <v>1177</v>
      </c>
      <c r="H609" t="s">
        <v>1318</v>
      </c>
      <c r="I609" t="s">
        <v>139</v>
      </c>
      <c r="J609" t="s">
        <v>287</v>
      </c>
      <c r="K609" s="22">
        <f t="shared" si="127"/>
        <v>4.0166140097319695E-3</v>
      </c>
      <c r="L609" s="22">
        <f t="shared" si="132"/>
        <v>3.9947810410006978E-3</v>
      </c>
      <c r="M609" s="22">
        <f t="shared" si="132"/>
        <v>3.9965730233416669E-3</v>
      </c>
      <c r="N609" s="22">
        <f t="shared" si="132"/>
        <v>3.9598814204188986E-3</v>
      </c>
      <c r="O609" s="22">
        <f t="shared" si="132"/>
        <v>3.8999555700251287E-3</v>
      </c>
      <c r="P609" s="22">
        <f t="shared" si="132"/>
        <v>3.8177534504158584E-3</v>
      </c>
      <c r="Q609" s="22">
        <f t="shared" si="132"/>
        <v>3.7580655955978051E-3</v>
      </c>
      <c r="R609" s="22">
        <f t="shared" si="132"/>
        <v>3.7036593154610876E-3</v>
      </c>
      <c r="S609" s="22">
        <f t="shared" si="132"/>
        <v>3.3270703984670008E-3</v>
      </c>
      <c r="T609" s="22">
        <f t="shared" si="132"/>
        <v>3.4774167097077883E-3</v>
      </c>
      <c r="U609" s="22">
        <f t="shared" si="132"/>
        <v>3.5228709200238193E-3</v>
      </c>
      <c r="V609" s="22">
        <f t="shared" si="132"/>
        <v>3.4881036041350764E-3</v>
      </c>
      <c r="W609" s="22">
        <f t="shared" si="132"/>
        <v>3.4575259346777865E-3</v>
      </c>
      <c r="X609" s="22">
        <f t="shared" si="132"/>
        <v>3.448075893365063E-3</v>
      </c>
      <c r="Y609" s="22">
        <f t="shared" si="132"/>
        <v>3.4589323782318001E-3</v>
      </c>
      <c r="Z609" s="22">
        <f t="shared" si="132"/>
        <v>3.4791536533630104E-3</v>
      </c>
      <c r="AA609" s="22">
        <f t="shared" si="132"/>
        <v>3.5110466966113414E-3</v>
      </c>
      <c r="AB609" s="22">
        <f t="shared" si="132"/>
        <v>3.5622797360223518E-3</v>
      </c>
      <c r="AC609" s="22">
        <f t="shared" si="132"/>
        <v>3.6310640190383376E-3</v>
      </c>
      <c r="AD609" s="22">
        <f t="shared" si="132"/>
        <v>3.7093508810068579E-3</v>
      </c>
      <c r="AE609" s="22">
        <f t="shared" si="132"/>
        <v>3.7963631658595345E-3</v>
      </c>
      <c r="AF609" s="22">
        <f t="shared" si="132"/>
        <v>3.8877484837016034E-3</v>
      </c>
      <c r="AG609" s="22">
        <f t="shared" si="132"/>
        <v>3.98507629190532E-3</v>
      </c>
      <c r="AH609" s="22">
        <f t="shared" si="132"/>
        <v>4.0862487972233809E-3</v>
      </c>
      <c r="AI609" s="22">
        <f t="shared" si="132"/>
        <v>4.1844295737116129E-3</v>
      </c>
      <c r="AJ609" s="22">
        <f t="shared" si="132"/>
        <v>4.2891038055800747E-3</v>
      </c>
      <c r="AK609" s="22">
        <f t="shared" si="132"/>
        <v>4.3939868173907288E-3</v>
      </c>
      <c r="AL609" s="22">
        <f t="shared" si="132"/>
        <v>4.4985279410305803E-3</v>
      </c>
      <c r="AM609" s="22">
        <f t="shared" si="132"/>
        <v>4.6054322011364794E-3</v>
      </c>
      <c r="AN609" s="22">
        <f t="shared" si="132"/>
        <v>4.707786301988981E-3</v>
      </c>
      <c r="AO609" s="22">
        <f t="shared" si="132"/>
        <v>4.8148938950716034E-3</v>
      </c>
      <c r="AP609" s="22">
        <f t="shared" si="132"/>
        <v>4.929842582877003E-3</v>
      </c>
      <c r="AQ609" s="22">
        <f t="shared" si="132"/>
        <v>5.046800149632805E-3</v>
      </c>
      <c r="AR609" s="22">
        <f t="shared" si="132"/>
        <v>5.1659816130943592E-3</v>
      </c>
      <c r="AS609" s="22">
        <f t="shared" si="132"/>
        <v>5.2932761725327836E-3</v>
      </c>
      <c r="AT609" s="22">
        <f t="shared" si="132"/>
        <v>5.4264677810814564E-3</v>
      </c>
      <c r="AU609" s="22">
        <f t="shared" si="132"/>
        <v>5.5640382328374224E-3</v>
      </c>
      <c r="AV609" s="22">
        <f t="shared" si="132"/>
        <v>5.7095561788936492E-3</v>
      </c>
      <c r="AW609" s="22">
        <f t="shared" si="132"/>
        <v>5.8412762614364865E-3</v>
      </c>
      <c r="AY609" s="79"/>
    </row>
    <row r="610" spans="1:52" x14ac:dyDescent="0.25">
      <c r="A610" s="95" t="str">
        <f t="shared" si="108"/>
        <v>PQ MM Leaching</v>
      </c>
      <c r="B610" s="95" t="s">
        <v>967</v>
      </c>
      <c r="C610" s="95" t="s">
        <v>1332</v>
      </c>
      <c r="D610" t="s">
        <v>369</v>
      </c>
      <c r="E610" t="s">
        <v>64</v>
      </c>
      <c r="F610" t="s">
        <v>63</v>
      </c>
      <c r="G610" t="s">
        <v>1179</v>
      </c>
      <c r="H610" t="s">
        <v>1319</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1.8677293946611211E-2</v>
      </c>
      <c r="S610" s="22">
        <f t="shared" si="132"/>
        <v>1.7926295011943302E-2</v>
      </c>
      <c r="T610" s="22">
        <f t="shared" si="132"/>
        <v>1.8674748698375012E-2</v>
      </c>
      <c r="U610" s="22">
        <f t="shared" si="132"/>
        <v>1.9119559955571311E-2</v>
      </c>
      <c r="V610" s="22">
        <f t="shared" si="132"/>
        <v>1.933187353292521E-2</v>
      </c>
      <c r="W610" s="22">
        <f t="shared" si="132"/>
        <v>1.9567336744090873E-2</v>
      </c>
      <c r="X610" s="22">
        <f t="shared" si="132"/>
        <v>1.9874405903185278E-2</v>
      </c>
      <c r="Y610" s="22">
        <f t="shared" si="132"/>
        <v>2.0244038198599948E-2</v>
      </c>
      <c r="Z610" s="22">
        <f t="shared" si="132"/>
        <v>2.064493630250834E-2</v>
      </c>
      <c r="AA610" s="22">
        <f t="shared" si="132"/>
        <v>2.1086941142640651E-2</v>
      </c>
      <c r="AB610" s="22">
        <f t="shared" si="132"/>
        <v>2.1599318957249428E-2</v>
      </c>
      <c r="AC610" s="22">
        <f t="shared" si="132"/>
        <v>2.2180513768392543E-2</v>
      </c>
      <c r="AD610" s="22">
        <f t="shared" si="132"/>
        <v>2.2805803764739216E-2</v>
      </c>
      <c r="AE610" s="22">
        <f t="shared" si="132"/>
        <v>2.3475090902088748E-2</v>
      </c>
      <c r="AF610" s="22">
        <f t="shared" si="132"/>
        <v>2.4174535529571241E-2</v>
      </c>
      <c r="AG610" s="22">
        <f t="shared" si="132"/>
        <v>2.4911238714913377E-2</v>
      </c>
      <c r="AH610" s="22">
        <f t="shared" si="132"/>
        <v>2.5679011663267932E-2</v>
      </c>
      <c r="AI610" s="22">
        <f t="shared" si="132"/>
        <v>2.645249874928041E-2</v>
      </c>
      <c r="AJ610" s="22">
        <f t="shared" si="132"/>
        <v>2.7269372865090267E-2</v>
      </c>
      <c r="AK610" s="22">
        <f t="shared" si="132"/>
        <v>2.8105461432882069E-2</v>
      </c>
      <c r="AL610" s="22">
        <f t="shared" si="132"/>
        <v>2.8959047781856831E-2</v>
      </c>
      <c r="AM610" s="22">
        <f t="shared" si="132"/>
        <v>2.9842194803075938E-2</v>
      </c>
      <c r="AN610" s="22">
        <f t="shared" si="132"/>
        <v>3.0726207525762706E-2</v>
      </c>
      <c r="AO610" s="22">
        <f t="shared" si="132"/>
        <v>3.1651324084180803E-2</v>
      </c>
      <c r="AP610" s="22">
        <f t="shared" si="132"/>
        <v>3.263300298507002E-2</v>
      </c>
      <c r="AQ610" s="22">
        <f t="shared" si="132"/>
        <v>3.3647129592199072E-2</v>
      </c>
      <c r="AR610" s="22">
        <f t="shared" si="132"/>
        <v>3.4695684340366462E-2</v>
      </c>
      <c r="AS610" s="22">
        <f t="shared" si="132"/>
        <v>3.5807702215394269E-2</v>
      </c>
      <c r="AT610" s="22">
        <f t="shared" si="132"/>
        <v>3.6975350864185588E-2</v>
      </c>
      <c r="AU610" s="22">
        <f t="shared" si="132"/>
        <v>3.8193620446260186E-2</v>
      </c>
      <c r="AV610" s="22">
        <f t="shared" si="132"/>
        <v>3.9482562307511335E-2</v>
      </c>
      <c r="AW610" s="22">
        <f t="shared" si="132"/>
        <v>4.0733932208981263E-2</v>
      </c>
      <c r="AY610" s="79"/>
    </row>
    <row r="611" spans="1:52" x14ac:dyDescent="0.25">
      <c r="A611" s="95" t="str">
        <f t="shared" si="108"/>
        <v>PQ MM Leaching</v>
      </c>
      <c r="B611" s="95" t="s">
        <v>967</v>
      </c>
      <c r="C611" s="95" t="s">
        <v>1332</v>
      </c>
      <c r="D611" t="s">
        <v>369</v>
      </c>
      <c r="E611" t="s">
        <v>64</v>
      </c>
      <c r="F611" t="s">
        <v>63</v>
      </c>
      <c r="G611" t="s">
        <v>1181</v>
      </c>
      <c r="H611" t="s">
        <v>1320</v>
      </c>
      <c r="I611" t="s">
        <v>139</v>
      </c>
      <c r="J611" t="s">
        <v>287</v>
      </c>
      <c r="K611" s="22">
        <f t="shared" si="127"/>
        <v>7.758579791322931E-2</v>
      </c>
      <c r="L611" s="22">
        <f t="shared" si="132"/>
        <v>7.8607464197542429E-2</v>
      </c>
      <c r="M611" s="22">
        <f t="shared" si="132"/>
        <v>8.024855331382115E-2</v>
      </c>
      <c r="N611" s="22">
        <f t="shared" si="132"/>
        <v>8.0719757945382262E-2</v>
      </c>
      <c r="O611" s="22">
        <f t="shared" si="132"/>
        <v>8.0430818839717685E-2</v>
      </c>
      <c r="P611" s="22">
        <f t="shared" si="132"/>
        <v>7.938481013134728E-2</v>
      </c>
      <c r="Q611" s="22">
        <f t="shared" si="132"/>
        <v>7.8944464359385597E-2</v>
      </c>
      <c r="R611" s="22">
        <f t="shared" si="132"/>
        <v>7.8604018955287347E-2</v>
      </c>
      <c r="S611" s="22">
        <f t="shared" si="132"/>
        <v>6.838761678762284E-2</v>
      </c>
      <c r="T611" s="22">
        <f t="shared" si="132"/>
        <v>7.4574992595892425E-2</v>
      </c>
      <c r="U611" s="22">
        <f t="shared" si="132"/>
        <v>7.755216316581004E-2</v>
      </c>
      <c r="V611" s="22">
        <f t="shared" si="132"/>
        <v>7.7924677783992133E-2</v>
      </c>
      <c r="W611" s="22">
        <f t="shared" si="132"/>
        <v>7.8354110824083251E-2</v>
      </c>
      <c r="X611" s="22">
        <f t="shared" si="132"/>
        <v>7.9443157162657083E-2</v>
      </c>
      <c r="Y611" s="22">
        <f t="shared" si="132"/>
        <v>8.1236326250134938E-2</v>
      </c>
      <c r="Z611" s="22">
        <f t="shared" si="132"/>
        <v>8.3381793031121837E-2</v>
      </c>
      <c r="AA611" s="22">
        <f t="shared" si="132"/>
        <v>8.5974252242443622E-2</v>
      </c>
      <c r="AB611" s="22">
        <f t="shared" si="132"/>
        <v>8.9301533057552729E-2</v>
      </c>
      <c r="AC611" s="22">
        <f t="shared" si="132"/>
        <v>9.3325676960655579E-2</v>
      </c>
      <c r="AD611" s="22">
        <f t="shared" si="132"/>
        <v>9.7779695826372345E-2</v>
      </c>
      <c r="AE611" s="22">
        <f t="shared" si="132"/>
        <v>0.10264881318689535</v>
      </c>
      <c r="AF611" s="22">
        <f t="shared" si="132"/>
        <v>0.1077848208225682</v>
      </c>
      <c r="AG611" s="22">
        <f t="shared" si="132"/>
        <v>0.11325644741449936</v>
      </c>
      <c r="AH611" s="22">
        <f t="shared" si="132"/>
        <v>0.11899390557339033</v>
      </c>
      <c r="AI611" s="22">
        <f t="shared" si="132"/>
        <v>0.12473968814681194</v>
      </c>
      <c r="AJ611" s="22">
        <f t="shared" si="132"/>
        <v>0.13086543937710404</v>
      </c>
      <c r="AK611" s="22">
        <f t="shared" si="132"/>
        <v>0.13713570688007848</v>
      </c>
      <c r="AL611" s="22">
        <f t="shared" si="132"/>
        <v>0.14353189422654788</v>
      </c>
      <c r="AM611" s="22">
        <f t="shared" si="132"/>
        <v>0.15016680935758497</v>
      </c>
      <c r="AN611" s="22">
        <f t="shared" si="132"/>
        <v>0.15676188787571166</v>
      </c>
      <c r="AO611" s="22">
        <f t="shared" si="132"/>
        <v>0.16370376989202984</v>
      </c>
      <c r="AP611" s="22">
        <f t="shared" si="132"/>
        <v>0.17113537656800237</v>
      </c>
      <c r="AQ611" s="22">
        <f t="shared" si="132"/>
        <v>0.17882351737077742</v>
      </c>
      <c r="AR611" s="22">
        <f t="shared" si="132"/>
        <v>0.18678614513935693</v>
      </c>
      <c r="AS611" s="22">
        <f t="shared" si="132"/>
        <v>0.19529177080691471</v>
      </c>
      <c r="AT611" s="22">
        <f t="shared" si="132"/>
        <v>0.20426055038144844</v>
      </c>
      <c r="AU611" s="22">
        <f t="shared" si="132"/>
        <v>0.21363944759847542</v>
      </c>
      <c r="AV611" s="22">
        <f t="shared" si="132"/>
        <v>0.2236051975341104</v>
      </c>
      <c r="AW611" s="22">
        <f t="shared" si="132"/>
        <v>0.23317129202372885</v>
      </c>
      <c r="AY611" s="79"/>
    </row>
    <row r="614" spans="1:52" x14ac:dyDescent="0.25">
      <c r="A614" s="95" t="str">
        <f t="shared" ref="A614:A677" si="133">B614&amp;" "&amp;C614</f>
        <v>NI Cattle</v>
      </c>
      <c r="B614" s="95" t="s">
        <v>968</v>
      </c>
      <c r="C614" s="95" t="s">
        <v>1107</v>
      </c>
      <c r="D614" t="s">
        <v>15</v>
      </c>
      <c r="E614" t="s">
        <v>16</v>
      </c>
      <c r="F614" t="s">
        <v>6</v>
      </c>
      <c r="G614" t="s">
        <v>136</v>
      </c>
      <c r="H614" t="s">
        <v>1019</v>
      </c>
      <c r="I614" t="s">
        <v>121</v>
      </c>
      <c r="J614" t="s">
        <v>286</v>
      </c>
      <c r="K614" s="27">
        <f>K1379</f>
        <v>72.246065125367707</v>
      </c>
      <c r="L614" s="27">
        <f t="shared" ref="L614:AW621" si="134">L1379</f>
        <v>72.649957574793405</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74.518042528471327</v>
      </c>
      <c r="S614" s="27">
        <f t="shared" si="134"/>
        <v>72.365714675231743</v>
      </c>
      <c r="T614" s="27">
        <f t="shared" si="134"/>
        <v>73.825045522582627</v>
      </c>
      <c r="U614" s="27">
        <f t="shared" si="134"/>
        <v>74.549470852823731</v>
      </c>
      <c r="V614" s="27">
        <f t="shared" si="134"/>
        <v>74.73866134408884</v>
      </c>
      <c r="W614" s="27">
        <f t="shared" si="134"/>
        <v>75.00766800235165</v>
      </c>
      <c r="X614" s="27">
        <f t="shared" si="134"/>
        <v>75.45906320296173</v>
      </c>
      <c r="Y614" s="27">
        <f t="shared" si="134"/>
        <v>76.055372148787171</v>
      </c>
      <c r="Z614" s="27">
        <f t="shared" si="134"/>
        <v>76.723006485373944</v>
      </c>
      <c r="AA614" s="27">
        <f t="shared" si="134"/>
        <v>77.482992951839307</v>
      </c>
      <c r="AB614" s="27">
        <f t="shared" si="134"/>
        <v>78.40049292820909</v>
      </c>
      <c r="AC614" s="27">
        <f t="shared" si="134"/>
        <v>79.470176515878649</v>
      </c>
      <c r="AD614" s="27">
        <f t="shared" si="134"/>
        <v>80.634435222178453</v>
      </c>
      <c r="AE614" s="27">
        <f t="shared" si="134"/>
        <v>81.892216807263921</v>
      </c>
      <c r="AF614" s="27">
        <f t="shared" si="134"/>
        <v>83.211603764210864</v>
      </c>
      <c r="AG614" s="27">
        <f t="shared" si="134"/>
        <v>84.607353188642591</v>
      </c>
      <c r="AH614" s="27">
        <f t="shared" si="134"/>
        <v>86.06511371010545</v>
      </c>
      <c r="AI614" s="27">
        <f t="shared" si="134"/>
        <v>87.52871170290878</v>
      </c>
      <c r="AJ614" s="27">
        <f t="shared" si="134"/>
        <v>89.080470915368679</v>
      </c>
      <c r="AK614" s="27">
        <f t="shared" si="134"/>
        <v>90.666146577204373</v>
      </c>
      <c r="AL614" s="27">
        <f t="shared" si="134"/>
        <v>92.281705803455623</v>
      </c>
      <c r="AM614" s="27">
        <f t="shared" si="134"/>
        <v>93.953177200375109</v>
      </c>
      <c r="AN614" s="27">
        <f t="shared" si="134"/>
        <v>95.618162408652182</v>
      </c>
      <c r="AO614" s="27">
        <f t="shared" si="134"/>
        <v>97.363125443895129</v>
      </c>
      <c r="AP614" s="27">
        <f t="shared" si="134"/>
        <v>99.220282959393018</v>
      </c>
      <c r="AQ614" s="27">
        <f t="shared" si="134"/>
        <v>101.13698373864543</v>
      </c>
      <c r="AR614" s="27">
        <f t="shared" si="134"/>
        <v>103.1166953994274</v>
      </c>
      <c r="AS614" s="27">
        <f t="shared" si="134"/>
        <v>105.22033839717858</v>
      </c>
      <c r="AT614" s="27">
        <f t="shared" si="134"/>
        <v>107.43022097905694</v>
      </c>
      <c r="AU614" s="27">
        <f t="shared" si="134"/>
        <v>109.73494167523042</v>
      </c>
      <c r="AV614" s="27">
        <f t="shared" si="134"/>
        <v>112.1760298148465</v>
      </c>
      <c r="AW614" s="27">
        <f t="shared" si="134"/>
        <v>114.52480661709059</v>
      </c>
      <c r="AY614" s="79"/>
      <c r="AZ614" s="79"/>
    </row>
    <row r="615" spans="1:52" x14ac:dyDescent="0.25">
      <c r="A615" s="95" t="str">
        <f t="shared" si="133"/>
        <v>NI Cattle</v>
      </c>
      <c r="B615" s="95" t="s">
        <v>968</v>
      </c>
      <c r="C615" s="95" t="s">
        <v>1107</v>
      </c>
      <c r="D615" t="s">
        <v>15</v>
      </c>
      <c r="E615" t="s">
        <v>16</v>
      </c>
      <c r="F615" t="s">
        <v>6</v>
      </c>
      <c r="G615" t="s">
        <v>137</v>
      </c>
      <c r="H615" t="s">
        <v>1019</v>
      </c>
      <c r="I615" t="s">
        <v>121</v>
      </c>
      <c r="J615" t="s">
        <v>286</v>
      </c>
      <c r="K615" s="27">
        <f t="shared" ref="K615:Z663" si="135">K1380</f>
        <v>57.783598896292567</v>
      </c>
      <c r="L615" s="27">
        <f t="shared" si="135"/>
        <v>58.1066387636453</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59.600764035107616</v>
      </c>
      <c r="S615" s="27">
        <f t="shared" si="135"/>
        <v>57.879296587031398</v>
      </c>
      <c r="T615" s="27">
        <f t="shared" si="135"/>
        <v>59.046493557468224</v>
      </c>
      <c r="U615" s="27">
        <f t="shared" si="135"/>
        <v>59.625900929209891</v>
      </c>
      <c r="V615" s="27">
        <f t="shared" si="135"/>
        <v>59.777218616107909</v>
      </c>
      <c r="W615" s="27">
        <f t="shared" si="135"/>
        <v>59.992374594700195</v>
      </c>
      <c r="X615" s="27">
        <f t="shared" si="135"/>
        <v>60.353407948842083</v>
      </c>
      <c r="Y615" s="27">
        <f t="shared" si="135"/>
        <v>60.830345715404938</v>
      </c>
      <c r="Z615" s="27">
        <f t="shared" si="135"/>
        <v>61.364330710266294</v>
      </c>
      <c r="AA615" s="27">
        <f t="shared" si="134"/>
        <v>61.97218046746265</v>
      </c>
      <c r="AB615" s="27">
        <f t="shared" si="134"/>
        <v>62.706012137463084</v>
      </c>
      <c r="AC615" s="27">
        <f t="shared" si="134"/>
        <v>63.561562779128991</v>
      </c>
      <c r="AD615" s="27">
        <f t="shared" si="134"/>
        <v>64.49275616633426</v>
      </c>
      <c r="AE615" s="27">
        <f t="shared" si="134"/>
        <v>65.498750700231739</v>
      </c>
      <c r="AF615" s="27">
        <f t="shared" si="134"/>
        <v>66.554018230400004</v>
      </c>
      <c r="AG615" s="27">
        <f t="shared" si="134"/>
        <v>67.670361726217266</v>
      </c>
      <c r="AH615" s="27">
        <f t="shared" si="134"/>
        <v>68.836302724012626</v>
      </c>
      <c r="AI615" s="27">
        <f t="shared" si="134"/>
        <v>70.006912628023471</v>
      </c>
      <c r="AJ615" s="27">
        <f t="shared" si="134"/>
        <v>71.248035334994583</v>
      </c>
      <c r="AK615" s="27">
        <f t="shared" si="134"/>
        <v>72.516284979651772</v>
      </c>
      <c r="AL615" s="27">
        <f t="shared" si="134"/>
        <v>73.808435993840746</v>
      </c>
      <c r="AM615" s="27">
        <f t="shared" si="134"/>
        <v>75.145306487737145</v>
      </c>
      <c r="AN615" s="27">
        <f t="shared" si="134"/>
        <v>76.476989220580691</v>
      </c>
      <c r="AO615" s="27">
        <f t="shared" si="134"/>
        <v>77.872639543437259</v>
      </c>
      <c r="AP615" s="27">
        <f t="shared" si="134"/>
        <v>79.358024868943161</v>
      </c>
      <c r="AQ615" s="27">
        <f t="shared" si="134"/>
        <v>80.891033882518414</v>
      </c>
      <c r="AR615" s="27">
        <f t="shared" si="134"/>
        <v>82.474440042264703</v>
      </c>
      <c r="AS615" s="27">
        <f t="shared" si="134"/>
        <v>84.156968536960065</v>
      </c>
      <c r="AT615" s="27">
        <f t="shared" si="134"/>
        <v>85.924469209800506</v>
      </c>
      <c r="AU615" s="27">
        <f t="shared" si="134"/>
        <v>87.767822976466917</v>
      </c>
      <c r="AV615" s="27">
        <f t="shared" si="134"/>
        <v>89.72024568191533</v>
      </c>
      <c r="AW615" s="27">
        <f t="shared" si="134"/>
        <v>91.59883625155085</v>
      </c>
      <c r="AY615" s="79"/>
      <c r="AZ615" s="79"/>
    </row>
    <row r="616" spans="1:52" x14ac:dyDescent="0.25">
      <c r="A616" s="95" t="str">
        <f t="shared" si="133"/>
        <v>NI Cattle</v>
      </c>
      <c r="B616" s="95" t="s">
        <v>968</v>
      </c>
      <c r="C616" s="95" t="s">
        <v>1107</v>
      </c>
      <c r="D616" t="s">
        <v>15</v>
      </c>
      <c r="E616" t="s">
        <v>16</v>
      </c>
      <c r="F616" t="s">
        <v>67</v>
      </c>
      <c r="G616" t="s">
        <v>307</v>
      </c>
      <c r="H616" t="s">
        <v>1019</v>
      </c>
      <c r="I616" t="s">
        <v>121</v>
      </c>
      <c r="J616" t="s">
        <v>286</v>
      </c>
      <c r="K616" s="27">
        <f t="shared" si="135"/>
        <v>26.126191807126649</v>
      </c>
      <c r="L616" s="27">
        <f t="shared" si="134"/>
        <v>26.272250579806308</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26.947802192577253</v>
      </c>
      <c r="S616" s="27">
        <f t="shared" si="134"/>
        <v>26.169460420911491</v>
      </c>
      <c r="T616" s="27">
        <f t="shared" si="134"/>
        <v>26.697195150294817</v>
      </c>
      <c r="U616" s="27">
        <f t="shared" si="134"/>
        <v>26.959167551075083</v>
      </c>
      <c r="V616" s="27">
        <f t="shared" si="134"/>
        <v>27.027584108493112</v>
      </c>
      <c r="W616" s="27">
        <f t="shared" si="134"/>
        <v>27.124864417655591</v>
      </c>
      <c r="X616" s="27">
        <f t="shared" si="134"/>
        <v>27.288101509827889</v>
      </c>
      <c r="Y616" s="27">
        <f t="shared" si="134"/>
        <v>27.503743453342821</v>
      </c>
      <c r="Z616" s="27">
        <f t="shared" si="134"/>
        <v>27.745178647140875</v>
      </c>
      <c r="AA616" s="27">
        <f t="shared" si="134"/>
        <v>28.020010946439662</v>
      </c>
      <c r="AB616" s="27">
        <f t="shared" si="134"/>
        <v>28.351804523350385</v>
      </c>
      <c r="AC616" s="27">
        <f t="shared" si="134"/>
        <v>28.738631937907769</v>
      </c>
      <c r="AD616" s="27">
        <f t="shared" si="134"/>
        <v>29.159660352688871</v>
      </c>
      <c r="AE616" s="27">
        <f t="shared" si="134"/>
        <v>29.614509248423072</v>
      </c>
      <c r="AF616" s="27">
        <f t="shared" si="134"/>
        <v>30.09163636455321</v>
      </c>
      <c r="AG616" s="27">
        <f t="shared" si="134"/>
        <v>30.596378278373869</v>
      </c>
      <c r="AH616" s="27">
        <f t="shared" si="134"/>
        <v>31.123545134125884</v>
      </c>
      <c r="AI616" s="27">
        <f t="shared" si="134"/>
        <v>31.652822982298673</v>
      </c>
      <c r="AJ616" s="27">
        <f t="shared" si="134"/>
        <v>32.213982385967945</v>
      </c>
      <c r="AK616" s="27">
        <f t="shared" si="134"/>
        <v>32.787406923527513</v>
      </c>
      <c r="AL616" s="27">
        <f t="shared" si="134"/>
        <v>33.371638191314474</v>
      </c>
      <c r="AM616" s="27">
        <f t="shared" si="134"/>
        <v>33.976088859184969</v>
      </c>
      <c r="AN616" s="27">
        <f t="shared" si="134"/>
        <v>34.578193940368166</v>
      </c>
      <c r="AO616" s="27">
        <f t="shared" si="134"/>
        <v>35.209221234048357</v>
      </c>
      <c r="AP616" s="27">
        <f t="shared" si="134"/>
        <v>35.880821180450241</v>
      </c>
      <c r="AQ616" s="27">
        <f t="shared" si="134"/>
        <v>36.573953631452547</v>
      </c>
      <c r="AR616" s="27">
        <f t="shared" si="134"/>
        <v>37.289872574340869</v>
      </c>
      <c r="AS616" s="27">
        <f t="shared" si="134"/>
        <v>38.050608544633441</v>
      </c>
      <c r="AT616" s="27">
        <f t="shared" si="134"/>
        <v>38.849763711149343</v>
      </c>
      <c r="AU616" s="27">
        <f t="shared" si="134"/>
        <v>39.683214984455297</v>
      </c>
      <c r="AV616" s="27">
        <f t="shared" si="134"/>
        <v>40.565980528060209</v>
      </c>
      <c r="AW616" s="27">
        <f t="shared" si="134"/>
        <v>41.415363717872332</v>
      </c>
      <c r="AY616" s="79"/>
      <c r="AZ616" s="79"/>
    </row>
    <row r="617" spans="1:52" x14ac:dyDescent="0.25">
      <c r="A617" s="95" t="str">
        <f t="shared" si="133"/>
        <v>NI Cattle</v>
      </c>
      <c r="B617" s="95" t="s">
        <v>968</v>
      </c>
      <c r="C617" s="95" t="s">
        <v>1107</v>
      </c>
      <c r="D617" t="s">
        <v>15</v>
      </c>
      <c r="E617" t="s">
        <v>16</v>
      </c>
      <c r="F617" t="s">
        <v>67</v>
      </c>
      <c r="G617" t="s">
        <v>122</v>
      </c>
      <c r="H617" t="s">
        <v>1019</v>
      </c>
      <c r="I617" t="s">
        <v>121</v>
      </c>
      <c r="J617" t="s">
        <v>286</v>
      </c>
      <c r="K617" s="27">
        <f t="shared" si="135"/>
        <v>463.23498593143171</v>
      </c>
      <c r="L617" s="27">
        <f t="shared" si="134"/>
        <v>459.2174968362159</v>
      </c>
      <c r="M617" s="27">
        <f t="shared" si="134"/>
        <v>457.68816035731231</v>
      </c>
      <c r="N617" s="27">
        <f t="shared" si="134"/>
        <v>451.57633407663525</v>
      </c>
      <c r="O617" s="27">
        <f t="shared" si="134"/>
        <v>442.704868969107</v>
      </c>
      <c r="P617" s="27">
        <f t="shared" si="134"/>
        <v>431.25721304480408</v>
      </c>
      <c r="Q617" s="27">
        <f t="shared" si="134"/>
        <v>422.22811200839215</v>
      </c>
      <c r="R617" s="27">
        <f t="shared" si="134"/>
        <v>413.68555596285586</v>
      </c>
      <c r="S617" s="27">
        <f t="shared" si="134"/>
        <v>369.40237691087651</v>
      </c>
      <c r="T617" s="27">
        <f t="shared" si="134"/>
        <v>387.06361603448636</v>
      </c>
      <c r="U617" s="27">
        <f t="shared" si="134"/>
        <v>393.17794041792496</v>
      </c>
      <c r="V617" s="27">
        <f t="shared" si="134"/>
        <v>390.52270230053807</v>
      </c>
      <c r="W617" s="27">
        <f t="shared" si="134"/>
        <v>388.36285305535796</v>
      </c>
      <c r="X617" s="27">
        <f t="shared" si="134"/>
        <v>388.50473132162119</v>
      </c>
      <c r="Y617" s="27">
        <f t="shared" si="134"/>
        <v>390.78606081827786</v>
      </c>
      <c r="Z617" s="27">
        <f t="shared" si="134"/>
        <v>394.02311080220409</v>
      </c>
      <c r="AA617" s="27">
        <f t="shared" si="134"/>
        <v>398.47662182088436</v>
      </c>
      <c r="AB617" s="27">
        <f t="shared" si="134"/>
        <v>405.00014152902594</v>
      </c>
      <c r="AC617" s="27">
        <f t="shared" si="134"/>
        <v>413.40943063236716</v>
      </c>
      <c r="AD617" s="27">
        <f t="shared" si="134"/>
        <v>419.27234556371411</v>
      </c>
      <c r="AE617" s="27">
        <f t="shared" si="134"/>
        <v>425.8278376253316</v>
      </c>
      <c r="AF617" s="27">
        <f t="shared" si="134"/>
        <v>432.58187641621225</v>
      </c>
      <c r="AG617" s="27">
        <f t="shared" si="134"/>
        <v>439.68449510593507</v>
      </c>
      <c r="AH617" s="27">
        <f t="shared" si="134"/>
        <v>446.893496347981</v>
      </c>
      <c r="AI617" s="27">
        <f t="shared" si="134"/>
        <v>453.4765954958275</v>
      </c>
      <c r="AJ617" s="27">
        <f t="shared" si="134"/>
        <v>460.42055689435347</v>
      </c>
      <c r="AK617" s="27">
        <f t="shared" si="134"/>
        <v>467.05009656830129</v>
      </c>
      <c r="AL617" s="27">
        <f t="shared" si="134"/>
        <v>473.30134622451675</v>
      </c>
      <c r="AM617" s="27">
        <f t="shared" si="134"/>
        <v>479.44152386893921</v>
      </c>
      <c r="AN617" s="27">
        <f t="shared" si="134"/>
        <v>487.2386202384439</v>
      </c>
      <c r="AO617" s="27">
        <f t="shared" si="134"/>
        <v>495.30323443397566</v>
      </c>
      <c r="AP617" s="27">
        <f t="shared" si="134"/>
        <v>503.92844355873905</v>
      </c>
      <c r="AQ617" s="27">
        <f t="shared" si="134"/>
        <v>512.52009483394647</v>
      </c>
      <c r="AR617" s="27">
        <f t="shared" si="134"/>
        <v>521.08933970994713</v>
      </c>
      <c r="AS617" s="27">
        <f t="shared" si="134"/>
        <v>530.19934966432822</v>
      </c>
      <c r="AT617" s="27">
        <f t="shared" si="134"/>
        <v>539.61424355839688</v>
      </c>
      <c r="AU617" s="27">
        <f t="shared" si="134"/>
        <v>549.17033444464153</v>
      </c>
      <c r="AV617" s="27">
        <f t="shared" si="134"/>
        <v>559.19282207144863</v>
      </c>
      <c r="AW617" s="27">
        <f t="shared" si="134"/>
        <v>567.59543120119042</v>
      </c>
      <c r="AY617" s="79"/>
      <c r="AZ617" s="79"/>
    </row>
    <row r="618" spans="1:52" x14ac:dyDescent="0.25">
      <c r="A618" s="95" t="str">
        <f t="shared" si="133"/>
        <v>NI Cattle</v>
      </c>
      <c r="B618" s="95" t="s">
        <v>968</v>
      </c>
      <c r="C618" s="95" t="s">
        <v>1107</v>
      </c>
      <c r="D618" t="s">
        <v>15</v>
      </c>
      <c r="E618" t="s">
        <v>16</v>
      </c>
      <c r="F618" t="s">
        <v>67</v>
      </c>
      <c r="G618" t="s">
        <v>123</v>
      </c>
      <c r="H618" t="s">
        <v>1019</v>
      </c>
      <c r="I618" t="s">
        <v>121</v>
      </c>
      <c r="J618" t="s">
        <v>286</v>
      </c>
      <c r="K618" s="27">
        <f t="shared" si="135"/>
        <v>326.20040935577725</v>
      </c>
      <c r="L618" s="27">
        <f t="shared" si="134"/>
        <v>323.37137738012308</v>
      </c>
      <c r="M618" s="27">
        <f t="shared" si="134"/>
        <v>322.29445054900742</v>
      </c>
      <c r="N618" s="27">
        <f t="shared" si="134"/>
        <v>317.99063003627219</v>
      </c>
      <c r="O618" s="27">
        <f t="shared" si="134"/>
        <v>311.74352945546775</v>
      </c>
      <c r="P618" s="27">
        <f t="shared" si="134"/>
        <v>303.68232906672063</v>
      </c>
      <c r="Q618" s="27">
        <f t="shared" si="134"/>
        <v>297.32422455466599</v>
      </c>
      <c r="R618" s="27">
        <f t="shared" si="134"/>
        <v>291.30873487096773</v>
      </c>
      <c r="S618" s="27">
        <f t="shared" si="134"/>
        <v>260.12544437470751</v>
      </c>
      <c r="T618" s="27">
        <f t="shared" si="134"/>
        <v>272.56212037461688</v>
      </c>
      <c r="U618" s="27">
        <f t="shared" si="134"/>
        <v>276.86769999918118</v>
      </c>
      <c r="V618" s="27">
        <f t="shared" si="134"/>
        <v>274.99793673186855</v>
      </c>
      <c r="W618" s="27">
        <f t="shared" si="134"/>
        <v>273.47701596957364</v>
      </c>
      <c r="X618" s="27">
        <f t="shared" si="134"/>
        <v>273.5769236836698</v>
      </c>
      <c r="Y618" s="27">
        <f t="shared" si="134"/>
        <v>275.18338830375563</v>
      </c>
      <c r="Z618" s="27">
        <f t="shared" si="134"/>
        <v>277.46285134504268</v>
      </c>
      <c r="AA618" s="27">
        <f t="shared" si="134"/>
        <v>280.59892085940152</v>
      </c>
      <c r="AB618" s="27">
        <f t="shared" si="134"/>
        <v>285.19264729169487</v>
      </c>
      <c r="AC618" s="27">
        <f t="shared" si="134"/>
        <v>291.11429317598692</v>
      </c>
      <c r="AD618" s="27">
        <f t="shared" si="134"/>
        <v>295.24283551131606</v>
      </c>
      <c r="AE618" s="27">
        <f t="shared" si="134"/>
        <v>299.85907620766255</v>
      </c>
      <c r="AF618" s="27">
        <f t="shared" si="134"/>
        <v>304.61512936707601</v>
      </c>
      <c r="AG618" s="27">
        <f t="shared" si="134"/>
        <v>309.61664521637437</v>
      </c>
      <c r="AH618" s="27">
        <f t="shared" si="134"/>
        <v>314.69307343880962</v>
      </c>
      <c r="AI618" s="27">
        <f t="shared" si="134"/>
        <v>319.32875446911731</v>
      </c>
      <c r="AJ618" s="27">
        <f t="shared" si="134"/>
        <v>324.21854716514042</v>
      </c>
      <c r="AK618" s="27">
        <f t="shared" si="134"/>
        <v>328.88693064471261</v>
      </c>
      <c r="AL618" s="27">
        <f t="shared" si="134"/>
        <v>333.28893018872913</v>
      </c>
      <c r="AM618" s="27">
        <f t="shared" si="134"/>
        <v>337.61271514011941</v>
      </c>
      <c r="AN618" s="27">
        <f t="shared" si="134"/>
        <v>343.10326767773648</v>
      </c>
      <c r="AO618" s="27">
        <f t="shared" si="134"/>
        <v>348.78220068533165</v>
      </c>
      <c r="AP618" s="27">
        <f t="shared" si="134"/>
        <v>354.85589294244767</v>
      </c>
      <c r="AQ618" s="27">
        <f t="shared" si="134"/>
        <v>360.90595446226047</v>
      </c>
      <c r="AR618" s="27">
        <f t="shared" si="134"/>
        <v>366.94023786337442</v>
      </c>
      <c r="AS618" s="27">
        <f t="shared" si="134"/>
        <v>373.35531674688991</v>
      </c>
      <c r="AT618" s="27">
        <f t="shared" si="134"/>
        <v>379.98508853779043</v>
      </c>
      <c r="AU618" s="27">
        <f t="shared" si="134"/>
        <v>386.71428830379313</v>
      </c>
      <c r="AV618" s="27">
        <f t="shared" si="134"/>
        <v>393.77191492077668</v>
      </c>
      <c r="AW618" s="27">
        <f t="shared" si="134"/>
        <v>399.6888569070714</v>
      </c>
      <c r="AY618" s="79"/>
      <c r="AZ618" s="79"/>
    </row>
    <row r="619" spans="1:52" x14ac:dyDescent="0.25">
      <c r="A619" s="95" t="str">
        <f t="shared" si="133"/>
        <v>NI Cattle</v>
      </c>
      <c r="B619" s="95" t="s">
        <v>968</v>
      </c>
      <c r="C619" s="95" t="s">
        <v>1107</v>
      </c>
      <c r="D619" t="s">
        <v>15</v>
      </c>
      <c r="E619" t="s">
        <v>16</v>
      </c>
      <c r="F619" t="s">
        <v>67</v>
      </c>
      <c r="G619" t="s">
        <v>135</v>
      </c>
      <c r="H619" t="s">
        <v>1019</v>
      </c>
      <c r="I619" t="s">
        <v>121</v>
      </c>
      <c r="J619" t="s">
        <v>286</v>
      </c>
      <c r="K619" s="27">
        <f t="shared" si="135"/>
        <v>31.891995988947254</v>
      </c>
      <c r="L619" s="27">
        <f t="shared" si="134"/>
        <v>32.967337371253521</v>
      </c>
      <c r="M619" s="27">
        <f t="shared" si="134"/>
        <v>34.243655078433662</v>
      </c>
      <c r="N619" s="27">
        <f t="shared" si="134"/>
        <v>35.195504797614646</v>
      </c>
      <c r="O619" s="27">
        <f t="shared" si="134"/>
        <v>35.929559405213325</v>
      </c>
      <c r="P619" s="27">
        <f t="shared" si="134"/>
        <v>36.435327957872907</v>
      </c>
      <c r="Q619" s="27">
        <f t="shared" si="134"/>
        <v>37.125912791560339</v>
      </c>
      <c r="R619" s="27">
        <f t="shared" si="134"/>
        <v>37.849847328761314</v>
      </c>
      <c r="S619" s="27">
        <f t="shared" si="134"/>
        <v>35.164164958187662</v>
      </c>
      <c r="T619" s="27">
        <f t="shared" si="134"/>
        <v>37.733078614995847</v>
      </c>
      <c r="U619" s="27">
        <f t="shared" si="134"/>
        <v>39.239907769283455</v>
      </c>
      <c r="V619" s="27">
        <f t="shared" si="134"/>
        <v>39.889255441564949</v>
      </c>
      <c r="W619" s="27">
        <f t="shared" si="134"/>
        <v>40.588307761995488</v>
      </c>
      <c r="X619" s="27">
        <f t="shared" si="134"/>
        <v>41.534201946049016</v>
      </c>
      <c r="Y619" s="27">
        <f t="shared" si="134"/>
        <v>42.726423600286481</v>
      </c>
      <c r="Z619" s="27">
        <f t="shared" si="134"/>
        <v>44.049081565207047</v>
      </c>
      <c r="AA619" s="27">
        <f t="shared" si="134"/>
        <v>45.539986739615941</v>
      </c>
      <c r="AB619" s="27">
        <f t="shared" si="134"/>
        <v>47.309041836934135</v>
      </c>
      <c r="AC619" s="27">
        <f t="shared" si="134"/>
        <v>49.351300675084218</v>
      </c>
      <c r="AD619" s="27">
        <f t="shared" si="134"/>
        <v>51.711027137708825</v>
      </c>
      <c r="AE619" s="27">
        <f t="shared" si="134"/>
        <v>54.264579364554088</v>
      </c>
      <c r="AF619" s="27">
        <f t="shared" si="134"/>
        <v>56.961553434617372</v>
      </c>
      <c r="AG619" s="27">
        <f t="shared" si="134"/>
        <v>59.831551165418354</v>
      </c>
      <c r="AH619" s="27">
        <f t="shared" si="134"/>
        <v>62.852420493056009</v>
      </c>
      <c r="AI619" s="27">
        <f t="shared" si="134"/>
        <v>65.927060453070922</v>
      </c>
      <c r="AJ619" s="27">
        <f t="shared" si="134"/>
        <v>69.203040648572085</v>
      </c>
      <c r="AK619" s="27">
        <f t="shared" si="134"/>
        <v>72.58973333609724</v>
      </c>
      <c r="AL619" s="27">
        <f t="shared" si="134"/>
        <v>76.081547595026791</v>
      </c>
      <c r="AM619" s="27">
        <f t="shared" si="134"/>
        <v>79.726894187226051</v>
      </c>
      <c r="AN619" s="27">
        <f t="shared" si="134"/>
        <v>83.3095791235083</v>
      </c>
      <c r="AO619" s="27">
        <f t="shared" si="134"/>
        <v>87.086258080455181</v>
      </c>
      <c r="AP619" s="27">
        <f t="shared" si="134"/>
        <v>91.121139259350954</v>
      </c>
      <c r="AQ619" s="27">
        <f t="shared" si="134"/>
        <v>95.32019758274437</v>
      </c>
      <c r="AR619" s="27">
        <f t="shared" si="134"/>
        <v>99.693624550303667</v>
      </c>
      <c r="AS619" s="27">
        <f t="shared" si="134"/>
        <v>104.36104732075913</v>
      </c>
      <c r="AT619" s="27">
        <f t="shared" si="134"/>
        <v>109.29369918471791</v>
      </c>
      <c r="AU619" s="27">
        <f t="shared" si="134"/>
        <v>114.47360844232533</v>
      </c>
      <c r="AV619" s="27">
        <f t="shared" si="134"/>
        <v>119.9848328319804</v>
      </c>
      <c r="AW619" s="27">
        <f t="shared" si="134"/>
        <v>125.38797876262088</v>
      </c>
      <c r="AY619" s="79"/>
      <c r="AZ619" s="79"/>
    </row>
    <row r="620" spans="1:52" x14ac:dyDescent="0.25">
      <c r="A620" s="95" t="str">
        <f t="shared" si="133"/>
        <v>NI Sheep</v>
      </c>
      <c r="B620" s="95" t="s">
        <v>968</v>
      </c>
      <c r="C620" s="95" t="s">
        <v>152</v>
      </c>
      <c r="D620" t="s">
        <v>15</v>
      </c>
      <c r="E620" t="s">
        <v>16</v>
      </c>
      <c r="F620" t="s">
        <v>18</v>
      </c>
      <c r="G620" t="s">
        <v>122</v>
      </c>
      <c r="H620" t="s">
        <v>1019</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134.514372062219</v>
      </c>
      <c r="T620" s="27">
        <f t="shared" si="134"/>
        <v>134.61119272537138</v>
      </c>
      <c r="U620" s="27">
        <f t="shared" si="134"/>
        <v>134.57715264233437</v>
      </c>
      <c r="V620" s="27">
        <f t="shared" si="134"/>
        <v>134.57470202786035</v>
      </c>
      <c r="W620" s="27">
        <f t="shared" si="134"/>
        <v>134.71744668818661</v>
      </c>
      <c r="X620" s="27">
        <f t="shared" si="134"/>
        <v>134.95106147738375</v>
      </c>
      <c r="Y620" s="27">
        <f t="shared" si="134"/>
        <v>135.17521745945572</v>
      </c>
      <c r="Z620" s="27">
        <f t="shared" si="134"/>
        <v>135.39063780811901</v>
      </c>
      <c r="AA620" s="27">
        <f t="shared" si="134"/>
        <v>135.59702853009694</v>
      </c>
      <c r="AB620" s="27">
        <f t="shared" si="134"/>
        <v>135.7986907607312</v>
      </c>
      <c r="AC620" s="27">
        <f t="shared" si="134"/>
        <v>135.99857025620054</v>
      </c>
      <c r="AD620" s="27">
        <f t="shared" si="134"/>
        <v>136.19466148301387</v>
      </c>
      <c r="AE620" s="27">
        <f t="shared" si="134"/>
        <v>136.38978391312594</v>
      </c>
      <c r="AF620" s="27">
        <f t="shared" si="134"/>
        <v>136.58332287316895</v>
      </c>
      <c r="AG620" s="27">
        <f t="shared" si="134"/>
        <v>136.77372760735147</v>
      </c>
      <c r="AH620" s="27">
        <f t="shared" si="134"/>
        <v>136.96183641513412</v>
      </c>
      <c r="AI620" s="27">
        <f t="shared" si="134"/>
        <v>137.1478500354736</v>
      </c>
      <c r="AJ620" s="27">
        <f t="shared" si="134"/>
        <v>137.33239997388901</v>
      </c>
      <c r="AK620" s="27">
        <f t="shared" si="134"/>
        <v>137.50983936953097</v>
      </c>
      <c r="AL620" s="27">
        <f t="shared" si="134"/>
        <v>137.67996062186128</v>
      </c>
      <c r="AM620" s="27">
        <f t="shared" si="134"/>
        <v>137.84435369829882</v>
      </c>
      <c r="AN620" s="27">
        <f t="shared" si="134"/>
        <v>138.00175275471773</v>
      </c>
      <c r="AO620" s="27">
        <f t="shared" si="134"/>
        <v>138.15244332532626</v>
      </c>
      <c r="AP620" s="27">
        <f t="shared" si="134"/>
        <v>138.29574669703695</v>
      </c>
      <c r="AQ620" s="27">
        <f t="shared" si="134"/>
        <v>138.4296121873767</v>
      </c>
      <c r="AR620" s="27">
        <f t="shared" si="134"/>
        <v>138.55213947392693</v>
      </c>
      <c r="AS620" s="27">
        <f t="shared" si="134"/>
        <v>138.66320476976824</v>
      </c>
      <c r="AT620" s="27">
        <f t="shared" si="134"/>
        <v>138.76195815463774</v>
      </c>
      <c r="AU620" s="27">
        <f t="shared" si="134"/>
        <v>138.84835200114654</v>
      </c>
      <c r="AV620" s="27">
        <f t="shared" si="134"/>
        <v>138.92403962400931</v>
      </c>
      <c r="AW620" s="27">
        <f t="shared" si="134"/>
        <v>138.97919020206226</v>
      </c>
      <c r="AY620" s="79"/>
      <c r="AZ620" s="79"/>
    </row>
    <row r="621" spans="1:52" x14ac:dyDescent="0.25">
      <c r="A621" s="95" t="str">
        <f t="shared" si="133"/>
        <v>NI Sheep</v>
      </c>
      <c r="B621" s="95" t="s">
        <v>968</v>
      </c>
      <c r="C621" s="95" t="s">
        <v>152</v>
      </c>
      <c r="D621" t="s">
        <v>15</v>
      </c>
      <c r="E621" t="s">
        <v>16</v>
      </c>
      <c r="F621" t="s">
        <v>18</v>
      </c>
      <c r="G621" t="s">
        <v>123</v>
      </c>
      <c r="H621" t="s">
        <v>1019</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14.577835829783805</v>
      </c>
      <c r="T621" s="27">
        <f t="shared" si="136"/>
        <v>14.588328654533516</v>
      </c>
      <c r="U621" s="27">
        <f t="shared" si="136"/>
        <v>14.584639600832128</v>
      </c>
      <c r="V621" s="27">
        <f t="shared" si="136"/>
        <v>14.584374018389626</v>
      </c>
      <c r="W621" s="27">
        <f t="shared" si="136"/>
        <v>14.599843801966744</v>
      </c>
      <c r="X621" s="27">
        <f t="shared" si="136"/>
        <v>14.625161528185249</v>
      </c>
      <c r="Y621" s="27">
        <f t="shared" si="136"/>
        <v>14.649454167379202</v>
      </c>
      <c r="Z621" s="27">
        <f t="shared" si="136"/>
        <v>14.672800092644023</v>
      </c>
      <c r="AA621" s="27">
        <f t="shared" si="136"/>
        <v>14.695167442806378</v>
      </c>
      <c r="AB621" s="27">
        <f t="shared" si="136"/>
        <v>14.717022348317101</v>
      </c>
      <c r="AC621" s="27">
        <f t="shared" si="136"/>
        <v>14.738684052014786</v>
      </c>
      <c r="AD621" s="27">
        <f t="shared" si="136"/>
        <v>14.759935206581549</v>
      </c>
      <c r="AE621" s="27">
        <f t="shared" si="136"/>
        <v>14.781081368952709</v>
      </c>
      <c r="AF621" s="27">
        <f t="shared" si="136"/>
        <v>14.802055924629695</v>
      </c>
      <c r="AG621" s="27">
        <f t="shared" si="136"/>
        <v>14.822690812289457</v>
      </c>
      <c r="AH621" s="27">
        <f t="shared" si="136"/>
        <v>14.843076881643613</v>
      </c>
      <c r="AI621" s="27">
        <f t="shared" si="136"/>
        <v>14.863235887538975</v>
      </c>
      <c r="AJ621" s="27">
        <f t="shared" si="136"/>
        <v>14.883236268638564</v>
      </c>
      <c r="AK621" s="27">
        <f t="shared" si="136"/>
        <v>14.902466053082772</v>
      </c>
      <c r="AL621" s="27">
        <f t="shared" si="136"/>
        <v>14.920902742409034</v>
      </c>
      <c r="AM621" s="27">
        <f t="shared" si="136"/>
        <v>14.938718647454118</v>
      </c>
      <c r="AN621" s="27">
        <f t="shared" si="136"/>
        <v>14.95577658385943</v>
      </c>
      <c r="AO621" s="27">
        <f t="shared" si="136"/>
        <v>14.972107496056765</v>
      </c>
      <c r="AP621" s="27">
        <f t="shared" si="136"/>
        <v>14.98763782931875</v>
      </c>
      <c r="AQ621" s="27">
        <f t="shared" si="136"/>
        <v>15.002145343360027</v>
      </c>
      <c r="AR621" s="27">
        <f t="shared" si="136"/>
        <v>15.015424092988152</v>
      </c>
      <c r="AS621" s="27">
        <f t="shared" si="136"/>
        <v>15.027460662942268</v>
      </c>
      <c r="AT621" s="27">
        <f t="shared" si="136"/>
        <v>15.038162944120053</v>
      </c>
      <c r="AU621" s="27">
        <f t="shared" si="136"/>
        <v>15.047525774959613</v>
      </c>
      <c r="AV621" s="27">
        <f t="shared" si="136"/>
        <v>15.055728331485913</v>
      </c>
      <c r="AW621" s="27">
        <f t="shared" si="136"/>
        <v>15.061705210093363</v>
      </c>
      <c r="AY621" s="79"/>
      <c r="AZ621" s="79"/>
    </row>
    <row r="622" spans="1:52" x14ac:dyDescent="0.25">
      <c r="A622" s="95" t="str">
        <f t="shared" si="133"/>
        <v>NI Goats</v>
      </c>
      <c r="B622" s="95" t="s">
        <v>968</v>
      </c>
      <c r="C622" s="95" t="s">
        <v>153</v>
      </c>
      <c r="D622" t="s">
        <v>15</v>
      </c>
      <c r="E622" t="s">
        <v>16</v>
      </c>
      <c r="F622" t="s">
        <v>19</v>
      </c>
      <c r="G622" t="s">
        <v>122</v>
      </c>
      <c r="H622" t="s">
        <v>1019</v>
      </c>
      <c r="I622" t="s">
        <v>121</v>
      </c>
      <c r="J622" t="s">
        <v>286</v>
      </c>
      <c r="K622" s="27">
        <f t="shared" si="135"/>
        <v>15.123414197798356</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15.545788610572219</v>
      </c>
      <c r="R622" s="27">
        <f t="shared" si="136"/>
        <v>15.648067752449878</v>
      </c>
      <c r="S622" s="27">
        <f t="shared" si="136"/>
        <v>15.609698922895241</v>
      </c>
      <c r="T622" s="27">
        <f t="shared" si="136"/>
        <v>15.636532010302831</v>
      </c>
      <c r="U622" s="27">
        <f t="shared" si="136"/>
        <v>15.639135853628233</v>
      </c>
      <c r="V622" s="27">
        <f t="shared" si="136"/>
        <v>15.646294761850147</v>
      </c>
      <c r="W622" s="27">
        <f t="shared" si="136"/>
        <v>15.677946241783271</v>
      </c>
      <c r="X622" s="27">
        <f t="shared" si="136"/>
        <v>15.724503798989753</v>
      </c>
      <c r="Y622" s="27">
        <f t="shared" si="136"/>
        <v>15.768451676063824</v>
      </c>
      <c r="Z622" s="27">
        <f t="shared" si="136"/>
        <v>15.809996509627668</v>
      </c>
      <c r="AA622" s="27">
        <f t="shared" si="136"/>
        <v>15.849159564668597</v>
      </c>
      <c r="AB622" s="27">
        <f t="shared" si="136"/>
        <v>15.886751198222623</v>
      </c>
      <c r="AC622" s="27">
        <f t="shared" si="136"/>
        <v>15.923335433500936</v>
      </c>
      <c r="AD622" s="27">
        <f t="shared" si="136"/>
        <v>15.958613587829067</v>
      </c>
      <c r="AE622" s="27">
        <f t="shared" si="136"/>
        <v>15.993115538730159</v>
      </c>
      <c r="AF622" s="27">
        <f t="shared" si="136"/>
        <v>16.026773849205178</v>
      </c>
      <c r="AG622" s="27">
        <f t="shared" si="136"/>
        <v>16.059358210664367</v>
      </c>
      <c r="AH622" s="27">
        <f t="shared" si="136"/>
        <v>16.091045965246145</v>
      </c>
      <c r="AI622" s="27">
        <f t="shared" si="136"/>
        <v>16.121901844149729</v>
      </c>
      <c r="AJ622" s="27">
        <f t="shared" si="136"/>
        <v>16.152061326115707</v>
      </c>
      <c r="AK622" s="27">
        <f t="shared" si="136"/>
        <v>16.180589301116473</v>
      </c>
      <c r="AL622" s="27">
        <f t="shared" si="136"/>
        <v>16.207479025870157</v>
      </c>
      <c r="AM622" s="27">
        <f t="shared" si="136"/>
        <v>16.233026710727977</v>
      </c>
      <c r="AN622" s="27">
        <f t="shared" si="136"/>
        <v>16.257041914334369</v>
      </c>
      <c r="AO622" s="27">
        <f t="shared" si="136"/>
        <v>16.279596122288691</v>
      </c>
      <c r="AP622" s="27">
        <f t="shared" si="136"/>
        <v>16.300596548995752</v>
      </c>
      <c r="AQ622" s="27">
        <f t="shared" si="136"/>
        <v>16.31971904310852</v>
      </c>
      <c r="AR622" s="27">
        <f t="shared" si="136"/>
        <v>16.336665838044137</v>
      </c>
      <c r="AS622" s="27">
        <f t="shared" si="136"/>
        <v>16.351438090046905</v>
      </c>
      <c r="AT622" s="27">
        <f t="shared" si="136"/>
        <v>16.363914421549605</v>
      </c>
      <c r="AU622" s="27">
        <f t="shared" si="136"/>
        <v>16.374107486259209</v>
      </c>
      <c r="AV622" s="27">
        <f t="shared" si="136"/>
        <v>16.382312930249284</v>
      </c>
      <c r="AW622" s="27">
        <f t="shared" si="136"/>
        <v>16.386910096993194</v>
      </c>
      <c r="AY622" s="79"/>
      <c r="AZ622" s="79"/>
    </row>
    <row r="623" spans="1:52" x14ac:dyDescent="0.25">
      <c r="A623" s="95" t="str">
        <f t="shared" si="133"/>
        <v>NI Goats</v>
      </c>
      <c r="B623" s="95" t="s">
        <v>968</v>
      </c>
      <c r="C623" s="95" t="s">
        <v>153</v>
      </c>
      <c r="D623" t="s">
        <v>15</v>
      </c>
      <c r="E623" t="s">
        <v>16</v>
      </c>
      <c r="F623" t="s">
        <v>19</v>
      </c>
      <c r="G623" t="s">
        <v>123</v>
      </c>
      <c r="H623" t="s">
        <v>1019</v>
      </c>
      <c r="I623" t="s">
        <v>121</v>
      </c>
      <c r="J623" t="s">
        <v>286</v>
      </c>
      <c r="K623" s="27">
        <f t="shared" si="135"/>
        <v>22.381101687842737</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23.100753199022172</v>
      </c>
      <c r="T623" s="27">
        <f t="shared" si="136"/>
        <v>23.140463415909274</v>
      </c>
      <c r="U623" s="27">
        <f t="shared" si="136"/>
        <v>23.144316836934628</v>
      </c>
      <c r="V623" s="27">
        <f t="shared" si="136"/>
        <v>23.154911286758789</v>
      </c>
      <c r="W623" s="27">
        <f t="shared" si="136"/>
        <v>23.201752230324114</v>
      </c>
      <c r="X623" s="27">
        <f t="shared" si="136"/>
        <v>23.270652639223016</v>
      </c>
      <c r="Y623" s="27">
        <f t="shared" si="136"/>
        <v>23.335690989220911</v>
      </c>
      <c r="Z623" s="27">
        <f t="shared" si="136"/>
        <v>23.397173081322329</v>
      </c>
      <c r="AA623" s="27">
        <f t="shared" si="136"/>
        <v>23.455130385527173</v>
      </c>
      <c r="AB623" s="27">
        <f t="shared" si="136"/>
        <v>23.510762147124183</v>
      </c>
      <c r="AC623" s="27">
        <f t="shared" si="136"/>
        <v>23.564903062609726</v>
      </c>
      <c r="AD623" s="27">
        <f t="shared" si="136"/>
        <v>23.617111112263775</v>
      </c>
      <c r="AE623" s="27">
        <f t="shared" si="136"/>
        <v>23.668170460466953</v>
      </c>
      <c r="AF623" s="27">
        <f t="shared" si="136"/>
        <v>23.717981307378224</v>
      </c>
      <c r="AG623" s="27">
        <f t="shared" si="136"/>
        <v>23.766202819909285</v>
      </c>
      <c r="AH623" s="27">
        <f t="shared" si="136"/>
        <v>23.813097446233641</v>
      </c>
      <c r="AI623" s="27">
        <f t="shared" si="136"/>
        <v>23.858760981886149</v>
      </c>
      <c r="AJ623" s="27">
        <f t="shared" si="136"/>
        <v>23.903393921505796</v>
      </c>
      <c r="AK623" s="27">
        <f t="shared" si="136"/>
        <v>23.94561239817315</v>
      </c>
      <c r="AL623" s="27">
        <f t="shared" si="136"/>
        <v>23.985406432522741</v>
      </c>
      <c r="AM623" s="27">
        <f t="shared" si="136"/>
        <v>24.023214385489801</v>
      </c>
      <c r="AN623" s="27">
        <f t="shared" si="136"/>
        <v>24.058754423403148</v>
      </c>
      <c r="AO623" s="27">
        <f t="shared" si="136"/>
        <v>24.092132337616977</v>
      </c>
      <c r="AP623" s="27">
        <f t="shared" si="136"/>
        <v>24.123210814968164</v>
      </c>
      <c r="AQ623" s="27">
        <f t="shared" si="136"/>
        <v>24.151510144713775</v>
      </c>
      <c r="AR623" s="27">
        <f t="shared" si="136"/>
        <v>24.176589662855413</v>
      </c>
      <c r="AS623" s="27">
        <f t="shared" si="136"/>
        <v>24.198451080516016</v>
      </c>
      <c r="AT623" s="27">
        <f t="shared" si="136"/>
        <v>24.21691477134674</v>
      </c>
      <c r="AU623" s="27">
        <f t="shared" si="136"/>
        <v>24.231999461535917</v>
      </c>
      <c r="AV623" s="27">
        <f t="shared" si="136"/>
        <v>24.244142676945735</v>
      </c>
      <c r="AW623" s="27">
        <f t="shared" si="136"/>
        <v>24.250946012159979</v>
      </c>
      <c r="AY623" s="79"/>
      <c r="AZ623" s="79"/>
    </row>
    <row r="624" spans="1:52" x14ac:dyDescent="0.25">
      <c r="A624" s="95" t="str">
        <f t="shared" si="133"/>
        <v>NI Horses</v>
      </c>
      <c r="B624" s="95" t="s">
        <v>968</v>
      </c>
      <c r="C624" s="95" t="s">
        <v>3</v>
      </c>
      <c r="D624" t="s">
        <v>15</v>
      </c>
      <c r="E624" t="s">
        <v>16</v>
      </c>
      <c r="F624" t="s">
        <v>20</v>
      </c>
      <c r="G624" t="s">
        <v>3</v>
      </c>
      <c r="H624" t="s">
        <v>1019</v>
      </c>
      <c r="I624" t="s">
        <v>121</v>
      </c>
      <c r="J624" t="s">
        <v>286</v>
      </c>
      <c r="K624" s="27">
        <f t="shared" si="135"/>
        <v>5.5526214800767892</v>
      </c>
      <c r="L624" s="27">
        <f t="shared" si="136"/>
        <v>5.579523571019652</v>
      </c>
      <c r="M624" s="27">
        <f t="shared" si="136"/>
        <v>5.6203482259438013</v>
      </c>
      <c r="N624" s="27">
        <f t="shared" si="136"/>
        <v>5.629075655008374</v>
      </c>
      <c r="O624" s="27">
        <f t="shared" si="136"/>
        <v>5.6165815405282276</v>
      </c>
      <c r="P624" s="27">
        <f t="shared" si="136"/>
        <v>5.5833231296706103</v>
      </c>
      <c r="Q624" s="27">
        <f t="shared" si="136"/>
        <v>5.5648827699457346</v>
      </c>
      <c r="R624" s="27">
        <f t="shared" si="136"/>
        <v>5.5483103177944031</v>
      </c>
      <c r="S624" s="27">
        <f t="shared" si="136"/>
        <v>5.2971852508905934</v>
      </c>
      <c r="T624" s="27">
        <f t="shared" si="136"/>
        <v>5.4545032105207021</v>
      </c>
      <c r="U624" s="27">
        <f t="shared" si="136"/>
        <v>5.5329638064801401</v>
      </c>
      <c r="V624" s="27">
        <f t="shared" si="136"/>
        <v>5.544813640469159</v>
      </c>
      <c r="W624" s="27">
        <f t="shared" si="136"/>
        <v>5.5552394312209037</v>
      </c>
      <c r="X624" s="27">
        <f t="shared" si="136"/>
        <v>5.5805371243140618</v>
      </c>
      <c r="Y624" s="27">
        <f t="shared" si="136"/>
        <v>5.6237182797404808</v>
      </c>
      <c r="Z624" s="27">
        <f t="shared" si="136"/>
        <v>5.6758191216830927</v>
      </c>
      <c r="AA624" s="27">
        <f t="shared" si="136"/>
        <v>5.7392036522982304</v>
      </c>
      <c r="AB624" s="27">
        <f t="shared" si="136"/>
        <v>5.8209863133515896</v>
      </c>
      <c r="AC624" s="27">
        <f t="shared" si="136"/>
        <v>5.9200988769206573</v>
      </c>
      <c r="AD624" s="27">
        <f t="shared" si="136"/>
        <v>6.0298529321871719</v>
      </c>
      <c r="AE624" s="27">
        <f t="shared" si="136"/>
        <v>6.1497995952254207</v>
      </c>
      <c r="AF624" s="27">
        <f t="shared" si="136"/>
        <v>6.2762315807434783</v>
      </c>
      <c r="AG624" s="27">
        <f t="shared" si="136"/>
        <v>6.4109152413607369</v>
      </c>
      <c r="AH624" s="27">
        <f t="shared" si="136"/>
        <v>6.552086974601302</v>
      </c>
      <c r="AI624" s="27">
        <f t="shared" si="136"/>
        <v>6.6933077398392395</v>
      </c>
      <c r="AJ624" s="27">
        <f t="shared" si="136"/>
        <v>6.8438679121481307</v>
      </c>
      <c r="AK624" s="27">
        <f t="shared" si="136"/>
        <v>6.9980784680830306</v>
      </c>
      <c r="AL624" s="27">
        <f t="shared" si="136"/>
        <v>7.1555200224058177</v>
      </c>
      <c r="AM624" s="27">
        <f t="shared" si="136"/>
        <v>7.3189945558292679</v>
      </c>
      <c r="AN624" s="27">
        <f t="shared" si="136"/>
        <v>7.4816205294730294</v>
      </c>
      <c r="AO624" s="27">
        <f t="shared" si="136"/>
        <v>7.6530966093944661</v>
      </c>
      <c r="AP624" s="27">
        <f t="shared" si="136"/>
        <v>7.8370750081366163</v>
      </c>
      <c r="AQ624" s="27">
        <f t="shared" si="136"/>
        <v>8.0278701064246079</v>
      </c>
      <c r="AR624" s="27">
        <f t="shared" si="136"/>
        <v>8.2260903165664789</v>
      </c>
      <c r="AS624" s="27">
        <f t="shared" si="136"/>
        <v>8.4385648916420113</v>
      </c>
      <c r="AT624" s="27">
        <f t="shared" si="136"/>
        <v>8.6634503637197486</v>
      </c>
      <c r="AU624" s="27">
        <f t="shared" si="136"/>
        <v>8.8995458740132776</v>
      </c>
      <c r="AV624" s="27">
        <f t="shared" si="136"/>
        <v>9.151348341874078</v>
      </c>
      <c r="AW624" s="27">
        <f t="shared" si="136"/>
        <v>9.3946927055732683</v>
      </c>
      <c r="AY624" s="79"/>
      <c r="AZ624" s="79"/>
    </row>
    <row r="625" spans="1:52" x14ac:dyDescent="0.25">
      <c r="A625" s="95" t="str">
        <f t="shared" si="133"/>
        <v>NI Mules&amp;Asses</v>
      </c>
      <c r="B625" s="95" t="s">
        <v>968</v>
      </c>
      <c r="C625" s="95" t="s">
        <v>1322</v>
      </c>
      <c r="D625" t="s">
        <v>15</v>
      </c>
      <c r="E625" t="s">
        <v>16</v>
      </c>
      <c r="F625" t="s">
        <v>140</v>
      </c>
      <c r="G625" t="s">
        <v>124</v>
      </c>
      <c r="H625" t="s">
        <v>1019</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5">
      <c r="A626" s="95" t="str">
        <f t="shared" si="133"/>
        <v>NI Swine</v>
      </c>
      <c r="B626" s="95" t="s">
        <v>968</v>
      </c>
      <c r="C626" s="95" t="s">
        <v>155</v>
      </c>
      <c r="D626" t="s">
        <v>15</v>
      </c>
      <c r="E626" t="s">
        <v>16</v>
      </c>
      <c r="F626" t="s">
        <v>21</v>
      </c>
      <c r="G626" t="s">
        <v>122</v>
      </c>
      <c r="H626" t="s">
        <v>1019</v>
      </c>
      <c r="I626" t="s">
        <v>121</v>
      </c>
      <c r="J626" t="s">
        <v>286</v>
      </c>
      <c r="K626" s="27">
        <f t="shared" si="135"/>
        <v>1.8400999552016302</v>
      </c>
      <c r="L626" s="27">
        <f t="shared" si="136"/>
        <v>1.8300977880312248</v>
      </c>
      <c r="M626" s="27">
        <f t="shared" si="136"/>
        <v>1.8309187348828144</v>
      </c>
      <c r="N626" s="27">
        <f t="shared" si="136"/>
        <v>1.8141094978660446</v>
      </c>
      <c r="O626" s="27">
        <f t="shared" si="136"/>
        <v>1.7866561368117291</v>
      </c>
      <c r="P626" s="27">
        <f t="shared" si="136"/>
        <v>1.7489975228040082</v>
      </c>
      <c r="Q626" s="27">
        <f t="shared" si="136"/>
        <v>1.7216531928010093</v>
      </c>
      <c r="R626" s="27">
        <f t="shared" si="136"/>
        <v>1.6967284692901876</v>
      </c>
      <c r="S626" s="27">
        <f t="shared" si="136"/>
        <v>1.524204734718916</v>
      </c>
      <c r="T626" s="27">
        <f t="shared" si="136"/>
        <v>1.593081714161948</v>
      </c>
      <c r="U626" s="27">
        <f t="shared" si="136"/>
        <v>1.6139052959558671</v>
      </c>
      <c r="V626" s="27">
        <f t="shared" si="136"/>
        <v>1.5979776175047269</v>
      </c>
      <c r="W626" s="27">
        <f t="shared" si="136"/>
        <v>1.5839693089985563</v>
      </c>
      <c r="X626" s="27">
        <f t="shared" si="136"/>
        <v>1.5796400354975273</v>
      </c>
      <c r="Y626" s="27">
        <f t="shared" si="136"/>
        <v>1.5846136319816619</v>
      </c>
      <c r="Z626" s="27">
        <f t="shared" si="136"/>
        <v>1.5938774465709915</v>
      </c>
      <c r="AA626" s="27">
        <f t="shared" si="136"/>
        <v>1.6084883569821753</v>
      </c>
      <c r="AB626" s="27">
        <f t="shared" si="136"/>
        <v>1.6319593485428836</v>
      </c>
      <c r="AC626" s="27">
        <f t="shared" si="136"/>
        <v>1.6634709540368702</v>
      </c>
      <c r="AD626" s="27">
        <f t="shared" si="136"/>
        <v>1.6993359016898217</v>
      </c>
      <c r="AE626" s="27">
        <f t="shared" si="136"/>
        <v>1.7391981590716521</v>
      </c>
      <c r="AF626" s="27">
        <f t="shared" si="136"/>
        <v>1.7810637998476497</v>
      </c>
      <c r="AG626" s="27">
        <f t="shared" si="136"/>
        <v>1.8256518272462501</v>
      </c>
      <c r="AH626" s="27">
        <f t="shared" si="136"/>
        <v>1.8720011956576361</v>
      </c>
      <c r="AI626" s="27">
        <f t="shared" si="136"/>
        <v>1.9169799867438404</v>
      </c>
      <c r="AJ626" s="27">
        <f t="shared" si="136"/>
        <v>1.9649335737465348</v>
      </c>
      <c r="AK626" s="27">
        <f t="shared" si="136"/>
        <v>2.0129828074709066</v>
      </c>
      <c r="AL626" s="27">
        <f t="shared" si="136"/>
        <v>2.0608754146421031</v>
      </c>
      <c r="AM626" s="27">
        <f t="shared" si="136"/>
        <v>2.1098506270361996</v>
      </c>
      <c r="AN626" s="27">
        <f t="shared" si="136"/>
        <v>2.1567413105664199</v>
      </c>
      <c r="AO626" s="27">
        <f t="shared" si="136"/>
        <v>2.2058096743065145</v>
      </c>
      <c r="AP626" s="27">
        <f t="shared" si="136"/>
        <v>2.258470217432818</v>
      </c>
      <c r="AQ626" s="27">
        <f t="shared" si="136"/>
        <v>2.3120510725576544</v>
      </c>
      <c r="AR626" s="27">
        <f t="shared" si="136"/>
        <v>2.3666507440832505</v>
      </c>
      <c r="AS626" s="27">
        <f t="shared" si="136"/>
        <v>2.4249672048017872</v>
      </c>
      <c r="AT626" s="27">
        <f t="shared" si="136"/>
        <v>2.4859852344978988</v>
      </c>
      <c r="AU626" s="27">
        <f t="shared" si="136"/>
        <v>2.5490093093778539</v>
      </c>
      <c r="AV626" s="27">
        <f t="shared" si="136"/>
        <v>2.6156743076501083</v>
      </c>
      <c r="AW626" s="27">
        <f t="shared" si="136"/>
        <v>2.6760181986485878</v>
      </c>
      <c r="AY626" s="79"/>
      <c r="AZ626" s="79"/>
    </row>
    <row r="627" spans="1:52" x14ac:dyDescent="0.25">
      <c r="A627" s="95" t="str">
        <f t="shared" si="133"/>
        <v>NI Swine</v>
      </c>
      <c r="B627" s="95" t="s">
        <v>968</v>
      </c>
      <c r="C627" s="95" t="s">
        <v>155</v>
      </c>
      <c r="D627" t="s">
        <v>15</v>
      </c>
      <c r="E627" t="s">
        <v>16</v>
      </c>
      <c r="F627" t="s">
        <v>21</v>
      </c>
      <c r="G627" t="s">
        <v>123</v>
      </c>
      <c r="H627" t="s">
        <v>1019</v>
      </c>
      <c r="I627" t="s">
        <v>121</v>
      </c>
      <c r="J627" t="s">
        <v>286</v>
      </c>
      <c r="K627" s="27">
        <f t="shared" si="135"/>
        <v>0.25496723934882604</v>
      </c>
      <c r="L627" s="27">
        <f t="shared" si="136"/>
        <v>0.25358132281546891</v>
      </c>
      <c r="M627" s="27">
        <f t="shared" si="136"/>
        <v>0.25369507454499329</v>
      </c>
      <c r="N627" s="27">
        <f t="shared" si="136"/>
        <v>0.25136595935447836</v>
      </c>
      <c r="O627" s="27">
        <f t="shared" si="136"/>
        <v>0.24756197704412694</v>
      </c>
      <c r="P627" s="27">
        <f t="shared" si="136"/>
        <v>0.24234393830437845</v>
      </c>
      <c r="Q627" s="27">
        <f t="shared" si="136"/>
        <v>0.23855506351363698</v>
      </c>
      <c r="R627" s="27">
        <f t="shared" si="136"/>
        <v>0.2351014533295149</v>
      </c>
      <c r="S627" s="27">
        <f t="shared" si="136"/>
        <v>0.21119628437309981</v>
      </c>
      <c r="T627" s="27">
        <f t="shared" si="136"/>
        <v>0.22073999054712201</v>
      </c>
      <c r="U627" s="27">
        <f t="shared" si="136"/>
        <v>0.22362533987194619</v>
      </c>
      <c r="V627" s="27">
        <f t="shared" si="136"/>
        <v>0.22141837486852711</v>
      </c>
      <c r="W627" s="27">
        <f t="shared" si="136"/>
        <v>0.21947736088302675</v>
      </c>
      <c r="X627" s="27">
        <f t="shared" si="136"/>
        <v>0.2188774897130813</v>
      </c>
      <c r="Y627" s="27">
        <f t="shared" si="136"/>
        <v>0.21956663932237841</v>
      </c>
      <c r="Z627" s="27">
        <f t="shared" si="136"/>
        <v>0.22085024852252202</v>
      </c>
      <c r="AA627" s="27">
        <f t="shared" si="136"/>
        <v>0.22287476000701054</v>
      </c>
      <c r="AB627" s="27">
        <f t="shared" si="136"/>
        <v>0.22612693873028961</v>
      </c>
      <c r="AC627" s="27">
        <f t="shared" si="136"/>
        <v>0.23049323798351176</v>
      </c>
      <c r="AD627" s="27">
        <f t="shared" si="136"/>
        <v>0.23546274339902665</v>
      </c>
      <c r="AE627" s="27">
        <f t="shared" si="136"/>
        <v>0.24098612254488616</v>
      </c>
      <c r="AF627" s="27">
        <f t="shared" si="136"/>
        <v>0.24678709374867933</v>
      </c>
      <c r="AG627" s="27">
        <f t="shared" si="136"/>
        <v>0.25296528326588152</v>
      </c>
      <c r="AH627" s="27">
        <f t="shared" si="136"/>
        <v>0.25938752705541407</v>
      </c>
      <c r="AI627" s="27">
        <f t="shared" si="136"/>
        <v>0.26561986142403288</v>
      </c>
      <c r="AJ627" s="27">
        <f t="shared" si="136"/>
        <v>0.27226438834790373</v>
      </c>
      <c r="AK627" s="27">
        <f t="shared" si="136"/>
        <v>0.27892216823692451</v>
      </c>
      <c r="AL627" s="27">
        <f t="shared" si="136"/>
        <v>0.28555824569627086</v>
      </c>
      <c r="AM627" s="27">
        <f t="shared" si="136"/>
        <v>0.29234433069417909</v>
      </c>
      <c r="AN627" s="27">
        <f t="shared" si="136"/>
        <v>0.298841579986036</v>
      </c>
      <c r="AO627" s="27">
        <f t="shared" si="136"/>
        <v>0.30564057218578583</v>
      </c>
      <c r="AP627" s="27">
        <f t="shared" si="136"/>
        <v>0.3129373025973966</v>
      </c>
      <c r="AQ627" s="27">
        <f t="shared" ref="L627:AW634" si="137">AQ1392</f>
        <v>0.32036155293472796</v>
      </c>
      <c r="AR627" s="27">
        <f t="shared" si="137"/>
        <v>0.32792697212778937</v>
      </c>
      <c r="AS627" s="27">
        <f t="shared" si="137"/>
        <v>0.33600739566998233</v>
      </c>
      <c r="AT627" s="27">
        <f t="shared" si="137"/>
        <v>0.34446215299886757</v>
      </c>
      <c r="AU627" s="27">
        <f t="shared" si="137"/>
        <v>0.35319487120758841</v>
      </c>
      <c r="AV627" s="27">
        <f t="shared" si="137"/>
        <v>0.3624320816768471</v>
      </c>
      <c r="AW627" s="27">
        <f t="shared" si="137"/>
        <v>0.37079342925253511</v>
      </c>
      <c r="AY627" s="79"/>
      <c r="AZ627" s="79"/>
    </row>
    <row r="628" spans="1:52" x14ac:dyDescent="0.25">
      <c r="A628" s="95" t="str">
        <f t="shared" si="133"/>
        <v>NI Cattle MMCH4</v>
      </c>
      <c r="B628" s="95" t="s">
        <v>968</v>
      </c>
      <c r="C628" s="95" t="s">
        <v>1228</v>
      </c>
      <c r="D628" t="s">
        <v>15</v>
      </c>
      <c r="E628" t="s">
        <v>22</v>
      </c>
      <c r="F628" t="s">
        <v>6</v>
      </c>
      <c r="G628" t="s">
        <v>136</v>
      </c>
      <c r="H628" t="s">
        <v>1226</v>
      </c>
      <c r="I628" t="s">
        <v>121</v>
      </c>
      <c r="J628" t="s">
        <v>286</v>
      </c>
      <c r="K628" s="27">
        <f t="shared" si="135"/>
        <v>7.351330651107908</v>
      </c>
      <c r="L628" s="27">
        <f t="shared" si="137"/>
        <v>7.3924283487896005</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7.5825135825669054</v>
      </c>
      <c r="S628" s="27">
        <f t="shared" si="137"/>
        <v>7.3635054789242087</v>
      </c>
      <c r="T628" s="27">
        <f t="shared" si="137"/>
        <v>7.5119983216779529</v>
      </c>
      <c r="U628" s="27">
        <f t="shared" si="137"/>
        <v>7.5857115422581893</v>
      </c>
      <c r="V628" s="27">
        <f t="shared" si="137"/>
        <v>7.6049624433961522</v>
      </c>
      <c r="W628" s="27">
        <f t="shared" si="137"/>
        <v>7.6323349638068887</v>
      </c>
      <c r="X628" s="27">
        <f t="shared" si="137"/>
        <v>7.6782662594179314</v>
      </c>
      <c r="Y628" s="27">
        <f t="shared" si="137"/>
        <v>7.7389431173667962</v>
      </c>
      <c r="Z628" s="27">
        <f t="shared" si="137"/>
        <v>7.8068776236096697</v>
      </c>
      <c r="AA628" s="27">
        <f t="shared" si="137"/>
        <v>7.88420933428013</v>
      </c>
      <c r="AB628" s="27">
        <f t="shared" si="137"/>
        <v>7.9775686845364202</v>
      </c>
      <c r="AC628" s="27">
        <f t="shared" si="137"/>
        <v>8.0864133355409642</v>
      </c>
      <c r="AD628" s="27">
        <f t="shared" si="137"/>
        <v>8.2048813891102359</v>
      </c>
      <c r="AE628" s="27">
        <f t="shared" si="137"/>
        <v>8.3328657755649527</v>
      </c>
      <c r="AF628" s="27">
        <f t="shared" si="137"/>
        <v>8.4671187588996872</v>
      </c>
      <c r="AG628" s="27">
        <f t="shared" si="137"/>
        <v>8.6091419335499069</v>
      </c>
      <c r="AH628" s="27">
        <f t="shared" si="137"/>
        <v>8.7574749892645496</v>
      </c>
      <c r="AI628" s="27">
        <f t="shared" si="137"/>
        <v>8.9064020314048324</v>
      </c>
      <c r="AJ628" s="27">
        <f t="shared" si="137"/>
        <v>9.0642998358305835</v>
      </c>
      <c r="AK628" s="27">
        <f t="shared" si="137"/>
        <v>9.2256487767776196</v>
      </c>
      <c r="AL628" s="27">
        <f t="shared" si="137"/>
        <v>9.3900384918162416</v>
      </c>
      <c r="AM628" s="27">
        <f t="shared" si="137"/>
        <v>9.5601174973828691</v>
      </c>
      <c r="AN628" s="27">
        <f t="shared" si="137"/>
        <v>9.7295365069027504</v>
      </c>
      <c r="AO628" s="27">
        <f t="shared" si="137"/>
        <v>9.9070935852539623</v>
      </c>
      <c r="AP628" s="27">
        <f t="shared" si="137"/>
        <v>10.096066907799957</v>
      </c>
      <c r="AQ628" s="27">
        <f t="shared" si="137"/>
        <v>10.291098999348057</v>
      </c>
      <c r="AR628" s="27">
        <f t="shared" si="137"/>
        <v>10.492542704095264</v>
      </c>
      <c r="AS628" s="27">
        <f t="shared" si="137"/>
        <v>10.706596925892969</v>
      </c>
      <c r="AT628" s="27">
        <f t="shared" si="137"/>
        <v>10.931461457010631</v>
      </c>
      <c r="AU628" s="27">
        <f t="shared" si="137"/>
        <v>11.165976151570428</v>
      </c>
      <c r="AV628" s="27">
        <f t="shared" si="137"/>
        <v>11.414366787540366</v>
      </c>
      <c r="AW628" s="27">
        <f t="shared" si="137"/>
        <v>11.653364369886001</v>
      </c>
      <c r="AY628" s="79"/>
      <c r="AZ628" s="79"/>
    </row>
    <row r="629" spans="1:52" x14ac:dyDescent="0.25">
      <c r="A629" s="95" t="str">
        <f t="shared" si="133"/>
        <v>NI Cattle MMCH4</v>
      </c>
      <c r="B629" s="95" t="s">
        <v>968</v>
      </c>
      <c r="C629" s="95" t="s">
        <v>1228</v>
      </c>
      <c r="D629" t="s">
        <v>15</v>
      </c>
      <c r="E629" t="s">
        <v>22</v>
      </c>
      <c r="F629" t="s">
        <v>6</v>
      </c>
      <c r="G629" t="s">
        <v>137</v>
      </c>
      <c r="H629" t="s">
        <v>1226</v>
      </c>
      <c r="I629" t="s">
        <v>121</v>
      </c>
      <c r="J629" t="s">
        <v>286</v>
      </c>
      <c r="K629" s="27">
        <f t="shared" si="135"/>
        <v>2.0944490884992821</v>
      </c>
      <c r="L629" s="27">
        <f t="shared" si="137"/>
        <v>2.1061581299686476</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2.1603148348588097</v>
      </c>
      <c r="S629" s="27">
        <f t="shared" si="137"/>
        <v>2.0979177880086217</v>
      </c>
      <c r="T629" s="27">
        <f t="shared" si="137"/>
        <v>2.1402245095961443</v>
      </c>
      <c r="U629" s="27">
        <f t="shared" si="137"/>
        <v>2.1612259574947443</v>
      </c>
      <c r="V629" s="27">
        <f t="shared" si="137"/>
        <v>2.1667106832205718</v>
      </c>
      <c r="W629" s="27">
        <f t="shared" si="137"/>
        <v>2.1745093190247649</v>
      </c>
      <c r="X629" s="27">
        <f t="shared" si="137"/>
        <v>2.1875954886982294</v>
      </c>
      <c r="Y629" s="27">
        <f t="shared" si="137"/>
        <v>2.2048827793746253</v>
      </c>
      <c r="Z629" s="27">
        <f t="shared" si="137"/>
        <v>2.224237828335264</v>
      </c>
      <c r="AA629" s="27">
        <f t="shared" si="137"/>
        <v>2.2462702111259123</v>
      </c>
      <c r="AB629" s="27">
        <f t="shared" si="137"/>
        <v>2.2728689883170463</v>
      </c>
      <c r="AC629" s="27">
        <f t="shared" si="137"/>
        <v>2.3038796435172904</v>
      </c>
      <c r="AD629" s="27">
        <f t="shared" si="137"/>
        <v>2.3376320780887165</v>
      </c>
      <c r="AE629" s="27">
        <f t="shared" si="137"/>
        <v>2.3740957870788466</v>
      </c>
      <c r="AF629" s="27">
        <f t="shared" si="137"/>
        <v>2.4123454662075314</v>
      </c>
      <c r="AG629" s="27">
        <f t="shared" si="137"/>
        <v>2.4528089309609635</v>
      </c>
      <c r="AH629" s="27">
        <f t="shared" si="137"/>
        <v>2.495070128025882</v>
      </c>
      <c r="AI629" s="27">
        <f t="shared" si="137"/>
        <v>2.537500556266326</v>
      </c>
      <c r="AJ629" s="27">
        <f t="shared" si="137"/>
        <v>2.5824868217808161</v>
      </c>
      <c r="AK629" s="27">
        <f t="shared" si="137"/>
        <v>2.6284563419038043</v>
      </c>
      <c r="AL629" s="27">
        <f t="shared" si="137"/>
        <v>2.6752922013096669</v>
      </c>
      <c r="AM629" s="27">
        <f t="shared" si="137"/>
        <v>2.7237489821413385</v>
      </c>
      <c r="AN629" s="27">
        <f t="shared" si="137"/>
        <v>2.772017725162697</v>
      </c>
      <c r="AO629" s="27">
        <f t="shared" si="137"/>
        <v>2.8226050648646934</v>
      </c>
      <c r="AP629" s="27">
        <f t="shared" si="137"/>
        <v>2.8764449779282546</v>
      </c>
      <c r="AQ629" s="27">
        <f t="shared" si="137"/>
        <v>2.9320110795984959</v>
      </c>
      <c r="AR629" s="27">
        <f t="shared" si="137"/>
        <v>2.989403897826326</v>
      </c>
      <c r="AS629" s="27">
        <f t="shared" si="137"/>
        <v>3.0503895466851563</v>
      </c>
      <c r="AT629" s="27">
        <f t="shared" si="137"/>
        <v>3.1144551335274819</v>
      </c>
      <c r="AU629" s="27">
        <f t="shared" si="137"/>
        <v>3.1812701241151289</v>
      </c>
      <c r="AV629" s="27">
        <f t="shared" si="137"/>
        <v>3.2520384741988773</v>
      </c>
      <c r="AW629" s="27">
        <f t="shared" si="137"/>
        <v>3.3201306730475184</v>
      </c>
      <c r="AY629" s="79"/>
      <c r="AZ629" s="79"/>
    </row>
    <row r="630" spans="1:52" x14ac:dyDescent="0.25">
      <c r="A630" s="95" t="str">
        <f t="shared" si="133"/>
        <v>NI Cattle MMCH4</v>
      </c>
      <c r="B630" s="95" t="s">
        <v>968</v>
      </c>
      <c r="C630" s="95" t="s">
        <v>1228</v>
      </c>
      <c r="D630" t="s">
        <v>15</v>
      </c>
      <c r="E630" t="s">
        <v>22</v>
      </c>
      <c r="F630" t="s">
        <v>67</v>
      </c>
      <c r="G630" t="s">
        <v>307</v>
      </c>
      <c r="H630" t="s">
        <v>1226</v>
      </c>
      <c r="I630" t="s">
        <v>121</v>
      </c>
      <c r="J630" t="s">
        <v>286</v>
      </c>
      <c r="K630" s="27">
        <f t="shared" si="135"/>
        <v>0.43258377187145641</v>
      </c>
      <c r="L630" s="27">
        <f t="shared" si="137"/>
        <v>0.43500213637199753</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0.44618756541973903</v>
      </c>
      <c r="S630" s="27">
        <f t="shared" si="137"/>
        <v>0.4333001908694058</v>
      </c>
      <c r="T630" s="27">
        <f t="shared" si="137"/>
        <v>0.44203814554223075</v>
      </c>
      <c r="U630" s="27">
        <f t="shared" si="137"/>
        <v>0.44637574706075117</v>
      </c>
      <c r="V630" s="27">
        <f t="shared" si="137"/>
        <v>0.44750855251073168</v>
      </c>
      <c r="W630" s="27">
        <f t="shared" si="137"/>
        <v>0.44911926881324493</v>
      </c>
      <c r="X630" s="27">
        <f t="shared" si="137"/>
        <v>0.45182206291207566</v>
      </c>
      <c r="Y630" s="27">
        <f t="shared" si="137"/>
        <v>0.45539254903527465</v>
      </c>
      <c r="Z630" s="27">
        <f t="shared" si="137"/>
        <v>0.45939010625933163</v>
      </c>
      <c r="AA630" s="27">
        <f t="shared" si="137"/>
        <v>0.46394063522813239</v>
      </c>
      <c r="AB630" s="27">
        <f t="shared" si="137"/>
        <v>0.46943429913607365</v>
      </c>
      <c r="AC630" s="27">
        <f t="shared" si="137"/>
        <v>0.47583918444380807</v>
      </c>
      <c r="AD630" s="27">
        <f t="shared" si="137"/>
        <v>0.48281035196319333</v>
      </c>
      <c r="AE630" s="27">
        <f t="shared" si="137"/>
        <v>0.49034150125585807</v>
      </c>
      <c r="AF630" s="27">
        <f t="shared" si="137"/>
        <v>0.49824152162933733</v>
      </c>
      <c r="AG630" s="27">
        <f t="shared" si="137"/>
        <v>0.50659877332962533</v>
      </c>
      <c r="AH630" s="27">
        <f t="shared" si="137"/>
        <v>0.51532732544890569</v>
      </c>
      <c r="AI630" s="27">
        <f t="shared" si="137"/>
        <v>0.52409083027275605</v>
      </c>
      <c r="AJ630" s="27">
        <f t="shared" si="137"/>
        <v>0.53338221315980094</v>
      </c>
      <c r="AK630" s="27">
        <f t="shared" si="137"/>
        <v>0.54287667569656828</v>
      </c>
      <c r="AL630" s="27">
        <f t="shared" si="137"/>
        <v>0.55255007040063653</v>
      </c>
      <c r="AM630" s="27">
        <f t="shared" si="137"/>
        <v>0.56255824731933757</v>
      </c>
      <c r="AN630" s="27">
        <f t="shared" si="137"/>
        <v>0.57252758724472796</v>
      </c>
      <c r="AO630" s="27">
        <f t="shared" si="137"/>
        <v>0.58297580598510912</v>
      </c>
      <c r="AP630" s="27">
        <f t="shared" si="137"/>
        <v>0.59409580541510443</v>
      </c>
      <c r="AQ630" s="27">
        <f t="shared" si="137"/>
        <v>0.60557232875515321</v>
      </c>
      <c r="AR630" s="27">
        <f t="shared" si="137"/>
        <v>0.61742613886858821</v>
      </c>
      <c r="AS630" s="27">
        <f t="shared" si="137"/>
        <v>0.63002200580001311</v>
      </c>
      <c r="AT630" s="27">
        <f t="shared" si="137"/>
        <v>0.64325399761857238</v>
      </c>
      <c r="AU630" s="27">
        <f t="shared" si="137"/>
        <v>0.65705384637339226</v>
      </c>
      <c r="AV630" s="27">
        <f t="shared" si="137"/>
        <v>0.6716702149337197</v>
      </c>
      <c r="AW630" s="27">
        <f t="shared" si="137"/>
        <v>0.6857338560003412</v>
      </c>
      <c r="AY630" s="79"/>
      <c r="AZ630" s="79"/>
    </row>
    <row r="631" spans="1:52" x14ac:dyDescent="0.25">
      <c r="A631" s="95" t="str">
        <f t="shared" si="133"/>
        <v>NI Cattle MMCH4</v>
      </c>
      <c r="B631" s="95" t="s">
        <v>968</v>
      </c>
      <c r="C631" s="95" t="s">
        <v>1228</v>
      </c>
      <c r="D631" t="s">
        <v>15</v>
      </c>
      <c r="E631" t="s">
        <v>22</v>
      </c>
      <c r="F631" t="s">
        <v>67</v>
      </c>
      <c r="G631" t="s">
        <v>122</v>
      </c>
      <c r="H631" t="s">
        <v>1226</v>
      </c>
      <c r="I631" t="s">
        <v>121</v>
      </c>
      <c r="J631" t="s">
        <v>286</v>
      </c>
      <c r="K631" s="27">
        <f t="shared" si="135"/>
        <v>9.4871637196006511E-2</v>
      </c>
      <c r="L631" s="27">
        <f t="shared" si="137"/>
        <v>9.404884578461549E-2</v>
      </c>
      <c r="M631" s="27">
        <f t="shared" si="137"/>
        <v>9.3735634002294205E-2</v>
      </c>
      <c r="N631" s="27">
        <f t="shared" si="137"/>
        <v>9.2483917307495084E-2</v>
      </c>
      <c r="O631" s="27">
        <f t="shared" si="137"/>
        <v>9.0667019955957301E-2</v>
      </c>
      <c r="P631" s="27">
        <f t="shared" si="137"/>
        <v>8.8322512540543865E-2</v>
      </c>
      <c r="Q631" s="27">
        <f t="shared" si="137"/>
        <v>8.6473330972337892E-2</v>
      </c>
      <c r="R631" s="27">
        <f t="shared" si="137"/>
        <v>8.4723794986300283E-2</v>
      </c>
      <c r="S631" s="27">
        <f t="shared" si="137"/>
        <v>7.5654493606876719E-2</v>
      </c>
      <c r="T631" s="27">
        <f t="shared" si="137"/>
        <v>7.9271557778310117E-2</v>
      </c>
      <c r="U631" s="27">
        <f t="shared" si="137"/>
        <v>8.0523786090551941E-2</v>
      </c>
      <c r="V631" s="27">
        <f t="shared" si="137"/>
        <v>7.9979986949743884E-2</v>
      </c>
      <c r="W631" s="27">
        <f t="shared" si="137"/>
        <v>7.953764463923213E-2</v>
      </c>
      <c r="X631" s="27">
        <f t="shared" si="137"/>
        <v>7.9566701648766641E-2</v>
      </c>
      <c r="Y631" s="27">
        <f t="shared" si="137"/>
        <v>8.0033923406415561E-2</v>
      </c>
      <c r="Z631" s="27">
        <f t="shared" si="137"/>
        <v>8.0696879014232822E-2</v>
      </c>
      <c r="AA631" s="27">
        <f t="shared" si="137"/>
        <v>8.1608968762296855E-2</v>
      </c>
      <c r="AB631" s="27">
        <f t="shared" si="137"/>
        <v>8.294500125938338E-2</v>
      </c>
      <c r="AC631" s="27">
        <f t="shared" si="137"/>
        <v>8.4667243855728658E-2</v>
      </c>
      <c r="AD631" s="27">
        <f t="shared" si="137"/>
        <v>8.5867982908629403E-2</v>
      </c>
      <c r="AE631" s="27">
        <f t="shared" si="137"/>
        <v>8.7210563420463058E-2</v>
      </c>
      <c r="AF631" s="27">
        <f t="shared" si="137"/>
        <v>8.8593806779096215E-2</v>
      </c>
      <c r="AG631" s="27">
        <f t="shared" si="137"/>
        <v>9.0048440137839775E-2</v>
      </c>
      <c r="AH631" s="27">
        <f t="shared" si="137"/>
        <v>9.1524860898689164E-2</v>
      </c>
      <c r="AI631" s="27">
        <f t="shared" si="137"/>
        <v>9.2873095408058187E-2</v>
      </c>
      <c r="AJ631" s="27">
        <f t="shared" si="137"/>
        <v>9.4295235372679823E-2</v>
      </c>
      <c r="AK631" s="27">
        <f t="shared" si="137"/>
        <v>9.5652981013283067E-2</v>
      </c>
      <c r="AL631" s="27">
        <f t="shared" si="137"/>
        <v>9.6933251950102856E-2</v>
      </c>
      <c r="AM631" s="27">
        <f t="shared" si="137"/>
        <v>9.8190775072259484E-2</v>
      </c>
      <c r="AN631" s="27">
        <f t="shared" si="137"/>
        <v>9.9787639127038461E-2</v>
      </c>
      <c r="AO631" s="27">
        <f t="shared" si="137"/>
        <v>0.1014392914748115</v>
      </c>
      <c r="AP631" s="27">
        <f t="shared" si="137"/>
        <v>0.10320575500989811</v>
      </c>
      <c r="AQ631" s="27">
        <f t="shared" si="137"/>
        <v>0.10496534581683413</v>
      </c>
      <c r="AR631" s="27">
        <f t="shared" si="137"/>
        <v>0.10672034773942209</v>
      </c>
      <c r="AS631" s="27">
        <f t="shared" si="137"/>
        <v>0.10858609964826429</v>
      </c>
      <c r="AT631" s="27">
        <f t="shared" si="137"/>
        <v>0.11051429251988212</v>
      </c>
      <c r="AU631" s="27">
        <f t="shared" si="137"/>
        <v>0.11247140287446589</v>
      </c>
      <c r="AV631" s="27">
        <f t="shared" si="137"/>
        <v>0.11452403240118444</v>
      </c>
      <c r="AW631" s="27">
        <f t="shared" si="137"/>
        <v>0.1162449069229001</v>
      </c>
      <c r="AY631" s="79"/>
      <c r="AZ631" s="79"/>
    </row>
    <row r="632" spans="1:52" x14ac:dyDescent="0.25">
      <c r="A632" s="95" t="str">
        <f t="shared" si="133"/>
        <v>NI Cattle MMCH4</v>
      </c>
      <c r="B632" s="95" t="s">
        <v>968</v>
      </c>
      <c r="C632" s="95" t="s">
        <v>1228</v>
      </c>
      <c r="D632" t="s">
        <v>15</v>
      </c>
      <c r="E632" t="s">
        <v>22</v>
      </c>
      <c r="F632" t="s">
        <v>67</v>
      </c>
      <c r="G632" t="s">
        <v>123</v>
      </c>
      <c r="H632" t="s">
        <v>1226</v>
      </c>
      <c r="I632" t="s">
        <v>121</v>
      </c>
      <c r="J632" t="s">
        <v>286</v>
      </c>
      <c r="K632" s="27">
        <f t="shared" si="135"/>
        <v>6.9689449734106276E-2</v>
      </c>
      <c r="L632" s="27">
        <f t="shared" si="137"/>
        <v>6.9085055392440989E-2</v>
      </c>
      <c r="M632" s="27">
        <f t="shared" si="137"/>
        <v>6.8854980763127779E-2</v>
      </c>
      <c r="N632" s="27">
        <f t="shared" si="137"/>
        <v>6.7935512624264269E-2</v>
      </c>
      <c r="O632" s="27">
        <f t="shared" si="137"/>
        <v>6.6600882165738229E-2</v>
      </c>
      <c r="P632" s="27">
        <f t="shared" si="137"/>
        <v>6.4878687456057696E-2</v>
      </c>
      <c r="Q632" s="27">
        <f t="shared" si="137"/>
        <v>6.3520342119606069E-2</v>
      </c>
      <c r="R632" s="27">
        <f t="shared" si="137"/>
        <v>6.2235193009075998E-2</v>
      </c>
      <c r="S632" s="27">
        <f t="shared" si="137"/>
        <v>5.5573195374324494E-2</v>
      </c>
      <c r="T632" s="27">
        <f t="shared" si="137"/>
        <v>5.8230166616839892E-2</v>
      </c>
      <c r="U632" s="27">
        <f t="shared" si="137"/>
        <v>5.9150010572323733E-2</v>
      </c>
      <c r="V632" s="27">
        <f t="shared" si="137"/>
        <v>5.8750554380685591E-2</v>
      </c>
      <c r="W632" s="27">
        <f t="shared" si="137"/>
        <v>5.8425624895701689E-2</v>
      </c>
      <c r="X632" s="27">
        <f t="shared" si="137"/>
        <v>5.8446969177989083E-2</v>
      </c>
      <c r="Y632" s="27">
        <f t="shared" si="137"/>
        <v>5.8790174251251236E-2</v>
      </c>
      <c r="Z632" s="27">
        <f t="shared" si="137"/>
        <v>5.9277158695416256E-2</v>
      </c>
      <c r="AA632" s="27">
        <f t="shared" si="137"/>
        <v>5.9947148531465801E-2</v>
      </c>
      <c r="AB632" s="27">
        <f t="shared" si="137"/>
        <v>6.0928552165899576E-2</v>
      </c>
      <c r="AC632" s="27">
        <f t="shared" si="137"/>
        <v>6.2193652488770283E-2</v>
      </c>
      <c r="AD632" s="27">
        <f t="shared" si="137"/>
        <v>6.3075674200886653E-2</v>
      </c>
      <c r="AE632" s="27">
        <f t="shared" si="137"/>
        <v>6.4061887782297905E-2</v>
      </c>
      <c r="AF632" s="27">
        <f t="shared" si="137"/>
        <v>6.5077970895866852E-2</v>
      </c>
      <c r="AG632" s="27">
        <f t="shared" si="137"/>
        <v>6.6146494654198057E-2</v>
      </c>
      <c r="AH632" s="27">
        <f t="shared" si="137"/>
        <v>6.7231022690612471E-2</v>
      </c>
      <c r="AI632" s="27">
        <f t="shared" si="137"/>
        <v>6.8221389504630262E-2</v>
      </c>
      <c r="AJ632" s="27">
        <f t="shared" si="137"/>
        <v>6.9266044730455056E-2</v>
      </c>
      <c r="AK632" s="27">
        <f t="shared" si="137"/>
        <v>7.026339809516019E-2</v>
      </c>
      <c r="AL632" s="27">
        <f t="shared" si="137"/>
        <v>7.1203841200544876E-2</v>
      </c>
      <c r="AM632" s="27">
        <f t="shared" si="137"/>
        <v>7.2127574541732534E-2</v>
      </c>
      <c r="AN632" s="27">
        <f t="shared" si="137"/>
        <v>7.3300576089579794E-2</v>
      </c>
      <c r="AO632" s="27">
        <f t="shared" si="137"/>
        <v>7.4513823237729482E-2</v>
      </c>
      <c r="AP632" s="27">
        <f t="shared" si="137"/>
        <v>7.5811406745023818E-2</v>
      </c>
      <c r="AQ632" s="27">
        <f t="shared" si="137"/>
        <v>7.7103941782015115E-2</v>
      </c>
      <c r="AR632" s="27">
        <f t="shared" si="137"/>
        <v>7.8393105982004302E-2</v>
      </c>
      <c r="AS632" s="27">
        <f t="shared" si="137"/>
        <v>7.9763623322175625E-2</v>
      </c>
      <c r="AT632" s="27">
        <f t="shared" si="137"/>
        <v>8.1180007651315583E-2</v>
      </c>
      <c r="AU632" s="27">
        <f t="shared" si="137"/>
        <v>8.2617633771312649E-2</v>
      </c>
      <c r="AV632" s="27">
        <f t="shared" si="137"/>
        <v>8.4125424997993567E-2</v>
      </c>
      <c r="AW632" s="27">
        <f t="shared" si="137"/>
        <v>8.5389520380178607E-2</v>
      </c>
      <c r="AY632" s="79"/>
      <c r="AZ632" s="79"/>
    </row>
    <row r="633" spans="1:52" x14ac:dyDescent="0.25">
      <c r="A633" s="95" t="str">
        <f t="shared" si="133"/>
        <v>NI Cattle MMCH4</v>
      </c>
      <c r="B633" s="95" t="s">
        <v>968</v>
      </c>
      <c r="C633" s="95" t="s">
        <v>1228</v>
      </c>
      <c r="D633" t="s">
        <v>15</v>
      </c>
      <c r="E633" t="s">
        <v>22</v>
      </c>
      <c r="F633" t="s">
        <v>67</v>
      </c>
      <c r="G633" t="s">
        <v>135</v>
      </c>
      <c r="H633" t="s">
        <v>1226</v>
      </c>
      <c r="I633" t="s">
        <v>121</v>
      </c>
      <c r="J633" t="s">
        <v>286</v>
      </c>
      <c r="K633" s="27">
        <f t="shared" si="135"/>
        <v>0.47107022937833815</v>
      </c>
      <c r="L633" s="27">
        <f t="shared" si="137"/>
        <v>0.48695387967725917</v>
      </c>
      <c r="M633" s="27">
        <f t="shared" si="137"/>
        <v>0.50580611066616787</v>
      </c>
      <c r="N633" s="27">
        <f t="shared" si="137"/>
        <v>0.5198656905589939</v>
      </c>
      <c r="O633" s="27">
        <f t="shared" si="137"/>
        <v>0.53070826286138517</v>
      </c>
      <c r="P633" s="27">
        <f t="shared" si="137"/>
        <v>0.53817886796858128</v>
      </c>
      <c r="Q633" s="27">
        <f t="shared" si="137"/>
        <v>0.54837935702304741</v>
      </c>
      <c r="R633" s="27">
        <f t="shared" si="137"/>
        <v>0.55907244781022658</v>
      </c>
      <c r="S633" s="27">
        <f t="shared" si="137"/>
        <v>0.51940277612263608</v>
      </c>
      <c r="T633" s="27">
        <f t="shared" si="137"/>
        <v>0.55734768073083851</v>
      </c>
      <c r="U633" s="27">
        <f t="shared" si="137"/>
        <v>0.57960474973304943</v>
      </c>
      <c r="V633" s="27">
        <f t="shared" si="137"/>
        <v>0.58919613300783547</v>
      </c>
      <c r="W633" s="27">
        <f t="shared" si="137"/>
        <v>0.59952169359823548</v>
      </c>
      <c r="X633" s="27">
        <f t="shared" si="137"/>
        <v>0.61349330548493453</v>
      </c>
      <c r="Y633" s="27">
        <f t="shared" si="137"/>
        <v>0.63110337066637079</v>
      </c>
      <c r="Z633" s="27">
        <f t="shared" si="137"/>
        <v>0.65064008423990027</v>
      </c>
      <c r="AA633" s="27">
        <f t="shared" si="137"/>
        <v>0.67266194335256146</v>
      </c>
      <c r="AB633" s="27">
        <f t="shared" si="137"/>
        <v>0.69879229877984206</v>
      </c>
      <c r="AC633" s="27">
        <f t="shared" si="137"/>
        <v>0.72895809146559021</v>
      </c>
      <c r="AD633" s="27">
        <f t="shared" si="137"/>
        <v>0.76381313429213382</v>
      </c>
      <c r="AE633" s="27">
        <f t="shared" si="137"/>
        <v>0.80153113832193645</v>
      </c>
      <c r="AF633" s="27">
        <f t="shared" si="137"/>
        <v>0.84136759742134326</v>
      </c>
      <c r="AG633" s="27">
        <f t="shared" si="137"/>
        <v>0.88375975405626439</v>
      </c>
      <c r="AH633" s="27">
        <f t="shared" si="137"/>
        <v>0.92838040456636217</v>
      </c>
      <c r="AI633" s="27">
        <f t="shared" si="137"/>
        <v>0.97379529022362832</v>
      </c>
      <c r="AJ633" s="27">
        <f t="shared" si="137"/>
        <v>1.0221841318210139</v>
      </c>
      <c r="AK633" s="27">
        <f t="shared" si="137"/>
        <v>1.072208285270027</v>
      </c>
      <c r="AL633" s="27">
        <f t="shared" si="137"/>
        <v>1.123785168211771</v>
      </c>
      <c r="AM633" s="27">
        <f t="shared" si="137"/>
        <v>1.1776298462289758</v>
      </c>
      <c r="AN633" s="27">
        <f t="shared" si="137"/>
        <v>1.2305489615866252</v>
      </c>
      <c r="AO633" s="27">
        <f t="shared" si="137"/>
        <v>1.2863335234294737</v>
      </c>
      <c r="AP633" s="27">
        <f t="shared" si="137"/>
        <v>1.3459319381262367</v>
      </c>
      <c r="AQ633" s="27">
        <f t="shared" si="137"/>
        <v>1.4079553802544587</v>
      </c>
      <c r="AR633" s="27">
        <f t="shared" si="137"/>
        <v>1.4725543863966755</v>
      </c>
      <c r="AS633" s="27">
        <f t="shared" si="137"/>
        <v>1.5414959451453387</v>
      </c>
      <c r="AT633" s="27">
        <f t="shared" si="137"/>
        <v>1.6143551492479555</v>
      </c>
      <c r="AU633" s="27">
        <f t="shared" si="137"/>
        <v>1.6908665423569276</v>
      </c>
      <c r="AV633" s="27">
        <f t="shared" si="137"/>
        <v>1.7722717243433437</v>
      </c>
      <c r="AW633" s="27">
        <f t="shared" si="137"/>
        <v>1.852080501247541</v>
      </c>
      <c r="AY633" s="79"/>
      <c r="AZ633" s="79"/>
    </row>
    <row r="634" spans="1:52" x14ac:dyDescent="0.25">
      <c r="A634" s="95" t="str">
        <f t="shared" si="133"/>
        <v>NI Sheep MMCH4</v>
      </c>
      <c r="B634" s="95" t="s">
        <v>968</v>
      </c>
      <c r="C634" s="95" t="s">
        <v>1323</v>
      </c>
      <c r="D634" t="s">
        <v>15</v>
      </c>
      <c r="E634" t="s">
        <v>22</v>
      </c>
      <c r="F634" t="s">
        <v>18</v>
      </c>
      <c r="G634" t="s">
        <v>122</v>
      </c>
      <c r="H634" t="s">
        <v>1226</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3.6577867645106926E-2</v>
      </c>
      <c r="T634" s="27">
        <f t="shared" si="137"/>
        <v>3.6604195637780168E-2</v>
      </c>
      <c r="U634" s="27">
        <f t="shared" si="137"/>
        <v>3.6594939276300961E-2</v>
      </c>
      <c r="V634" s="27">
        <f t="shared" si="137"/>
        <v>3.6594272892103465E-2</v>
      </c>
      <c r="W634" s="27">
        <f t="shared" si="137"/>
        <v>3.663308878376182E-2</v>
      </c>
      <c r="X634" s="27">
        <f t="shared" si="137"/>
        <v>3.66966145669788E-2</v>
      </c>
      <c r="Y634" s="27">
        <f t="shared" si="137"/>
        <v>3.6757568260761757E-2</v>
      </c>
      <c r="Z634" s="27">
        <f t="shared" si="137"/>
        <v>3.6816146514376355E-2</v>
      </c>
      <c r="AA634" s="27">
        <f t="shared" si="137"/>
        <v>3.6872269383598041E-2</v>
      </c>
      <c r="AB634" s="27">
        <f t="shared" si="137"/>
        <v>3.6927106456158189E-2</v>
      </c>
      <c r="AC634" s="27">
        <f t="shared" si="137"/>
        <v>3.6981458757835407E-2</v>
      </c>
      <c r="AD634" s="27">
        <f t="shared" si="137"/>
        <v>3.7034780933234084E-2</v>
      </c>
      <c r="AE634" s="27">
        <f t="shared" si="137"/>
        <v>3.7087839668251105E-2</v>
      </c>
      <c r="AF634" s="27">
        <f t="shared" ref="L634:AW641" si="138">AF1399</f>
        <v>3.7140467817616069E-2</v>
      </c>
      <c r="AG634" s="27">
        <f t="shared" si="138"/>
        <v>3.7192243691518308E-2</v>
      </c>
      <c r="AH634" s="27">
        <f t="shared" si="138"/>
        <v>3.7243395244831647E-2</v>
      </c>
      <c r="AI634" s="27">
        <f t="shared" si="138"/>
        <v>3.7293977063567109E-2</v>
      </c>
      <c r="AJ634" s="27">
        <f t="shared" si="138"/>
        <v>3.7344160870083701E-2</v>
      </c>
      <c r="AK634" s="27">
        <f t="shared" si="138"/>
        <v>3.7392411139770994E-2</v>
      </c>
      <c r="AL634" s="27">
        <f t="shared" si="138"/>
        <v>3.743867142078007E-2</v>
      </c>
      <c r="AM634" s="27">
        <f t="shared" si="138"/>
        <v>3.7483374065557115E-2</v>
      </c>
      <c r="AN634" s="27">
        <f t="shared" si="138"/>
        <v>3.7526174858995696E-2</v>
      </c>
      <c r="AO634" s="27">
        <f t="shared" si="138"/>
        <v>3.7567151445085212E-2</v>
      </c>
      <c r="AP634" s="27">
        <f t="shared" si="138"/>
        <v>3.7606119264532091E-2</v>
      </c>
      <c r="AQ634" s="27">
        <f t="shared" si="138"/>
        <v>3.7642520684787982E-2</v>
      </c>
      <c r="AR634" s="27">
        <f t="shared" si="138"/>
        <v>3.7675838960014932E-2</v>
      </c>
      <c r="AS634" s="27">
        <f t="shared" si="138"/>
        <v>3.7706040429411586E-2</v>
      </c>
      <c r="AT634" s="27">
        <f t="shared" si="138"/>
        <v>3.7732893978113372E-2</v>
      </c>
      <c r="AU634" s="27">
        <f t="shared" si="138"/>
        <v>3.7756386655025911E-2</v>
      </c>
      <c r="AV634" s="27">
        <f t="shared" si="138"/>
        <v>3.7776968038330937E-2</v>
      </c>
      <c r="AW634" s="27">
        <f t="shared" si="138"/>
        <v>3.7791964878546927E-2</v>
      </c>
      <c r="AY634" s="79"/>
      <c r="AZ634" s="79"/>
    </row>
    <row r="635" spans="1:52" x14ac:dyDescent="0.25">
      <c r="A635" s="95" t="str">
        <f t="shared" si="133"/>
        <v>NI Sheep MMCH4</v>
      </c>
      <c r="B635" s="95" t="s">
        <v>968</v>
      </c>
      <c r="C635" s="95" t="s">
        <v>1323</v>
      </c>
      <c r="D635" t="s">
        <v>15</v>
      </c>
      <c r="E635" t="s">
        <v>22</v>
      </c>
      <c r="F635" t="s">
        <v>18</v>
      </c>
      <c r="G635" t="s">
        <v>123</v>
      </c>
      <c r="H635" t="s">
        <v>1226</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4.1773668344855536E-3</v>
      </c>
      <c r="T635" s="27">
        <f t="shared" si="138"/>
        <v>4.1803736167419408E-3</v>
      </c>
      <c r="U635" s="27">
        <f t="shared" si="138"/>
        <v>4.1793164961403135E-3</v>
      </c>
      <c r="V635" s="27">
        <f t="shared" si="138"/>
        <v>4.1792403918886204E-3</v>
      </c>
      <c r="W635" s="27">
        <f t="shared" si="138"/>
        <v>4.1836733517330218E-3</v>
      </c>
      <c r="X635" s="27">
        <f t="shared" si="138"/>
        <v>4.190928298973798E-3</v>
      </c>
      <c r="Y635" s="27">
        <f t="shared" si="138"/>
        <v>4.197889501341273E-3</v>
      </c>
      <c r="Z635" s="27">
        <f t="shared" si="138"/>
        <v>4.204579417118921E-3</v>
      </c>
      <c r="AA635" s="27">
        <f t="shared" si="138"/>
        <v>4.2109889162952416E-3</v>
      </c>
      <c r="AB635" s="27">
        <f t="shared" si="138"/>
        <v>4.2172515713640264E-3</v>
      </c>
      <c r="AC635" s="27">
        <f t="shared" si="138"/>
        <v>4.2234588632873099E-3</v>
      </c>
      <c r="AD635" s="27">
        <f t="shared" si="138"/>
        <v>4.2295485098794577E-3</v>
      </c>
      <c r="AE635" s="27">
        <f t="shared" si="138"/>
        <v>4.2356080703243246E-3</v>
      </c>
      <c r="AF635" s="27">
        <f t="shared" si="138"/>
        <v>4.2416184558353278E-3</v>
      </c>
      <c r="AG635" s="27">
        <f t="shared" si="138"/>
        <v>4.247531507426093E-3</v>
      </c>
      <c r="AH635" s="27">
        <f t="shared" si="138"/>
        <v>4.2533732586297656E-3</v>
      </c>
      <c r="AI635" s="27">
        <f t="shared" si="138"/>
        <v>4.2591499434289888E-3</v>
      </c>
      <c r="AJ635" s="27">
        <f t="shared" si="138"/>
        <v>4.2648811733356808E-3</v>
      </c>
      <c r="AK635" s="27">
        <f t="shared" si="138"/>
        <v>4.2703915841202098E-3</v>
      </c>
      <c r="AL635" s="27">
        <f t="shared" si="138"/>
        <v>4.2756747287123493E-3</v>
      </c>
      <c r="AM635" s="27">
        <f t="shared" si="138"/>
        <v>4.2807799838222773E-3</v>
      </c>
      <c r="AN635" s="27">
        <f t="shared" si="138"/>
        <v>4.2856680384441249E-3</v>
      </c>
      <c r="AO635" s="27">
        <f t="shared" si="138"/>
        <v>4.2903477598915749E-3</v>
      </c>
      <c r="AP635" s="27">
        <f t="shared" si="138"/>
        <v>4.2947980706135938E-3</v>
      </c>
      <c r="AQ635" s="27">
        <f t="shared" si="138"/>
        <v>4.2989552863151904E-3</v>
      </c>
      <c r="AR635" s="27">
        <f t="shared" si="138"/>
        <v>4.3027603921585852E-3</v>
      </c>
      <c r="AS635" s="27">
        <f t="shared" si="138"/>
        <v>4.3062095439198199E-3</v>
      </c>
      <c r="AT635" s="27">
        <f t="shared" si="138"/>
        <v>4.3092763471797441E-3</v>
      </c>
      <c r="AU635" s="27">
        <f t="shared" si="138"/>
        <v>4.3119593228616469E-3</v>
      </c>
      <c r="AV635" s="27">
        <f t="shared" si="138"/>
        <v>4.3143098149368113E-3</v>
      </c>
      <c r="AW635" s="27">
        <f t="shared" si="138"/>
        <v>4.3160225255723297E-3</v>
      </c>
      <c r="AY635" s="79"/>
      <c r="AZ635" s="79"/>
    </row>
    <row r="636" spans="1:52" x14ac:dyDescent="0.25">
      <c r="A636" s="95" t="str">
        <f t="shared" si="133"/>
        <v>NI Goats MMCH4</v>
      </c>
      <c r="B636" s="95" t="s">
        <v>968</v>
      </c>
      <c r="C636" s="95" t="s">
        <v>1324</v>
      </c>
      <c r="D636" t="s">
        <v>15</v>
      </c>
      <c r="E636" t="s">
        <v>22</v>
      </c>
      <c r="F636" t="s">
        <v>19</v>
      </c>
      <c r="G636" t="s">
        <v>122</v>
      </c>
      <c r="H636" t="s">
        <v>1226</v>
      </c>
      <c r="I636" t="s">
        <v>121</v>
      </c>
      <c r="J636" t="s">
        <v>286</v>
      </c>
      <c r="K636" s="27">
        <f t="shared" si="135"/>
        <v>1.5789672763163298E-2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1.623065478441902E-2</v>
      </c>
      <c r="R636" s="27">
        <f t="shared" si="138"/>
        <v>1.6337439810579345E-2</v>
      </c>
      <c r="S636" s="27">
        <f t="shared" si="138"/>
        <v>1.6297380650984187E-2</v>
      </c>
      <c r="T636" s="27">
        <f t="shared" si="138"/>
        <v>1.6325395863941383E-2</v>
      </c>
      <c r="U636" s="27">
        <f t="shared" si="138"/>
        <v>1.6328114418990985E-2</v>
      </c>
      <c r="V636" s="27">
        <f t="shared" si="138"/>
        <v>1.6335588711282864E-2</v>
      </c>
      <c r="W636" s="27">
        <f t="shared" si="138"/>
        <v>1.6368634589950044E-2</v>
      </c>
      <c r="X636" s="27">
        <f t="shared" si="138"/>
        <v>1.641724322972727E-2</v>
      </c>
      <c r="Y636" s="27">
        <f t="shared" si="138"/>
        <v>1.6463127220508685E-2</v>
      </c>
      <c r="Z636" s="27">
        <f t="shared" si="138"/>
        <v>1.6506502302245762E-2</v>
      </c>
      <c r="AA636" s="27">
        <f t="shared" si="138"/>
        <v>1.6547390676749981E-2</v>
      </c>
      <c r="AB636" s="27">
        <f t="shared" si="138"/>
        <v>1.6586638401151873E-2</v>
      </c>
      <c r="AC636" s="27">
        <f t="shared" si="138"/>
        <v>1.6624834346576634E-2</v>
      </c>
      <c r="AD636" s="27">
        <f t="shared" si="138"/>
        <v>1.6661666671952648E-2</v>
      </c>
      <c r="AE636" s="27">
        <f t="shared" si="138"/>
        <v>1.669768859843657E-2</v>
      </c>
      <c r="AF636" s="27">
        <f t="shared" si="138"/>
        <v>1.6732829718107738E-2</v>
      </c>
      <c r="AG636" s="27">
        <f t="shared" si="138"/>
        <v>1.6766849576183976E-2</v>
      </c>
      <c r="AH636" s="27">
        <f t="shared" si="138"/>
        <v>1.6799933327571178E-2</v>
      </c>
      <c r="AI636" s="27">
        <f t="shared" si="138"/>
        <v>1.6832148555186801E-2</v>
      </c>
      <c r="AJ636" s="27">
        <f t="shared" si="138"/>
        <v>1.6863636706256461E-2</v>
      </c>
      <c r="AK636" s="27">
        <f t="shared" si="138"/>
        <v>1.6893421474693429E-2</v>
      </c>
      <c r="AL636" s="27">
        <f t="shared" si="138"/>
        <v>1.6921495820142095E-2</v>
      </c>
      <c r="AM636" s="27">
        <f t="shared" si="138"/>
        <v>1.6948169002433171E-2</v>
      </c>
      <c r="AN636" s="27">
        <f t="shared" si="138"/>
        <v>1.6973242190360595E-2</v>
      </c>
      <c r="AO636" s="27">
        <f t="shared" si="138"/>
        <v>1.699679001880551E-2</v>
      </c>
      <c r="AP636" s="27">
        <f t="shared" si="138"/>
        <v>1.701871561452447E-2</v>
      </c>
      <c r="AQ636" s="27">
        <f t="shared" si="138"/>
        <v>1.7038680545756732E-2</v>
      </c>
      <c r="AR636" s="27">
        <f t="shared" si="138"/>
        <v>1.7056373927880512E-2</v>
      </c>
      <c r="AS636" s="27">
        <f t="shared" si="138"/>
        <v>1.7071796968078184E-2</v>
      </c>
      <c r="AT636" s="27">
        <f t="shared" si="138"/>
        <v>1.7084822941521471E-2</v>
      </c>
      <c r="AU636" s="27">
        <f t="shared" si="138"/>
        <v>1.7095465059373528E-2</v>
      </c>
      <c r="AV636" s="27">
        <f t="shared" si="138"/>
        <v>1.7104031992328298E-2</v>
      </c>
      <c r="AW636" s="27">
        <f t="shared" si="138"/>
        <v>1.7108831686205268E-2</v>
      </c>
      <c r="AY636" s="79"/>
      <c r="AZ636" s="79"/>
    </row>
    <row r="637" spans="1:52" x14ac:dyDescent="0.25">
      <c r="A637" s="95" t="str">
        <f t="shared" si="133"/>
        <v>NI Goats MMCH4</v>
      </c>
      <c r="B637" s="95" t="s">
        <v>968</v>
      </c>
      <c r="C637" s="95" t="s">
        <v>1324</v>
      </c>
      <c r="D637" t="s">
        <v>15</v>
      </c>
      <c r="E637" t="s">
        <v>22</v>
      </c>
      <c r="F637" t="s">
        <v>19</v>
      </c>
      <c r="G637" t="s">
        <v>123</v>
      </c>
      <c r="H637" t="s">
        <v>1226</v>
      </c>
      <c r="I637" t="s">
        <v>121</v>
      </c>
      <c r="J637" t="s">
        <v>286</v>
      </c>
      <c r="K637" s="27">
        <f t="shared" si="135"/>
        <v>2.6592218800664796E-2</v>
      </c>
      <c r="L637" s="27">
        <f t="shared" si="138"/>
        <v>2.6661345733624896E-2</v>
      </c>
      <c r="M637" s="27">
        <f t="shared" si="138"/>
        <v>2.6756703894783639E-2</v>
      </c>
      <c r="N637" s="27">
        <f t="shared" si="138"/>
        <v>2.6872875319249701E-2</v>
      </c>
      <c r="O637" s="27">
        <f t="shared" si="138"/>
        <v>2.7009694315810229E-2</v>
      </c>
      <c r="P637" s="27">
        <f t="shared" si="138"/>
        <v>2.7166328132291764E-2</v>
      </c>
      <c r="Q637" s="27">
        <f t="shared" si="138"/>
        <v>2.7334899828466049E-2</v>
      </c>
      <c r="R637" s="27">
        <f t="shared" si="138"/>
        <v>2.7514742110372921E-2</v>
      </c>
      <c r="S637" s="27">
        <f t="shared" si="138"/>
        <v>2.7447276371664872E-2</v>
      </c>
      <c r="T637" s="27">
        <f t="shared" si="138"/>
        <v>2.7494458266051122E-2</v>
      </c>
      <c r="U637" s="27">
        <f t="shared" si="138"/>
        <v>2.7499036727668718E-2</v>
      </c>
      <c r="V637" s="27">
        <f t="shared" si="138"/>
        <v>2.7511624576637288E-2</v>
      </c>
      <c r="W637" s="27">
        <f t="shared" si="138"/>
        <v>2.7567278879874528E-2</v>
      </c>
      <c r="X637" s="27">
        <f t="shared" si="138"/>
        <v>2.7649143248056639E-2</v>
      </c>
      <c r="Y637" s="27">
        <f t="shared" si="138"/>
        <v>2.7726418891485655E-2</v>
      </c>
      <c r="Z637" s="27">
        <f t="shared" si="138"/>
        <v>2.7799469149166745E-2</v>
      </c>
      <c r="AA637" s="27">
        <f t="shared" si="138"/>
        <v>2.7868331412338937E-2</v>
      </c>
      <c r="AB637" s="27">
        <f t="shared" si="138"/>
        <v>2.7934430570337832E-2</v>
      </c>
      <c r="AC637" s="27">
        <f t="shared" si="138"/>
        <v>2.7998758372013564E-2</v>
      </c>
      <c r="AD637" s="27">
        <f t="shared" si="138"/>
        <v>2.8060789629407407E-2</v>
      </c>
      <c r="AE637" s="27">
        <f t="shared" si="138"/>
        <v>2.8121456051381433E-2</v>
      </c>
      <c r="AF637" s="27">
        <f t="shared" si="138"/>
        <v>2.8180639060251388E-2</v>
      </c>
      <c r="AG637" s="27">
        <f t="shared" si="138"/>
        <v>2.8237933693465157E-2</v>
      </c>
      <c r="AH637" s="27">
        <f t="shared" si="138"/>
        <v>2.8293651780143172E-2</v>
      </c>
      <c r="AI637" s="27">
        <f t="shared" si="138"/>
        <v>2.8347907140233115E-2</v>
      </c>
      <c r="AJ637" s="27">
        <f t="shared" si="138"/>
        <v>2.8400937992451046E-2</v>
      </c>
      <c r="AK637" s="27">
        <f t="shared" si="138"/>
        <v>2.845110008834013E-2</v>
      </c>
      <c r="AL637" s="27">
        <f t="shared" si="138"/>
        <v>2.8498381570866985E-2</v>
      </c>
      <c r="AM637" s="27">
        <f t="shared" si="138"/>
        <v>2.8543303280786723E-2</v>
      </c>
      <c r="AN637" s="27">
        <f t="shared" si="138"/>
        <v>2.8585530356002101E-2</v>
      </c>
      <c r="AO637" s="27">
        <f t="shared" si="138"/>
        <v>2.8625188493043956E-2</v>
      </c>
      <c r="AP637" s="27">
        <f t="shared" si="138"/>
        <v>2.8662114542585253E-2</v>
      </c>
      <c r="AQ637" s="27">
        <f t="shared" si="138"/>
        <v>2.8695738533888428E-2</v>
      </c>
      <c r="AR637" s="27">
        <f t="shared" si="138"/>
        <v>2.8725536889802242E-2</v>
      </c>
      <c r="AS637" s="27">
        <f t="shared" si="138"/>
        <v>2.8751511643406051E-2</v>
      </c>
      <c r="AT637" s="27">
        <f t="shared" si="138"/>
        <v>2.8773449370747915E-2</v>
      </c>
      <c r="AU637" s="27">
        <f t="shared" si="138"/>
        <v>2.8791372321442913E-2</v>
      </c>
      <c r="AV637" s="27">
        <f t="shared" si="138"/>
        <v>2.8805800344049892E-2</v>
      </c>
      <c r="AW637" s="27">
        <f t="shared" si="138"/>
        <v>2.8813883761082477E-2</v>
      </c>
      <c r="AY637" s="79"/>
      <c r="AZ637" s="79"/>
    </row>
    <row r="638" spans="1:52" x14ac:dyDescent="0.25">
      <c r="A638" s="95" t="str">
        <f t="shared" si="133"/>
        <v>NI Horses MMCH4</v>
      </c>
      <c r="B638" s="95" t="s">
        <v>968</v>
      </c>
      <c r="C638" s="95" t="s">
        <v>1325</v>
      </c>
      <c r="D638" t="s">
        <v>15</v>
      </c>
      <c r="E638" t="s">
        <v>22</v>
      </c>
      <c r="F638" t="s">
        <v>20</v>
      </c>
      <c r="G638" t="s">
        <v>3</v>
      </c>
      <c r="H638" t="s">
        <v>1226</v>
      </c>
      <c r="I638" t="s">
        <v>121</v>
      </c>
      <c r="J638" t="s">
        <v>286</v>
      </c>
      <c r="K638" s="27">
        <f t="shared" si="135"/>
        <v>4.1336182129460544E-3</v>
      </c>
      <c r="L638" s="27">
        <f t="shared" si="138"/>
        <v>4.1536453250924079E-3</v>
      </c>
      <c r="M638" s="27">
        <f t="shared" si="138"/>
        <v>4.1840370126470525E-3</v>
      </c>
      <c r="N638" s="27">
        <f t="shared" si="138"/>
        <v>4.1905340987284569E-3</v>
      </c>
      <c r="O638" s="27">
        <f t="shared" si="138"/>
        <v>4.1812329246154589E-3</v>
      </c>
      <c r="P638" s="27">
        <f t="shared" si="138"/>
        <v>4.1564738854214548E-3</v>
      </c>
      <c r="Q638" s="27">
        <f t="shared" si="138"/>
        <v>4.1427460620707141E-3</v>
      </c>
      <c r="R638" s="27">
        <f t="shared" si="138"/>
        <v>4.130408792135833E-3</v>
      </c>
      <c r="S638" s="27">
        <f t="shared" si="138"/>
        <v>3.9434601312185527E-3</v>
      </c>
      <c r="T638" s="27">
        <f t="shared" si="138"/>
        <v>4.0605746122765228E-3</v>
      </c>
      <c r="U638" s="27">
        <f t="shared" si="138"/>
        <v>4.1189841670463273E-3</v>
      </c>
      <c r="V638" s="27">
        <f t="shared" si="138"/>
        <v>4.1278057101270405E-3</v>
      </c>
      <c r="W638" s="27">
        <f t="shared" si="138"/>
        <v>4.1355671321311174E-3</v>
      </c>
      <c r="X638" s="27">
        <f t="shared" si="138"/>
        <v>4.1543998592115791E-3</v>
      </c>
      <c r="Y638" s="27">
        <f t="shared" si="138"/>
        <v>4.1865458304734694E-3</v>
      </c>
      <c r="Z638" s="27">
        <f t="shared" si="138"/>
        <v>4.2253320128085251E-3</v>
      </c>
      <c r="AA638" s="27">
        <f t="shared" si="138"/>
        <v>4.272518274488683E-3</v>
      </c>
      <c r="AB638" s="27">
        <f t="shared" si="138"/>
        <v>4.3334009221617396E-3</v>
      </c>
      <c r="AC638" s="27">
        <f t="shared" si="138"/>
        <v>4.4071847194853781E-3</v>
      </c>
      <c r="AD638" s="27">
        <f t="shared" si="138"/>
        <v>4.4888905161837847E-3</v>
      </c>
      <c r="AE638" s="27">
        <f t="shared" si="138"/>
        <v>4.5781841431122572E-3</v>
      </c>
      <c r="AF638" s="27">
        <f t="shared" si="138"/>
        <v>4.6723057323312554E-3</v>
      </c>
      <c r="AG638" s="27">
        <f t="shared" si="138"/>
        <v>4.7725702352352153E-3</v>
      </c>
      <c r="AH638" s="27">
        <f t="shared" si="138"/>
        <v>4.8776647477587476E-3</v>
      </c>
      <c r="AI638" s="27">
        <f t="shared" si="138"/>
        <v>4.9827957618803235E-3</v>
      </c>
      <c r="AJ638" s="27">
        <f t="shared" si="138"/>
        <v>5.0948794457102743E-3</v>
      </c>
      <c r="AK638" s="27">
        <f t="shared" si="138"/>
        <v>5.2096806373507004E-3</v>
      </c>
      <c r="AL638" s="27">
        <f t="shared" si="138"/>
        <v>5.326887127790998E-3</v>
      </c>
      <c r="AM638" s="27">
        <f t="shared" si="138"/>
        <v>5.4485848360062324E-3</v>
      </c>
      <c r="AN638" s="27">
        <f t="shared" si="138"/>
        <v>5.5696508386077004E-3</v>
      </c>
      <c r="AO638" s="27">
        <f t="shared" si="138"/>
        <v>5.6973052536603251E-3</v>
      </c>
      <c r="AP638" s="27">
        <f t="shared" si="138"/>
        <v>5.8342669505017037E-3</v>
      </c>
      <c r="AQ638" s="27">
        <f t="shared" si="138"/>
        <v>5.9763033014494302E-3</v>
      </c>
      <c r="AR638" s="27">
        <f t="shared" si="138"/>
        <v>6.1238672356661557E-3</v>
      </c>
      <c r="AS638" s="27">
        <f t="shared" si="138"/>
        <v>6.2820427526668306E-3</v>
      </c>
      <c r="AT638" s="27">
        <f t="shared" si="138"/>
        <v>6.4494574929913678E-3</v>
      </c>
      <c r="AU638" s="27">
        <f t="shared" si="138"/>
        <v>6.6252174839876625E-3</v>
      </c>
      <c r="AV638" s="27">
        <f t="shared" si="138"/>
        <v>6.8126704322840365E-3</v>
      </c>
      <c r="AW638" s="27">
        <f t="shared" si="138"/>
        <v>6.9938267919267671E-3</v>
      </c>
      <c r="AY638" s="79"/>
      <c r="AZ638" s="79"/>
    </row>
    <row r="639" spans="1:52" x14ac:dyDescent="0.25">
      <c r="A639" s="95" t="str">
        <f t="shared" si="133"/>
        <v>NI Mules MMCH4</v>
      </c>
      <c r="B639" s="95" t="s">
        <v>968</v>
      </c>
      <c r="C639" s="95" t="s">
        <v>1326</v>
      </c>
      <c r="D639" t="s">
        <v>15</v>
      </c>
      <c r="E639" t="s">
        <v>22</v>
      </c>
      <c r="F639" t="s">
        <v>140</v>
      </c>
      <c r="G639" t="s">
        <v>124</v>
      </c>
      <c r="H639" t="s">
        <v>1226</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5">
      <c r="A640" s="95" t="str">
        <f t="shared" si="133"/>
        <v>NI Swine MMCH4</v>
      </c>
      <c r="B640" s="95" t="s">
        <v>968</v>
      </c>
      <c r="C640" s="95" t="s">
        <v>1229</v>
      </c>
      <c r="D640" t="s">
        <v>15</v>
      </c>
      <c r="E640" t="s">
        <v>22</v>
      </c>
      <c r="F640" t="s">
        <v>21</v>
      </c>
      <c r="G640" t="s">
        <v>122</v>
      </c>
      <c r="H640" t="s">
        <v>1226</v>
      </c>
      <c r="I640" t="s">
        <v>121</v>
      </c>
      <c r="J640" t="s">
        <v>286</v>
      </c>
      <c r="K640" s="27">
        <f t="shared" si="135"/>
        <v>23.279067868377393</v>
      </c>
      <c r="L640" s="27">
        <f t="shared" si="138"/>
        <v>23.152530650802596</v>
      </c>
      <c r="M640" s="27">
        <f t="shared" si="138"/>
        <v>23.1629164330643</v>
      </c>
      <c r="N640" s="27">
        <f t="shared" si="138"/>
        <v>22.950263110497293</v>
      </c>
      <c r="O640" s="27">
        <f t="shared" si="138"/>
        <v>22.60295118682059</v>
      </c>
      <c r="P640" s="27">
        <f t="shared" si="138"/>
        <v>22.12653281137495</v>
      </c>
      <c r="Q640" s="27">
        <f t="shared" si="138"/>
        <v>21.780600237355966</v>
      </c>
      <c r="R640" s="27">
        <f t="shared" si="138"/>
        <v>21.465278056857684</v>
      </c>
      <c r="S640" s="27">
        <f t="shared" si="138"/>
        <v>19.28268372841509</v>
      </c>
      <c r="T640" s="27">
        <f t="shared" si="138"/>
        <v>20.154045022941879</v>
      </c>
      <c r="U640" s="27">
        <f t="shared" si="138"/>
        <v>20.417483741296842</v>
      </c>
      <c r="V640" s="27">
        <f t="shared" si="138"/>
        <v>20.215982998578138</v>
      </c>
      <c r="W640" s="27">
        <f t="shared" si="138"/>
        <v>20.038764166788877</v>
      </c>
      <c r="X640" s="27">
        <f t="shared" si="138"/>
        <v>19.983994613990216</v>
      </c>
      <c r="Y640" s="27">
        <f t="shared" si="138"/>
        <v>20.046915484009698</v>
      </c>
      <c r="Z640" s="27">
        <f t="shared" si="138"/>
        <v>20.164111817793334</v>
      </c>
      <c r="AA640" s="27">
        <f t="shared" si="138"/>
        <v>20.348954154275784</v>
      </c>
      <c r="AB640" s="27">
        <f t="shared" si="138"/>
        <v>20.645885200839494</v>
      </c>
      <c r="AC640" s="27">
        <f t="shared" si="138"/>
        <v>21.044537894059989</v>
      </c>
      <c r="AD640" s="27">
        <f t="shared" si="138"/>
        <v>21.498264632191113</v>
      </c>
      <c r="AE640" s="27">
        <f t="shared" si="138"/>
        <v>22.002561256053959</v>
      </c>
      <c r="AF640" s="27">
        <f t="shared" si="138"/>
        <v>22.532202643318037</v>
      </c>
      <c r="AG640" s="27">
        <f t="shared" si="138"/>
        <v>23.096284889499795</v>
      </c>
      <c r="AH640" s="27">
        <f t="shared" si="138"/>
        <v>23.682649825738739</v>
      </c>
      <c r="AI640" s="27">
        <f t="shared" si="138"/>
        <v>24.251675615546215</v>
      </c>
      <c r="AJ640" s="27">
        <f t="shared" si="138"/>
        <v>24.858335489218973</v>
      </c>
      <c r="AK640" s="27">
        <f t="shared" si="138"/>
        <v>25.466205387661859</v>
      </c>
      <c r="AL640" s="27">
        <f t="shared" si="138"/>
        <v>26.072093806701385</v>
      </c>
      <c r="AM640" s="27">
        <f t="shared" si="138"/>
        <v>26.691678242844393</v>
      </c>
      <c r="AN640" s="27">
        <f t="shared" si="138"/>
        <v>27.284891345865745</v>
      </c>
      <c r="AO640" s="27">
        <f t="shared" si="138"/>
        <v>27.905654237830884</v>
      </c>
      <c r="AP640" s="27">
        <f t="shared" si="138"/>
        <v>28.571861719635045</v>
      </c>
      <c r="AQ640" s="27">
        <f t="shared" si="138"/>
        <v>29.249712050194997</v>
      </c>
      <c r="AR640" s="27">
        <f t="shared" si="138"/>
        <v>29.940451406740536</v>
      </c>
      <c r="AS640" s="27">
        <f t="shared" si="138"/>
        <v>30.678211789307159</v>
      </c>
      <c r="AT640" s="27">
        <f t="shared" si="138"/>
        <v>31.450149667179016</v>
      </c>
      <c r="AU640" s="27">
        <f t="shared" si="138"/>
        <v>32.247465982700263</v>
      </c>
      <c r="AV640" s="27">
        <f t="shared" si="138"/>
        <v>33.090843547510339</v>
      </c>
      <c r="AW640" s="27">
        <f t="shared" si="138"/>
        <v>33.85425291015099</v>
      </c>
      <c r="AY640" s="79"/>
      <c r="AZ640" s="79"/>
    </row>
    <row r="641" spans="1:52" x14ac:dyDescent="0.25">
      <c r="A641" s="95" t="str">
        <f t="shared" si="133"/>
        <v>NI Swine MMCH4</v>
      </c>
      <c r="B641" s="95" t="s">
        <v>968</v>
      </c>
      <c r="C641" s="95" t="s">
        <v>1229</v>
      </c>
      <c r="D641" t="s">
        <v>15</v>
      </c>
      <c r="E641" t="s">
        <v>22</v>
      </c>
      <c r="F641" t="s">
        <v>21</v>
      </c>
      <c r="G641" t="s">
        <v>123</v>
      </c>
      <c r="H641" t="s">
        <v>1226</v>
      </c>
      <c r="I641" t="s">
        <v>121</v>
      </c>
      <c r="J641" t="s">
        <v>286</v>
      </c>
      <c r="K641" s="27">
        <f t="shared" si="135"/>
        <v>7.7932061732677776E-2</v>
      </c>
      <c r="L641" s="27">
        <f t="shared" si="138"/>
        <v>7.7508449141861113E-2</v>
      </c>
      <c r="M641" s="27">
        <f t="shared" si="138"/>
        <v>7.7543217949140569E-2</v>
      </c>
      <c r="N641" s="27">
        <f t="shared" si="138"/>
        <v>7.6831311787104603E-2</v>
      </c>
      <c r="O641" s="27">
        <f t="shared" si="138"/>
        <v>7.5668604825231994E-2</v>
      </c>
      <c r="P641" s="27">
        <f t="shared" si="138"/>
        <v>7.4073684167079393E-2</v>
      </c>
      <c r="Q641" s="27">
        <f t="shared" si="138"/>
        <v>7.291559489708703E-2</v>
      </c>
      <c r="R641" s="27">
        <f t="shared" si="138"/>
        <v>7.1859980996426709E-2</v>
      </c>
      <c r="S641" s="27">
        <f t="shared" si="138"/>
        <v>6.455324187339509E-2</v>
      </c>
      <c r="T641" s="27">
        <f t="shared" si="138"/>
        <v>6.7470325262664888E-2</v>
      </c>
      <c r="U641" s="27">
        <f t="shared" ref="L641:AW647" si="139">U1406</f>
        <v>6.8352247278516104E-2</v>
      </c>
      <c r="V641" s="27">
        <f t="shared" si="139"/>
        <v>6.767767695596183E-2</v>
      </c>
      <c r="W641" s="27">
        <f t="shared" si="139"/>
        <v>6.7084395944141104E-2</v>
      </c>
      <c r="X641" s="27">
        <f t="shared" si="139"/>
        <v>6.6901042203608638E-2</v>
      </c>
      <c r="Y641" s="27">
        <f t="shared" si="139"/>
        <v>6.7111684363095322E-2</v>
      </c>
      <c r="Z641" s="27">
        <f t="shared" si="139"/>
        <v>6.7504026185839727E-2</v>
      </c>
      <c r="AA641" s="27">
        <f t="shared" si="139"/>
        <v>6.8122828642149871E-2</v>
      </c>
      <c r="AB641" s="27">
        <f t="shared" si="139"/>
        <v>6.9116873969995066E-2</v>
      </c>
      <c r="AC641" s="27">
        <f t="shared" si="139"/>
        <v>7.0451456027731174E-2</v>
      </c>
      <c r="AD641" s="27">
        <f t="shared" si="139"/>
        <v>7.1970411183742145E-2</v>
      </c>
      <c r="AE641" s="27">
        <f t="shared" si="139"/>
        <v>7.3658660723829941E-2</v>
      </c>
      <c r="AF641" s="27">
        <f t="shared" si="139"/>
        <v>7.5431757719028575E-2</v>
      </c>
      <c r="AG641" s="27">
        <f t="shared" si="139"/>
        <v>7.7320153452066526E-2</v>
      </c>
      <c r="AH641" s="27">
        <f t="shared" si="139"/>
        <v>7.9283145641754912E-2</v>
      </c>
      <c r="AI641" s="27">
        <f t="shared" si="139"/>
        <v>8.1188091030010831E-2</v>
      </c>
      <c r="AJ641" s="27">
        <f t="shared" si="139"/>
        <v>8.3219025214881143E-2</v>
      </c>
      <c r="AK641" s="27">
        <f t="shared" si="139"/>
        <v>8.525401023742317E-2</v>
      </c>
      <c r="AL641" s="27">
        <f t="shared" si="139"/>
        <v>8.7282361799551011E-2</v>
      </c>
      <c r="AM641" s="27">
        <f t="shared" si="139"/>
        <v>8.9356563945406475E-2</v>
      </c>
      <c r="AN641" s="27">
        <f t="shared" si="139"/>
        <v>9.1342481956672425E-2</v>
      </c>
      <c r="AO641" s="27">
        <f t="shared" si="139"/>
        <v>9.3420629255847557E-2</v>
      </c>
      <c r="AP641" s="27">
        <f t="shared" si="139"/>
        <v>9.5650912826147239E-2</v>
      </c>
      <c r="AQ641" s="27">
        <f t="shared" si="139"/>
        <v>9.7920173524444973E-2</v>
      </c>
      <c r="AR641" s="27">
        <f t="shared" si="139"/>
        <v>0.10023258321712952</v>
      </c>
      <c r="AS641" s="27">
        <f t="shared" si="139"/>
        <v>0.1027024066655249</v>
      </c>
      <c r="AT641" s="27">
        <f t="shared" si="139"/>
        <v>0.10528664718117813</v>
      </c>
      <c r="AU641" s="27">
        <f t="shared" si="139"/>
        <v>0.10795584788427327</v>
      </c>
      <c r="AV641" s="27">
        <f t="shared" si="139"/>
        <v>0.11077924926857086</v>
      </c>
      <c r="AW641" s="27">
        <f t="shared" si="139"/>
        <v>0.11333493860772317</v>
      </c>
      <c r="AY641" s="79"/>
      <c r="AZ641" s="79"/>
    </row>
    <row r="642" spans="1:52" x14ac:dyDescent="0.25">
      <c r="A642" s="95" t="str">
        <f t="shared" si="133"/>
        <v>NI Poultry MMCH4</v>
      </c>
      <c r="B642" s="95" t="s">
        <v>968</v>
      </c>
      <c r="C642" s="95" t="s">
        <v>1230</v>
      </c>
      <c r="D642" t="s">
        <v>15</v>
      </c>
      <c r="E642" t="s">
        <v>22</v>
      </c>
      <c r="F642" t="s">
        <v>28</v>
      </c>
      <c r="G642" t="s">
        <v>131</v>
      </c>
      <c r="H642" t="s">
        <v>1226</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0.62068986953889782</v>
      </c>
      <c r="S642" s="27">
        <f t="shared" si="139"/>
        <v>0.59573243019488353</v>
      </c>
      <c r="T642" s="27">
        <f t="shared" si="139"/>
        <v>0.62060528502680601</v>
      </c>
      <c r="U642" s="27">
        <f t="shared" si="139"/>
        <v>0.63538739650332932</v>
      </c>
      <c r="V642" s="27">
        <f t="shared" si="139"/>
        <v>0.64244306993256506</v>
      </c>
      <c r="W642" s="27">
        <f t="shared" si="139"/>
        <v>0.65026805947534316</v>
      </c>
      <c r="X642" s="27">
        <f t="shared" si="139"/>
        <v>0.66047268102504608</v>
      </c>
      <c r="Y642" s="27">
        <f t="shared" si="139"/>
        <v>0.67275642094337218</v>
      </c>
      <c r="Z642" s="27">
        <f t="shared" si="139"/>
        <v>0.68607919631568115</v>
      </c>
      <c r="AA642" s="27">
        <f t="shared" si="139"/>
        <v>0.70076804403320936</v>
      </c>
      <c r="AB642" s="27">
        <f t="shared" si="139"/>
        <v>0.71779554918535993</v>
      </c>
      <c r="AC642" s="27">
        <f t="shared" si="139"/>
        <v>0.73711000301021679</v>
      </c>
      <c r="AD642" s="27">
        <f t="shared" si="139"/>
        <v>0.75788984228274747</v>
      </c>
      <c r="AE642" s="27">
        <f t="shared" si="139"/>
        <v>0.78013180876638377</v>
      </c>
      <c r="AF642" s="27">
        <f t="shared" si="139"/>
        <v>0.80337597870999389</v>
      </c>
      <c r="AG642" s="27">
        <f t="shared" si="139"/>
        <v>0.82785833709156575</v>
      </c>
      <c r="AH642" s="27">
        <f t="shared" si="139"/>
        <v>0.85337321588031811</v>
      </c>
      <c r="AI642" s="27">
        <f t="shared" si="139"/>
        <v>0.87907798873871268</v>
      </c>
      <c r="AJ642" s="27">
        <f t="shared" si="139"/>
        <v>0.90622461339542404</v>
      </c>
      <c r="AK642" s="27">
        <f t="shared" si="139"/>
        <v>0.93400977893113157</v>
      </c>
      <c r="AL642" s="27">
        <f t="shared" si="139"/>
        <v>0.96237643638695936</v>
      </c>
      <c r="AM642" s="27">
        <f t="shared" si="139"/>
        <v>0.99172546365777581</v>
      </c>
      <c r="AN642" s="27">
        <f t="shared" si="139"/>
        <v>1.0211032601995891</v>
      </c>
      <c r="AO642" s="27">
        <f t="shared" si="139"/>
        <v>1.0518470326965137</v>
      </c>
      <c r="AP642" s="27">
        <f t="shared" si="139"/>
        <v>1.0844705032412159</v>
      </c>
      <c r="AQ642" s="27">
        <f t="shared" si="139"/>
        <v>1.1181722864478278</v>
      </c>
      <c r="AR642" s="27">
        <f t="shared" si="139"/>
        <v>1.1530181967657136</v>
      </c>
      <c r="AS642" s="27">
        <f t="shared" si="139"/>
        <v>1.1899731342287589</v>
      </c>
      <c r="AT642" s="27">
        <f t="shared" si="139"/>
        <v>1.2287768115471775</v>
      </c>
      <c r="AU642" s="27">
        <f t="shared" si="139"/>
        <v>1.2692627400827883</v>
      </c>
      <c r="AV642" s="27">
        <f t="shared" si="139"/>
        <v>1.3120972726435587</v>
      </c>
      <c r="AW642" s="27">
        <f t="shared" si="139"/>
        <v>1.3536832016924076</v>
      </c>
      <c r="AY642" s="79"/>
      <c r="AZ642" s="79"/>
    </row>
    <row r="643" spans="1:52" x14ac:dyDescent="0.25">
      <c r="A643" s="95" t="str">
        <f t="shared" si="133"/>
        <v>NI Poultry MMCH4</v>
      </c>
      <c r="B643" s="95" t="s">
        <v>968</v>
      </c>
      <c r="C643" s="95" t="s">
        <v>1230</v>
      </c>
      <c r="D643" t="s">
        <v>15</v>
      </c>
      <c r="E643" t="s">
        <v>22</v>
      </c>
      <c r="F643" t="s">
        <v>28</v>
      </c>
      <c r="G643" t="s">
        <v>132</v>
      </c>
      <c r="H643" t="s">
        <v>1226</v>
      </c>
      <c r="I643" t="s">
        <v>121</v>
      </c>
      <c r="J643" t="s">
        <v>286</v>
      </c>
      <c r="K643" s="27">
        <f t="shared" si="135"/>
        <v>2.2100196981344111</v>
      </c>
      <c r="L643" s="27">
        <f t="shared" si="139"/>
        <v>2.2391217074451477</v>
      </c>
      <c r="M643" s="27">
        <f t="shared" si="139"/>
        <v>2.2858678822724814</v>
      </c>
      <c r="N643" s="27">
        <f t="shared" si="139"/>
        <v>2.2992900748078591</v>
      </c>
      <c r="O643" s="27">
        <f t="shared" si="139"/>
        <v>2.2910596881616558</v>
      </c>
      <c r="P643" s="27">
        <f t="shared" si="139"/>
        <v>2.2612642885898917</v>
      </c>
      <c r="Q643" s="27">
        <f t="shared" si="139"/>
        <v>2.2487211059946204</v>
      </c>
      <c r="R643" s="27">
        <f t="shared" si="139"/>
        <v>2.2390235702415184</v>
      </c>
      <c r="S643" s="27">
        <f t="shared" si="139"/>
        <v>1.9480109024353172</v>
      </c>
      <c r="T643" s="27">
        <f t="shared" si="139"/>
        <v>2.1242573648526935</v>
      </c>
      <c r="U643" s="27">
        <f t="shared" si="139"/>
        <v>2.2090616174503466</v>
      </c>
      <c r="V643" s="27">
        <f t="shared" si="139"/>
        <v>2.219672639907655</v>
      </c>
      <c r="W643" s="27">
        <f t="shared" si="139"/>
        <v>2.2319049749890385</v>
      </c>
      <c r="X643" s="27">
        <f t="shared" si="139"/>
        <v>2.2629262949362925</v>
      </c>
      <c r="Y643" s="27">
        <f t="shared" si="139"/>
        <v>2.3140044447008137</v>
      </c>
      <c r="Z643" s="27">
        <f t="shared" si="139"/>
        <v>2.3751177408865005</v>
      </c>
      <c r="AA643" s="27">
        <f t="shared" si="139"/>
        <v>2.4489635487241519</v>
      </c>
      <c r="AB643" s="27">
        <f t="shared" si="139"/>
        <v>2.5437406386090786</v>
      </c>
      <c r="AC643" s="27">
        <f t="shared" si="139"/>
        <v>2.6583677679701894</v>
      </c>
      <c r="AD643" s="27">
        <f t="shared" si="139"/>
        <v>2.7852398205087883</v>
      </c>
      <c r="AE643" s="27">
        <f t="shared" si="139"/>
        <v>2.9239358907782309</v>
      </c>
      <c r="AF643" s="27">
        <f t="shared" si="139"/>
        <v>3.0702342900973978</v>
      </c>
      <c r="AG643" s="27">
        <f t="shared" si="139"/>
        <v>3.2260927445342245</v>
      </c>
      <c r="AH643" s="27">
        <f t="shared" si="139"/>
        <v>3.3895233708783912</v>
      </c>
      <c r="AI643" s="27">
        <f t="shared" si="139"/>
        <v>3.5531911169091885</v>
      </c>
      <c r="AJ643" s="27">
        <f t="shared" si="139"/>
        <v>3.7276822125599338</v>
      </c>
      <c r="AK643" s="27">
        <f t="shared" si="139"/>
        <v>3.9062898323416295</v>
      </c>
      <c r="AL643" s="27">
        <f t="shared" si="139"/>
        <v>4.0884842597865152</v>
      </c>
      <c r="AM643" s="27">
        <f t="shared" si="139"/>
        <v>4.2774788120039364</v>
      </c>
      <c r="AN643" s="27">
        <f t="shared" si="139"/>
        <v>4.4653386243384539</v>
      </c>
      <c r="AO643" s="27">
        <f t="shared" si="139"/>
        <v>4.6630770817729719</v>
      </c>
      <c r="AP643" s="27">
        <f t="shared" si="139"/>
        <v>4.8747652719370373</v>
      </c>
      <c r="AQ643" s="27">
        <f t="shared" si="139"/>
        <v>5.0937607978342658</v>
      </c>
      <c r="AR643" s="27">
        <f t="shared" si="139"/>
        <v>5.3205750433635002</v>
      </c>
      <c r="AS643" s="27">
        <f t="shared" si="139"/>
        <v>5.5628565017727221</v>
      </c>
      <c r="AT643" s="27">
        <f t="shared" si="139"/>
        <v>5.8183308290473201</v>
      </c>
      <c r="AU643" s="27">
        <f t="shared" si="139"/>
        <v>6.0854872952292993</v>
      </c>
      <c r="AV643" s="27">
        <f t="shared" si="139"/>
        <v>6.3693601721837521</v>
      </c>
      <c r="AW643" s="27">
        <f t="shared" si="139"/>
        <v>6.641848924312276</v>
      </c>
      <c r="AY643" s="79"/>
      <c r="AZ643" s="79"/>
    </row>
    <row r="644" spans="1:52" x14ac:dyDescent="0.25">
      <c r="A644" s="95" t="str">
        <f t="shared" si="133"/>
        <v>NI Poultry MMCH4</v>
      </c>
      <c r="B644" s="95" t="s">
        <v>968</v>
      </c>
      <c r="C644" s="95" t="s">
        <v>1230</v>
      </c>
      <c r="D644" t="s">
        <v>15</v>
      </c>
      <c r="E644" t="s">
        <v>22</v>
      </c>
      <c r="F644" t="s">
        <v>28</v>
      </c>
      <c r="G644" t="s">
        <v>134</v>
      </c>
      <c r="H644" t="s">
        <v>1226</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2.4944242822745922E-2</v>
      </c>
      <c r="P644" s="27">
        <f t="shared" si="139"/>
        <v>2.5198104828966561E-2</v>
      </c>
      <c r="Q644" s="27">
        <f t="shared" si="139"/>
        <v>2.5523625995077459E-2</v>
      </c>
      <c r="R644" s="27">
        <f t="shared" si="139"/>
        <v>2.5862077897454101E-2</v>
      </c>
      <c r="S644" s="27">
        <f t="shared" si="139"/>
        <v>2.4822184591453505E-2</v>
      </c>
      <c r="T644" s="27">
        <f t="shared" si="139"/>
        <v>2.5858553542783609E-2</v>
      </c>
      <c r="U644" s="27">
        <f t="shared" si="139"/>
        <v>2.6474474854305419E-2</v>
      </c>
      <c r="V644" s="27">
        <f t="shared" si="139"/>
        <v>2.6768461247190234E-2</v>
      </c>
      <c r="W644" s="27">
        <f t="shared" si="139"/>
        <v>2.709450247813933E-2</v>
      </c>
      <c r="X644" s="27">
        <f t="shared" si="139"/>
        <v>2.751969504271028E-2</v>
      </c>
      <c r="Y644" s="27">
        <f t="shared" si="139"/>
        <v>2.8031517539307202E-2</v>
      </c>
      <c r="Z644" s="27">
        <f t="shared" si="139"/>
        <v>2.8586633179820076E-2</v>
      </c>
      <c r="AA644" s="27">
        <f t="shared" si="139"/>
        <v>2.9198668501383751E-2</v>
      </c>
      <c r="AB644" s="27">
        <f t="shared" si="139"/>
        <v>2.9908147882723356E-2</v>
      </c>
      <c r="AC644" s="27">
        <f t="shared" si="139"/>
        <v>3.0712916792092395E-2</v>
      </c>
      <c r="AD644" s="27">
        <f t="shared" si="139"/>
        <v>3.1578743428447839E-2</v>
      </c>
      <c r="AE644" s="27">
        <f t="shared" si="139"/>
        <v>3.250549203193269E-2</v>
      </c>
      <c r="AF644" s="27">
        <f t="shared" si="139"/>
        <v>3.3473999112916437E-2</v>
      </c>
      <c r="AG644" s="27">
        <f t="shared" si="139"/>
        <v>3.4494097378815265E-2</v>
      </c>
      <c r="AH644" s="27">
        <f t="shared" si="139"/>
        <v>3.5557217328346623E-2</v>
      </c>
      <c r="AI644" s="27">
        <f t="shared" si="139"/>
        <v>3.6628249530779734E-2</v>
      </c>
      <c r="AJ644" s="27">
        <f t="shared" si="139"/>
        <v>3.7759358891476039E-2</v>
      </c>
      <c r="AK644" s="27">
        <f t="shared" si="139"/>
        <v>3.8917074122130517E-2</v>
      </c>
      <c r="AL644" s="27">
        <f t="shared" si="139"/>
        <v>4.0099018182790006E-2</v>
      </c>
      <c r="AM644" s="27">
        <f t="shared" si="139"/>
        <v>4.1321894319074036E-2</v>
      </c>
      <c r="AN644" s="27">
        <f t="shared" si="139"/>
        <v>4.2545969174982913E-2</v>
      </c>
      <c r="AO644" s="27">
        <f t="shared" si="139"/>
        <v>4.382695969568811E-2</v>
      </c>
      <c r="AP644" s="27">
        <f t="shared" si="139"/>
        <v>4.5186270968384026E-2</v>
      </c>
      <c r="AQ644" s="27">
        <f t="shared" si="139"/>
        <v>4.6590511935326193E-2</v>
      </c>
      <c r="AR644" s="27">
        <f t="shared" si="139"/>
        <v>4.8042424865238111E-2</v>
      </c>
      <c r="AS644" s="27">
        <f t="shared" si="139"/>
        <v>4.958221392619834E-2</v>
      </c>
      <c r="AT644" s="27">
        <f t="shared" si="139"/>
        <v>5.1199033814465784E-2</v>
      </c>
      <c r="AU644" s="27">
        <f t="shared" si="139"/>
        <v>5.2885947503449555E-2</v>
      </c>
      <c r="AV644" s="27">
        <f t="shared" si="139"/>
        <v>5.4670719693481661E-2</v>
      </c>
      <c r="AW644" s="27">
        <f t="shared" si="139"/>
        <v>5.6403466737183702E-2</v>
      </c>
      <c r="AY644" s="79"/>
      <c r="AZ644" s="79"/>
    </row>
    <row r="645" spans="1:52" x14ac:dyDescent="0.25">
      <c r="A645" s="95" t="str">
        <f t="shared" si="133"/>
        <v>NI Poultry MMCH4</v>
      </c>
      <c r="B645" s="95" t="s">
        <v>968</v>
      </c>
      <c r="C645" s="95" t="s">
        <v>1230</v>
      </c>
      <c r="D645" t="s">
        <v>15</v>
      </c>
      <c r="E645" t="s">
        <v>22</v>
      </c>
      <c r="F645" t="s">
        <v>28</v>
      </c>
      <c r="G645" t="s">
        <v>133</v>
      </c>
      <c r="H645" t="s">
        <v>1226</v>
      </c>
      <c r="I645" t="s">
        <v>121</v>
      </c>
      <c r="J645" t="s">
        <v>286</v>
      </c>
      <c r="K645" s="27">
        <f t="shared" si="135"/>
        <v>9.2084154088933862E-2</v>
      </c>
      <c r="L645" s="27">
        <f t="shared" si="139"/>
        <v>9.3296737810214581E-2</v>
      </c>
      <c r="M645" s="27">
        <f t="shared" si="139"/>
        <v>9.5244495094686812E-2</v>
      </c>
      <c r="N645" s="27">
        <f t="shared" si="139"/>
        <v>9.5803753116994184E-2</v>
      </c>
      <c r="O645" s="27">
        <f t="shared" si="139"/>
        <v>9.5460820340069058E-2</v>
      </c>
      <c r="P645" s="27">
        <f t="shared" si="139"/>
        <v>9.4219345357912251E-2</v>
      </c>
      <c r="Q645" s="27">
        <f t="shared" si="139"/>
        <v>9.3696712749775937E-2</v>
      </c>
      <c r="R645" s="27">
        <f t="shared" si="139"/>
        <v>9.3292648760063338E-2</v>
      </c>
      <c r="S645" s="27">
        <f t="shared" si="139"/>
        <v>8.1167120934804951E-2</v>
      </c>
      <c r="T645" s="27">
        <f t="shared" si="139"/>
        <v>8.8510723535528968E-2</v>
      </c>
      <c r="U645" s="27">
        <f t="shared" si="139"/>
        <v>9.2044234060431204E-2</v>
      </c>
      <c r="V645" s="27">
        <f t="shared" si="139"/>
        <v>9.2486359996152387E-2</v>
      </c>
      <c r="W645" s="27">
        <f t="shared" si="139"/>
        <v>9.299604062454335E-2</v>
      </c>
      <c r="X645" s="27">
        <f t="shared" si="139"/>
        <v>9.4288595622345608E-2</v>
      </c>
      <c r="Y645" s="27">
        <f t="shared" si="139"/>
        <v>9.6416851862533987E-2</v>
      </c>
      <c r="Z645" s="27">
        <f t="shared" si="139"/>
        <v>9.8963239203604281E-2</v>
      </c>
      <c r="AA645" s="27">
        <f t="shared" si="139"/>
        <v>0.1020401478635064</v>
      </c>
      <c r="AB645" s="27">
        <f t="shared" si="139"/>
        <v>0.10598919327537835</v>
      </c>
      <c r="AC645" s="27">
        <f t="shared" si="139"/>
        <v>0.11076532366542467</v>
      </c>
      <c r="AD645" s="27">
        <f t="shared" si="139"/>
        <v>0.11605165918786628</v>
      </c>
      <c r="AE645" s="27">
        <f t="shared" si="139"/>
        <v>0.12183066211575974</v>
      </c>
      <c r="AF645" s="27">
        <f t="shared" si="139"/>
        <v>0.12792642875405835</v>
      </c>
      <c r="AG645" s="27">
        <f t="shared" si="139"/>
        <v>0.13442053102225948</v>
      </c>
      <c r="AH645" s="27">
        <f t="shared" si="139"/>
        <v>0.1412301404532664</v>
      </c>
      <c r="AI645" s="27">
        <f t="shared" si="139"/>
        <v>0.14804962987121634</v>
      </c>
      <c r="AJ645" s="27">
        <f t="shared" si="139"/>
        <v>0.15532009218999737</v>
      </c>
      <c r="AK645" s="27">
        <f t="shared" si="139"/>
        <v>0.16276207634756804</v>
      </c>
      <c r="AL645" s="27">
        <f t="shared" si="139"/>
        <v>0.17035351082443828</v>
      </c>
      <c r="AM645" s="27">
        <f t="shared" si="139"/>
        <v>0.17822828383349751</v>
      </c>
      <c r="AN645" s="27">
        <f t="shared" si="139"/>
        <v>0.18605577601410239</v>
      </c>
      <c r="AO645" s="27">
        <f t="shared" si="139"/>
        <v>0.19429487840720733</v>
      </c>
      <c r="AP645" s="27">
        <f t="shared" si="139"/>
        <v>0.20311521966404342</v>
      </c>
      <c r="AQ645" s="27">
        <f t="shared" si="139"/>
        <v>0.21224003324309459</v>
      </c>
      <c r="AR645" s="27">
        <f t="shared" si="139"/>
        <v>0.22169062680681273</v>
      </c>
      <c r="AS645" s="27">
        <f t="shared" si="139"/>
        <v>0.23178568757386364</v>
      </c>
      <c r="AT645" s="27">
        <f t="shared" si="139"/>
        <v>0.24243045121030524</v>
      </c>
      <c r="AU645" s="27">
        <f t="shared" si="139"/>
        <v>0.25356197063455443</v>
      </c>
      <c r="AV645" s="27">
        <f t="shared" si="139"/>
        <v>0.26539000717432326</v>
      </c>
      <c r="AW645" s="27">
        <f t="shared" si="139"/>
        <v>0.27674370517967845</v>
      </c>
      <c r="AY645" s="79"/>
      <c r="AZ645" s="79"/>
    </row>
    <row r="646" spans="1:52" x14ac:dyDescent="0.25">
      <c r="A646" s="95" t="str">
        <f t="shared" si="133"/>
        <v>NI Cattle MMN2O</v>
      </c>
      <c r="B646" s="95" t="s">
        <v>968</v>
      </c>
      <c r="C646" s="95" t="s">
        <v>1231</v>
      </c>
      <c r="D646" t="s">
        <v>15</v>
      </c>
      <c r="E646" t="s">
        <v>657</v>
      </c>
      <c r="F646" t="s">
        <v>6</v>
      </c>
      <c r="G646" t="s">
        <v>136</v>
      </c>
      <c r="H646" t="s">
        <v>1226</v>
      </c>
      <c r="I646" t="s">
        <v>139</v>
      </c>
      <c r="J646" t="s">
        <v>287</v>
      </c>
      <c r="K646" s="27">
        <f t="shared" si="135"/>
        <v>5.9474079071945893E-2</v>
      </c>
      <c r="L646" s="27">
        <f t="shared" si="139"/>
        <v>5.9806569587962537E-2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6.1344406036983781E-2</v>
      </c>
      <c r="S646" s="27">
        <f t="shared" si="139"/>
        <v>5.9572576433389555E-2</v>
      </c>
      <c r="T646" s="27">
        <f t="shared" si="139"/>
        <v>6.0773920175181823E-2</v>
      </c>
      <c r="U646" s="27">
        <f t="shared" si="139"/>
        <v>6.1370278320054004E-2</v>
      </c>
      <c r="V646" s="27">
        <f t="shared" si="139"/>
        <v>6.1526022860848524E-2</v>
      </c>
      <c r="W646" s="27">
        <f t="shared" si="139"/>
        <v>6.174747330575011E-2</v>
      </c>
      <c r="X646" s="27">
        <f t="shared" si="139"/>
        <v>6.2119068821813103E-2</v>
      </c>
      <c r="Y646" s="27">
        <f t="shared" si="139"/>
        <v>6.2609959575984822E-2</v>
      </c>
      <c r="Z646" s="27">
        <f t="shared" si="139"/>
        <v>6.3159566495841341E-2</v>
      </c>
      <c r="AA646" s="27">
        <f t="shared" si="139"/>
        <v>6.3785199118486416E-2</v>
      </c>
      <c r="AB646" s="27">
        <f t="shared" si="139"/>
        <v>6.4540499300557705E-2</v>
      </c>
      <c r="AC646" s="27">
        <f t="shared" si="139"/>
        <v>6.5421079387025072E-2</v>
      </c>
      <c r="AD646" s="27">
        <f t="shared" si="139"/>
        <v>6.6379515175029838E-2</v>
      </c>
      <c r="AE646" s="27">
        <f t="shared" si="139"/>
        <v>6.7414940444444876E-2</v>
      </c>
      <c r="AF646" s="27">
        <f t="shared" si="139"/>
        <v>6.8501080209535048E-2</v>
      </c>
      <c r="AG646" s="27">
        <f t="shared" si="139"/>
        <v>6.9650082739835181E-2</v>
      </c>
      <c r="AH646" s="27">
        <f t="shared" si="139"/>
        <v>7.085013376505013E-2</v>
      </c>
      <c r="AI646" s="27">
        <f t="shared" si="139"/>
        <v>7.2054990287027845E-2</v>
      </c>
      <c r="AJ646" s="27">
        <f t="shared" si="139"/>
        <v>7.3332422489630317E-2</v>
      </c>
      <c r="AK646" s="27">
        <f t="shared" si="139"/>
        <v>7.4637775238334716E-2</v>
      </c>
      <c r="AL646" s="27">
        <f t="shared" si="139"/>
        <v>7.596772859981879E-2</v>
      </c>
      <c r="AM646" s="27">
        <f t="shared" si="139"/>
        <v>7.734370972563348E-2</v>
      </c>
      <c r="AN646" s="27">
        <f t="shared" si="139"/>
        <v>7.871435132056126E-2</v>
      </c>
      <c r="AO646" s="27">
        <f t="shared" si="139"/>
        <v>8.0150831900584182E-2</v>
      </c>
      <c r="AP646" s="27">
        <f t="shared" si="139"/>
        <v>8.1679672713355286E-2</v>
      </c>
      <c r="AQ646" s="27">
        <f t="shared" si="139"/>
        <v>8.3257530462489515E-2</v>
      </c>
      <c r="AR646" s="27">
        <f t="shared" si="139"/>
        <v>8.4887259744612836E-2</v>
      </c>
      <c r="AS646" s="27">
        <f t="shared" si="139"/>
        <v>8.6619011221600456E-2</v>
      </c>
      <c r="AT646" s="27">
        <f t="shared" si="139"/>
        <v>8.8438220768671E-2</v>
      </c>
      <c r="AU646" s="27">
        <f t="shared" si="139"/>
        <v>9.0335502519381064E-2</v>
      </c>
      <c r="AV646" s="27">
        <f t="shared" si="139"/>
        <v>9.2345044060296602E-2</v>
      </c>
      <c r="AW646" s="27">
        <f t="shared" si="139"/>
        <v>9.4278593479446449E-2</v>
      </c>
      <c r="AY646" s="79"/>
      <c r="AZ646" s="79"/>
    </row>
    <row r="647" spans="1:52" x14ac:dyDescent="0.25">
      <c r="A647" s="95" t="str">
        <f t="shared" si="133"/>
        <v>NI Cattle MMN2O</v>
      </c>
      <c r="B647" s="95" t="s">
        <v>968</v>
      </c>
      <c r="C647" s="95" t="s">
        <v>1231</v>
      </c>
      <c r="D647" t="s">
        <v>15</v>
      </c>
      <c r="E647" t="s">
        <v>657</v>
      </c>
      <c r="F647" t="s">
        <v>6</v>
      </c>
      <c r="G647" t="s">
        <v>137</v>
      </c>
      <c r="H647" t="s">
        <v>1226</v>
      </c>
      <c r="I647" t="s">
        <v>139</v>
      </c>
      <c r="J647" t="s">
        <v>287</v>
      </c>
      <c r="K647" s="27">
        <f t="shared" si="135"/>
        <v>0.26041511380118898</v>
      </c>
      <c r="L647" s="27">
        <f t="shared" si="139"/>
        <v>0.26187096745907495</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0.26860458755254507</v>
      </c>
      <c r="S647" s="27">
        <f t="shared" si="139"/>
        <v>0.26084639751318123</v>
      </c>
      <c r="T647" s="27">
        <f t="shared" si="139"/>
        <v>0.26610663982571414</v>
      </c>
      <c r="U647" s="27">
        <f t="shared" si="139"/>
        <v>0.26871787276259229</v>
      </c>
      <c r="V647" s="27">
        <f t="shared" si="139"/>
        <v>0.26939982081370628</v>
      </c>
      <c r="W647" s="27">
        <f t="shared" si="139"/>
        <v>0.27036947084797774</v>
      </c>
      <c r="X647" s="27">
        <f t="shared" si="139"/>
        <v>0.27199655091569075</v>
      </c>
      <c r="Y647" s="27">
        <f t="shared" si="139"/>
        <v>0.27414598094649351</v>
      </c>
      <c r="Z647" s="27">
        <f t="shared" si="139"/>
        <v>0.27655250746718535</v>
      </c>
      <c r="AA647" s="27">
        <f t="shared" si="139"/>
        <v>0.27929192257316399</v>
      </c>
      <c r="AB647" s="27">
        <f t="shared" si="139"/>
        <v>0.28259910422166357</v>
      </c>
      <c r="AC647" s="27">
        <f t="shared" si="139"/>
        <v>0.28645484048537356</v>
      </c>
      <c r="AD647" s="27">
        <f t="shared" si="139"/>
        <v>0.29065147822569842</v>
      </c>
      <c r="AE647" s="27">
        <f t="shared" si="139"/>
        <v>0.29518522458335378</v>
      </c>
      <c r="AF647" s="27">
        <f t="shared" si="139"/>
        <v>0.2999410310614633</v>
      </c>
      <c r="AG647" s="27">
        <f t="shared" si="139"/>
        <v>0.30497209046339202</v>
      </c>
      <c r="AH647" s="27">
        <f t="shared" si="139"/>
        <v>0.31022667244557844</v>
      </c>
      <c r="AI647" s="27">
        <f t="shared" si="139"/>
        <v>0.31550229593031343</v>
      </c>
      <c r="AJ647" s="27">
        <f t="shared" si="139"/>
        <v>0.32109570162242335</v>
      </c>
      <c r="AK647" s="27">
        <f t="shared" si="139"/>
        <v>0.32681136111491149</v>
      </c>
      <c r="AL647" s="27">
        <f t="shared" si="139"/>
        <v>0.33263473764104773</v>
      </c>
      <c r="AM647" s="27">
        <f t="shared" si="139"/>
        <v>0.33865965281516675</v>
      </c>
      <c r="AN647" s="27">
        <f t="shared" si="139"/>
        <v>0.34466118814776064</v>
      </c>
      <c r="AO647" s="27">
        <f t="shared" si="139"/>
        <v>0.35095100817620256</v>
      </c>
      <c r="AP647" s="27">
        <f t="shared" si="139"/>
        <v>0.35764523968771644</v>
      </c>
      <c r="AQ647" s="27">
        <f t="shared" si="139"/>
        <v>0.36455409833193048</v>
      </c>
      <c r="AR647" s="27">
        <f t="shared" si="139"/>
        <v>0.37169008333736225</v>
      </c>
      <c r="AS647" s="27">
        <f t="shared" si="139"/>
        <v>0.37927278600367109</v>
      </c>
      <c r="AT647" s="27">
        <f t="shared" si="139"/>
        <v>0.38723843538607666</v>
      </c>
      <c r="AU647" s="27">
        <f t="shared" si="139"/>
        <v>0.39554593422815865</v>
      </c>
      <c r="AV647" s="27">
        <f t="shared" ref="L647:AW654" si="140">AV1412</f>
        <v>0.4043449773950597</v>
      </c>
      <c r="AW647" s="27">
        <f t="shared" si="140"/>
        <v>0.41281127901561981</v>
      </c>
      <c r="AY647" s="79"/>
      <c r="AZ647" s="79"/>
    </row>
    <row r="648" spans="1:52" x14ac:dyDescent="0.25">
      <c r="A648" s="95" t="str">
        <f t="shared" si="133"/>
        <v>NI Cattle MMN2O</v>
      </c>
      <c r="B648" s="95" t="s">
        <v>968</v>
      </c>
      <c r="C648" s="95" t="s">
        <v>1231</v>
      </c>
      <c r="D648" t="s">
        <v>15</v>
      </c>
      <c r="E648" t="s">
        <v>657</v>
      </c>
      <c r="F648" t="s">
        <v>67</v>
      </c>
      <c r="G648" t="s">
        <v>307</v>
      </c>
      <c r="H648" t="s">
        <v>1226</v>
      </c>
      <c r="I648" t="s">
        <v>139</v>
      </c>
      <c r="J648" t="s">
        <v>287</v>
      </c>
      <c r="K648" s="27">
        <f t="shared" si="135"/>
        <v>1.1586934798802538E-2</v>
      </c>
      <c r="L648" s="27">
        <f t="shared" si="140"/>
        <v>1.1651711689683767E-2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1.1951318021451862E-2</v>
      </c>
      <c r="S648" s="27">
        <f t="shared" si="140"/>
        <v>1.1606124377232515E-2</v>
      </c>
      <c r="T648" s="27">
        <f t="shared" si="140"/>
        <v>1.1840174098124497E-2</v>
      </c>
      <c r="U648" s="27">
        <f t="shared" si="140"/>
        <v>1.1956358544343662E-2</v>
      </c>
      <c r="V648" s="27">
        <f t="shared" si="140"/>
        <v>1.198670120567806E-2</v>
      </c>
      <c r="W648" s="27">
        <f t="shared" si="140"/>
        <v>1.2029844906367174E-2</v>
      </c>
      <c r="X648" s="27">
        <f t="shared" si="140"/>
        <v>1.2102240361384485E-2</v>
      </c>
      <c r="Y648" s="27">
        <f t="shared" si="140"/>
        <v>1.2197877305254469E-2</v>
      </c>
      <c r="Z648" s="27">
        <f t="shared" si="140"/>
        <v>1.2304953524755821E-2</v>
      </c>
      <c r="AA648" s="27">
        <f t="shared" si="140"/>
        <v>1.2426841320577307E-2</v>
      </c>
      <c r="AB648" s="27">
        <f t="shared" si="140"/>
        <v>1.2573991374848796E-2</v>
      </c>
      <c r="AC648" s="27">
        <f t="shared" si="140"/>
        <v>1.2745548870252437E-2</v>
      </c>
      <c r="AD648" s="27">
        <f t="shared" si="140"/>
        <v>1.2932274468323759E-2</v>
      </c>
      <c r="AE648" s="27">
        <f t="shared" si="140"/>
        <v>1.3133999409221648E-2</v>
      </c>
      <c r="AF648" s="27">
        <f t="shared" si="140"/>
        <v>1.3345604714202703E-2</v>
      </c>
      <c r="AG648" s="27">
        <f t="shared" si="140"/>
        <v>1.3569457148910296E-2</v>
      </c>
      <c r="AH648" s="27">
        <f t="shared" si="140"/>
        <v>1.3803255018526413E-2</v>
      </c>
      <c r="AI648" s="27">
        <f t="shared" si="140"/>
        <v>1.4037989110754724E-2</v>
      </c>
      <c r="AJ648" s="27">
        <f t="shared" si="140"/>
        <v>1.4286862634690086E-2</v>
      </c>
      <c r="AK648" s="27">
        <f t="shared" si="140"/>
        <v>1.4541175730826956E-2</v>
      </c>
      <c r="AL648" s="27">
        <f t="shared" si="140"/>
        <v>1.4800281598886257E-2</v>
      </c>
      <c r="AM648" s="27">
        <f t="shared" si="140"/>
        <v>1.5068354746684156E-2</v>
      </c>
      <c r="AN648" s="27">
        <f t="shared" si="140"/>
        <v>1.533538762959342E-2</v>
      </c>
      <c r="AO648" s="27">
        <f t="shared" si="140"/>
        <v>1.5615247479131181E-2</v>
      </c>
      <c r="AP648" s="27">
        <f t="shared" si="140"/>
        <v>1.5913101251593929E-2</v>
      </c>
      <c r="AQ648" s="27">
        <f t="shared" si="140"/>
        <v>1.6220504664076991E-2</v>
      </c>
      <c r="AR648" s="27">
        <f t="shared" si="140"/>
        <v>1.6538013858440784E-2</v>
      </c>
      <c r="AS648" s="27">
        <f t="shared" si="140"/>
        <v>1.6875399350821628E-2</v>
      </c>
      <c r="AT648" s="27">
        <f t="shared" si="140"/>
        <v>1.7229823710747674E-2</v>
      </c>
      <c r="AU648" s="27">
        <f t="shared" si="140"/>
        <v>1.7599458352989747E-2</v>
      </c>
      <c r="AV648" s="27">
        <f t="shared" si="140"/>
        <v>1.7990963815090407E-2</v>
      </c>
      <c r="AW648" s="27">
        <f t="shared" si="140"/>
        <v>1.836766424323575E-2</v>
      </c>
      <c r="AY648" s="79"/>
      <c r="AZ648" s="79"/>
    </row>
    <row r="649" spans="1:52" x14ac:dyDescent="0.25">
      <c r="A649" s="95" t="str">
        <f t="shared" si="133"/>
        <v>NI Cattle MMN2O</v>
      </c>
      <c r="B649" s="95" t="s">
        <v>968</v>
      </c>
      <c r="C649" s="95" t="s">
        <v>1231</v>
      </c>
      <c r="D649" t="s">
        <v>15</v>
      </c>
      <c r="E649" t="s">
        <v>657</v>
      </c>
      <c r="F649" t="s">
        <v>67</v>
      </c>
      <c r="G649" t="s">
        <v>122</v>
      </c>
      <c r="H649" t="s">
        <v>1226</v>
      </c>
      <c r="I649" t="s">
        <v>139</v>
      </c>
      <c r="J649" t="s">
        <v>287</v>
      </c>
      <c r="K649" s="27">
        <f t="shared" si="135"/>
        <v>0.52525224947331295</v>
      </c>
      <c r="L649" s="27">
        <f t="shared" si="140"/>
        <v>0.52069690445710348</v>
      </c>
      <c r="M649" s="27">
        <f t="shared" si="140"/>
        <v>0.51896282251134851</v>
      </c>
      <c r="N649" s="27">
        <f t="shared" si="140"/>
        <v>0.51203275332440912</v>
      </c>
      <c r="O649" s="27">
        <f t="shared" si="140"/>
        <v>0.50197358865556663</v>
      </c>
      <c r="P649" s="27">
        <f t="shared" si="140"/>
        <v>0.48899333628247271</v>
      </c>
      <c r="Q649" s="27">
        <f t="shared" si="140"/>
        <v>0.47875543160314177</v>
      </c>
      <c r="R649" s="27">
        <f t="shared" si="140"/>
        <v>0.46906920988966794</v>
      </c>
      <c r="S649" s="27">
        <f t="shared" si="140"/>
        <v>0.41885745966075799</v>
      </c>
      <c r="T649" s="27">
        <f t="shared" si="140"/>
        <v>0.43888316121589754</v>
      </c>
      <c r="U649" s="27">
        <f t="shared" si="140"/>
        <v>0.44581606294816456</v>
      </c>
      <c r="V649" s="27">
        <f t="shared" si="140"/>
        <v>0.4428053451992871</v>
      </c>
      <c r="W649" s="27">
        <f t="shared" si="140"/>
        <v>0.44035633830428106</v>
      </c>
      <c r="X649" s="27">
        <f t="shared" si="140"/>
        <v>0.44051721103792468</v>
      </c>
      <c r="Y649" s="27">
        <f t="shared" si="140"/>
        <v>0.44310396179359002</v>
      </c>
      <c r="Z649" s="27">
        <f t="shared" si="140"/>
        <v>0.4467743835824281</v>
      </c>
      <c r="AA649" s="27">
        <f t="shared" si="140"/>
        <v>0.45182412453822507</v>
      </c>
      <c r="AB649" s="27">
        <f t="shared" si="140"/>
        <v>0.4592210041031291</v>
      </c>
      <c r="AC649" s="27">
        <f t="shared" si="140"/>
        <v>0.46875611727926397</v>
      </c>
      <c r="AD649" s="27">
        <f t="shared" si="140"/>
        <v>0.47540395120736983</v>
      </c>
      <c r="AE649" s="27">
        <f t="shared" si="140"/>
        <v>0.48283708354051091</v>
      </c>
      <c r="AF649" s="27">
        <f t="shared" si="140"/>
        <v>0.49049534376627268</v>
      </c>
      <c r="AG649" s="27">
        <f t="shared" si="140"/>
        <v>0.49854885128886806</v>
      </c>
      <c r="AH649" s="27">
        <f t="shared" si="140"/>
        <v>0.50672298371374713</v>
      </c>
      <c r="AI649" s="27">
        <f t="shared" si="140"/>
        <v>0.51418741913189581</v>
      </c>
      <c r="AJ649" s="27">
        <f t="shared" si="140"/>
        <v>0.52206102854310632</v>
      </c>
      <c r="AK649" s="27">
        <f t="shared" si="140"/>
        <v>0.52957812188119258</v>
      </c>
      <c r="AL649" s="27">
        <f t="shared" si="140"/>
        <v>0.53666628025365293</v>
      </c>
      <c r="AM649" s="27">
        <f t="shared" si="140"/>
        <v>0.543628496445968</v>
      </c>
      <c r="AN649" s="27">
        <f t="shared" si="140"/>
        <v>0.55246945736606723</v>
      </c>
      <c r="AO649" s="27">
        <f t="shared" si="140"/>
        <v>0.56161375103123634</v>
      </c>
      <c r="AP649" s="27">
        <f t="shared" si="140"/>
        <v>0.57139369130463846</v>
      </c>
      <c r="AQ649" s="27">
        <f t="shared" si="140"/>
        <v>0.58113558104968666</v>
      </c>
      <c r="AR649" s="27">
        <f t="shared" si="140"/>
        <v>0.59085206465758344</v>
      </c>
      <c r="AS649" s="27">
        <f t="shared" si="140"/>
        <v>0.6011817102296716</v>
      </c>
      <c r="AT649" s="27">
        <f t="shared" si="140"/>
        <v>0.61185705718445471</v>
      </c>
      <c r="AU649" s="27">
        <f t="shared" si="140"/>
        <v>0.6226925043907553</v>
      </c>
      <c r="AV649" s="27">
        <f t="shared" si="140"/>
        <v>0.63405678889252681</v>
      </c>
      <c r="AW649" s="27">
        <f t="shared" si="140"/>
        <v>0.64358432778937325</v>
      </c>
      <c r="AY649" s="79"/>
      <c r="AZ649" s="79"/>
    </row>
    <row r="650" spans="1:52" x14ac:dyDescent="0.25">
      <c r="A650" s="95" t="str">
        <f t="shared" si="133"/>
        <v>NI Cattle MMN2O</v>
      </c>
      <c r="B650" s="95" t="s">
        <v>968</v>
      </c>
      <c r="C650" s="95" t="s">
        <v>1231</v>
      </c>
      <c r="D650" t="s">
        <v>15</v>
      </c>
      <c r="E650" t="s">
        <v>657</v>
      </c>
      <c r="F650" t="s">
        <v>67</v>
      </c>
      <c r="G650" t="s">
        <v>123</v>
      </c>
      <c r="H650" t="s">
        <v>1226</v>
      </c>
      <c r="I650" t="s">
        <v>139</v>
      </c>
      <c r="J650" t="s">
        <v>287</v>
      </c>
      <c r="K650" s="27">
        <f t="shared" si="135"/>
        <v>0.80452586370517842</v>
      </c>
      <c r="L650" s="27">
        <f t="shared" si="140"/>
        <v>0.79754846782098032</v>
      </c>
      <c r="M650" s="27">
        <f t="shared" si="140"/>
        <v>0.79489238443144161</v>
      </c>
      <c r="N650" s="27">
        <f t="shared" si="140"/>
        <v>0.78427763712907439</v>
      </c>
      <c r="O650" s="27">
        <f t="shared" si="140"/>
        <v>0.76887007218962278</v>
      </c>
      <c r="P650" s="27">
        <f t="shared" si="140"/>
        <v>0.74898829393537225</v>
      </c>
      <c r="Q650" s="27">
        <f t="shared" si="140"/>
        <v>0.73330695394505496</v>
      </c>
      <c r="R650" s="27">
        <f t="shared" si="140"/>
        <v>0.71847062359542491</v>
      </c>
      <c r="S650" s="27">
        <f t="shared" si="140"/>
        <v>0.64156157320759799</v>
      </c>
      <c r="T650" s="27">
        <f t="shared" si="140"/>
        <v>0.67223482564222559</v>
      </c>
      <c r="U650" s="27">
        <f t="shared" si="140"/>
        <v>0.68285391153805586</v>
      </c>
      <c r="V650" s="27">
        <f t="shared" si="140"/>
        <v>0.67824241239699168</v>
      </c>
      <c r="W650" s="27">
        <f t="shared" si="140"/>
        <v>0.67449128255528179</v>
      </c>
      <c r="X650" s="27">
        <f t="shared" si="140"/>
        <v>0.67473769040048559</v>
      </c>
      <c r="Y650" s="27">
        <f t="shared" si="140"/>
        <v>0.67869980172505096</v>
      </c>
      <c r="Z650" s="27">
        <f t="shared" si="140"/>
        <v>0.68432176576763859</v>
      </c>
      <c r="AA650" s="27">
        <f t="shared" si="140"/>
        <v>0.69205642508232745</v>
      </c>
      <c r="AB650" s="27">
        <f t="shared" si="140"/>
        <v>0.70338618316836132</v>
      </c>
      <c r="AC650" s="27">
        <f t="shared" si="140"/>
        <v>0.71799106143637159</v>
      </c>
      <c r="AD650" s="27">
        <f t="shared" si="140"/>
        <v>0.72817351060844282</v>
      </c>
      <c r="AE650" s="27">
        <f t="shared" si="140"/>
        <v>0.7395587968520555</v>
      </c>
      <c r="AF650" s="27">
        <f t="shared" si="140"/>
        <v>0.75128891020004818</v>
      </c>
      <c r="AG650" s="27">
        <f t="shared" si="140"/>
        <v>0.76362442157000243</v>
      </c>
      <c r="AH650" s="27">
        <f t="shared" si="140"/>
        <v>0.77614469341226622</v>
      </c>
      <c r="AI650" s="27">
        <f t="shared" si="140"/>
        <v>0.78757792641199043</v>
      </c>
      <c r="AJ650" s="27">
        <f t="shared" si="140"/>
        <v>0.79963788887456544</v>
      </c>
      <c r="AK650" s="27">
        <f t="shared" si="140"/>
        <v>0.81115177770881697</v>
      </c>
      <c r="AL650" s="27">
        <f t="shared" si="140"/>
        <v>0.82200866931166305</v>
      </c>
      <c r="AM650" s="27">
        <f t="shared" si="140"/>
        <v>0.83267265599813822</v>
      </c>
      <c r="AN650" s="27">
        <f t="shared" si="140"/>
        <v>0.84621430522926222</v>
      </c>
      <c r="AO650" s="27">
        <f t="shared" si="140"/>
        <v>0.86022056748957776</v>
      </c>
      <c r="AP650" s="27">
        <f t="shared" si="140"/>
        <v>0.87520044602095726</v>
      </c>
      <c r="AQ650" s="27">
        <f t="shared" si="140"/>
        <v>0.89012204277587748</v>
      </c>
      <c r="AR650" s="27">
        <f t="shared" si="140"/>
        <v>0.90500472509596042</v>
      </c>
      <c r="AS650" s="27">
        <f t="shared" si="140"/>
        <v>0.92082658408654217</v>
      </c>
      <c r="AT650" s="27">
        <f t="shared" si="140"/>
        <v>0.93717795190602593</v>
      </c>
      <c r="AU650" s="27">
        <f t="shared" si="140"/>
        <v>0.95377454436426301</v>
      </c>
      <c r="AV650" s="27">
        <f t="shared" si="140"/>
        <v>0.97118115388063697</v>
      </c>
      <c r="AW650" s="27">
        <f t="shared" si="140"/>
        <v>0.98577443066842085</v>
      </c>
      <c r="AY650" s="79"/>
      <c r="AZ650" s="79"/>
    </row>
    <row r="651" spans="1:52" x14ac:dyDescent="0.25">
      <c r="A651" s="95" t="str">
        <f t="shared" si="133"/>
        <v>NI Cattle MMN2O</v>
      </c>
      <c r="B651" s="95" t="s">
        <v>968</v>
      </c>
      <c r="C651" s="95" t="s">
        <v>1231</v>
      </c>
      <c r="D651" t="s">
        <v>15</v>
      </c>
      <c r="E651" t="s">
        <v>657</v>
      </c>
      <c r="F651" t="s">
        <v>67</v>
      </c>
      <c r="G651" t="s">
        <v>135</v>
      </c>
      <c r="H651" t="s">
        <v>1226</v>
      </c>
      <c r="I651" t="s">
        <v>139</v>
      </c>
      <c r="J651" t="s">
        <v>287</v>
      </c>
      <c r="K651" s="27">
        <f t="shared" si="135"/>
        <v>0.97926119892671459</v>
      </c>
      <c r="L651" s="27">
        <f t="shared" si="140"/>
        <v>1.0122801448609138</v>
      </c>
      <c r="M651" s="27">
        <f t="shared" si="140"/>
        <v>1.0514701788925804</v>
      </c>
      <c r="N651" s="27">
        <f t="shared" si="140"/>
        <v>1.0806972456941148</v>
      </c>
      <c r="O651" s="27">
        <f t="shared" si="140"/>
        <v>1.103236794343371</v>
      </c>
      <c r="P651" s="27">
        <f t="shared" si="140"/>
        <v>1.1187666946803865</v>
      </c>
      <c r="Q651" s="27">
        <f t="shared" si="140"/>
        <v>1.1399714801203362</v>
      </c>
      <c r="R651" s="27">
        <f t="shared" si="140"/>
        <v>1.1622002864669057</v>
      </c>
      <c r="S651" s="27">
        <f t="shared" si="140"/>
        <v>1.0797349387647497</v>
      </c>
      <c r="T651" s="27">
        <f t="shared" si="140"/>
        <v>1.1586148391754056</v>
      </c>
      <c r="U651" s="27">
        <f t="shared" si="140"/>
        <v>1.2048828534043301</v>
      </c>
      <c r="V651" s="27">
        <f t="shared" si="140"/>
        <v>1.2248214292243891</v>
      </c>
      <c r="W651" s="27">
        <f t="shared" si="140"/>
        <v>1.2462862134810584</v>
      </c>
      <c r="X651" s="27">
        <f t="shared" si="140"/>
        <v>1.2753304123156213</v>
      </c>
      <c r="Y651" s="27">
        <f t="shared" si="140"/>
        <v>1.3119382309958816</v>
      </c>
      <c r="Z651" s="27">
        <f t="shared" si="140"/>
        <v>1.352551168014529</v>
      </c>
      <c r="AA651" s="27">
        <f t="shared" si="140"/>
        <v>1.3983302277222904</v>
      </c>
      <c r="AB651" s="27">
        <f t="shared" si="140"/>
        <v>1.45265003311069</v>
      </c>
      <c r="AC651" s="27">
        <f t="shared" si="140"/>
        <v>1.5153587089508171</v>
      </c>
      <c r="AD651" s="27">
        <f t="shared" si="140"/>
        <v>1.5878154020260862</v>
      </c>
      <c r="AE651" s="27">
        <f t="shared" si="140"/>
        <v>1.6662236213187609</v>
      </c>
      <c r="AF651" s="27">
        <f t="shared" si="140"/>
        <v>1.7490356868363826</v>
      </c>
      <c r="AG651" s="27">
        <f t="shared" si="140"/>
        <v>1.8371605385940195</v>
      </c>
      <c r="AH651" s="27">
        <f t="shared" si="140"/>
        <v>1.9299179853404884</v>
      </c>
      <c r="AI651" s="27">
        <f t="shared" si="140"/>
        <v>2.0243264887955772</v>
      </c>
      <c r="AJ651" s="27">
        <f t="shared" si="140"/>
        <v>2.1249172544227406</v>
      </c>
      <c r="AK651" s="27">
        <f t="shared" si="140"/>
        <v>2.2289075077368197</v>
      </c>
      <c r="AL651" s="27">
        <f t="shared" si="140"/>
        <v>2.3361255764589468</v>
      </c>
      <c r="AM651" s="27">
        <f t="shared" si="140"/>
        <v>2.4480579395389377</v>
      </c>
      <c r="AN651" s="27">
        <f t="shared" si="140"/>
        <v>2.5580662421643461</v>
      </c>
      <c r="AO651" s="27">
        <f t="shared" si="140"/>
        <v>2.6740312374133999</v>
      </c>
      <c r="AP651" s="27">
        <f t="shared" si="140"/>
        <v>2.7979244732629738</v>
      </c>
      <c r="AQ651" s="27">
        <f t="shared" si="140"/>
        <v>2.9268588582276069</v>
      </c>
      <c r="AR651" s="27">
        <f t="shared" si="140"/>
        <v>3.0611473278848456</v>
      </c>
      <c r="AS651" s="27">
        <f t="shared" si="140"/>
        <v>3.2044630996439452</v>
      </c>
      <c r="AT651" s="27">
        <f t="shared" si="140"/>
        <v>3.3559228759421229</v>
      </c>
      <c r="AU651" s="27">
        <f t="shared" si="140"/>
        <v>3.5149748258951519</v>
      </c>
      <c r="AV651" s="27">
        <f t="shared" si="140"/>
        <v>3.6841999883853953</v>
      </c>
      <c r="AW651" s="27">
        <f t="shared" si="140"/>
        <v>3.8501065426145096</v>
      </c>
      <c r="AY651" s="79"/>
      <c r="AZ651" s="79"/>
    </row>
    <row r="652" spans="1:52" x14ac:dyDescent="0.25">
      <c r="A652" s="95" t="str">
        <f t="shared" si="133"/>
        <v>NI Sheep MMN2O</v>
      </c>
      <c r="B652" s="95" t="s">
        <v>968</v>
      </c>
      <c r="C652" s="95" t="s">
        <v>1327</v>
      </c>
      <c r="D652" t="s">
        <v>15</v>
      </c>
      <c r="E652" t="s">
        <v>657</v>
      </c>
      <c r="F652" t="s">
        <v>18</v>
      </c>
      <c r="G652" t="s">
        <v>122</v>
      </c>
      <c r="H652" t="s">
        <v>1226</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0.11888884787446641</v>
      </c>
      <c r="T652" s="27">
        <f t="shared" si="140"/>
        <v>0.11897442160845599</v>
      </c>
      <c r="U652" s="27">
        <f t="shared" si="140"/>
        <v>0.11894433570617077</v>
      </c>
      <c r="V652" s="27">
        <f t="shared" si="140"/>
        <v>0.11894216976117228</v>
      </c>
      <c r="W652" s="27">
        <f t="shared" si="140"/>
        <v>0.11906833284654554</v>
      </c>
      <c r="X652" s="27">
        <f t="shared" si="140"/>
        <v>0.1192748103604965</v>
      </c>
      <c r="Y652" s="27">
        <f t="shared" si="140"/>
        <v>0.11947292782589553</v>
      </c>
      <c r="Z652" s="27">
        <f t="shared" si="140"/>
        <v>0.11966332441080059</v>
      </c>
      <c r="AA652" s="27">
        <f t="shared" si="140"/>
        <v>0.11984574027292559</v>
      </c>
      <c r="AB652" s="27">
        <f t="shared" si="140"/>
        <v>0.12002397691702794</v>
      </c>
      <c r="AC652" s="27">
        <f t="shared" si="140"/>
        <v>0.12020063791291828</v>
      </c>
      <c r="AD652" s="27">
        <f t="shared" si="140"/>
        <v>0.12037395069486655</v>
      </c>
      <c r="AE652" s="27">
        <f t="shared" si="140"/>
        <v>0.12054640721794915</v>
      </c>
      <c r="AF652" s="27">
        <f t="shared" si="140"/>
        <v>0.12071746421078627</v>
      </c>
      <c r="AG652" s="27">
        <f t="shared" si="140"/>
        <v>0.12088575105723816</v>
      </c>
      <c r="AH652" s="27">
        <f t="shared" si="140"/>
        <v>0.12105200867781399</v>
      </c>
      <c r="AI652" s="27">
        <f t="shared" si="140"/>
        <v>0.12121641449313381</v>
      </c>
      <c r="AJ652" s="27">
        <f t="shared" si="140"/>
        <v>0.12137952665146406</v>
      </c>
      <c r="AK652" s="27">
        <f t="shared" si="140"/>
        <v>0.12153635424536353</v>
      </c>
      <c r="AL652" s="27">
        <f t="shared" si="140"/>
        <v>0.12168671378968904</v>
      </c>
      <c r="AM652" s="27">
        <f t="shared" si="140"/>
        <v>0.12183201055728769</v>
      </c>
      <c r="AN652" s="27">
        <f t="shared" si="140"/>
        <v>0.12197112574763715</v>
      </c>
      <c r="AO652" s="27">
        <f t="shared" si="140"/>
        <v>0.12210431172658152</v>
      </c>
      <c r="AP652" s="27">
        <f t="shared" si="140"/>
        <v>0.12223096862203452</v>
      </c>
      <c r="AQ652" s="27">
        <f t="shared" si="140"/>
        <v>0.12234928396390207</v>
      </c>
      <c r="AR652" s="27">
        <f t="shared" si="140"/>
        <v>0.12245757817594662</v>
      </c>
      <c r="AS652" s="27">
        <f t="shared" si="140"/>
        <v>0.12255574185064526</v>
      </c>
      <c r="AT652" s="27">
        <f t="shared" si="140"/>
        <v>0.12264302379658787</v>
      </c>
      <c r="AU652" s="27">
        <f t="shared" si="140"/>
        <v>0.12271938191890155</v>
      </c>
      <c r="AV652" s="27">
        <f t="shared" si="140"/>
        <v>0.12278627747914957</v>
      </c>
      <c r="AW652" s="27">
        <f t="shared" si="140"/>
        <v>0.12283502162881774</v>
      </c>
      <c r="AY652" s="79"/>
      <c r="AZ652" s="79"/>
    </row>
    <row r="653" spans="1:52" x14ac:dyDescent="0.25">
      <c r="A653" s="95" t="str">
        <f t="shared" si="133"/>
        <v>NI Sheep MMN2O</v>
      </c>
      <c r="B653" s="95" t="s">
        <v>968</v>
      </c>
      <c r="C653" s="95" t="s">
        <v>1327</v>
      </c>
      <c r="D653" t="s">
        <v>15</v>
      </c>
      <c r="E653" t="s">
        <v>657</v>
      </c>
      <c r="F653" t="s">
        <v>18</v>
      </c>
      <c r="G653" t="s">
        <v>123</v>
      </c>
      <c r="H653" t="s">
        <v>1226</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6.3574794121898134E-2</v>
      </c>
      <c r="T653" s="27">
        <f t="shared" si="140"/>
        <v>6.362055394393272E-2</v>
      </c>
      <c r="U653" s="27">
        <f t="shared" si="140"/>
        <v>6.3604465765117371E-2</v>
      </c>
      <c r="V653" s="27">
        <f t="shared" si="140"/>
        <v>6.3603307544562435E-2</v>
      </c>
      <c r="W653" s="27">
        <f t="shared" si="140"/>
        <v>6.3670772174944407E-2</v>
      </c>
      <c r="X653" s="27">
        <f t="shared" si="140"/>
        <v>6.3781184258793491E-2</v>
      </c>
      <c r="Y653" s="27">
        <f t="shared" si="140"/>
        <v>6.3887125878212575E-2</v>
      </c>
      <c r="Z653" s="27">
        <f t="shared" si="140"/>
        <v>6.3988938822851713E-2</v>
      </c>
      <c r="AA653" s="27">
        <f t="shared" si="140"/>
        <v>6.4086484144271705E-2</v>
      </c>
      <c r="AB653" s="27">
        <f t="shared" si="140"/>
        <v>6.4181794664613767E-2</v>
      </c>
      <c r="AC653" s="27">
        <f t="shared" si="140"/>
        <v>6.4276262620556607E-2</v>
      </c>
      <c r="AD653" s="27">
        <f t="shared" si="140"/>
        <v>6.4368940147743067E-2</v>
      </c>
      <c r="AE653" s="27">
        <f t="shared" si="140"/>
        <v>6.4461159797827752E-2</v>
      </c>
      <c r="AF653" s="27">
        <f t="shared" si="140"/>
        <v>6.4552631061088828E-2</v>
      </c>
      <c r="AG653" s="27">
        <f t="shared" si="140"/>
        <v>6.4642621012273305E-2</v>
      </c>
      <c r="AH653" s="27">
        <f t="shared" si="140"/>
        <v>6.4731525852283742E-2</v>
      </c>
      <c r="AI653" s="27">
        <f t="shared" si="140"/>
        <v>6.4819440455278599E-2</v>
      </c>
      <c r="AJ653" s="27">
        <f t="shared" si="140"/>
        <v>6.4906663286267555E-2</v>
      </c>
      <c r="AK653" s="27">
        <f t="shared" si="140"/>
        <v>6.499052550020136E-2</v>
      </c>
      <c r="AL653" s="27">
        <f t="shared" si="140"/>
        <v>6.5070928979969703E-2</v>
      </c>
      <c r="AM653" s="27">
        <f t="shared" si="140"/>
        <v>6.5148625183203274E-2</v>
      </c>
      <c r="AN653" s="27">
        <f t="shared" si="140"/>
        <v>6.5223015840895862E-2</v>
      </c>
      <c r="AO653" s="27">
        <f t="shared" si="140"/>
        <v>6.5294235903523207E-2</v>
      </c>
      <c r="AP653" s="27">
        <f t="shared" si="140"/>
        <v>6.5361964594620001E-2</v>
      </c>
      <c r="AQ653" s="27">
        <f t="shared" si="140"/>
        <v>6.542523271131194E-2</v>
      </c>
      <c r="AR653" s="27">
        <f t="shared" si="140"/>
        <v>6.548314211457737E-2</v>
      </c>
      <c r="AS653" s="27">
        <f t="shared" si="140"/>
        <v>6.5535634299679582E-2</v>
      </c>
      <c r="AT653" s="27">
        <f t="shared" si="140"/>
        <v>6.5582307573439622E-2</v>
      </c>
      <c r="AU653" s="27">
        <f t="shared" si="140"/>
        <v>6.5623139425984384E-2</v>
      </c>
      <c r="AV653" s="27">
        <f t="shared" si="140"/>
        <v>6.5658911254431448E-2</v>
      </c>
      <c r="AW653" s="27">
        <f t="shared" si="140"/>
        <v>6.5684976771384518E-2</v>
      </c>
      <c r="AY653" s="79"/>
      <c r="AZ653" s="79"/>
    </row>
    <row r="654" spans="1:52" x14ac:dyDescent="0.25">
      <c r="A654" s="95" t="str">
        <f t="shared" si="133"/>
        <v>NI Goats MMN2O</v>
      </c>
      <c r="B654" s="95" t="s">
        <v>968</v>
      </c>
      <c r="C654" s="95" t="s">
        <v>1328</v>
      </c>
      <c r="D654" t="s">
        <v>15</v>
      </c>
      <c r="E654" t="s">
        <v>657</v>
      </c>
      <c r="F654" t="s">
        <v>19</v>
      </c>
      <c r="G654" t="s">
        <v>122</v>
      </c>
      <c r="H654" t="s">
        <v>1226</v>
      </c>
      <c r="I654" t="s">
        <v>139</v>
      </c>
      <c r="J654" t="s">
        <v>287</v>
      </c>
      <c r="K654" s="27">
        <f t="shared" si="135"/>
        <v>1.4486129996083083E-2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1.4890706011157254E-2</v>
      </c>
      <c r="R654" s="27">
        <f t="shared" si="140"/>
        <v>1.4988675221399694E-2</v>
      </c>
      <c r="S654" s="27">
        <f t="shared" si="140"/>
        <v>1.4951923212530764E-2</v>
      </c>
      <c r="T654" s="27">
        <f t="shared" si="140"/>
        <v>1.4977625582861876E-2</v>
      </c>
      <c r="U654" s="27">
        <f t="shared" si="140"/>
        <v>1.4980119703065675E-2</v>
      </c>
      <c r="V654" s="27">
        <f t="shared" si="140"/>
        <v>1.4986976942692673E-2</v>
      </c>
      <c r="W654" s="27">
        <f t="shared" si="140"/>
        <v>1.5017294663736542E-2</v>
      </c>
      <c r="X654" s="27">
        <f t="shared" si="140"/>
        <v>1.5061890336193319E-2</v>
      </c>
      <c r="Y654" s="27">
        <f t="shared" si="140"/>
        <v>1.5103986297595969E-2</v>
      </c>
      <c r="Z654" s="27">
        <f t="shared" si="140"/>
        <v>1.5143780477124499E-2</v>
      </c>
      <c r="AA654" s="27">
        <f t="shared" si="140"/>
        <v>1.518129324368281E-2</v>
      </c>
      <c r="AB654" s="27">
        <f t="shared" si="140"/>
        <v>1.5217300806744069E-2</v>
      </c>
      <c r="AC654" s="27">
        <f t="shared" si="140"/>
        <v>1.5252343422195683E-2</v>
      </c>
      <c r="AD654" s="27">
        <f t="shared" si="140"/>
        <v>1.528613499352576E-2</v>
      </c>
      <c r="AE654" s="27">
        <f t="shared" si="140"/>
        <v>1.5319183069795761E-2</v>
      </c>
      <c r="AF654" s="27">
        <f t="shared" si="140"/>
        <v>1.5351423055728343E-2</v>
      </c>
      <c r="AG654" s="27">
        <f t="shared" si="140"/>
        <v>1.5382634347686872E-2</v>
      </c>
      <c r="AH654" s="27">
        <f t="shared" si="140"/>
        <v>1.5412986814805201E-2</v>
      </c>
      <c r="AI654" s="27">
        <f t="shared" si="140"/>
        <v>1.5442542460580333E-2</v>
      </c>
      <c r="AJ654" s="27">
        <f t="shared" si="140"/>
        <v>1.5471431054826285E-2</v>
      </c>
      <c r="AK654" s="27">
        <f t="shared" ref="L654:AW661" si="141">AK1419</f>
        <v>1.5498756892033489E-2</v>
      </c>
      <c r="AL654" s="27">
        <f t="shared" si="141"/>
        <v>1.5524513513074619E-2</v>
      </c>
      <c r="AM654" s="27">
        <f t="shared" si="141"/>
        <v>1.5548984646319333E-2</v>
      </c>
      <c r="AN654" s="27">
        <f t="shared" si="141"/>
        <v>1.5571987875403363E-2</v>
      </c>
      <c r="AO654" s="27">
        <f t="shared" si="141"/>
        <v>1.5593591673600768E-2</v>
      </c>
      <c r="AP654" s="27">
        <f t="shared" si="141"/>
        <v>1.5613707165200276E-2</v>
      </c>
      <c r="AQ654" s="27">
        <f t="shared" si="141"/>
        <v>1.5632023858239551E-2</v>
      </c>
      <c r="AR654" s="27">
        <f t="shared" si="141"/>
        <v>1.5648256533695205E-2</v>
      </c>
      <c r="AS654" s="27">
        <f t="shared" si="141"/>
        <v>1.5662406299088667E-2</v>
      </c>
      <c r="AT654" s="27">
        <f t="shared" si="141"/>
        <v>1.5674356891571192E-2</v>
      </c>
      <c r="AU654" s="27">
        <f t="shared" si="141"/>
        <v>1.568412043163633E-2</v>
      </c>
      <c r="AV654" s="27">
        <f t="shared" si="141"/>
        <v>1.5691980107154113E-2</v>
      </c>
      <c r="AW654" s="27">
        <f t="shared" si="141"/>
        <v>1.5696383554298719E-2</v>
      </c>
      <c r="AY654" s="79"/>
      <c r="AZ654" s="79"/>
    </row>
    <row r="655" spans="1:52" x14ac:dyDescent="0.25">
      <c r="A655" s="95" t="str">
        <f t="shared" si="133"/>
        <v>NI Goats MMN2O</v>
      </c>
      <c r="B655" s="95" t="s">
        <v>968</v>
      </c>
      <c r="C655" s="95" t="s">
        <v>1328</v>
      </c>
      <c r="D655" t="s">
        <v>15</v>
      </c>
      <c r="E655" t="s">
        <v>657</v>
      </c>
      <c r="F655" t="s">
        <v>19</v>
      </c>
      <c r="G655" t="s">
        <v>123</v>
      </c>
      <c r="H655" t="s">
        <v>1226</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0.11664735601685972</v>
      </c>
      <c r="P655" s="27">
        <f t="shared" si="141"/>
        <v>0.11732381389682567</v>
      </c>
      <c r="Q655" s="27">
        <f t="shared" si="141"/>
        <v>0.11805182815822723</v>
      </c>
      <c r="R655" s="27">
        <f t="shared" si="141"/>
        <v>0.11882851694408277</v>
      </c>
      <c r="S655" s="27">
        <f t="shared" si="141"/>
        <v>0.11853715118666242</v>
      </c>
      <c r="T655" s="27">
        <f t="shared" si="141"/>
        <v>0.11874091666314918</v>
      </c>
      <c r="U655" s="27">
        <f t="shared" si="141"/>
        <v>0.11876068976520925</v>
      </c>
      <c r="V655" s="27">
        <f t="shared" si="141"/>
        <v>0.11881505318313448</v>
      </c>
      <c r="W655" s="27">
        <f t="shared" si="141"/>
        <v>0.11905540863653861</v>
      </c>
      <c r="X655" s="27">
        <f t="shared" si="141"/>
        <v>0.11940895806915272</v>
      </c>
      <c r="Y655" s="27">
        <f t="shared" si="141"/>
        <v>0.11974269007607956</v>
      </c>
      <c r="Z655" s="27">
        <f t="shared" si="141"/>
        <v>0.12005817381740651</v>
      </c>
      <c r="AA655" s="27">
        <f t="shared" si="141"/>
        <v>0.12035557077549322</v>
      </c>
      <c r="AB655" s="27">
        <f t="shared" si="141"/>
        <v>0.12064103465099509</v>
      </c>
      <c r="AC655" s="27">
        <f t="shared" si="141"/>
        <v>0.12091884853130468</v>
      </c>
      <c r="AD655" s="27">
        <f t="shared" si="141"/>
        <v>0.12118674427572847</v>
      </c>
      <c r="AE655" s="27">
        <f t="shared" si="141"/>
        <v>0.12144874567565288</v>
      </c>
      <c r="AF655" s="27">
        <f t="shared" si="141"/>
        <v>0.1217043406270464</v>
      </c>
      <c r="AG655" s="27">
        <f t="shared" si="141"/>
        <v>0.12195178020930149</v>
      </c>
      <c r="AH655" s="27">
        <f t="shared" si="141"/>
        <v>0.12219241112564265</v>
      </c>
      <c r="AI655" s="27">
        <f t="shared" si="141"/>
        <v>0.1224267249327608</v>
      </c>
      <c r="AJ655" s="27">
        <f t="shared" si="141"/>
        <v>0.1226557504310213</v>
      </c>
      <c r="AK655" s="27">
        <f t="shared" si="141"/>
        <v>0.12287238656874688</v>
      </c>
      <c r="AL655" s="27">
        <f t="shared" si="141"/>
        <v>0.12307658213870883</v>
      </c>
      <c r="AM655" s="27">
        <f t="shared" si="141"/>
        <v>0.1232705865072376</v>
      </c>
      <c r="AN655" s="27">
        <f t="shared" si="141"/>
        <v>0.12345295349808931</v>
      </c>
      <c r="AO655" s="27">
        <f t="shared" si="141"/>
        <v>0.12362422595961356</v>
      </c>
      <c r="AP655" s="27">
        <f t="shared" si="141"/>
        <v>0.12378369929525287</v>
      </c>
      <c r="AQ655" s="27">
        <f t="shared" si="141"/>
        <v>0.12392891195994982</v>
      </c>
      <c r="AR655" s="27">
        <f t="shared" si="141"/>
        <v>0.12405760276964035</v>
      </c>
      <c r="AS655" s="27">
        <f t="shared" si="141"/>
        <v>0.12416978050462869</v>
      </c>
      <c r="AT655" s="27">
        <f t="shared" si="141"/>
        <v>0.12426452344623794</v>
      </c>
      <c r="AU655" s="27">
        <f t="shared" si="141"/>
        <v>0.12434192768436619</v>
      </c>
      <c r="AV655" s="27">
        <f t="shared" si="141"/>
        <v>0.1244042383003242</v>
      </c>
      <c r="AW655" s="27">
        <f t="shared" si="141"/>
        <v>0.12443914832979021</v>
      </c>
      <c r="AY655" s="79"/>
      <c r="AZ655" s="79"/>
    </row>
    <row r="656" spans="1:52" x14ac:dyDescent="0.25">
      <c r="A656" s="95" t="str">
        <f t="shared" si="133"/>
        <v>NI Horses MMN2O</v>
      </c>
      <c r="B656" s="95" t="s">
        <v>968</v>
      </c>
      <c r="C656" s="95" t="s">
        <v>1329</v>
      </c>
      <c r="D656" t="s">
        <v>15</v>
      </c>
      <c r="E656" t="s">
        <v>657</v>
      </c>
      <c r="F656" t="s">
        <v>20</v>
      </c>
      <c r="G656" t="s">
        <v>3</v>
      </c>
      <c r="H656" t="s">
        <v>1226</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5">
      <c r="A657" s="95" t="str">
        <f t="shared" si="133"/>
        <v>NI Mules MMN2O</v>
      </c>
      <c r="B657" s="95" t="s">
        <v>968</v>
      </c>
      <c r="C657" s="95" t="s">
        <v>1330</v>
      </c>
      <c r="D657" t="s">
        <v>15</v>
      </c>
      <c r="E657" t="s">
        <v>657</v>
      </c>
      <c r="F657" t="s">
        <v>140</v>
      </c>
      <c r="G657" t="s">
        <v>124</v>
      </c>
      <c r="H657" t="s">
        <v>1226</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5">
      <c r="A658" s="95" t="str">
        <f t="shared" si="133"/>
        <v>NI Swine MMN2O</v>
      </c>
      <c r="B658" s="95" t="s">
        <v>968</v>
      </c>
      <c r="C658" s="95" t="s">
        <v>1232</v>
      </c>
      <c r="D658" t="s">
        <v>15</v>
      </c>
      <c r="E658" t="s">
        <v>657</v>
      </c>
      <c r="F658" t="s">
        <v>21</v>
      </c>
      <c r="G658" t="s">
        <v>122</v>
      </c>
      <c r="H658" t="s">
        <v>1226</v>
      </c>
      <c r="I658" t="s">
        <v>139</v>
      </c>
      <c r="J658" t="s">
        <v>287</v>
      </c>
      <c r="K658" s="27">
        <f t="shared" si="135"/>
        <v>9.7466979224281824E-2</v>
      </c>
      <c r="L658" s="27">
        <f t="shared" si="141"/>
        <v>9.6937181363551519E-2</v>
      </c>
      <c r="M658" s="27">
        <f t="shared" si="141"/>
        <v>9.6980665528366566E-2</v>
      </c>
      <c r="N658" s="27">
        <f t="shared" si="141"/>
        <v>9.6090308702663552E-2</v>
      </c>
      <c r="O658" s="27">
        <f t="shared" si="141"/>
        <v>9.4636150647850456E-2</v>
      </c>
      <c r="P658" s="27">
        <f t="shared" si="141"/>
        <v>9.2641437622218339E-2</v>
      </c>
      <c r="Q658" s="27">
        <f t="shared" si="141"/>
        <v>9.1193054757597189E-2</v>
      </c>
      <c r="R658" s="27">
        <f t="shared" si="141"/>
        <v>8.9872834352323586E-2</v>
      </c>
      <c r="S658" s="27">
        <f t="shared" si="141"/>
        <v>8.0734544225409766E-2</v>
      </c>
      <c r="T658" s="27">
        <f t="shared" si="141"/>
        <v>8.4382841213531623E-2</v>
      </c>
      <c r="U658" s="27">
        <f t="shared" si="141"/>
        <v>8.5485831085546846E-2</v>
      </c>
      <c r="V658" s="27">
        <f t="shared" si="141"/>
        <v>8.4642168924532232E-2</v>
      </c>
      <c r="W658" s="27">
        <f t="shared" si="141"/>
        <v>8.3900172539890919E-2</v>
      </c>
      <c r="X658" s="27">
        <f t="shared" si="141"/>
        <v>8.3670858252268526E-2</v>
      </c>
      <c r="Y658" s="27">
        <f t="shared" si="141"/>
        <v>8.3934301237427442E-2</v>
      </c>
      <c r="Z658" s="27">
        <f t="shared" si="141"/>
        <v>8.44249898120146E-2</v>
      </c>
      <c r="AA658" s="27">
        <f t="shared" si="141"/>
        <v>8.5198904999322256E-2</v>
      </c>
      <c r="AB658" s="27">
        <f t="shared" si="141"/>
        <v>8.6442123684456251E-2</v>
      </c>
      <c r="AC658" s="27">
        <f t="shared" si="141"/>
        <v>8.8111240076380506E-2</v>
      </c>
      <c r="AD658" s="27">
        <f t="shared" si="141"/>
        <v>9.001094563198829E-2</v>
      </c>
      <c r="AE658" s="27">
        <f t="shared" si="141"/>
        <v>9.2122381916242821E-2</v>
      </c>
      <c r="AF658" s="27">
        <f t="shared" si="141"/>
        <v>9.433993402703468E-2</v>
      </c>
      <c r="AG658" s="27">
        <f t="shared" si="141"/>
        <v>9.6701686348057328E-2</v>
      </c>
      <c r="AH658" s="27">
        <f t="shared" si="141"/>
        <v>9.9156733920468212E-2</v>
      </c>
      <c r="AI658" s="27">
        <f t="shared" si="141"/>
        <v>0.10153918433243618</v>
      </c>
      <c r="AJ658" s="27">
        <f t="shared" si="141"/>
        <v>0.10407920464758763</v>
      </c>
      <c r="AK658" s="27">
        <f t="shared" si="141"/>
        <v>0.10662429120765052</v>
      </c>
      <c r="AL658" s="27">
        <f t="shared" si="141"/>
        <v>0.10916108152437015</v>
      </c>
      <c r="AM658" s="27">
        <f t="shared" si="141"/>
        <v>0.11175521560682936</v>
      </c>
      <c r="AN658" s="27">
        <f t="shared" si="141"/>
        <v>0.11423893572460501</v>
      </c>
      <c r="AO658" s="27">
        <f t="shared" si="141"/>
        <v>0.11683800387615073</v>
      </c>
      <c r="AP658" s="27">
        <f t="shared" si="141"/>
        <v>0.11962734368800265</v>
      </c>
      <c r="AQ658" s="27">
        <f t="shared" si="141"/>
        <v>0.12246543086827189</v>
      </c>
      <c r="AR658" s="27">
        <f t="shared" si="141"/>
        <v>0.12535748302837027</v>
      </c>
      <c r="AS658" s="27">
        <f t="shared" si="141"/>
        <v>0.12844640721926534</v>
      </c>
      <c r="AT658" s="27">
        <f t="shared" si="141"/>
        <v>0.13167842894497958</v>
      </c>
      <c r="AU658" s="27">
        <f t="shared" si="141"/>
        <v>0.13501670748772379</v>
      </c>
      <c r="AV658" s="27">
        <f t="shared" si="141"/>
        <v>0.13854783957825018</v>
      </c>
      <c r="AW658" s="27">
        <f t="shared" si="141"/>
        <v>0.14174415331850926</v>
      </c>
      <c r="AY658" s="79"/>
      <c r="AZ658" s="79"/>
    </row>
    <row r="659" spans="1:52" x14ac:dyDescent="0.25">
      <c r="A659" s="95" t="str">
        <f t="shared" si="133"/>
        <v>NI Swine MMN2O</v>
      </c>
      <c r="B659" s="95" t="s">
        <v>968</v>
      </c>
      <c r="C659" s="95" t="s">
        <v>1232</v>
      </c>
      <c r="D659" t="s">
        <v>15</v>
      </c>
      <c r="E659" t="s">
        <v>657</v>
      </c>
      <c r="F659" t="s">
        <v>21</v>
      </c>
      <c r="G659" t="s">
        <v>123</v>
      </c>
      <c r="H659" t="s">
        <v>1226</v>
      </c>
      <c r="I659" t="s">
        <v>139</v>
      </c>
      <c r="J659" t="s">
        <v>287</v>
      </c>
      <c r="K659" s="27">
        <f t="shared" si="135"/>
        <v>3.8131055665722169E-2</v>
      </c>
      <c r="L659" s="27">
        <f t="shared" si="141"/>
        <v>3.7923788015899962E-2</v>
      </c>
      <c r="M659" s="27">
        <f t="shared" si="141"/>
        <v>3.794079990159023E-2</v>
      </c>
      <c r="N659" s="27">
        <f t="shared" si="141"/>
        <v>3.7592474284510076E-2</v>
      </c>
      <c r="O659" s="27">
        <f t="shared" si="141"/>
        <v>3.7023578211438556E-2</v>
      </c>
      <c r="P659" s="27">
        <f t="shared" si="141"/>
        <v>3.6243206089281214E-2</v>
      </c>
      <c r="Q659" s="27">
        <f t="shared" si="141"/>
        <v>3.5676569387541837E-2</v>
      </c>
      <c r="R659" s="27">
        <f t="shared" si="141"/>
        <v>3.5160072434777263E-2</v>
      </c>
      <c r="S659" s="27">
        <f t="shared" si="141"/>
        <v>3.1584988316113387E-2</v>
      </c>
      <c r="T659" s="27">
        <f t="shared" si="141"/>
        <v>3.3012275964159274E-2</v>
      </c>
      <c r="U659" s="27">
        <f t="shared" si="141"/>
        <v>3.3443787934092799E-2</v>
      </c>
      <c r="V659" s="27">
        <f t="shared" si="141"/>
        <v>3.3113730215255661E-2</v>
      </c>
      <c r="W659" s="27">
        <f t="shared" si="141"/>
        <v>3.2823446206541117E-2</v>
      </c>
      <c r="X659" s="27">
        <f t="shared" si="141"/>
        <v>3.2733733814345668E-2</v>
      </c>
      <c r="Y659" s="27">
        <f t="shared" si="141"/>
        <v>3.2836798044013883E-2</v>
      </c>
      <c r="Z659" s="27">
        <f t="shared" si="141"/>
        <v>3.3028765349259512E-2</v>
      </c>
      <c r="AA659" s="27">
        <f t="shared" si="141"/>
        <v>3.3331536639830336E-2</v>
      </c>
      <c r="AB659" s="27">
        <f t="shared" si="141"/>
        <v>3.3817908960638868E-2</v>
      </c>
      <c r="AC659" s="27">
        <f t="shared" si="141"/>
        <v>3.4470901087403957E-2</v>
      </c>
      <c r="AD659" s="27">
        <f t="shared" si="141"/>
        <v>3.5214104363691767E-2</v>
      </c>
      <c r="AE659" s="27">
        <f t="shared" si="141"/>
        <v>3.6040140987893189E-2</v>
      </c>
      <c r="AF659" s="27">
        <f t="shared" si="141"/>
        <v>3.6907692271940552E-2</v>
      </c>
      <c r="AG659" s="27">
        <f t="shared" si="141"/>
        <v>3.7831657597821179E-2</v>
      </c>
      <c r="AH659" s="27">
        <f t="shared" si="141"/>
        <v>3.879212191497397E-2</v>
      </c>
      <c r="AI659" s="27">
        <f t="shared" si="141"/>
        <v>3.9724184753102243E-2</v>
      </c>
      <c r="AJ659" s="27">
        <f t="shared" si="141"/>
        <v>4.0717892127640175E-2</v>
      </c>
      <c r="AK659" s="27">
        <f t="shared" si="141"/>
        <v>4.1713581519762656E-2</v>
      </c>
      <c r="AL659" s="27">
        <f t="shared" si="141"/>
        <v>4.270602525351698E-2</v>
      </c>
      <c r="AM659" s="27">
        <f t="shared" si="141"/>
        <v>4.3720903029455652E-2</v>
      </c>
      <c r="AN659" s="27">
        <f t="shared" si="141"/>
        <v>4.4692584626882061E-2</v>
      </c>
      <c r="AO659" s="27">
        <f t="shared" si="141"/>
        <v>4.5709392710546422E-2</v>
      </c>
      <c r="AP659" s="27">
        <f t="shared" si="141"/>
        <v>4.6800638920112353E-2</v>
      </c>
      <c r="AQ659" s="27">
        <f t="shared" si="141"/>
        <v>4.791095608718076E-2</v>
      </c>
      <c r="AR659" s="27">
        <f t="shared" si="141"/>
        <v>4.9042385446975784E-2</v>
      </c>
      <c r="AS659" s="27">
        <f t="shared" si="141"/>
        <v>5.0250835131244558E-2</v>
      </c>
      <c r="AT659" s="27">
        <f t="shared" si="141"/>
        <v>5.1515267468399954E-2</v>
      </c>
      <c r="AU659" s="27">
        <f t="shared" si="141"/>
        <v>5.2821269623736601E-2</v>
      </c>
      <c r="AV659" s="27">
        <f t="shared" si="141"/>
        <v>5.4202719991630371E-2</v>
      </c>
      <c r="AW659" s="27">
        <f t="shared" si="141"/>
        <v>5.5453182641903707E-2</v>
      </c>
      <c r="AY659" s="79"/>
      <c r="AZ659" s="79"/>
    </row>
    <row r="660" spans="1:52" x14ac:dyDescent="0.25">
      <c r="A660" s="95" t="str">
        <f t="shared" si="133"/>
        <v>NI Poultry MMN2O</v>
      </c>
      <c r="B660" s="95" t="s">
        <v>968</v>
      </c>
      <c r="C660" s="95" t="s">
        <v>1233</v>
      </c>
      <c r="D660" t="s">
        <v>15</v>
      </c>
      <c r="E660" t="s">
        <v>657</v>
      </c>
      <c r="F660" t="s">
        <v>28</v>
      </c>
      <c r="G660" t="s">
        <v>131</v>
      </c>
      <c r="H660" t="s">
        <v>1226</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0.36607496135357975</v>
      </c>
      <c r="S660" s="27">
        <f t="shared" si="141"/>
        <v>0.35135538223408885</v>
      </c>
      <c r="T660" s="27">
        <f t="shared" si="141"/>
        <v>0.3660250744881503</v>
      </c>
      <c r="U660" s="27">
        <f t="shared" si="141"/>
        <v>0.3747433751291977</v>
      </c>
      <c r="V660" s="27">
        <f t="shared" si="141"/>
        <v>0.37890472124533414</v>
      </c>
      <c r="W660" s="27">
        <f t="shared" si="141"/>
        <v>0.38351980018418114</v>
      </c>
      <c r="X660" s="27">
        <f t="shared" si="141"/>
        <v>0.38953835570243145</v>
      </c>
      <c r="Y660" s="27">
        <f t="shared" si="141"/>
        <v>0.39678314869255904</v>
      </c>
      <c r="Z660" s="27">
        <f t="shared" si="141"/>
        <v>0.40464075152916346</v>
      </c>
      <c r="AA660" s="27">
        <f t="shared" si="141"/>
        <v>0.41330404639575669</v>
      </c>
      <c r="AB660" s="27">
        <f t="shared" si="141"/>
        <v>0.42334665156208889</v>
      </c>
      <c r="AC660" s="27">
        <f t="shared" si="141"/>
        <v>0.43473806986049379</v>
      </c>
      <c r="AD660" s="27">
        <f t="shared" si="141"/>
        <v>0.44699375378888861</v>
      </c>
      <c r="AE660" s="27">
        <f t="shared" si="141"/>
        <v>0.46011178168093952</v>
      </c>
      <c r="AF660" s="27">
        <f t="shared" si="141"/>
        <v>0.47382089637959635</v>
      </c>
      <c r="AG660" s="27">
        <f t="shared" si="141"/>
        <v>0.48826027881230222</v>
      </c>
      <c r="AH660" s="27">
        <f t="shared" si="141"/>
        <v>0.50330862860005154</v>
      </c>
      <c r="AI660" s="27">
        <f t="shared" si="141"/>
        <v>0.5184689754858961</v>
      </c>
      <c r="AJ660" s="27">
        <f t="shared" si="141"/>
        <v>0.53447970815576928</v>
      </c>
      <c r="AK660" s="27">
        <f t="shared" si="141"/>
        <v>0.55086704408448872</v>
      </c>
      <c r="AL660" s="27">
        <f t="shared" si="141"/>
        <v>0.56759733652439393</v>
      </c>
      <c r="AM660" s="27">
        <f t="shared" si="141"/>
        <v>0.58490701814028823</v>
      </c>
      <c r="AN660" s="27">
        <f t="shared" si="141"/>
        <v>0.60223366750494911</v>
      </c>
      <c r="AO660" s="27">
        <f t="shared" si="141"/>
        <v>0.62036595204994383</v>
      </c>
      <c r="AP660" s="27">
        <f t="shared" si="141"/>
        <v>0.63960685850737242</v>
      </c>
      <c r="AQ660" s="27">
        <f t="shared" si="141"/>
        <v>0.65948374000710175</v>
      </c>
      <c r="AR660" s="27">
        <f t="shared" si="141"/>
        <v>0.68003541307118265</v>
      </c>
      <c r="AS660" s="27">
        <f t="shared" si="141"/>
        <v>0.70183096342172768</v>
      </c>
      <c r="AT660" s="27">
        <f t="shared" si="141"/>
        <v>0.72471687693803755</v>
      </c>
      <c r="AU660" s="27">
        <f t="shared" si="141"/>
        <v>0.74859496074669962</v>
      </c>
      <c r="AV660" s="27">
        <f t="shared" si="141"/>
        <v>0.77385822122722236</v>
      </c>
      <c r="AW660" s="27">
        <f t="shared" si="141"/>
        <v>0.79838507129603287</v>
      </c>
      <c r="AY660" s="79"/>
      <c r="AZ660" s="79"/>
    </row>
    <row r="661" spans="1:52" x14ac:dyDescent="0.25">
      <c r="A661" s="95" t="str">
        <f t="shared" si="133"/>
        <v>NI Poultry MMN2O</v>
      </c>
      <c r="B661" s="95" t="s">
        <v>968</v>
      </c>
      <c r="C661" s="95" t="s">
        <v>1233</v>
      </c>
      <c r="D661" t="s">
        <v>15</v>
      </c>
      <c r="E661" t="s">
        <v>657</v>
      </c>
      <c r="F661" t="s">
        <v>28</v>
      </c>
      <c r="G661" t="s">
        <v>132</v>
      </c>
      <c r="H661" t="s">
        <v>1226</v>
      </c>
      <c r="I661" t="s">
        <v>139</v>
      </c>
      <c r="J661" t="s">
        <v>287</v>
      </c>
      <c r="K661" s="27">
        <f t="shared" si="135"/>
        <v>1.7017151675634961</v>
      </c>
      <c r="L661" s="27">
        <f t="shared" si="141"/>
        <v>1.7241237147327637</v>
      </c>
      <c r="M661" s="27">
        <f t="shared" si="141"/>
        <v>1.7601182693498105</v>
      </c>
      <c r="N661" s="27">
        <f t="shared" si="141"/>
        <v>1.7704533576020511</v>
      </c>
      <c r="O661" s="27">
        <f t="shared" si="141"/>
        <v>1.7641159598844747</v>
      </c>
      <c r="P661" s="27">
        <f t="shared" si="141"/>
        <v>1.7411735022142167</v>
      </c>
      <c r="Q661" s="27">
        <f t="shared" si="141"/>
        <v>1.7315152516158574</v>
      </c>
      <c r="R661" s="27">
        <f t="shared" si="141"/>
        <v>1.7240481490859689</v>
      </c>
      <c r="S661" s="27">
        <f t="shared" si="141"/>
        <v>1.4999683948751941</v>
      </c>
      <c r="T661" s="27">
        <f t="shared" si="141"/>
        <v>1.635678170936574</v>
      </c>
      <c r="U661" s="27">
        <f t="shared" si="141"/>
        <v>1.7009774454367668</v>
      </c>
      <c r="V661" s="27">
        <f t="shared" si="141"/>
        <v>1.7091479327288939</v>
      </c>
      <c r="W661" s="27">
        <f t="shared" si="141"/>
        <v>1.7185668307415591</v>
      </c>
      <c r="X661" s="27">
        <f t="shared" si="141"/>
        <v>1.7424532471009451</v>
      </c>
      <c r="Y661" s="27">
        <f t="shared" si="141"/>
        <v>1.7817834224196265</v>
      </c>
      <c r="Z661" s="27">
        <f t="shared" ref="L661:AW663" si="142">Z1426</f>
        <v>1.8288406604826053</v>
      </c>
      <c r="AA661" s="27">
        <f t="shared" si="142"/>
        <v>1.885701932517597</v>
      </c>
      <c r="AB661" s="27">
        <f t="shared" si="142"/>
        <v>1.9586802917289898</v>
      </c>
      <c r="AC661" s="27">
        <f t="shared" si="142"/>
        <v>2.0469431813370456</v>
      </c>
      <c r="AD661" s="27">
        <f t="shared" si="142"/>
        <v>2.1446346617917671</v>
      </c>
      <c r="AE661" s="27">
        <f t="shared" si="142"/>
        <v>2.2514306358992373</v>
      </c>
      <c r="AF661" s="27">
        <f t="shared" si="142"/>
        <v>2.364080403374996</v>
      </c>
      <c r="AG661" s="27">
        <f t="shared" si="142"/>
        <v>2.4840914132913525</v>
      </c>
      <c r="AH661" s="27">
        <f t="shared" si="142"/>
        <v>2.609932995576361</v>
      </c>
      <c r="AI661" s="27">
        <f t="shared" si="142"/>
        <v>2.7359571600200745</v>
      </c>
      <c r="AJ661" s="27">
        <f t="shared" si="142"/>
        <v>2.870315303671148</v>
      </c>
      <c r="AK661" s="27">
        <f t="shared" si="142"/>
        <v>3.0078431709030542</v>
      </c>
      <c r="AL661" s="27">
        <f t="shared" si="142"/>
        <v>3.1481328800356168</v>
      </c>
      <c r="AM661" s="27">
        <f t="shared" si="142"/>
        <v>3.293658685243031</v>
      </c>
      <c r="AN661" s="27">
        <f t="shared" si="142"/>
        <v>3.4383107407406079</v>
      </c>
      <c r="AO661" s="27">
        <f t="shared" si="142"/>
        <v>3.5905693529651876</v>
      </c>
      <c r="AP661" s="27">
        <f t="shared" si="142"/>
        <v>3.7535692593915186</v>
      </c>
      <c r="AQ661" s="27">
        <f t="shared" si="142"/>
        <v>3.922195814332385</v>
      </c>
      <c r="AR661" s="27">
        <f t="shared" si="142"/>
        <v>4.0968427833898948</v>
      </c>
      <c r="AS661" s="27">
        <f t="shared" si="142"/>
        <v>4.2833995063649954</v>
      </c>
      <c r="AT661" s="27">
        <f t="shared" si="142"/>
        <v>4.4801147383664359</v>
      </c>
      <c r="AU661" s="27">
        <f t="shared" si="142"/>
        <v>4.6858252173265607</v>
      </c>
      <c r="AV661" s="27">
        <f t="shared" si="142"/>
        <v>4.9044073325814885</v>
      </c>
      <c r="AW661" s="27">
        <f t="shared" si="142"/>
        <v>5.1142236717204526</v>
      </c>
      <c r="AY661" s="79"/>
      <c r="AZ661" s="79"/>
    </row>
    <row r="662" spans="1:52" x14ac:dyDescent="0.25">
      <c r="A662" s="95" t="str">
        <f t="shared" si="133"/>
        <v>NI Poultry MMN2O</v>
      </c>
      <c r="B662" s="95" t="s">
        <v>968</v>
      </c>
      <c r="C662" s="95" t="s">
        <v>1233</v>
      </c>
      <c r="D662" t="s">
        <v>15</v>
      </c>
      <c r="E662" t="s">
        <v>657</v>
      </c>
      <c r="F662" t="s">
        <v>28</v>
      </c>
      <c r="G662" t="s">
        <v>134</v>
      </c>
      <c r="H662" t="s">
        <v>1226</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1.4711795979713126E-2</v>
      </c>
      <c r="P662" s="27">
        <f t="shared" si="142"/>
        <v>1.4861520550190493E-2</v>
      </c>
      <c r="Q662" s="27">
        <f t="shared" si="142"/>
        <v>1.5053508778373347E-2</v>
      </c>
      <c r="R662" s="27">
        <f t="shared" si="142"/>
        <v>1.5253123389732505E-2</v>
      </c>
      <c r="S662" s="27">
        <f t="shared" si="142"/>
        <v>1.4639807593087044E-2</v>
      </c>
      <c r="T662" s="27">
        <f t="shared" si="142"/>
        <v>1.525104477033961E-2</v>
      </c>
      <c r="U662" s="27">
        <f t="shared" si="142"/>
        <v>1.5614307297049917E-2</v>
      </c>
      <c r="V662" s="27">
        <f t="shared" si="142"/>
        <v>1.5787696718555604E-2</v>
      </c>
      <c r="W662" s="27">
        <f t="shared" si="142"/>
        <v>1.5979991674340898E-2</v>
      </c>
      <c r="X662" s="27">
        <f t="shared" si="142"/>
        <v>1.6230764820934659E-2</v>
      </c>
      <c r="Y662" s="27">
        <f t="shared" si="142"/>
        <v>1.6532631195523312E-2</v>
      </c>
      <c r="Z662" s="27">
        <f t="shared" si="142"/>
        <v>1.6860031313715163E-2</v>
      </c>
      <c r="AA662" s="27">
        <f t="shared" si="142"/>
        <v>1.7221001933156545E-2</v>
      </c>
      <c r="AB662" s="27">
        <f t="shared" si="142"/>
        <v>1.7639443815087055E-2</v>
      </c>
      <c r="AC662" s="27">
        <f t="shared" si="142"/>
        <v>1.8114086244187262E-2</v>
      </c>
      <c r="AD662" s="27">
        <f t="shared" si="142"/>
        <v>1.8624739741203704E-2</v>
      </c>
      <c r="AE662" s="27">
        <f t="shared" si="142"/>
        <v>1.9171324236705832E-2</v>
      </c>
      <c r="AF662" s="27">
        <f t="shared" si="142"/>
        <v>1.9742537349149866E-2</v>
      </c>
      <c r="AG662" s="27">
        <f t="shared" si="142"/>
        <v>2.0344178283845944E-2</v>
      </c>
      <c r="AH662" s="27">
        <f t="shared" si="142"/>
        <v>2.09711928583355E-2</v>
      </c>
      <c r="AI662" s="27">
        <f t="shared" si="142"/>
        <v>2.1602873978579022E-2</v>
      </c>
      <c r="AJ662" s="27">
        <f t="shared" si="142"/>
        <v>2.226998783982374E-2</v>
      </c>
      <c r="AK662" s="27">
        <f t="shared" si="142"/>
        <v>2.2952793503520384E-2</v>
      </c>
      <c r="AL662" s="27">
        <f t="shared" si="142"/>
        <v>2.3649889021849769E-2</v>
      </c>
      <c r="AM662" s="27">
        <f t="shared" si="142"/>
        <v>2.4371125755845373E-2</v>
      </c>
      <c r="AN662" s="27">
        <f t="shared" si="142"/>
        <v>2.5093069479372905E-2</v>
      </c>
      <c r="AO662" s="27">
        <f t="shared" si="142"/>
        <v>2.5848581335414348E-2</v>
      </c>
      <c r="AP662" s="27">
        <f t="shared" si="142"/>
        <v>2.665028577114054E-2</v>
      </c>
      <c r="AQ662" s="27">
        <f t="shared" si="142"/>
        <v>2.7478489166962602E-2</v>
      </c>
      <c r="AR662" s="27">
        <f t="shared" si="142"/>
        <v>2.8334808877965974E-2</v>
      </c>
      <c r="AS662" s="27">
        <f t="shared" si="142"/>
        <v>2.924295680923868E-2</v>
      </c>
      <c r="AT662" s="27">
        <f t="shared" si="142"/>
        <v>3.0196536539084926E-2</v>
      </c>
      <c r="AU662" s="27">
        <f t="shared" si="142"/>
        <v>3.1191456697779184E-2</v>
      </c>
      <c r="AV662" s="27">
        <f t="shared" si="142"/>
        <v>3.2244092551134286E-2</v>
      </c>
      <c r="AW662" s="27">
        <f t="shared" si="142"/>
        <v>3.3266044637334728E-2</v>
      </c>
      <c r="AY662" s="79"/>
      <c r="AZ662" s="79"/>
    </row>
    <row r="663" spans="1:52" x14ac:dyDescent="0.25">
      <c r="A663" s="95" t="str">
        <f t="shared" si="133"/>
        <v>NI Poultry MMN2O</v>
      </c>
      <c r="B663" s="95" t="s">
        <v>968</v>
      </c>
      <c r="C663" s="95" t="s">
        <v>1233</v>
      </c>
      <c r="D663" t="s">
        <v>15</v>
      </c>
      <c r="E663" t="s">
        <v>657</v>
      </c>
      <c r="F663" t="s">
        <v>28</v>
      </c>
      <c r="G663" t="s">
        <v>133</v>
      </c>
      <c r="H663" t="s">
        <v>1226</v>
      </c>
      <c r="I663" t="s">
        <v>139</v>
      </c>
      <c r="J663" t="s">
        <v>287</v>
      </c>
      <c r="K663" s="27">
        <f t="shared" si="135"/>
        <v>7.0904798648479067E-2</v>
      </c>
      <c r="L663" s="27">
        <f t="shared" si="142"/>
        <v>7.1838488113865229E-2</v>
      </c>
      <c r="M663" s="27">
        <f t="shared" si="142"/>
        <v>7.3338261222908846E-2</v>
      </c>
      <c r="N663" s="27">
        <f t="shared" si="142"/>
        <v>7.3768889900085524E-2</v>
      </c>
      <c r="O663" s="27">
        <f t="shared" si="142"/>
        <v>7.3504831661853176E-2</v>
      </c>
      <c r="P663" s="27">
        <f t="shared" si="142"/>
        <v>7.2548895925592424E-2</v>
      </c>
      <c r="Q663" s="27">
        <f t="shared" si="142"/>
        <v>7.2146468817327461E-2</v>
      </c>
      <c r="R663" s="27">
        <f t="shared" si="142"/>
        <v>7.1835339545248775E-2</v>
      </c>
      <c r="S663" s="27">
        <f t="shared" si="142"/>
        <v>6.2498683119799801E-2</v>
      </c>
      <c r="T663" s="27">
        <f t="shared" si="142"/>
        <v>6.81532571223573E-2</v>
      </c>
      <c r="U663" s="27">
        <f t="shared" si="142"/>
        <v>7.0874060226532018E-2</v>
      </c>
      <c r="V663" s="27">
        <f t="shared" si="142"/>
        <v>7.1214497197037332E-2</v>
      </c>
      <c r="W663" s="27">
        <f t="shared" si="142"/>
        <v>7.1606951280898362E-2</v>
      </c>
      <c r="X663" s="27">
        <f t="shared" si="142"/>
        <v>7.26022186292061E-2</v>
      </c>
      <c r="Y663" s="27">
        <f t="shared" si="142"/>
        <v>7.4240975934151174E-2</v>
      </c>
      <c r="Z663" s="27">
        <f t="shared" si="142"/>
        <v>7.620169418677529E-2</v>
      </c>
      <c r="AA663" s="27">
        <f t="shared" si="142"/>
        <v>7.8570913854899935E-2</v>
      </c>
      <c r="AB663" s="27">
        <f t="shared" si="142"/>
        <v>8.1611678822041331E-2</v>
      </c>
      <c r="AC663" s="27">
        <f t="shared" si="142"/>
        <v>8.5289299222376991E-2</v>
      </c>
      <c r="AD663" s="27">
        <f t="shared" si="142"/>
        <v>8.9359777574657032E-2</v>
      </c>
      <c r="AE663" s="27">
        <f t="shared" si="142"/>
        <v>9.3809609829134971E-2</v>
      </c>
      <c r="AF663" s="27">
        <f t="shared" si="142"/>
        <v>9.8503350140624904E-2</v>
      </c>
      <c r="AG663" s="27">
        <f t="shared" si="142"/>
        <v>0.10350380888713978</v>
      </c>
      <c r="AH663" s="27">
        <f t="shared" si="142"/>
        <v>0.10874720814901513</v>
      </c>
      <c r="AI663" s="27">
        <f t="shared" si="142"/>
        <v>0.11399821500083657</v>
      </c>
      <c r="AJ663" s="27">
        <f t="shared" si="142"/>
        <v>0.11959647098629794</v>
      </c>
      <c r="AK663" s="27">
        <f t="shared" si="142"/>
        <v>0.12532679878762737</v>
      </c>
      <c r="AL663" s="27">
        <f t="shared" si="142"/>
        <v>0.13117220333481747</v>
      </c>
      <c r="AM663" s="27">
        <f t="shared" si="142"/>
        <v>0.13723577855179306</v>
      </c>
      <c r="AN663" s="27">
        <f t="shared" si="142"/>
        <v>0.1432629475308588</v>
      </c>
      <c r="AO663" s="27">
        <f t="shared" si="142"/>
        <v>0.14960705637354962</v>
      </c>
      <c r="AP663" s="27">
        <f t="shared" si="142"/>
        <v>0.15639871914131342</v>
      </c>
      <c r="AQ663" s="27">
        <f t="shared" si="142"/>
        <v>0.16342482559718283</v>
      </c>
      <c r="AR663" s="27">
        <f t="shared" si="142"/>
        <v>0.1707017826412458</v>
      </c>
      <c r="AS663" s="27">
        <f t="shared" si="142"/>
        <v>0.17847497943187501</v>
      </c>
      <c r="AT663" s="27">
        <f t="shared" si="142"/>
        <v>0.18667144743193501</v>
      </c>
      <c r="AU663" s="27">
        <f t="shared" si="142"/>
        <v>0.19524271738860685</v>
      </c>
      <c r="AV663" s="27">
        <f t="shared" si="142"/>
        <v>0.20435030552422884</v>
      </c>
      <c r="AW663" s="27">
        <f t="shared" si="142"/>
        <v>0.21309265298835234</v>
      </c>
      <c r="AY663" s="79"/>
      <c r="AZ663" s="79"/>
    </row>
    <row r="664" spans="1:52" x14ac:dyDescent="0.25">
      <c r="A664" s="95" t="str">
        <f t="shared" si="133"/>
        <v>NI Synthetic</v>
      </c>
      <c r="B664" s="95" t="s">
        <v>968</v>
      </c>
      <c r="C664" s="95" t="s">
        <v>1125</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6.603634243590573</v>
      </c>
      <c r="U664" s="94">
        <f>IF('Net zero activities &amp; levers'!$C$9="Off",'Activity data'!AN47*ttokg*SNEF*NtoN2O*kgtoGg,IF('Net zero activities &amp; levers'!$C$9="On",(('Net zero supporting data'!L157*ttokg*'Net zero supporting data'!L181)+('Net zero supporting data'!L169*ttokg*SNEF))*NtoN2O*kgtoGg,"ERROR"))</f>
        <v>6.6004971859529533</v>
      </c>
      <c r="V664" s="94">
        <f>IF('Net zero activities &amp; levers'!$C$9="Off",'Activity data'!AO47*ttokg*SNEF*NtoN2O*kgtoGg,IF('Net zero activities &amp; levers'!$C$9="On",(('Net zero supporting data'!M157*ttokg*'Net zero supporting data'!M181)+('Net zero supporting data'!M169*ttokg*SNEF))*NtoN2O*kgtoGg,"ERROR"))</f>
        <v>6.5987679285209158</v>
      </c>
      <c r="W664" s="94">
        <f>IF('Net zero activities &amp; levers'!$C$9="Off",'Activity data'!AP47*ttokg*SNEF*NtoN2O*kgtoGg,IF('Net zero activities &amp; levers'!$C$9="On",(('Net zero supporting data'!N157*ttokg*'Net zero supporting data'!N181)+('Net zero supporting data'!N169*ttokg*SNEF))*NtoN2O*kgtoGg,"ERROR"))</f>
        <v>6.5980968039636112</v>
      </c>
      <c r="X664" s="94">
        <f>IF('Net zero activities &amp; levers'!$C$9="Off",'Activity data'!AQ47*ttokg*SNEF*NtoN2O*kgtoGg,IF('Net zero activities &amp; levers'!$C$9="On",(('Net zero supporting data'!O157*ttokg*'Net zero supporting data'!O181)+('Net zero supporting data'!O169*ttokg*SNEF))*NtoN2O*kgtoGg,"ERROR"))</f>
        <v>6.5973729403354264</v>
      </c>
      <c r="Y664" s="94">
        <f>IF('Net zero activities &amp; levers'!$C$9="Off",'Activity data'!AR47*ttokg*SNEF*NtoN2O*kgtoGg,IF('Net zero activities &amp; levers'!$C$9="On",(('Net zero supporting data'!P157*ttokg*'Net zero supporting data'!P181)+('Net zero supporting data'!P169*ttokg*SNEF))*NtoN2O*kgtoGg,"ERROR"))</f>
        <v>6.5963716735135058</v>
      </c>
      <c r="Z664" s="94">
        <f>IF('Net zero activities &amp; levers'!$C$9="Off",'Activity data'!AS47*ttokg*SNEF*NtoN2O*kgtoGg,IF('Net zero activities &amp; levers'!$C$9="On",(('Net zero supporting data'!Q157*ttokg*'Net zero supporting data'!Q181)+('Net zero supporting data'!Q169*ttokg*SNEF))*NtoN2O*kgtoGg,"ERROR"))</f>
        <v>6.5951092743964939</v>
      </c>
      <c r="AA664" s="94">
        <f>IF('Net zero activities &amp; levers'!$C$9="Off",'Activity data'!AT47*ttokg*SNEF*NtoN2O*kgtoGg,IF('Net zero activities &amp; levers'!$C$9="On",(('Net zero supporting data'!R157*ttokg*'Net zero supporting data'!R181)+('Net zero supporting data'!R169*ttokg*SNEF))*NtoN2O*kgtoGg,"ERROR"))</f>
        <v>6.5937292152761398</v>
      </c>
      <c r="AB664" s="94">
        <f>IF('Net zero activities &amp; levers'!$C$9="Off",'Activity data'!AU47*ttokg*SNEF*NtoN2O*kgtoGg,IF('Net zero activities &amp; levers'!$C$9="On",(('Net zero supporting data'!S157*ttokg*'Net zero supporting data'!S181)+('Net zero supporting data'!S169*ttokg*SNEF))*NtoN2O*kgtoGg,"ERROR"))</f>
        <v>6.5921980493186423</v>
      </c>
      <c r="AC664" s="94">
        <f>IF('Net zero activities &amp; levers'!$C$9="Off",'Activity data'!AV47*ttokg*SNEF*NtoN2O*kgtoGg,IF('Net zero activities &amp; levers'!$C$9="On",(('Net zero supporting data'!T157*ttokg*'Net zero supporting data'!T181)+('Net zero supporting data'!T169*ttokg*SNEF))*NtoN2O*kgtoGg,"ERROR"))</f>
        <v>6.5904099002136718</v>
      </c>
      <c r="AD664" s="94">
        <f>IF('Net zero activities &amp; levers'!$C$9="Off",'Activity data'!AW47*ttokg*SNEF*NtoN2O*kgtoGg,IF('Net zero activities &amp; levers'!$C$9="On",(('Net zero supporting data'!U157*ttokg*'Net zero supporting data'!U181)+('Net zero supporting data'!U169*ttokg*SNEF))*NtoN2O*kgtoGg,"ERROR"))</f>
        <v>6.5883900774121225</v>
      </c>
      <c r="AE664" s="94">
        <f>IF('Net zero activities &amp; levers'!$C$9="Off",'Activity data'!AX47*ttokg*SNEF*NtoN2O*kgtoGg,IF('Net zero activities &amp; levers'!$C$9="On",(('Net zero supporting data'!V157*ttokg*'Net zero supporting data'!V181)+('Net zero supporting data'!V169*ttokg*SNEF))*NtoN2O*kgtoGg,"ERROR"))</f>
        <v>6.5862502813307362</v>
      </c>
      <c r="AF664" s="94">
        <f>IF('Net zero activities &amp; levers'!$C$9="Off",'Activity data'!AY47*ttokg*SNEF*NtoN2O*kgtoGg,IF('Net zero activities &amp; levers'!$C$9="On",(('Net zero supporting data'!W157*ttokg*'Net zero supporting data'!W181)+('Net zero supporting data'!W169*ttokg*SNEF))*NtoN2O*kgtoGg,"ERROR"))</f>
        <v>6.5840030111280692</v>
      </c>
      <c r="AG664" s="94">
        <f>IF('Net zero activities &amp; levers'!$C$9="Off",'Activity data'!AZ47*ttokg*SNEF*NtoN2O*kgtoGg,IF('Net zero activities &amp; levers'!$C$9="On",(('Net zero supporting data'!X157*ttokg*'Net zero supporting data'!X181)+('Net zero supporting data'!X169*ttokg*SNEF))*NtoN2O*kgtoGg,"ERROR"))</f>
        <v>6.5817083248767299</v>
      </c>
      <c r="AH664" s="94">
        <f>IF('Net zero activities &amp; levers'!$C$9="Off",'Activity data'!BA47*ttokg*SNEF*NtoN2O*kgtoGg,IF('Net zero activities &amp; levers'!$C$9="On",(('Net zero supporting data'!Y157*ttokg*'Net zero supporting data'!Y181)+('Net zero supporting data'!Y169*ttokg*SNEF))*NtoN2O*kgtoGg,"ERROR"))</f>
        <v>6.5793473576190653</v>
      </c>
      <c r="AI664" s="94">
        <f>IF('Net zero activities &amp; levers'!$C$9="Off",'Activity data'!BB47*ttokg*SNEF*NtoN2O*kgtoGg,IF('Net zero activities &amp; levers'!$C$9="On",(('Net zero supporting data'!Z157*ttokg*'Net zero supporting data'!Z181)+('Net zero supporting data'!Z169*ttokg*SNEF))*NtoN2O*kgtoGg,"ERROR"))</f>
        <v>6.5769490947439282</v>
      </c>
      <c r="AJ664" s="94">
        <f>IF('Net zero activities &amp; levers'!$C$9="Off",'Activity data'!BC47*ttokg*SNEF*NtoN2O*kgtoGg,IF('Net zero activities &amp; levers'!$C$9="On",(('Net zero supporting data'!AA157*ttokg*'Net zero supporting data'!AA181)+('Net zero supporting data'!AA169*ttokg*SNEF))*NtoN2O*kgtoGg,"ERROR"))</f>
        <v>6.5746015679174796</v>
      </c>
      <c r="AK664" s="94">
        <f>IF('Net zero activities &amp; levers'!$C$9="Off",'Activity data'!BD47*ttokg*SNEF*NtoN2O*kgtoGg,IF('Net zero activities &amp; levers'!$C$9="On",(('Net zero supporting data'!AB157*ttokg*'Net zero supporting data'!AB181)+('Net zero supporting data'!AB169*ttokg*SNEF))*NtoN2O*kgtoGg,"ERROR"))</f>
        <v>6.5721839556094164</v>
      </c>
      <c r="AL664" s="94">
        <f>IF('Net zero activities &amp; levers'!$C$9="Off",'Activity data'!BE47*ttokg*SNEF*NtoN2O*kgtoGg,IF('Net zero activities &amp; levers'!$C$9="On",(('Net zero supporting data'!AC157*ttokg*'Net zero supporting data'!AC181)+('Net zero supporting data'!AC169*ttokg*SNEF))*NtoN2O*kgtoGg,"ERROR"))</f>
        <v>6.5697772026100587</v>
      </c>
      <c r="AM664" s="94">
        <f>IF('Net zero activities &amp; levers'!$C$9="Off",'Activity data'!BF47*ttokg*SNEF*NtoN2O*kgtoGg,IF('Net zero activities &amp; levers'!$C$9="On",(('Net zero supporting data'!AD157*ttokg*'Net zero supporting data'!AD181)+('Net zero supporting data'!AD169*ttokg*SNEF))*NtoN2O*kgtoGg,"ERROR"))</f>
        <v>6.5673876647835385</v>
      </c>
      <c r="AN664" s="94">
        <f>IF('Net zero activities &amp; levers'!$C$9="Off",'Activity data'!BG47*ttokg*SNEF*NtoN2O*kgtoGg,IF('Net zero activities &amp; levers'!$C$9="On",(('Net zero supporting data'!AE157*ttokg*'Net zero supporting data'!AE181)+('Net zero supporting data'!AE169*ttokg*SNEF))*NtoN2O*kgtoGg,"ERROR"))</f>
        <v>6.5649818227366428</v>
      </c>
      <c r="AO664" s="94">
        <f>IF('Net zero activities &amp; levers'!$C$9="Off",'Activity data'!BH47*ttokg*SNEF*NtoN2O*kgtoGg,IF('Net zero activities &amp; levers'!$C$9="On",(('Net zero supporting data'!AF157*ttokg*'Net zero supporting data'!AF181)+('Net zero supporting data'!AF169*ttokg*SNEF))*NtoN2O*kgtoGg,"ERROR"))</f>
        <v>6.5626429517048157</v>
      </c>
      <c r="AP664" s="94">
        <f>IF('Net zero activities &amp; levers'!$C$9="Off",'Activity data'!BI47*ttokg*SNEF*NtoN2O*kgtoGg,IF('Net zero activities &amp; levers'!$C$9="On",(('Net zero supporting data'!AG157*ttokg*'Net zero supporting data'!AG181)+('Net zero supporting data'!AG169*ttokg*SNEF))*NtoN2O*kgtoGg,"ERROR"))</f>
        <v>6.5602587146144691</v>
      </c>
      <c r="AQ664" s="94">
        <f>IF('Net zero activities &amp; levers'!$C$9="Off",'Activity data'!BJ47*ttokg*SNEF*NtoN2O*kgtoGg,IF('Net zero activities &amp; levers'!$C$9="On",(('Net zero supporting data'!AH157*ttokg*'Net zero supporting data'!AH181)+('Net zero supporting data'!AH169*ttokg*SNEF))*NtoN2O*kgtoGg,"ERROR"))</f>
        <v>6.557794751435325</v>
      </c>
      <c r="AR664" s="94">
        <f>IF('Net zero activities &amp; levers'!$C$9="Off",'Activity data'!BK47*ttokg*SNEF*NtoN2O*kgtoGg,IF('Net zero activities &amp; levers'!$C$9="On",(('Net zero supporting data'!AI157*ttokg*'Net zero supporting data'!AI181)+('Net zero supporting data'!AI169*ttokg*SNEF))*NtoN2O*kgtoGg,"ERROR"))</f>
        <v>6.5553213474499907</v>
      </c>
      <c r="AS664" s="94">
        <f>IF('Net zero activities &amp; levers'!$C$9="Off",'Activity data'!BL47*ttokg*SNEF*NtoN2O*kgtoGg,IF('Net zero activities &amp; levers'!$C$9="On",(('Net zero supporting data'!AJ157*ttokg*'Net zero supporting data'!AJ181)+('Net zero supporting data'!AJ169*ttokg*SNEF))*NtoN2O*kgtoGg,"ERROR"))</f>
        <v>6.552836555002342</v>
      </c>
      <c r="AT664" s="94">
        <f>IF('Net zero activities &amp; levers'!$C$9="Off",'Activity data'!BM47*ttokg*SNEF*NtoN2O*kgtoGg,IF('Net zero activities &amp; levers'!$C$9="On",(('Net zero supporting data'!AK157*ttokg*'Net zero supporting data'!AK181)+('Net zero supporting data'!AK169*ttokg*SNEF))*NtoN2O*kgtoGg,"ERROR"))</f>
        <v>6.5502749591835583</v>
      </c>
      <c r="AU664" s="94">
        <f>IF('Net zero activities &amp; levers'!$C$9="Off",'Activity data'!BN47*ttokg*SNEF*NtoN2O*kgtoGg,IF('Net zero activities &amp; levers'!$C$9="On",(('Net zero supporting data'!AL157*ttokg*'Net zero supporting data'!AL181)+('Net zero supporting data'!AL169*ttokg*SNEF))*NtoN2O*kgtoGg,"ERROR"))</f>
        <v>6.5476643110027855</v>
      </c>
      <c r="AV664" s="94">
        <f>IF('Net zero activities &amp; levers'!$C$9="Off",'Activity data'!BO47*ttokg*SNEF*NtoN2O*kgtoGg,IF('Net zero activities &amp; levers'!$C$9="On",(('Net zero supporting data'!AM157*ttokg*'Net zero supporting data'!AM181)+('Net zero supporting data'!AM169*ttokg*SNEF))*NtoN2O*kgtoGg,"ERROR"))</f>
        <v>6.5450232737774749</v>
      </c>
      <c r="AW664" s="94">
        <f>IF('Net zero activities &amp; levers'!$C$9="Off",'Activity data'!BP47*ttokg*SNEF*NtoN2O*kgtoGg,IF('Net zero activities &amp; levers'!$C$9="On",(('Net zero supporting data'!AN157*ttokg*'Net zero supporting data'!AN181)+('Net zero supporting data'!AN169*ttokg*SNEF))*NtoN2O*kgtoGg,"ERROR"))</f>
        <v>6.5423151331477944</v>
      </c>
      <c r="AY664" s="79"/>
      <c r="AZ664" s="79"/>
    </row>
    <row r="665" spans="1:52" x14ac:dyDescent="0.25">
      <c r="A665" s="95" t="str">
        <f t="shared" si="133"/>
        <v>NI Organic</v>
      </c>
      <c r="B665" s="95" t="s">
        <v>968</v>
      </c>
      <c r="C665" s="95" t="s">
        <v>1126</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4.3583986007697799E-2</v>
      </c>
      <c r="U665" s="94">
        <f>IF('Net zero activities &amp; levers'!$C$9="Off",'Activity data'!AN48*ttokg*SNEF*NtoN2O*kgtoGg,IF('Net zero activities &amp; levers'!$C$9="On",(('Net zero supporting data'!L158*ttokg*'Net zero supporting data'!L182)+('Net zero supporting data'!L170*ttokg*ONEF))*NtoN2O*kgtoGg,"ERROR"))</f>
        <v>4.3563281427289505E-2</v>
      </c>
      <c r="V665" s="94">
        <f>IF('Net zero activities &amp; levers'!$C$9="Off",'Activity data'!AO48*ttokg*SNEF*NtoN2O*kgtoGg,IF('Net zero activities &amp; levers'!$C$9="On",(('Net zero supporting data'!M158*ttokg*'Net zero supporting data'!M182)+('Net zero supporting data'!M170*ttokg*ONEF))*NtoN2O*kgtoGg,"ERROR"))</f>
        <v>4.3551868328238041E-2</v>
      </c>
      <c r="W665" s="94">
        <f>IF('Net zero activities &amp; levers'!$C$9="Off",'Activity data'!AP48*ttokg*SNEF*NtoN2O*kgtoGg,IF('Net zero activities &amp; levers'!$C$9="On",(('Net zero supporting data'!N158*ttokg*'Net zero supporting data'!N182)+('Net zero supporting data'!N170*ttokg*ONEF))*NtoN2O*kgtoGg,"ERROR"))</f>
        <v>4.3547438906159849E-2</v>
      </c>
      <c r="X665" s="94">
        <f>IF('Net zero activities &amp; levers'!$C$9="Off",'Activity data'!AQ48*ttokg*SNEF*NtoN2O*kgtoGg,IF('Net zero activities &amp; levers'!$C$9="On",(('Net zero supporting data'!O158*ttokg*'Net zero supporting data'!O182)+('Net zero supporting data'!O170*ttokg*ONEF))*NtoN2O*kgtoGg,"ERROR"))</f>
        <v>4.3542661406213816E-2</v>
      </c>
      <c r="Y665" s="94">
        <f>IF('Net zero activities &amp; levers'!$C$9="Off",'Activity data'!AR48*ttokg*SNEF*NtoN2O*kgtoGg,IF('Net zero activities &amp; levers'!$C$9="On",(('Net zero supporting data'!P158*ttokg*'Net zero supporting data'!P182)+('Net zero supporting data'!P170*ttokg*ONEF))*NtoN2O*kgtoGg,"ERROR"))</f>
        <v>4.3536053045189142E-2</v>
      </c>
      <c r="Z665" s="94">
        <f>IF('Net zero activities &amp; levers'!$C$9="Off",'Activity data'!AS48*ttokg*SNEF*NtoN2O*kgtoGg,IF('Net zero activities &amp; levers'!$C$9="On",(('Net zero supporting data'!Q158*ttokg*'Net zero supporting data'!Q182)+('Net zero supporting data'!Q170*ttokg*ONEF))*NtoN2O*kgtoGg,"ERROR"))</f>
        <v>4.3527721211016876E-2</v>
      </c>
      <c r="AA665" s="94">
        <f>IF('Net zero activities &amp; levers'!$C$9="Off",'Activity data'!AT48*ttokg*SNEF*NtoN2O*kgtoGg,IF('Net zero activities &amp; levers'!$C$9="On",(('Net zero supporting data'!R158*ttokg*'Net zero supporting data'!R182)+('Net zero supporting data'!R170*ttokg*ONEF))*NtoN2O*kgtoGg,"ERROR"))</f>
        <v>4.3518612820822526E-2</v>
      </c>
      <c r="AB665" s="94">
        <f>IF('Net zero activities &amp; levers'!$C$9="Off",'Activity data'!AU48*ttokg*SNEF*NtoN2O*kgtoGg,IF('Net zero activities &amp; levers'!$C$9="On",(('Net zero supporting data'!S158*ttokg*'Net zero supporting data'!S182)+('Net zero supporting data'!S170*ttokg*ONEF))*NtoN2O*kgtoGg,"ERROR"))</f>
        <v>4.3508507125503047E-2</v>
      </c>
      <c r="AC665" s="94">
        <f>IF('Net zero activities &amp; levers'!$C$9="Off",'Activity data'!AV48*ttokg*SNEF*NtoN2O*kgtoGg,IF('Net zero activities &amp; levers'!$C$9="On",(('Net zero supporting data'!T158*ttokg*'Net zero supporting data'!T182)+('Net zero supporting data'!T170*ttokg*ONEF))*NtoN2O*kgtoGg,"ERROR"))</f>
        <v>4.349670534141023E-2</v>
      </c>
      <c r="AD665" s="94">
        <f>IF('Net zero activities &amp; levers'!$C$9="Off",'Activity data'!AW48*ttokg*SNEF*NtoN2O*kgtoGg,IF('Net zero activities &amp; levers'!$C$9="On",(('Net zero supporting data'!U158*ttokg*'Net zero supporting data'!U182)+('Net zero supporting data'!U170*ttokg*ONEF))*NtoN2O*kgtoGg,"ERROR"))</f>
        <v>4.3483374510920013E-2</v>
      </c>
      <c r="AE665" s="94">
        <f>IF('Net zero activities &amp; levers'!$C$9="Off",'Activity data'!AX48*ttokg*SNEF*NtoN2O*kgtoGg,IF('Net zero activities &amp; levers'!$C$9="On",(('Net zero supporting data'!V158*ttokg*'Net zero supporting data'!V182)+('Net zero supporting data'!V170*ttokg*ONEF))*NtoN2O*kgtoGg,"ERROR"))</f>
        <v>4.3469251856782874E-2</v>
      </c>
      <c r="AF665" s="94">
        <f>IF('Net zero activities &amp; levers'!$C$9="Off",'Activity data'!AY48*ttokg*SNEF*NtoN2O*kgtoGg,IF('Net zero activities &amp; levers'!$C$9="On",(('Net zero supporting data'!W158*ttokg*'Net zero supporting data'!W182)+('Net zero supporting data'!W170*ttokg*ONEF))*NtoN2O*kgtoGg,"ERROR"))</f>
        <v>4.3454419873445269E-2</v>
      </c>
      <c r="AG665" s="94">
        <f>IF('Net zero activities &amp; levers'!$C$9="Off",'Activity data'!AZ48*ttokg*SNEF*NtoN2O*kgtoGg,IF('Net zero activities &amp; levers'!$C$9="On",(('Net zero supporting data'!X158*ttokg*'Net zero supporting data'!X182)+('Net zero supporting data'!X170*ttokg*ONEF))*NtoN2O*kgtoGg,"ERROR"))</f>
        <v>4.3439274944186416E-2</v>
      </c>
      <c r="AH665" s="94">
        <f>IF('Net zero activities &amp; levers'!$C$9="Off",'Activity data'!BA48*ttokg*SNEF*NtoN2O*kgtoGg,IF('Net zero activities &amp; levers'!$C$9="On",(('Net zero supporting data'!Y158*ttokg*'Net zero supporting data'!Y182)+('Net zero supporting data'!Y170*ttokg*ONEF))*NtoN2O*kgtoGg,"ERROR"))</f>
        <v>4.3423692560285852E-2</v>
      </c>
      <c r="AI665" s="94">
        <f>IF('Net zero activities &amp; levers'!$C$9="Off",'Activity data'!BB48*ttokg*SNEF*NtoN2O*kgtoGg,IF('Net zero activities &amp; levers'!$C$9="On",(('Net zero supporting data'!Z158*ttokg*'Net zero supporting data'!Z182)+('Net zero supporting data'!Z170*ttokg*ONEF))*NtoN2O*kgtoGg,"ERROR"))</f>
        <v>4.3407864025309932E-2</v>
      </c>
      <c r="AJ665" s="94">
        <f>IF('Net zero activities &amp; levers'!$C$9="Off",'Activity data'!BC48*ttokg*SNEF*NtoN2O*kgtoGg,IF('Net zero activities &amp; levers'!$C$9="On",(('Net zero supporting data'!AA158*ttokg*'Net zero supporting data'!AA182)+('Net zero supporting data'!AA170*ttokg*ONEF))*NtoN2O*kgtoGg,"ERROR"))</f>
        <v>4.3392370348255375E-2</v>
      </c>
      <c r="AK665" s="94">
        <f>IF('Net zero activities &amp; levers'!$C$9="Off",'Activity data'!BD48*ttokg*SNEF*NtoN2O*kgtoGg,IF('Net zero activities &amp; levers'!$C$9="On",(('Net zero supporting data'!AB158*ttokg*'Net zero supporting data'!AB182)+('Net zero supporting data'!AB170*ttokg*ONEF))*NtoN2O*kgtoGg,"ERROR"))</f>
        <v>4.3376414107022157E-2</v>
      </c>
      <c r="AL665" s="94">
        <f>IF('Net zero activities &amp; levers'!$C$9="Off",'Activity data'!BE48*ttokg*SNEF*NtoN2O*kgtoGg,IF('Net zero activities &amp; levers'!$C$9="On",(('Net zero supporting data'!AC158*ttokg*'Net zero supporting data'!AC182)+('Net zero supporting data'!AC170*ttokg*ONEF))*NtoN2O*kgtoGg,"ERROR"))</f>
        <v>4.336052953722639E-2</v>
      </c>
      <c r="AM665" s="94">
        <f>IF('Net zero activities &amp; levers'!$C$9="Off",'Activity data'!BF48*ttokg*SNEF*NtoN2O*kgtoGg,IF('Net zero activities &amp; levers'!$C$9="On",(('Net zero supporting data'!AD158*ttokg*'Net zero supporting data'!AD182)+('Net zero supporting data'!AD170*ttokg*ONEF))*NtoN2O*kgtoGg,"ERROR"))</f>
        <v>4.3344758587571364E-2</v>
      </c>
      <c r="AN665" s="94">
        <f>IF('Net zero activities &amp; levers'!$C$9="Off",'Activity data'!BG48*ttokg*SNEF*NtoN2O*kgtoGg,IF('Net zero activities &amp; levers'!$C$9="On",(('Net zero supporting data'!AE158*ttokg*'Net zero supporting data'!AE182)+('Net zero supporting data'!AE170*ttokg*ONEF))*NtoN2O*kgtoGg,"ERROR"))</f>
        <v>4.3328880030061849E-2</v>
      </c>
      <c r="AO665" s="94">
        <f>IF('Net zero activities &amp; levers'!$C$9="Off",'Activity data'!BH48*ttokg*SNEF*NtoN2O*kgtoGg,IF('Net zero activities &amp; levers'!$C$9="On",(('Net zero supporting data'!AF158*ttokg*'Net zero supporting data'!AF182)+('Net zero supporting data'!AF170*ttokg*ONEF))*NtoN2O*kgtoGg,"ERROR"))</f>
        <v>4.3313443481251802E-2</v>
      </c>
      <c r="AP665" s="94">
        <f>IF('Net zero activities &amp; levers'!$C$9="Off",'Activity data'!BI48*ttokg*SNEF*NtoN2O*kgtoGg,IF('Net zero activities &amp; levers'!$C$9="On",(('Net zero supporting data'!AG158*ttokg*'Net zero supporting data'!AG182)+('Net zero supporting data'!AG170*ttokg*ONEF))*NtoN2O*kgtoGg,"ERROR"))</f>
        <v>4.3297707516455515E-2</v>
      </c>
      <c r="AQ665" s="94">
        <f>IF('Net zero activities &amp; levers'!$C$9="Off",'Activity data'!BJ48*ttokg*SNEF*NtoN2O*kgtoGg,IF('Net zero activities &amp; levers'!$C$9="On",(('Net zero supporting data'!AH158*ttokg*'Net zero supporting data'!AH182)+('Net zero supporting data'!AH170*ttokg*ONEF))*NtoN2O*kgtoGg,"ERROR"))</f>
        <v>4.3281445359473161E-2</v>
      </c>
      <c r="AR665" s="94">
        <f>IF('Net zero activities &amp; levers'!$C$9="Off",'Activity data'!BK48*ttokg*SNEF*NtoN2O*kgtoGg,IF('Net zero activities &amp; levers'!$C$9="On",(('Net zero supporting data'!AI158*ttokg*'Net zero supporting data'!AI182)+('Net zero supporting data'!AI170*ttokg*ONEF))*NtoN2O*kgtoGg,"ERROR"))</f>
        <v>4.3265120893169952E-2</v>
      </c>
      <c r="AS665" s="94">
        <f>IF('Net zero activities &amp; levers'!$C$9="Off",'Activity data'!BL48*ttokg*SNEF*NtoN2O*kgtoGg,IF('Net zero activities &amp; levers'!$C$9="On",(('Net zero supporting data'!AJ158*ttokg*'Net zero supporting data'!AJ182)+('Net zero supporting data'!AJ170*ttokg*ONEF))*NtoN2O*kgtoGg,"ERROR"))</f>
        <v>4.324872126301546E-2</v>
      </c>
      <c r="AT665" s="94">
        <f>IF('Net zero activities &amp; levers'!$C$9="Off",'Activity data'!BM48*ttokg*SNEF*NtoN2O*kgtoGg,IF('Net zero activities &amp; levers'!$C$9="On",(('Net zero supporting data'!AK158*ttokg*'Net zero supporting data'!AK182)+('Net zero supporting data'!AK170*ttokg*ONEF))*NtoN2O*kgtoGg,"ERROR"))</f>
        <v>4.3231814730611481E-2</v>
      </c>
      <c r="AU665" s="94">
        <f>IF('Net zero activities &amp; levers'!$C$9="Off",'Activity data'!BN48*ttokg*SNEF*NtoN2O*kgtoGg,IF('Net zero activities &amp; levers'!$C$9="On",(('Net zero supporting data'!AL158*ttokg*'Net zero supporting data'!AL182)+('Net zero supporting data'!AL170*ttokg*ONEF))*NtoN2O*kgtoGg,"ERROR"))</f>
        <v>4.3214584452618394E-2</v>
      </c>
      <c r="AV665" s="94">
        <f>IF('Net zero activities &amp; levers'!$C$9="Off",'Activity data'!BO48*ttokg*SNEF*NtoN2O*kgtoGg,IF('Net zero activities &amp; levers'!$C$9="On",(('Net zero supporting data'!AM158*ttokg*'Net zero supporting data'!AM182)+('Net zero supporting data'!AM170*ttokg*ONEF))*NtoN2O*kgtoGg,"ERROR"))</f>
        <v>4.3197153606931347E-2</v>
      </c>
      <c r="AW665" s="94">
        <f>IF('Net zero activities &amp; levers'!$C$9="Off",'Activity data'!BP48*ttokg*SNEF*NtoN2O*kgtoGg,IF('Net zero activities &amp; levers'!$C$9="On",(('Net zero supporting data'!AN158*ttokg*'Net zero supporting data'!AN182)+('Net zero supporting data'!AN170*ttokg*ONEF))*NtoN2O*kgtoGg,"ERROR"))</f>
        <v>4.3179279878775449E-2</v>
      </c>
      <c r="AY665" s="79"/>
      <c r="AZ665" s="79"/>
    </row>
    <row r="666" spans="1:52" x14ac:dyDescent="0.25">
      <c r="A666" s="95" t="str">
        <f t="shared" si="133"/>
        <v>NI Crop residues</v>
      </c>
      <c r="B666" s="95" t="s">
        <v>968</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2.9705633438591348</v>
      </c>
      <c r="U666" s="27">
        <f t="shared" si="144"/>
        <v>2.9939833213378622</v>
      </c>
      <c r="V666" s="27">
        <f t="shared" si="144"/>
        <v>3.0068932435616724</v>
      </c>
      <c r="W666" s="27">
        <f t="shared" si="144"/>
        <v>3.0119035824948748</v>
      </c>
      <c r="X666" s="27">
        <f t="shared" si="144"/>
        <v>3.0173076495628459</v>
      </c>
      <c r="Y666" s="27">
        <f t="shared" si="144"/>
        <v>3.0247826943750078</v>
      </c>
      <c r="Z666" s="27">
        <f t="shared" si="144"/>
        <v>3.0342072451180488</v>
      </c>
      <c r="AA666" s="27">
        <f t="shared" si="144"/>
        <v>3.0445101968810144</v>
      </c>
      <c r="AB666" s="27">
        <f t="shared" si="144"/>
        <v>3.0559412499196137</v>
      </c>
      <c r="AC666" s="27">
        <f t="shared" si="144"/>
        <v>3.0692908330655531</v>
      </c>
      <c r="AD666" s="27">
        <f t="shared" si="144"/>
        <v>3.0843699964051159</v>
      </c>
      <c r="AE666" s="27">
        <f t="shared" si="144"/>
        <v>3.1003448307320856</v>
      </c>
      <c r="AF666" s="27">
        <f t="shared" si="144"/>
        <v>3.1171220224878007</v>
      </c>
      <c r="AG666" s="27">
        <f t="shared" si="144"/>
        <v>3.1342532028915815</v>
      </c>
      <c r="AH666" s="27">
        <f t="shared" si="144"/>
        <v>3.1518792099305966</v>
      </c>
      <c r="AI666" s="27">
        <f t="shared" si="144"/>
        <v>3.1697836506556398</v>
      </c>
      <c r="AJ666" s="27">
        <f t="shared" si="144"/>
        <v>3.1873093169828417</v>
      </c>
      <c r="AK666" s="27">
        <f t="shared" si="144"/>
        <v>3.2053582125874849</v>
      </c>
      <c r="AL666" s="27">
        <f t="shared" si="144"/>
        <v>3.2233260370755845</v>
      </c>
      <c r="AM666" s="27">
        <f t="shared" si="144"/>
        <v>3.2411653401889731</v>
      </c>
      <c r="AN666" s="27">
        <f t="shared" si="144"/>
        <v>3.2591263638820034</v>
      </c>
      <c r="AO666" s="27">
        <f t="shared" si="144"/>
        <v>3.2765874096193026</v>
      </c>
      <c r="AP666" s="27">
        <f t="shared" si="144"/>
        <v>3.294387139624336</v>
      </c>
      <c r="AQ666" s="27">
        <f t="shared" si="144"/>
        <v>3.3127820717007999</v>
      </c>
      <c r="AR666" s="27">
        <f t="shared" si="144"/>
        <v>3.3312474849395168</v>
      </c>
      <c r="AS666" s="27">
        <f t="shared" si="144"/>
        <v>3.3497979197372052</v>
      </c>
      <c r="AT666" s="27">
        <f t="shared" si="144"/>
        <v>3.3689217368026219</v>
      </c>
      <c r="AU666" s="27">
        <f t="shared" si="144"/>
        <v>3.3884117585559377</v>
      </c>
      <c r="AV666" s="27">
        <f t="shared" si="144"/>
        <v>3.4081286523724397</v>
      </c>
      <c r="AW666" s="27">
        <f t="shared" si="144"/>
        <v>3.4283465125085661</v>
      </c>
      <c r="AY666" s="79"/>
      <c r="AZ666" s="79"/>
    </row>
    <row r="667" spans="1:52" x14ac:dyDescent="0.25">
      <c r="A667" s="95" t="str">
        <f t="shared" si="133"/>
        <v>NI Organic</v>
      </c>
      <c r="B667" s="95" t="s">
        <v>968</v>
      </c>
      <c r="C667" s="95" t="s">
        <v>1126</v>
      </c>
      <c r="D667" t="s">
        <v>369</v>
      </c>
      <c r="E667" t="s">
        <v>55</v>
      </c>
      <c r="F667" t="s">
        <v>421</v>
      </c>
      <c r="G667" t="s">
        <v>1151</v>
      </c>
      <c r="H667" t="s">
        <v>1152</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0.31930900968296799</v>
      </c>
      <c r="T667" s="94">
        <f>IF('Net zero activities &amp; levers'!$C$9="Off",'Activity data'!AM50*ManureNEF*NtoN2O*kgtoGg,IF('Net zero activities &amp; levers'!$C$9="On",(('Net zero supporting data'!K159*'Net zero supporting data'!K183)+('Net zero supporting data'!K171*ManureNEF))*NtoN2O*kgtoGg,"ERROR"))</f>
        <v>0.32574821213897459</v>
      </c>
      <c r="U667" s="94">
        <f>IF('Net zero activities &amp; levers'!$C$9="Off",'Activity data'!AN50*ManureNEF*NtoN2O*kgtoGg,IF('Net zero activities &amp; levers'!$C$9="On",(('Net zero supporting data'!L159*'Net zero supporting data'!L183)+('Net zero supporting data'!L171*ManureNEF))*NtoN2O*kgtoGg,"ERROR"))</f>
        <v>0.32894469179548952</v>
      </c>
      <c r="V667" s="94">
        <f>IF('Net zero activities &amp; levers'!$C$9="Off",'Activity data'!AO50*ManureNEF*NtoN2O*kgtoGg,IF('Net zero activities &amp; levers'!$C$9="On",(('Net zero supporting data'!M159*'Net zero supporting data'!M183)+('Net zero supporting data'!M171*ManureNEF))*NtoN2O*kgtoGg,"ERROR"))</f>
        <v>0.32977948253414807</v>
      </c>
      <c r="W667" s="94">
        <f>IF('Net zero activities &amp; levers'!$C$9="Off",'Activity data'!AP50*ManureNEF*NtoN2O*kgtoGg,IF('Net zero activities &amp; levers'!$C$9="On",(('Net zero supporting data'!N159*'Net zero supporting data'!N183)+('Net zero supporting data'!N171*ManureNEF))*NtoN2O*kgtoGg,"ERROR"))</f>
        <v>0.3309664569188206</v>
      </c>
      <c r="X667" s="94">
        <f>IF('Net zero activities &amp; levers'!$C$9="Off",'Activity data'!AQ50*ManureNEF*NtoN2O*kgtoGg,IF('Net zero activities &amp; levers'!$C$9="On",(('Net zero supporting data'!O159*'Net zero supporting data'!O183)+('Net zero supporting data'!O171*ManureNEF))*NtoN2O*kgtoGg,"ERROR"))</f>
        <v>0.33295820888491823</v>
      </c>
      <c r="Y667" s="94">
        <f>IF('Net zero activities &amp; levers'!$C$9="Off",'Activity data'!AR50*ManureNEF*NtoN2O*kgtoGg,IF('Net zero activities &amp; levers'!$C$9="On",(('Net zero supporting data'!P159*'Net zero supporting data'!P183)+('Net zero supporting data'!P171*ManureNEF))*NtoN2O*kgtoGg,"ERROR"))</f>
        <v>0.33558938332727861</v>
      </c>
      <c r="Z667" s="94">
        <f>IF('Net zero activities &amp; levers'!$C$9="Off",'Activity data'!AS50*ManureNEF*NtoN2O*kgtoGg,IF('Net zero activities &amp; levers'!$C$9="On",(('Net zero supporting data'!Q159*'Net zero supporting data'!Q183)+('Net zero supporting data'!Q171*ManureNEF))*NtoN2O*kgtoGg,"ERROR"))</f>
        <v>0.33853527641770959</v>
      </c>
      <c r="AA667" s="94">
        <f>IF('Net zero activities &amp; levers'!$C$9="Off",'Activity data'!AT50*ManureNEF*NtoN2O*kgtoGg,IF('Net zero activities &amp; levers'!$C$9="On",(('Net zero supporting data'!R159*'Net zero supporting data'!R183)+('Net zero supporting data'!R171*ManureNEF))*NtoN2O*kgtoGg,"ERROR"))</f>
        <v>0.34188866727508727</v>
      </c>
      <c r="AB667" s="94">
        <f>IF('Net zero activities &amp; levers'!$C$9="Off",'Activity data'!AU50*ManureNEF*NtoN2O*kgtoGg,IF('Net zero activities &amp; levers'!$C$9="On",(('Net zero supporting data'!S159*'Net zero supporting data'!S183)+('Net zero supporting data'!S171*ManureNEF))*NtoN2O*kgtoGg,"ERROR"))</f>
        <v>0.34593707625098935</v>
      </c>
      <c r="AC667" s="94">
        <f>IF('Net zero activities &amp; levers'!$C$9="Off",'Activity data'!AV50*ManureNEF*NtoN2O*kgtoGg,IF('Net zero activities &amp; levers'!$C$9="On",(('Net zero supporting data'!T159*'Net zero supporting data'!T183)+('Net zero supporting data'!T171*ManureNEF))*NtoN2O*kgtoGg,"ERROR"))</f>
        <v>0.35065698551445434</v>
      </c>
      <c r="AD667" s="94">
        <f>IF('Net zero activities &amp; levers'!$C$9="Off",'Activity data'!AW50*ManureNEF*NtoN2O*kgtoGg,IF('Net zero activities &amp; levers'!$C$9="On",(('Net zero supporting data'!U159*'Net zero supporting data'!U183)+('Net zero supporting data'!U171*ManureNEF))*NtoN2O*kgtoGg,"ERROR"))</f>
        <v>0.35579420133815998</v>
      </c>
      <c r="AE667" s="94">
        <f>IF('Net zero activities &amp; levers'!$C$9="Off",'Activity data'!AX50*ManureNEF*NtoN2O*kgtoGg,IF('Net zero activities &amp; levers'!$C$9="On",(('Net zero supporting data'!V159*'Net zero supporting data'!V183)+('Net zero supporting data'!V171*ManureNEF))*NtoN2O*kgtoGg,"ERROR"))</f>
        <v>0.36134408078222452</v>
      </c>
      <c r="AF667" s="94">
        <f>IF('Net zero activities &amp; levers'!$C$9="Off",'Activity data'!AY50*ManureNEF*NtoN2O*kgtoGg,IF('Net zero activities &amp; levers'!$C$9="On",(('Net zero supporting data'!W159*'Net zero supporting data'!W183)+('Net zero supporting data'!W171*ManureNEF))*NtoN2O*kgtoGg,"ERROR"))</f>
        <v>0.36716578992310794</v>
      </c>
      <c r="AG667" s="94">
        <f>IF('Net zero activities &amp; levers'!$C$9="Off",'Activity data'!AZ50*ManureNEF*NtoN2O*kgtoGg,IF('Net zero activities &amp; levers'!$C$9="On",(('Net zero supporting data'!X159*'Net zero supporting data'!X183)+('Net zero supporting data'!X171*ManureNEF))*NtoN2O*kgtoGg,"ERROR"))</f>
        <v>0.37332444348551658</v>
      </c>
      <c r="AH667" s="94">
        <f>IF('Net zero activities &amp; levers'!$C$9="Off",'Activity data'!BA50*ManureNEF*NtoN2O*kgtoGg,IF('Net zero activities &amp; levers'!$C$9="On",(('Net zero supporting data'!Y159*'Net zero supporting data'!Y183)+('Net zero supporting data'!Y171*ManureNEF))*NtoN2O*kgtoGg,"ERROR"))</f>
        <v>0.37975671698066876</v>
      </c>
      <c r="AI667" s="94">
        <f>IF('Net zero activities &amp; levers'!$C$9="Off",'Activity data'!BB50*ManureNEF*NtoN2O*kgtoGg,IF('Net zero activities &amp; levers'!$C$9="On",(('Net zero supporting data'!Z159*'Net zero supporting data'!Z183)+('Net zero supporting data'!Z171*ManureNEF))*NtoN2O*kgtoGg,"ERROR"))</f>
        <v>0.38621474793846927</v>
      </c>
      <c r="AJ667" s="94">
        <f>IF('Net zero activities &amp; levers'!$C$9="Off",'Activity data'!BC50*ManureNEF*NtoN2O*kgtoGg,IF('Net zero activities &amp; levers'!$C$9="On",(('Net zero supporting data'!AA159*'Net zero supporting data'!AA183)+('Net zero supporting data'!AA171*ManureNEF))*NtoN2O*kgtoGg,"ERROR"))</f>
        <v>0.39306178454441848</v>
      </c>
      <c r="AK667" s="94">
        <f>IF('Net zero activities &amp; levers'!$C$9="Off",'Activity data'!BD50*ManureNEF*NtoN2O*kgtoGg,IF('Net zero activities &amp; levers'!$C$9="On",(('Net zero supporting data'!AB159*'Net zero supporting data'!AB183)+('Net zero supporting data'!AB171*ManureNEF))*NtoN2O*kgtoGg,"ERROR"))</f>
        <v>0.40005847527747412</v>
      </c>
      <c r="AL667" s="94">
        <f>IF('Net zero activities &amp; levers'!$C$9="Off",'Activity data'!BE50*ManureNEF*NtoN2O*kgtoGg,IF('Net zero activities &amp; levers'!$C$9="On",(('Net zero supporting data'!AC159*'Net zero supporting data'!AC183)+('Net zero supporting data'!AC171*ManureNEF))*NtoN2O*kgtoGg,"ERROR"))</f>
        <v>0.4071870252950287</v>
      </c>
      <c r="AM667" s="94">
        <f>IF('Net zero activities &amp; levers'!$C$9="Off",'Activity data'!BF50*ManureNEF*NtoN2O*kgtoGg,IF('Net zero activities &amp; levers'!$C$9="On",(('Net zero supporting data'!AD159*'Net zero supporting data'!AD183)+('Net zero supporting data'!AD171*ManureNEF))*NtoN2O*kgtoGg,"ERROR"))</f>
        <v>0.41456228412939544</v>
      </c>
      <c r="AN667" s="94">
        <f>IF('Net zero activities &amp; levers'!$C$9="Off",'Activity data'!BG50*ManureNEF*NtoN2O*kgtoGg,IF('Net zero activities &amp; levers'!$C$9="On",(('Net zero supporting data'!AE159*'Net zero supporting data'!AE183)+('Net zero supporting data'!AE171*ManureNEF))*NtoN2O*kgtoGg,"ERROR"))</f>
        <v>0.42190892307820843</v>
      </c>
      <c r="AO667" s="94">
        <f>IF('Net zero activities &amp; levers'!$C$9="Off",'Activity data'!BH50*ManureNEF*NtoN2O*kgtoGg,IF('Net zero activities &amp; levers'!$C$9="On",(('Net zero supporting data'!AF159*'Net zero supporting data'!AF183)+('Net zero supporting data'!AF171*ManureNEF))*NtoN2O*kgtoGg,"ERROR"))</f>
        <v>0.42960845898713129</v>
      </c>
      <c r="AP667" s="94">
        <f>IF('Net zero activities &amp; levers'!$C$9="Off",'Activity data'!BI50*ManureNEF*NtoN2O*kgtoGg,IF('Net zero activities &amp; levers'!$C$9="On",(('Net zero supporting data'!AG159*'Net zero supporting data'!AG183)+('Net zero supporting data'!AG171*ManureNEF))*NtoN2O*kgtoGg,"ERROR"))</f>
        <v>0.43780304574358431</v>
      </c>
      <c r="AQ667" s="94">
        <f>IF('Net zero activities &amp; levers'!$C$9="Off",'Activity data'!BJ50*ManureNEF*NtoN2O*kgtoGg,IF('Net zero activities &amp; levers'!$C$9="On",(('Net zero supporting data'!AH159*'Net zero supporting data'!AH183)+('Net zero supporting data'!AH171*ManureNEF))*NtoN2O*kgtoGg,"ERROR"))</f>
        <v>0.44626036327894386</v>
      </c>
      <c r="AR667" s="94">
        <f>IF('Net zero activities &amp; levers'!$C$9="Off",'Activity data'!BK50*ManureNEF*NtoN2O*kgtoGg,IF('Net zero activities &amp; levers'!$C$9="On",(('Net zero supporting data'!AI159*'Net zero supporting data'!AI183)+('Net zero supporting data'!AI171*ManureNEF))*NtoN2O*kgtoGg,"ERROR"))</f>
        <v>0.45499571223112473</v>
      </c>
      <c r="AS667" s="94">
        <f>IF('Net zero activities &amp; levers'!$C$9="Off",'Activity data'!BL50*ManureNEF*NtoN2O*kgtoGg,IF('Net zero activities &amp; levers'!$C$9="On",(('Net zero supporting data'!AJ159*'Net zero supporting data'!AJ183)+('Net zero supporting data'!AJ171*ManureNEF))*NtoN2O*kgtoGg,"ERROR"))</f>
        <v>0.46427790014777842</v>
      </c>
      <c r="AT667" s="94">
        <f>IF('Net zero activities &amp; levers'!$C$9="Off",'Activity data'!BM50*ManureNEF*NtoN2O*kgtoGg,IF('Net zero activities &amp; levers'!$C$9="On",(('Net zero supporting data'!AK159*'Net zero supporting data'!AK183)+('Net zero supporting data'!AK171*ManureNEF))*NtoN2O*kgtoGg,"ERROR"))</f>
        <v>0.4740288633200766</v>
      </c>
      <c r="AU667" s="94">
        <f>IF('Net zero activities &amp; levers'!$C$9="Off",'Activity data'!BN50*ManureNEF*NtoN2O*kgtoGg,IF('Net zero activities &amp; levers'!$C$9="On",(('Net zero supporting data'!AL159*'Net zero supporting data'!AL183)+('Net zero supporting data'!AL171*ManureNEF))*NtoN2O*kgtoGg,"ERROR"))</f>
        <v>0.48419829350388255</v>
      </c>
      <c r="AV667" s="94">
        <f>IF('Net zero activities &amp; levers'!$C$9="Off",'Activity data'!BO50*ManureNEF*NtoN2O*kgtoGg,IF('Net zero activities &amp; levers'!$C$9="On",(('Net zero supporting data'!AM159*'Net zero supporting data'!AM183)+('Net zero supporting data'!AM171*ManureNEF))*NtoN2O*kgtoGg,"ERROR"))</f>
        <v>0.49496943616318984</v>
      </c>
      <c r="AW667" s="94">
        <f>IF('Net zero activities &amp; levers'!$C$9="Off",'Activity data'!BP50*ManureNEF*NtoN2O*kgtoGg,IF('Net zero activities &amp; levers'!$C$9="On",(('Net zero supporting data'!AN159*'Net zero supporting data'!AN183)+('Net zero supporting data'!AN171*ManureNEF))*NtoN2O*kgtoGg,"ERROR"))</f>
        <v>0.50533326104983312</v>
      </c>
      <c r="AY667" s="79"/>
      <c r="AZ667" s="79"/>
    </row>
    <row r="668" spans="1:52" x14ac:dyDescent="0.25">
      <c r="A668" s="95" t="str">
        <f t="shared" si="133"/>
        <v>NI Organic</v>
      </c>
      <c r="B668" s="95" t="s">
        <v>968</v>
      </c>
      <c r="C668" s="95" t="s">
        <v>1126</v>
      </c>
      <c r="D668" t="s">
        <v>369</v>
      </c>
      <c r="E668" t="s">
        <v>55</v>
      </c>
      <c r="F668" t="s">
        <v>421</v>
      </c>
      <c r="G668" t="s">
        <v>1153</v>
      </c>
      <c r="H668" t="s">
        <v>1154</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0.93365020902993845</v>
      </c>
      <c r="T668" s="94">
        <f>IF('Net zero activities &amp; levers'!$C$9="Off",'Activity data'!AM51*ManureNEF*NtoN2O*kgtoGg,IF('Net zero activities &amp; levers'!$C$9="On",(('Net zero supporting data'!K160*'Net zero supporting data'!K183)+('Net zero supporting data'!K172*ManureNEF))*NtoN2O*kgtoGg,"ERROR"))</f>
        <v>0.95247824875548714</v>
      </c>
      <c r="U668" s="94">
        <f>IF('Net zero activities &amp; levers'!$C$9="Off",'Activity data'!AN51*ManureNEF*NtoN2O*kgtoGg,IF('Net zero activities &amp; levers'!$C$9="On",(('Net zero supporting data'!L160*'Net zero supporting data'!L183)+('Net zero supporting data'!L172*ManureNEF))*NtoN2O*kgtoGg,"ERROR"))</f>
        <v>0.96182466181920945</v>
      </c>
      <c r="V668" s="94">
        <f>IF('Net zero activities &amp; levers'!$C$9="Off",'Activity data'!AO51*ManureNEF*NtoN2O*kgtoGg,IF('Net zero activities &amp; levers'!$C$9="On",(('Net zero supporting data'!M160*'Net zero supporting data'!M183)+('Net zero supporting data'!M172*ManureNEF))*NtoN2O*kgtoGg,"ERROR"))</f>
        <v>0.96426556553319687</v>
      </c>
      <c r="W668" s="94">
        <f>IF('Net zero activities &amp; levers'!$C$9="Off",'Activity data'!AP51*ManureNEF*NtoN2O*kgtoGg,IF('Net zero activities &amp; levers'!$C$9="On",(('Net zero supporting data'!N160*'Net zero supporting data'!N183)+('Net zero supporting data'!N172*ManureNEF))*NtoN2O*kgtoGg,"ERROR"))</f>
        <v>0.96773624393172708</v>
      </c>
      <c r="X668" s="94">
        <f>IF('Net zero activities &amp; levers'!$C$9="Off",'Activity data'!AQ51*ManureNEF*NtoN2O*kgtoGg,IF('Net zero activities &amp; levers'!$C$9="On",(('Net zero supporting data'!O160*'Net zero supporting data'!O183)+('Net zero supporting data'!O172*ManureNEF))*NtoN2O*kgtoGg,"ERROR"))</f>
        <v>0.97356006844995502</v>
      </c>
      <c r="Y668" s="94">
        <f>IF('Net zero activities &amp; levers'!$C$9="Off",'Activity data'!AR51*ManureNEF*NtoN2O*kgtoGg,IF('Net zero activities &amp; levers'!$C$9="On",(('Net zero supporting data'!P160*'Net zero supporting data'!P183)+('Net zero supporting data'!P172*ManureNEF))*NtoN2O*kgtoGg,"ERROR"))</f>
        <v>0.98125354559469047</v>
      </c>
      <c r="Z668" s="94">
        <f>IF('Net zero activities &amp; levers'!$C$9="Off",'Activity data'!AS51*ManureNEF*NtoN2O*kgtoGg,IF('Net zero activities &amp; levers'!$C$9="On",(('Net zero supporting data'!Q160*'Net zero supporting data'!Q183)+('Net zero supporting data'!Q172*ManureNEF))*NtoN2O*kgtoGg,"ERROR"))</f>
        <v>0.9898672508653048</v>
      </c>
      <c r="AA668" s="94">
        <f>IF('Net zero activities &amp; levers'!$C$9="Off",'Activity data'!AT51*ManureNEF*NtoN2O*kgtoGg,IF('Net zero activities &amp; levers'!$C$9="On",(('Net zero supporting data'!R160*'Net zero supporting data'!R183)+('Net zero supporting data'!R172*ManureNEF))*NtoN2O*kgtoGg,"ERROR"))</f>
        <v>0.99967246769291085</v>
      </c>
      <c r="AB668" s="94">
        <f>IF('Net zero activities &amp; levers'!$C$9="Off",'Activity data'!AU51*ManureNEF*NtoN2O*kgtoGg,IF('Net zero activities &amp; levers'!$C$9="On",(('Net zero supporting data'!S160*'Net zero supporting data'!S183)+('Net zero supporting data'!S172*ManureNEF))*NtoN2O*kgtoGg,"ERROR"))</f>
        <v>1.0115098971796095</v>
      </c>
      <c r="AC668" s="94">
        <f>IF('Net zero activities &amp; levers'!$C$9="Off",'Activity data'!AV51*ManureNEF*NtoN2O*kgtoGg,IF('Net zero activities &amp; levers'!$C$9="On",(('Net zero supporting data'!T160*'Net zero supporting data'!T183)+('Net zero supporting data'!T172*ManureNEF))*NtoN2O*kgtoGg,"ERROR"))</f>
        <v>1.0253107738752334</v>
      </c>
      <c r="AD668" s="94">
        <f>IF('Net zero activities &amp; levers'!$C$9="Off",'Activity data'!AW51*ManureNEF*NtoN2O*kgtoGg,IF('Net zero activities &amp; levers'!$C$9="On",(('Net zero supporting data'!U160*'Net zero supporting data'!U183)+('Net zero supporting data'!U172*ManureNEF))*NtoN2O*kgtoGg,"ERROR"))</f>
        <v>1.0403318427526722</v>
      </c>
      <c r="AE668" s="94">
        <f>IF('Net zero activities &amp; levers'!$C$9="Off",'Activity data'!AX51*ManureNEF*NtoN2O*kgtoGg,IF('Net zero activities &amp; levers'!$C$9="On",(('Net zero supporting data'!V160*'Net zero supporting data'!V183)+('Net zero supporting data'!V172*ManureNEF))*NtoN2O*kgtoGg,"ERROR"))</f>
        <v>1.0565595279914524</v>
      </c>
      <c r="AF668" s="94">
        <f>IF('Net zero activities &amp; levers'!$C$9="Off",'Activity data'!AY51*ManureNEF*NtoN2O*kgtoGg,IF('Net zero activities &amp; levers'!$C$9="On",(('Net zero supporting data'!W160*'Net zero supporting data'!W183)+('Net zero supporting data'!W172*ManureNEF))*NtoN2O*kgtoGg,"ERROR"))</f>
        <v>1.0735820353165477</v>
      </c>
      <c r="AG668" s="94">
        <f>IF('Net zero activities &amp; levers'!$C$9="Off",'Activity data'!AZ51*ManureNEF*NtoN2O*kgtoGg,IF('Net zero activities &amp; levers'!$C$9="On",(('Net zero supporting data'!X160*'Net zero supporting data'!X183)+('Net zero supporting data'!X172*ManureNEF))*NtoN2O*kgtoGg,"ERROR"))</f>
        <v>1.0915897582793135</v>
      </c>
      <c r="AH668" s="94">
        <f>IF('Net zero activities &amp; levers'!$C$9="Off",'Activity data'!BA51*ManureNEF*NtoN2O*kgtoGg,IF('Net zero activities &amp; levers'!$C$9="On",(('Net zero supporting data'!Y160*'Net zero supporting data'!Y183)+('Net zero supporting data'!Y172*ManureNEF))*NtoN2O*kgtoGg,"ERROR"))</f>
        <v>1.1103975379258981</v>
      </c>
      <c r="AI668" s="94">
        <f>IF('Net zero activities &amp; levers'!$C$9="Off",'Activity data'!BB51*ManureNEF*NtoN2O*kgtoGg,IF('Net zero activities &amp; levers'!$C$9="On",(('Net zero supporting data'!Z160*'Net zero supporting data'!Z183)+('Net zero supporting data'!Z172*ManureNEF))*NtoN2O*kgtoGg,"ERROR"))</f>
        <v>1.1292806316402249</v>
      </c>
      <c r="AJ668" s="94">
        <f>IF('Net zero activities &amp; levers'!$C$9="Off",'Activity data'!BC51*ManureNEF*NtoN2O*kgtoGg,IF('Net zero activities &amp; levers'!$C$9="On",(('Net zero supporting data'!AA160*'Net zero supporting data'!AA183)+('Net zero supporting data'!AA172*ManureNEF))*NtoN2O*kgtoGg,"ERROR"))</f>
        <v>1.1493011664968118</v>
      </c>
      <c r="AK668" s="94">
        <f>IF('Net zero activities &amp; levers'!$C$9="Off",'Activity data'!BD51*ManureNEF*NtoN2O*kgtoGg,IF('Net zero activities &amp; levers'!$C$9="On",(('Net zero supporting data'!AB160*'Net zero supporting data'!AB183)+('Net zero supporting data'!AB172*ManureNEF))*NtoN2O*kgtoGg,"ERROR"))</f>
        <v>1.1697592856457866</v>
      </c>
      <c r="AL668" s="94">
        <f>IF('Net zero activities &amp; levers'!$C$9="Off",'Activity data'!BE51*ManureNEF*NtoN2O*kgtoGg,IF('Net zero activities &amp; levers'!$C$9="On",(('Net zero supporting data'!AC160*'Net zero supporting data'!AC183)+('Net zero supporting data'!AC172*ManureNEF))*NtoN2O*kgtoGg,"ERROR"))</f>
        <v>1.190602957487612</v>
      </c>
      <c r="AM668" s="94">
        <f>IF('Net zero activities &amp; levers'!$C$9="Off",'Activity data'!BF51*ManureNEF*NtoN2O*kgtoGg,IF('Net zero activities &amp; levers'!$C$9="On",(('Net zero supporting data'!AD160*'Net zero supporting data'!AD183)+('Net zero supporting data'!AD172*ManureNEF))*NtoN2O*kgtoGg,"ERROR"))</f>
        <v>1.2121679986970451</v>
      </c>
      <c r="AN668" s="94">
        <f>IF('Net zero activities &amp; levers'!$C$9="Off",'Activity data'!BG51*ManureNEF*NtoN2O*kgtoGg,IF('Net zero activities &amp; levers'!$C$9="On",(('Net zero supporting data'!AE160*'Net zero supporting data'!AE183)+('Net zero supporting data'!AE172*ManureNEF))*NtoN2O*kgtoGg,"ERROR"))</f>
        <v>1.2336493561978465</v>
      </c>
      <c r="AO668" s="94">
        <f>IF('Net zero activities &amp; levers'!$C$9="Off",'Activity data'!BH51*ManureNEF*NtoN2O*kgtoGg,IF('Net zero activities &amp; levers'!$C$9="On",(('Net zero supporting data'!AF160*'Net zero supporting data'!AF183)+('Net zero supporting data'!AF172*ManureNEF))*NtoN2O*kgtoGg,"ERROR"))</f>
        <v>1.2561625740927527</v>
      </c>
      <c r="AP668" s="94">
        <f>IF('Net zero activities &amp; levers'!$C$9="Off",'Activity data'!BI51*ManureNEF*NtoN2O*kgtoGg,IF('Net zero activities &amp; levers'!$C$9="On",(('Net zero supporting data'!AG160*'Net zero supporting data'!AG183)+('Net zero supporting data'!AG172*ManureNEF))*NtoN2O*kgtoGg,"ERROR"))</f>
        <v>1.2801233061925847</v>
      </c>
      <c r="AQ668" s="94">
        <f>IF('Net zero activities &amp; levers'!$C$9="Off",'Activity data'!BJ51*ManureNEF*NtoN2O*kgtoGg,IF('Net zero activities &amp; levers'!$C$9="On",(('Net zero supporting data'!AH160*'Net zero supporting data'!AH183)+('Net zero supporting data'!AH172*ManureNEF))*NtoN2O*kgtoGg,"ERROR"))</f>
        <v>1.3048522554087716</v>
      </c>
      <c r="AR668" s="94">
        <f>IF('Net zero activities &amp; levers'!$C$9="Off",'Activity data'!BK51*ManureNEF*NtoN2O*kgtoGg,IF('Net zero activities &amp; levers'!$C$9="On",(('Net zero supporting data'!AI160*'Net zero supporting data'!AI183)+('Net zero supporting data'!AI172*ManureNEF))*NtoN2O*kgtoGg,"ERROR"))</f>
        <v>1.3303941603592482</v>
      </c>
      <c r="AS668" s="94">
        <f>IF('Net zero activities &amp; levers'!$C$9="Off",'Activity data'!BL51*ManureNEF*NtoN2O*kgtoGg,IF('Net zero activities &amp; levers'!$C$9="On",(('Net zero supporting data'!AJ160*'Net zero supporting data'!AJ183)+('Net zero supporting data'!AJ172*ManureNEF))*NtoN2O*kgtoGg,"ERROR"))</f>
        <v>1.3575350064545193</v>
      </c>
      <c r="AT668" s="94">
        <f>IF('Net zero activities &amp; levers'!$C$9="Off",'Activity data'!BM51*ManureNEF*NtoN2O*kgtoGg,IF('Net zero activities &amp; levers'!$C$9="On",(('Net zero supporting data'!AK160*'Net zero supporting data'!AK183)+('Net zero supporting data'!AK172*ManureNEF))*NtoN2O*kgtoGg,"ERROR"))</f>
        <v>1.3860465376922328</v>
      </c>
      <c r="AU668" s="94">
        <f>IF('Net zero activities &amp; levers'!$C$9="Off",'Activity data'!BN51*ManureNEF*NtoN2O*kgtoGg,IF('Net zero activities &amp; levers'!$C$9="On",(('Net zero supporting data'!AL160*'Net zero supporting data'!AL183)+('Net zero supporting data'!AL172*ManureNEF))*NtoN2O*kgtoGg,"ERROR"))</f>
        <v>1.4157816542373405</v>
      </c>
      <c r="AV668" s="94">
        <f>IF('Net zero activities &amp; levers'!$C$9="Off",'Activity data'!BO51*ManureNEF*NtoN2O*kgtoGg,IF('Net zero activities &amp; levers'!$C$9="On",(('Net zero supporting data'!AM160*'Net zero supporting data'!AM183)+('Net zero supporting data'!AM172*ManureNEF))*NtoN2O*kgtoGg,"ERROR"))</f>
        <v>1.4472761604692133</v>
      </c>
      <c r="AW668" s="94">
        <f>IF('Net zero activities &amp; levers'!$C$9="Off",'Activity data'!BP51*ManureNEF*NtoN2O*kgtoGg,IF('Net zero activities &amp; levers'!$C$9="On",(('Net zero supporting data'!AN160*'Net zero supporting data'!AN183)+('Net zero supporting data'!AN172*ManureNEF))*NtoN2O*kgtoGg,"ERROR"))</f>
        <v>1.4775796814421152</v>
      </c>
      <c r="AY668" s="79"/>
      <c r="AZ668" s="79"/>
    </row>
    <row r="669" spans="1:52" x14ac:dyDescent="0.25">
      <c r="A669" s="95" t="str">
        <f t="shared" si="133"/>
        <v>NI Organic</v>
      </c>
      <c r="B669" s="95" t="s">
        <v>968</v>
      </c>
      <c r="C669" s="95" t="s">
        <v>1126</v>
      </c>
      <c r="D669" t="s">
        <v>369</v>
      </c>
      <c r="E669" t="s">
        <v>55</v>
      </c>
      <c r="F669" t="s">
        <v>421</v>
      </c>
      <c r="G669" t="s">
        <v>1155</v>
      </c>
      <c r="H669" t="s">
        <v>1156</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4.9945021903357263E-2</v>
      </c>
      <c r="T669" s="94">
        <f>IF('Net zero activities &amp; levers'!$C$9="Off",'Activity data'!AM52*ManureNEF*NtoN2O*kgtoGg,IF('Net zero activities &amp; levers'!$C$9="On",(('Net zero supporting data'!K161*'Net zero supporting data'!K183)+('Net zero supporting data'!K173*ManureNEF))*NtoN2O*kgtoGg,"ERROR"))</f>
        <v>5.0952215868929084E-2</v>
      </c>
      <c r="U669" s="94">
        <f>IF('Net zero activities &amp; levers'!$C$9="Off",'Activity data'!AN52*ManureNEF*NtoN2O*kgtoGg,IF('Net zero activities &amp; levers'!$C$9="On",(('Net zero supporting data'!L161*'Net zero supporting data'!L183)+('Net zero supporting data'!L173*ManureNEF))*NtoN2O*kgtoGg,"ERROR"))</f>
        <v>5.1452196269158888E-2</v>
      </c>
      <c r="V669" s="94">
        <f>IF('Net zero activities &amp; levers'!$C$9="Off",'Activity data'!AO52*ManureNEF*NtoN2O*kgtoGg,IF('Net zero activities &amp; levers'!$C$9="On",(('Net zero supporting data'!M161*'Net zero supporting data'!M183)+('Net zero supporting data'!M173*ManureNEF))*NtoN2O*kgtoGg,"ERROR"))</f>
        <v>5.1582770855101254E-2</v>
      </c>
      <c r="W669" s="94">
        <f>IF('Net zero activities &amp; levers'!$C$9="Off",'Activity data'!AP52*ManureNEF*NtoN2O*kgtoGg,IF('Net zero activities &amp; levers'!$C$9="On",(('Net zero supporting data'!N161*'Net zero supporting data'!N183)+('Net zero supporting data'!N173*ManureNEF))*NtoN2O*kgtoGg,"ERROR"))</f>
        <v>5.1768432580400064E-2</v>
      </c>
      <c r="X669" s="94">
        <f>IF('Net zero activities &amp; levers'!$C$9="Off",'Activity data'!AQ52*ManureNEF*NtoN2O*kgtoGg,IF('Net zero activities &amp; levers'!$C$9="On",(('Net zero supporting data'!O161*'Net zero supporting data'!O183)+('Net zero supporting data'!O173*ManureNEF))*NtoN2O*kgtoGg,"ERROR"))</f>
        <v>5.2079974355157911E-2</v>
      </c>
      <c r="Y669" s="94">
        <f>IF('Net zero activities &amp; levers'!$C$9="Off",'Activity data'!AR52*ManureNEF*NtoN2O*kgtoGg,IF('Net zero activities &amp; levers'!$C$9="On",(('Net zero supporting data'!P161*'Net zero supporting data'!P183)+('Net zero supporting data'!P173*ManureNEF))*NtoN2O*kgtoGg,"ERROR"))</f>
        <v>5.2491532003611736E-2</v>
      </c>
      <c r="Z669" s="94">
        <f>IF('Net zero activities &amp; levers'!$C$9="Off",'Activity data'!AS52*ManureNEF*NtoN2O*kgtoGg,IF('Net zero activities &amp; levers'!$C$9="On",(('Net zero supporting data'!Q161*'Net zero supporting data'!Q183)+('Net zero supporting data'!Q173*ManureNEF))*NtoN2O*kgtoGg,"ERROR"))</f>
        <v>5.2952316668199217E-2</v>
      </c>
      <c r="AA669" s="94">
        <f>IF('Net zero activities &amp; levers'!$C$9="Off",'Activity data'!AT52*ManureNEF*NtoN2O*kgtoGg,IF('Net zero activities &amp; levers'!$C$9="On",(('Net zero supporting data'!R161*'Net zero supporting data'!R183)+('Net zero supporting data'!R173*ManureNEF))*NtoN2O*kgtoGg,"ERROR"))</f>
        <v>5.3476840482884362E-2</v>
      </c>
      <c r="AB669" s="94">
        <f>IF('Net zero activities &amp; levers'!$C$9="Off",'Activity data'!AU52*ManureNEF*NtoN2O*kgtoGg,IF('Net zero activities &amp; levers'!$C$9="On",(('Net zero supporting data'!S161*'Net zero supporting data'!S183)+('Net zero supporting data'!S173*ManureNEF))*NtoN2O*kgtoGg,"ERROR"))</f>
        <v>5.4110076216432663E-2</v>
      </c>
      <c r="AC669" s="94">
        <f>IF('Net zero activities &amp; levers'!$C$9="Off",'Activity data'!AV52*ManureNEF*NtoN2O*kgtoGg,IF('Net zero activities &amp; levers'!$C$9="On",(('Net zero supporting data'!T161*'Net zero supporting data'!T183)+('Net zero supporting data'!T173*ManureNEF))*NtoN2O*kgtoGg,"ERROR"))</f>
        <v>5.4848345304986328E-2</v>
      </c>
      <c r="AD669" s="94">
        <f>IF('Net zero activities &amp; levers'!$C$9="Off",'Activity data'!AW52*ManureNEF*NtoN2O*kgtoGg,IF('Net zero activities &amp; levers'!$C$9="On",(('Net zero supporting data'!U161*'Net zero supporting data'!U183)+('Net zero supporting data'!U173*ManureNEF))*NtoN2O*kgtoGg,"ERROR"))</f>
        <v>5.5651887795353253E-2</v>
      </c>
      <c r="AE669" s="94">
        <f>IF('Net zero activities &amp; levers'!$C$9="Off",'Activity data'!AX52*ManureNEF*NtoN2O*kgtoGg,IF('Net zero activities &amp; levers'!$C$9="On",(('Net zero supporting data'!V161*'Net zero supporting data'!V183)+('Net zero supporting data'!V173*ManureNEF))*NtoN2O*kgtoGg,"ERROR"))</f>
        <v>5.651997745768382E-2</v>
      </c>
      <c r="AF669" s="94">
        <f>IF('Net zero activities &amp; levers'!$C$9="Off",'Activity data'!AY52*ManureNEF*NtoN2O*kgtoGg,IF('Net zero activities &amp; levers'!$C$9="On",(('Net zero supporting data'!W161*'Net zero supporting data'!W183)+('Net zero supporting data'!W173*ManureNEF))*NtoN2O*kgtoGg,"ERROR"))</f>
        <v>5.7430585620118969E-2</v>
      </c>
      <c r="AG669" s="94">
        <f>IF('Net zero activities &amp; levers'!$C$9="Off",'Activity data'!AZ52*ManureNEF*NtoN2O*kgtoGg,IF('Net zero activities &amp; levers'!$C$9="On",(('Net zero supporting data'!X161*'Net zero supporting data'!X183)+('Net zero supporting data'!X173*ManureNEF))*NtoN2O*kgtoGg,"ERROR"))</f>
        <v>5.8393897264143985E-2</v>
      </c>
      <c r="AH669" s="94">
        <f>IF('Net zero activities &amp; levers'!$C$9="Off",'Activity data'!BA52*ManureNEF*NtoN2O*kgtoGg,IF('Net zero activities &amp; levers'!$C$9="On",(('Net zero supporting data'!Y161*'Net zero supporting data'!Y183)+('Net zero supporting data'!Y173*ManureNEF))*NtoN2O*kgtoGg,"ERROR"))</f>
        <v>5.9400007429725336E-2</v>
      </c>
      <c r="AI669" s="94">
        <f>IF('Net zero activities &amp; levers'!$C$9="Off",'Activity data'!BB52*ManureNEF*NtoN2O*kgtoGg,IF('Net zero activities &amp; levers'!$C$9="On",(('Net zero supporting data'!Z161*'Net zero supporting data'!Z183)+('Net zero supporting data'!Z173*ManureNEF))*NtoN2O*kgtoGg,"ERROR"))</f>
        <v>6.0410146473281176E-2</v>
      </c>
      <c r="AJ669" s="94">
        <f>IF('Net zero activities &amp; levers'!$C$9="Off",'Activity data'!BC52*ManureNEF*NtoN2O*kgtoGg,IF('Net zero activities &amp; levers'!$C$9="On",(('Net zero supporting data'!AA161*'Net zero supporting data'!AA183)+('Net zero supporting data'!AA173*ManureNEF))*NtoN2O*kgtoGg,"ERROR"))</f>
        <v>6.1481132204616346E-2</v>
      </c>
      <c r="AK669" s="94">
        <f>IF('Net zero activities &amp; levers'!$C$9="Off",'Activity data'!BD52*ManureNEF*NtoN2O*kgtoGg,IF('Net zero activities &amp; levers'!$C$9="On",(('Net zero supporting data'!AB161*'Net zero supporting data'!AB183)+('Net zero supporting data'!AB173*ManureNEF))*NtoN2O*kgtoGg,"ERROR"))</f>
        <v>6.2575526228325351E-2</v>
      </c>
      <c r="AL669" s="94">
        <f>IF('Net zero activities &amp; levers'!$C$9="Off",'Activity data'!BE52*ManureNEF*NtoN2O*kgtoGg,IF('Net zero activities &amp; levers'!$C$9="On",(('Net zero supporting data'!AC161*'Net zero supporting data'!AC183)+('Net zero supporting data'!AC173*ManureNEF))*NtoN2O*kgtoGg,"ERROR"))</f>
        <v>6.3690545147207192E-2</v>
      </c>
      <c r="AM669" s="94">
        <f>IF('Net zero activities &amp; levers'!$C$9="Off",'Activity data'!BF52*ManureNEF*NtoN2O*kgtoGg,IF('Net zero activities &amp; levers'!$C$9="On",(('Net zero supporting data'!AD161*'Net zero supporting data'!AD183)+('Net zero supporting data'!AD173*ManureNEF))*NtoN2O*kgtoGg,"ERROR"))</f>
        <v>6.4844153259897494E-2</v>
      </c>
      <c r="AN669" s="94">
        <f>IF('Net zero activities &amp; levers'!$C$9="Off",'Activity data'!BG52*ManureNEF*NtoN2O*kgtoGg,IF('Net zero activities &amp; levers'!$C$9="On",(('Net zero supporting data'!AE161*'Net zero supporting data'!AE183)+('Net zero supporting data'!AE173*ManureNEF))*NtoN2O*kgtoGg,"ERROR"))</f>
        <v>6.5993284766017041E-2</v>
      </c>
      <c r="AO669" s="94">
        <f>IF('Net zero activities &amp; levers'!$C$9="Off",'Activity data'!BH52*ManureNEF*NtoN2O*kgtoGg,IF('Net zero activities &amp; levers'!$C$9="On",(('Net zero supporting data'!AF161*'Net zero supporting data'!AF183)+('Net zero supporting data'!AF173*ManureNEF))*NtoN2O*kgtoGg,"ERROR"))</f>
        <v>6.7197614985194512E-2</v>
      </c>
      <c r="AP669" s="94">
        <f>IF('Net zero activities &amp; levers'!$C$9="Off",'Activity data'!BI52*ManureNEF*NtoN2O*kgtoGg,IF('Net zero activities &amp; levers'!$C$9="On",(('Net zero supporting data'!AG161*'Net zero supporting data'!AG183)+('Net zero supporting data'!AG173*ManureNEF))*NtoN2O*kgtoGg,"ERROR"))</f>
        <v>6.8479379052692538E-2</v>
      </c>
      <c r="AQ669" s="94">
        <f>IF('Net zero activities &amp; levers'!$C$9="Off",'Activity data'!BJ52*ManureNEF*NtoN2O*kgtoGg,IF('Net zero activities &amp; levers'!$C$9="On",(('Net zero supporting data'!AH161*'Net zero supporting data'!AH183)+('Net zero supporting data'!AH173*ManureNEF))*NtoN2O*kgtoGg,"ERROR"))</f>
        <v>6.9802238404411326E-2</v>
      </c>
      <c r="AR669" s="94">
        <f>IF('Net zero activities &amp; levers'!$C$9="Off",'Activity data'!BK52*ManureNEF*NtoN2O*kgtoGg,IF('Net zero activities &amp; levers'!$C$9="On",(('Net zero supporting data'!AI161*'Net zero supporting data'!AI183)+('Net zero supporting data'!AI173*ManureNEF))*NtoN2O*kgtoGg,"ERROR"))</f>
        <v>7.1168586304156845E-2</v>
      </c>
      <c r="AS669" s="94">
        <f>IF('Net zero activities &amp; levers'!$C$9="Off",'Activity data'!BL52*ManureNEF*NtoN2O*kgtoGg,IF('Net zero activities &amp; levers'!$C$9="On",(('Net zero supporting data'!AJ161*'Net zero supporting data'!AJ183)+('Net zero supporting data'!AJ173*ManureNEF))*NtoN2O*kgtoGg,"ERROR"))</f>
        <v>7.2620468539702415E-2</v>
      </c>
      <c r="AT669" s="94">
        <f>IF('Net zero activities &amp; levers'!$C$9="Off",'Activity data'!BM52*ManureNEF*NtoN2O*kgtoGg,IF('Net zero activities &amp; levers'!$C$9="On",(('Net zero supporting data'!AK161*'Net zero supporting data'!AK183)+('Net zero supporting data'!AK173*ManureNEF))*NtoN2O*kgtoGg,"ERROR"))</f>
        <v>7.4145674701917505E-2</v>
      </c>
      <c r="AU669" s="94">
        <f>IF('Net zero activities &amp; levers'!$C$9="Off",'Activity data'!BN52*ManureNEF*NtoN2O*kgtoGg,IF('Net zero activities &amp; levers'!$C$9="On",(('Net zero supporting data'!AL161*'Net zero supporting data'!AL183)+('Net zero supporting data'!AL173*ManureNEF))*NtoN2O*kgtoGg,"ERROR"))</f>
        <v>7.5736335779032549E-2</v>
      </c>
      <c r="AV669" s="94">
        <f>IF('Net zero activities &amp; levers'!$C$9="Off",'Activity data'!BO52*ManureNEF*NtoN2O*kgtoGg,IF('Net zero activities &amp; levers'!$C$9="On",(('Net zero supporting data'!AM161*'Net zero supporting data'!AM183)+('Net zero supporting data'!AM173*ManureNEF))*NtoN2O*kgtoGg,"ERROR"))</f>
        <v>7.742111428427241E-2</v>
      </c>
      <c r="AW669" s="94">
        <f>IF('Net zero activities &amp; levers'!$C$9="Off",'Activity data'!BP52*ManureNEF*NtoN2O*kgtoGg,IF('Net zero activities &amp; levers'!$C$9="On",(('Net zero supporting data'!AN161*'Net zero supporting data'!AN183)+('Net zero supporting data'!AN173*ManureNEF))*NtoN2O*kgtoGg,"ERROR"))</f>
        <v>7.9042181793391189E-2</v>
      </c>
      <c r="AY669" s="79"/>
      <c r="AZ669" s="79"/>
    </row>
    <row r="670" spans="1:52" x14ac:dyDescent="0.25">
      <c r="A670" s="95" t="str">
        <f t="shared" si="133"/>
        <v>NI Organic</v>
      </c>
      <c r="B670" s="95" t="s">
        <v>968</v>
      </c>
      <c r="C670" s="95" t="s">
        <v>1126</v>
      </c>
      <c r="D670" t="s">
        <v>369</v>
      </c>
      <c r="E670" t="s">
        <v>55</v>
      </c>
      <c r="F670" t="s">
        <v>421</v>
      </c>
      <c r="G670" t="s">
        <v>1157</v>
      </c>
      <c r="H670" t="s">
        <v>1158</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0.39521014945095007</v>
      </c>
      <c r="N670" s="94">
        <f>IF('Net zero activities &amp; levers'!$C$9="Off",'Activity data'!AG53*ManureNEF*NtoN2O*kgtoGg,IF('Net zero activities &amp; levers'!$C$9="On",(('Net zero supporting data'!E162*'Net zero supporting data'!E183)+('Net zero supporting data'!E174*ManureNEF))*NtoN2O*kgtoGg,"ERROR"))</f>
        <v>0.38993263522397309</v>
      </c>
      <c r="O670" s="94">
        <f>IF('Net zero activities &amp; levers'!$C$9="Off",'Activity data'!AH53*ManureNEF*NtoN2O*kgtoGg,IF('Net zero activities &amp; levers'!$C$9="On",(('Net zero supporting data'!F162*'Net zero supporting data'!F183)+('Net zero supporting data'!F174*ManureNEF))*NtoN2O*kgtoGg,"ERROR"))</f>
        <v>0.38227219443770077</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0.31897606543396184</v>
      </c>
      <c r="T670" s="94">
        <f>IF('Net zero activities &amp; levers'!$C$9="Off",'Activity data'!AM53*ManureNEF*NtoN2O*kgtoGg,IF('Net zero activities &amp; levers'!$C$9="On",(('Net zero supporting data'!K162*'Net zero supporting data'!K183)+('Net zero supporting data'!K174*ManureNEF))*NtoN2O*kgtoGg,"ERROR"))</f>
        <v>0.33422640738749132</v>
      </c>
      <c r="U670" s="94">
        <f>IF('Net zero activities &amp; levers'!$C$9="Off",'Activity data'!AN53*ManureNEF*NtoN2O*kgtoGg,IF('Net zero activities &amp; levers'!$C$9="On",(('Net zero supporting data'!L162*'Net zero supporting data'!L183)+('Net zero supporting data'!L174*ManureNEF))*NtoN2O*kgtoGg,"ERROR"))</f>
        <v>0.3395060787066792</v>
      </c>
      <c r="V670" s="94">
        <f>IF('Net zero activities &amp; levers'!$C$9="Off",'Activity data'!AO53*ManureNEF*NtoN2O*kgtoGg,IF('Net zero activities &amp; levers'!$C$9="On",(('Net zero supporting data'!M162*'Net zero supporting data'!M183)+('Net zero supporting data'!M174*ManureNEF))*NtoN2O*kgtoGg,"ERROR"))</f>
        <v>0.33721330134407257</v>
      </c>
      <c r="W670" s="94">
        <f>IF('Net zero activities &amp; levers'!$C$9="Off",'Activity data'!AP53*ManureNEF*NtoN2O*kgtoGg,IF('Net zero activities &amp; levers'!$C$9="On",(('Net zero supporting data'!N162*'Net zero supporting data'!N183)+('Net zero supporting data'!N174*ManureNEF))*NtoN2O*kgtoGg,"ERROR"))</f>
        <v>0.33534828840095249</v>
      </c>
      <c r="X670" s="94">
        <f>IF('Net zero activities &amp; levers'!$C$9="Off",'Activity data'!AQ53*ManureNEF*NtoN2O*kgtoGg,IF('Net zero activities &amp; levers'!$C$9="On",(('Net zero supporting data'!O162*'Net zero supporting data'!O183)+('Net zero supporting data'!O174*ManureNEF))*NtoN2O*kgtoGg,"ERROR"))</f>
        <v>0.33547079917503503</v>
      </c>
      <c r="Y670" s="94">
        <f>IF('Net zero activities &amp; levers'!$C$9="Off",'Activity data'!AR53*ManureNEF*NtoN2O*kgtoGg,IF('Net zero activities &amp; levers'!$C$9="On",(('Net zero supporting data'!P162*'Net zero supporting data'!P183)+('Net zero supporting data'!P174*ManureNEF))*NtoN2O*kgtoGg,"ERROR"))</f>
        <v>0.33744070936588777</v>
      </c>
      <c r="Z670" s="94">
        <f>IF('Net zero activities &amp; levers'!$C$9="Off",'Activity data'!AS53*ManureNEF*NtoN2O*kgtoGg,IF('Net zero activities &amp; levers'!$C$9="On",(('Net zero supporting data'!Q162*'Net zero supporting data'!Q183)+('Net zero supporting data'!Q174*ManureNEF))*NtoN2O*kgtoGg,"ERROR"))</f>
        <v>0.34023587672815686</v>
      </c>
      <c r="AA670" s="94">
        <f>IF('Net zero activities &amp; levers'!$C$9="Off",'Activity data'!AT53*ManureNEF*NtoN2O*kgtoGg,IF('Net zero activities &amp; levers'!$C$9="On",(('Net zero supporting data'!R162*'Net zero supporting data'!R183)+('Net zero supporting data'!R174*ManureNEF))*NtoN2O*kgtoGg,"ERROR"))</f>
        <v>0.34408144868680218</v>
      </c>
      <c r="AB670" s="94">
        <f>IF('Net zero activities &amp; levers'!$C$9="Off",'Activity data'!AU53*ManureNEF*NtoN2O*kgtoGg,IF('Net zero activities &amp; levers'!$C$9="On",(('Net zero supporting data'!S162*'Net zero supporting data'!S183)+('Net zero supporting data'!S174*ManureNEF))*NtoN2O*kgtoGg,"ERROR"))</f>
        <v>0.34971445697084458</v>
      </c>
      <c r="AC670" s="94">
        <f>IF('Net zero activities &amp; levers'!$C$9="Off",'Activity data'!AV53*ManureNEF*NtoN2O*kgtoGg,IF('Net zero activities &amp; levers'!$C$9="On",(('Net zero supporting data'!T162*'Net zero supporting data'!T183)+('Net zero supporting data'!T174*ManureNEF))*NtoN2O*kgtoGg,"ERROR"))</f>
        <v>0.35697581238959336</v>
      </c>
      <c r="AD670" s="94">
        <f>IF('Net zero activities &amp; levers'!$C$9="Off",'Activity data'!AW53*ManureNEF*NtoN2O*kgtoGg,IF('Net zero activities &amp; levers'!$C$9="On",(('Net zero supporting data'!U162*'Net zero supporting data'!U183)+('Net zero supporting data'!U174*ManureNEF))*NtoN2O*kgtoGg,"ERROR"))</f>
        <v>0.36203839361176637</v>
      </c>
      <c r="AE670" s="94">
        <f>IF('Net zero activities &amp; levers'!$C$9="Off",'Activity data'!AX53*ManureNEF*NtoN2O*kgtoGg,IF('Net zero activities &amp; levers'!$C$9="On",(('Net zero supporting data'!V162*'Net zero supporting data'!V183)+('Net zero supporting data'!V174*ManureNEF))*NtoN2O*kgtoGg,"ERROR"))</f>
        <v>0.36769900977315834</v>
      </c>
      <c r="AF670" s="94">
        <f>IF('Net zero activities &amp; levers'!$C$9="Off",'Activity data'!AY53*ManureNEF*NtoN2O*kgtoGg,IF('Net zero activities &amp; levers'!$C$9="On",(('Net zero supporting data'!W162*'Net zero supporting data'!W183)+('Net zero supporting data'!W174*ManureNEF))*NtoN2O*kgtoGg,"ERROR"))</f>
        <v>0.37353106948354631</v>
      </c>
      <c r="AG670" s="94">
        <f>IF('Net zero activities &amp; levers'!$C$9="Off",'Activity data'!AZ53*ManureNEF*NtoN2O*kgtoGg,IF('Net zero activities &amp; levers'!$C$9="On",(('Net zero supporting data'!X162*'Net zero supporting data'!X183)+('Net zero supporting data'!X174*ManureNEF))*NtoN2O*kgtoGg,"ERROR"))</f>
        <v>0.37966412521229187</v>
      </c>
      <c r="AH670" s="94">
        <f>IF('Net zero activities &amp; levers'!$C$9="Off",'Activity data'!BA53*ManureNEF*NtoN2O*kgtoGg,IF('Net zero activities &amp; levers'!$C$9="On",(('Net zero supporting data'!Y162*'Net zero supporting data'!Y183)+('Net zero supporting data'!Y174*ManureNEF))*NtoN2O*kgtoGg,"ERROR"))</f>
        <v>0.38588904144354591</v>
      </c>
      <c r="AI670" s="94">
        <f>IF('Net zero activities &amp; levers'!$C$9="Off",'Activity data'!BB53*ManureNEF*NtoN2O*kgtoGg,IF('Net zero activities &amp; levers'!$C$9="On",(('Net zero supporting data'!Z162*'Net zero supporting data'!Z183)+('Net zero supporting data'!Z174*ManureNEF))*NtoN2O*kgtoGg,"ERROR"))</f>
        <v>0.39157349610813613</v>
      </c>
      <c r="AJ670" s="94">
        <f>IF('Net zero activities &amp; levers'!$C$9="Off",'Activity data'!BC53*ManureNEF*NtoN2O*kgtoGg,IF('Net zero activities &amp; levers'!$C$9="On",(('Net zero supporting data'!AA162*'Net zero supporting data'!AA183)+('Net zero supporting data'!AA174*ManureNEF))*NtoN2O*kgtoGg,"ERROR"))</f>
        <v>0.39756955250590403</v>
      </c>
      <c r="AK670" s="94">
        <f>IF('Net zero activities &amp; levers'!$C$9="Off",'Activity data'!BD53*ManureNEF*NtoN2O*kgtoGg,IF('Net zero activities &amp; levers'!$C$9="On",(('Net zero supporting data'!AB162*'Net zero supporting data'!AB183)+('Net zero supporting data'!AB174*ManureNEF))*NtoN2O*kgtoGg,"ERROR"))</f>
        <v>0.40329410820183131</v>
      </c>
      <c r="AL670" s="94">
        <f>IF('Net zero activities &amp; levers'!$C$9="Off",'Activity data'!BE53*ManureNEF*NtoN2O*kgtoGg,IF('Net zero activities &amp; levers'!$C$9="On",(('Net zero supporting data'!AC162*'Net zero supporting data'!AC183)+('Net zero supporting data'!AC174*ManureNEF))*NtoN2O*kgtoGg,"ERROR"))</f>
        <v>0.4086920134239358</v>
      </c>
      <c r="AM670" s="94">
        <f>IF('Net zero activities &amp; levers'!$C$9="Off",'Activity data'!BF53*ManureNEF*NtoN2O*kgtoGg,IF('Net zero activities &amp; levers'!$C$9="On",(('Net zero supporting data'!AD162*'Net zero supporting data'!AD183)+('Net zero supporting data'!AD174*ManureNEF))*NtoN2O*kgtoGg,"ERROR"))</f>
        <v>0.41399400883192944</v>
      </c>
      <c r="AN670" s="94">
        <f>IF('Net zero activities &amp; levers'!$C$9="Off",'Activity data'!BG53*ManureNEF*NtoN2O*kgtoGg,IF('Net zero activities &amp; levers'!$C$9="On",(('Net zero supporting data'!AE162*'Net zero supporting data'!AE183)+('Net zero supporting data'!AE174*ManureNEF))*NtoN2O*kgtoGg,"ERROR"))</f>
        <v>0.42072674060954357</v>
      </c>
      <c r="AO670" s="94">
        <f>IF('Net zero activities &amp; levers'!$C$9="Off",'Activity data'!BH53*ManureNEF*NtoN2O*kgtoGg,IF('Net zero activities &amp; levers'!$C$9="On",(('Net zero supporting data'!AF162*'Net zero supporting data'!AF183)+('Net zero supporting data'!AF174*ManureNEF))*NtoN2O*kgtoGg,"ERROR"))</f>
        <v>0.42769047193917231</v>
      </c>
      <c r="AP670" s="94">
        <f>IF('Net zero activities &amp; levers'!$C$9="Off",'Activity data'!BI53*ManureNEF*NtoN2O*kgtoGg,IF('Net zero activities &amp; levers'!$C$9="On",(('Net zero supporting data'!AG162*'Net zero supporting data'!AG183)+('Net zero supporting data'!AG174*ManureNEF))*NtoN2O*kgtoGg,"ERROR"))</f>
        <v>0.43513827260891708</v>
      </c>
      <c r="AQ670" s="94">
        <f>IF('Net zero activities &amp; levers'!$C$9="Off",'Activity data'!BJ53*ManureNEF*NtoN2O*kgtoGg,IF('Net zero activities &amp; levers'!$C$9="On",(('Net zero supporting data'!AH162*'Net zero supporting data'!AH183)+('Net zero supporting data'!AH174*ManureNEF))*NtoN2O*kgtoGg,"ERROR"))</f>
        <v>0.44255709633783841</v>
      </c>
      <c r="AR670" s="94">
        <f>IF('Net zero activities &amp; levers'!$C$9="Off",'Activity data'!BK53*ManureNEF*NtoN2O*kgtoGg,IF('Net zero activities &amp; levers'!$C$9="On",(('Net zero supporting data'!AI162*'Net zero supporting data'!AI183)+('Net zero supporting data'!AI174*ManureNEF))*NtoN2O*kgtoGg,"ERROR"))</f>
        <v>0.44995657231615971</v>
      </c>
      <c r="AS670" s="94">
        <f>IF('Net zero activities &amp; levers'!$C$9="Off",'Activity data'!BL53*ManureNEF*NtoN2O*kgtoGg,IF('Net zero activities &amp; levers'!$C$9="On",(('Net zero supporting data'!AJ162*'Net zero supporting data'!AJ183)+('Net zero supporting data'!AJ174*ManureNEF))*NtoN2O*kgtoGg,"ERROR"))</f>
        <v>0.45782299471336541</v>
      </c>
      <c r="AT670" s="94">
        <f>IF('Net zero activities &amp; levers'!$C$9="Off",'Activity data'!BM53*ManureNEF*NtoN2O*kgtoGg,IF('Net zero activities &amp; levers'!$C$9="On",(('Net zero supporting data'!AK162*'Net zero supporting data'!AK183)+('Net zero supporting data'!AK174*ManureNEF))*NtoN2O*kgtoGg,"ERROR"))</f>
        <v>0.46595268200970025</v>
      </c>
      <c r="AU670" s="94">
        <f>IF('Net zero activities &amp; levers'!$C$9="Off",'Activity data'!BN53*ManureNEF*NtoN2O*kgtoGg,IF('Net zero activities &amp; levers'!$C$9="On",(('Net zero supporting data'!AL162*'Net zero supporting data'!AL183)+('Net zero supporting data'!AL174*ManureNEF))*NtoN2O*kgtoGg,"ERROR"))</f>
        <v>0.47420429180526752</v>
      </c>
      <c r="AV670" s="94">
        <f>IF('Net zero activities &amp; levers'!$C$9="Off",'Activity data'!BO53*ManureNEF*NtoN2O*kgtoGg,IF('Net zero activities &amp; levers'!$C$9="On",(('Net zero supporting data'!AM162*'Net zero supporting data'!AM183)+('Net zero supporting data'!AM174*ManureNEF))*NtoN2O*kgtoGg,"ERROR"))</f>
        <v>0.48285863154123199</v>
      </c>
      <c r="AW670" s="94">
        <f>IF('Net zero activities &amp; levers'!$C$9="Off",'Activity data'!BP53*ManureNEF*NtoN2O*kgtoGg,IF('Net zero activities &amp; levers'!$C$9="On",(('Net zero supporting data'!AN162*'Net zero supporting data'!AN183)+('Net zero supporting data'!AN174*ManureNEF))*NtoN2O*kgtoGg,"ERROR"))</f>
        <v>0.4901142188549843</v>
      </c>
      <c r="AY670" s="79"/>
      <c r="AZ670" s="79"/>
    </row>
    <row r="671" spans="1:52" x14ac:dyDescent="0.25">
      <c r="A671" s="95" t="str">
        <f t="shared" si="133"/>
        <v>NI Organic</v>
      </c>
      <c r="B671" s="95" t="s">
        <v>968</v>
      </c>
      <c r="C671" s="95" t="s">
        <v>1126</v>
      </c>
      <c r="D671" t="s">
        <v>369</v>
      </c>
      <c r="E671" t="s">
        <v>55</v>
      </c>
      <c r="F671" t="s">
        <v>421</v>
      </c>
      <c r="G671" t="s">
        <v>1159</v>
      </c>
      <c r="H671" t="s">
        <v>1160</v>
      </c>
      <c r="I671" t="s">
        <v>139</v>
      </c>
      <c r="J671" t="s">
        <v>287</v>
      </c>
      <c r="K671" s="22">
        <f>K1470</f>
        <v>2.6602988559851233</v>
      </c>
      <c r="L671" s="22">
        <f t="shared" ref="L671:AW671" si="145">L1470</f>
        <v>2.6372269335947083</v>
      </c>
      <c r="M671" s="22">
        <f t="shared" si="145"/>
        <v>2.6284441511866339</v>
      </c>
      <c r="N671" s="22">
        <f t="shared" si="145"/>
        <v>2.5933447201068058</v>
      </c>
      <c r="O671" s="22">
        <f t="shared" si="145"/>
        <v>2.5423970387070192</v>
      </c>
      <c r="P671" s="22">
        <f t="shared" si="145"/>
        <v>2.4766546252796311</v>
      </c>
      <c r="Q671" s="22">
        <f t="shared" si="145"/>
        <v>2.4248016610449818</v>
      </c>
      <c r="R671" s="22">
        <f t="shared" si="145"/>
        <v>2.3757428620222045</v>
      </c>
      <c r="S671" s="22">
        <f t="shared" si="145"/>
        <v>2.1214302687397906</v>
      </c>
      <c r="T671" s="22">
        <f t="shared" si="145"/>
        <v>2.2228564901236254</v>
      </c>
      <c r="U671" s="22">
        <f t="shared" si="145"/>
        <v>2.2579702674858382</v>
      </c>
      <c r="V671" s="22">
        <f t="shared" si="145"/>
        <v>2.2427215769927198</v>
      </c>
      <c r="W671" s="22">
        <f t="shared" si="145"/>
        <v>2.230317840982798</v>
      </c>
      <c r="X671" s="22">
        <f t="shared" si="145"/>
        <v>2.2311326295909391</v>
      </c>
      <c r="Y671" s="22">
        <f t="shared" si="145"/>
        <v>2.2442340110375012</v>
      </c>
      <c r="Z671" s="22">
        <f t="shared" si="145"/>
        <v>2.2628239721383245</v>
      </c>
      <c r="AA671" s="22">
        <f t="shared" si="145"/>
        <v>2.2883999122722289</v>
      </c>
      <c r="AB671" s="22">
        <f t="shared" si="145"/>
        <v>2.3258636456767143</v>
      </c>
      <c r="AC671" s="22">
        <f t="shared" si="145"/>
        <v>2.3741571098162688</v>
      </c>
      <c r="AD671" s="22">
        <f t="shared" si="145"/>
        <v>2.4078270750785844</v>
      </c>
      <c r="AE671" s="22">
        <f t="shared" si="145"/>
        <v>2.4454744215907969</v>
      </c>
      <c r="AF671" s="22">
        <f t="shared" si="145"/>
        <v>2.4842619963948258</v>
      </c>
      <c r="AG671" s="22">
        <f t="shared" si="145"/>
        <v>2.5250514206581411</v>
      </c>
      <c r="AH671" s="22">
        <f t="shared" si="145"/>
        <v>2.5664517862165597</v>
      </c>
      <c r="AI671" s="22">
        <f t="shared" si="145"/>
        <v>2.6042576766689809</v>
      </c>
      <c r="AJ671" s="22">
        <f t="shared" si="145"/>
        <v>2.6441359525452293</v>
      </c>
      <c r="AK671" s="22">
        <f t="shared" si="145"/>
        <v>2.6822085449571547</v>
      </c>
      <c r="AL671" s="22">
        <f t="shared" si="145"/>
        <v>2.7181086665238992</v>
      </c>
      <c r="AM671" s="22">
        <f t="shared" si="145"/>
        <v>2.7533709158338433</v>
      </c>
      <c r="AN671" s="22">
        <f t="shared" si="145"/>
        <v>2.7981486359580932</v>
      </c>
      <c r="AO671" s="22">
        <f t="shared" si="145"/>
        <v>2.8444626764988703</v>
      </c>
      <c r="AP671" s="22">
        <f t="shared" si="145"/>
        <v>2.8939961415092981</v>
      </c>
      <c r="AQ671" s="22">
        <f t="shared" si="145"/>
        <v>2.9433368881122353</v>
      </c>
      <c r="AR671" s="22">
        <f t="shared" si="145"/>
        <v>2.9925489576506421</v>
      </c>
      <c r="AS671" s="22">
        <f t="shared" si="145"/>
        <v>3.0448665713794991</v>
      </c>
      <c r="AT671" s="22">
        <f t="shared" si="145"/>
        <v>3.0989350943025911</v>
      </c>
      <c r="AU671" s="22">
        <f t="shared" si="145"/>
        <v>3.1538144933644965</v>
      </c>
      <c r="AV671" s="22">
        <f t="shared" si="145"/>
        <v>3.211372348831973</v>
      </c>
      <c r="AW671" s="22">
        <f t="shared" si="145"/>
        <v>3.2596274507435776</v>
      </c>
      <c r="AY671" s="79"/>
      <c r="AZ671" s="79"/>
    </row>
    <row r="672" spans="1:52" x14ac:dyDescent="0.25">
      <c r="A672" s="95" t="str">
        <f t="shared" si="133"/>
        <v>NI Organic</v>
      </c>
      <c r="B672" s="95" t="s">
        <v>968</v>
      </c>
      <c r="C672" s="95" t="s">
        <v>1126</v>
      </c>
      <c r="D672" t="s">
        <v>369</v>
      </c>
      <c r="E672" t="s">
        <v>55</v>
      </c>
      <c r="F672" t="s">
        <v>421</v>
      </c>
      <c r="G672" t="s">
        <v>1161</v>
      </c>
      <c r="H672" t="s">
        <v>1162</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0.34358078636628725</v>
      </c>
      <c r="L672" s="94">
        <f>IF('Net zero activities &amp; levers'!$C$9="Off",'Activity data'!AE55*ManureNEF*NtoN2O*kgtoGg,IF('Net zero activities &amp; levers'!$C$9="On",(('Net zero supporting data'!C163*'Net zero supporting data'!C183)+('Net zero supporting data'!C175*ManureNEF))*NtoN2O*kgtoGg,"ERROR"))</f>
        <v>0.35516571939691488</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0.37917034791782084</v>
      </c>
      <c r="O672" s="94">
        <f>IF('Net zero activities &amp; levers'!$C$9="Off",'Activity data'!AH55*ManureNEF*NtoN2O*kgtoGg,IF('Net zero activities &amp; levers'!$C$9="On",(('Net zero supporting data'!F163*'Net zero supporting data'!F183)+('Net zero supporting data'!F175*ManureNEF))*NtoN2O*kgtoGg,"ERROR"))</f>
        <v>0.3870785095581884</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0.37883271565803223</v>
      </c>
      <c r="T672" s="94">
        <f>IF('Net zero activities &amp; levers'!$C$9="Off",'Activity data'!AM55*ManureNEF*NtoN2O*kgtoGg,IF('Net zero activities &amp; levers'!$C$9="On",(('Net zero supporting data'!K163*'Net zero supporting data'!K183)+('Net zero supporting data'!K175*ManureNEF))*NtoN2O*kgtoGg,"ERROR"))</f>
        <v>0.40650829214497081</v>
      </c>
      <c r="U672" s="94">
        <f>IF('Net zero activities &amp; levers'!$C$9="Off",'Activity data'!AN55*ManureNEF*NtoN2O*kgtoGg,IF('Net zero activities &amp; levers'!$C$9="On",(('Net zero supporting data'!L163*'Net zero supporting data'!L183)+('Net zero supporting data'!L175*ManureNEF))*NtoN2O*kgtoGg,"ERROR"))</f>
        <v>0.42274175542300491</v>
      </c>
      <c r="V672" s="94">
        <f>IF('Net zero activities &amp; levers'!$C$9="Off",'Activity data'!AO55*ManureNEF*NtoN2O*kgtoGg,IF('Net zero activities &amp; levers'!$C$9="On",(('Net zero supporting data'!M163*'Net zero supporting data'!M183)+('Net zero supporting data'!M175*ManureNEF))*NtoN2O*kgtoGg,"ERROR"))</f>
        <v>0.42973734716787138</v>
      </c>
      <c r="W672" s="94">
        <f>IF('Net zero activities &amp; levers'!$C$9="Off",'Activity data'!AP55*ManureNEF*NtoN2O*kgtoGg,IF('Net zero activities &amp; levers'!$C$9="On",(('Net zero supporting data'!N163*'Net zero supporting data'!N183)+('Net zero supporting data'!N175*ManureNEF))*NtoN2O*kgtoGg,"ERROR"))</f>
        <v>0.43726842004421129</v>
      </c>
      <c r="X672" s="94">
        <f>IF('Net zero activities &amp; levers'!$C$9="Off",'Activity data'!AQ55*ManureNEF*NtoN2O*kgtoGg,IF('Net zero activities &amp; levers'!$C$9="On",(('Net zero supporting data'!O163*'Net zero supporting data'!O183)+('Net zero supporting data'!O175*ManureNEF))*NtoN2O*kgtoGg,"ERROR"))</f>
        <v>0.44745878466388073</v>
      </c>
      <c r="Y672" s="94">
        <f>IF('Net zero activities &amp; levers'!$C$9="Off",'Activity data'!AR55*ManureNEF*NtoN2O*kgtoGg,IF('Net zero activities &amp; levers'!$C$9="On",(('Net zero supporting data'!P163*'Net zero supporting data'!P183)+('Net zero supporting data'!P175*ManureNEF))*NtoN2O*kgtoGg,"ERROR"))</f>
        <v>0.46030289933226931</v>
      </c>
      <c r="Z672" s="94">
        <f>IF('Net zero activities &amp; levers'!$C$9="Off",'Activity data'!AS55*ManureNEF*NtoN2O*kgtoGg,IF('Net zero activities &amp; levers'!$C$9="On",(('Net zero supporting data'!Q163*'Net zero supporting data'!Q183)+('Net zero supporting data'!Q175*ManureNEF))*NtoN2O*kgtoGg,"ERROR"))</f>
        <v>0.47455223837766919</v>
      </c>
      <c r="AA672" s="94">
        <f>IF('Net zero activities &amp; levers'!$C$9="Off",'Activity data'!AT55*ManureNEF*NtoN2O*kgtoGg,IF('Net zero activities &amp; levers'!$C$9="On",(('Net zero supporting data'!R163*'Net zero supporting data'!R183)+('Net zero supporting data'!R175*ManureNEF))*NtoN2O*kgtoGg,"ERROR"))</f>
        <v>0.4906141484694207</v>
      </c>
      <c r="AB672" s="94">
        <f>IF('Net zero activities &amp; levers'!$C$9="Off",'Activity data'!AU55*ManureNEF*NtoN2O*kgtoGg,IF('Net zero activities &amp; levers'!$C$9="On",(('Net zero supporting data'!S163*'Net zero supporting data'!S183)+('Net zero supporting data'!S175*ManureNEF))*NtoN2O*kgtoGg,"ERROR"))</f>
        <v>0.50967264018855052</v>
      </c>
      <c r="AC672" s="94">
        <f>IF('Net zero activities &amp; levers'!$C$9="Off",'Activity data'!AV55*ManureNEF*NtoN2O*kgtoGg,IF('Net zero activities &amp; levers'!$C$9="On",(('Net zero supporting data'!T163*'Net zero supporting data'!T183)+('Net zero supporting data'!T175*ManureNEF))*NtoN2O*kgtoGg,"ERROR"))</f>
        <v>0.53167442702617229</v>
      </c>
      <c r="AD672" s="94">
        <f>IF('Net zero activities &amp; levers'!$C$9="Off",'Activity data'!AW55*ManureNEF*NtoN2O*kgtoGg,IF('Net zero activities &amp; levers'!$C$9="On",(('Net zero supporting data'!U163*'Net zero supporting data'!U183)+('Net zero supporting data'!U175*ManureNEF))*NtoN2O*kgtoGg,"ERROR"))</f>
        <v>0.55709637533943834</v>
      </c>
      <c r="AE672" s="94">
        <f>IF('Net zero activities &amp; levers'!$C$9="Off",'Activity data'!AX55*ManureNEF*NtoN2O*kgtoGg,IF('Net zero activities &amp; levers'!$C$9="On",(('Net zero supporting data'!V163*'Net zero supporting data'!V183)+('Net zero supporting data'!V175*ManureNEF))*NtoN2O*kgtoGg,"ERROR"))</f>
        <v>0.58460645913698228</v>
      </c>
      <c r="AF672" s="94">
        <f>IF('Net zero activities &amp; levers'!$C$9="Off",'Activity data'!AY55*ManureNEF*NtoN2O*kgtoGg,IF('Net zero activities &amp; levers'!$C$9="On",(('Net zero supporting data'!W163*'Net zero supporting data'!W183)+('Net zero supporting data'!W175*ManureNEF))*NtoN2O*kgtoGg,"ERROR"))</f>
        <v>0.61366166383859366</v>
      </c>
      <c r="AG672" s="94">
        <f>IF('Net zero activities &amp; levers'!$C$9="Off",'Activity data'!AZ55*ManureNEF*NtoN2O*kgtoGg,IF('Net zero activities &amp; levers'!$C$9="On",(('Net zero supporting data'!X163*'Net zero supporting data'!X183)+('Net zero supporting data'!X175*ManureNEF))*NtoN2O*kgtoGg,"ERROR"))</f>
        <v>0.64458089754098746</v>
      </c>
      <c r="AH672" s="94">
        <f>IF('Net zero activities &amp; levers'!$C$9="Off",'Activity data'!BA55*ManureNEF*NtoN2O*kgtoGg,IF('Net zero activities &amp; levers'!$C$9="On",(('Net zero supporting data'!Y163*'Net zero supporting data'!Y183)+('Net zero supporting data'!Y175*ManureNEF))*NtoN2O*kgtoGg,"ERROR"))</f>
        <v>0.67712551028517698</v>
      </c>
      <c r="AI672" s="94">
        <f>IF('Net zero activities &amp; levers'!$C$9="Off",'Activity data'!BB55*ManureNEF*NtoN2O*kgtoGg,IF('Net zero activities &amp; levers'!$C$9="On",(('Net zero supporting data'!Z163*'Net zero supporting data'!Z183)+('Net zero supporting data'!Z175*ManureNEF))*NtoN2O*kgtoGg,"ERROR"))</f>
        <v>0.71024940806884818</v>
      </c>
      <c r="AJ672" s="94">
        <f>IF('Net zero activities &amp; levers'!$C$9="Off",'Activity data'!BC55*ManureNEF*NtoN2O*kgtoGg,IF('Net zero activities &amp; levers'!$C$9="On",(('Net zero supporting data'!AA163*'Net zero supporting data'!AA183)+('Net zero supporting data'!AA175*ManureNEF))*NtoN2O*kgtoGg,"ERROR"))</f>
        <v>0.74554239669460731</v>
      </c>
      <c r="AK672" s="94">
        <f>IF('Net zero activities &amp; levers'!$C$9="Off",'Activity data'!BD55*ManureNEF*NtoN2O*kgtoGg,IF('Net zero activities &amp; levers'!$C$9="On",(('Net zero supporting data'!AB163*'Net zero supporting data'!AB183)+('Net zero supporting data'!AB175*ManureNEF))*NtoN2O*kgtoGg,"ERROR"))</f>
        <v>0.78202811985737553</v>
      </c>
      <c r="AL672" s="94">
        <f>IF('Net zero activities &amp; levers'!$C$9="Off",'Activity data'!BE55*ManureNEF*NtoN2O*kgtoGg,IF('Net zero activities &amp; levers'!$C$9="On",(('Net zero supporting data'!AC163*'Net zero supporting data'!AC183)+('Net zero supporting data'!AC175*ManureNEF))*NtoN2O*kgtoGg,"ERROR"))</f>
        <v>0.81964634511188172</v>
      </c>
      <c r="AM672" s="94">
        <f>IF('Net zero activities &amp; levers'!$C$9="Off",'Activity data'!BF55*ManureNEF*NtoN2O*kgtoGg,IF('Net zero activities &amp; levers'!$C$9="On",(('Net zero supporting data'!AD163*'Net zero supporting data'!AD183)+('Net zero supporting data'!AD175*ManureNEF))*NtoN2O*kgtoGg,"ERROR"))</f>
        <v>0.85891861421537574</v>
      </c>
      <c r="AN672" s="94">
        <f>IF('Net zero activities &amp; levers'!$C$9="Off",'Activity data'!BG55*ManureNEF*NtoN2O*kgtoGg,IF('Net zero activities &amp; levers'!$C$9="On",(('Net zero supporting data'!AE163*'Net zero supporting data'!AE183)+('Net zero supporting data'!AE175*ManureNEF))*NtoN2O*kgtoGg,"ERROR"))</f>
        <v>0.89751581296509064</v>
      </c>
      <c r="AO672" s="94">
        <f>IF('Net zero activities &amp; levers'!$C$9="Off",'Activity data'!BH55*ManureNEF*NtoN2O*kgtoGg,IF('Net zero activities &amp; levers'!$C$9="On",(('Net zero supporting data'!AF163*'Net zero supporting data'!AF183)+('Net zero supporting data'!AF175*ManureNEF))*NtoN2O*kgtoGg,"ERROR"))</f>
        <v>0.93820295986961577</v>
      </c>
      <c r="AP672" s="94">
        <f>IF('Net zero activities &amp; levers'!$C$9="Off",'Activity data'!BI55*ManureNEF*NtoN2O*kgtoGg,IF('Net zero activities &amp; levers'!$C$9="On",(('Net zero supporting data'!AG163*'Net zero supporting data'!AG183)+('Net zero supporting data'!AG175*ManureNEF))*NtoN2O*kgtoGg,"ERROR"))</f>
        <v>0.98167178661912335</v>
      </c>
      <c r="AQ672" s="94">
        <f>IF('Net zero activities &amp; levers'!$C$9="Off",'Activity data'!BJ55*ManureNEF*NtoN2O*kgtoGg,IF('Net zero activities &amp; levers'!$C$9="On",(('Net zero supporting data'!AH163*'Net zero supporting data'!AH183)+('Net zero supporting data'!AH175*ManureNEF))*NtoN2O*kgtoGg,"ERROR"))</f>
        <v>1.0269093365438573</v>
      </c>
      <c r="AR672" s="94">
        <f>IF('Net zero activities &amp; levers'!$C$9="Off",'Activity data'!BK55*ManureNEF*NtoN2O*kgtoGg,IF('Net zero activities &amp; levers'!$C$9="On",(('Net zero supporting data'!AI163*'Net zero supporting data'!AI183)+('Net zero supporting data'!AI175*ManureNEF))*NtoN2O*kgtoGg,"ERROR"))</f>
        <v>1.0740254053264544</v>
      </c>
      <c r="AS672" s="94">
        <f>IF('Net zero activities &amp; levers'!$C$9="Off",'Activity data'!BL55*ManureNEF*NtoN2O*kgtoGg,IF('Net zero activities &amp; levers'!$C$9="On",(('Net zero supporting data'!AJ163*'Net zero supporting data'!AJ183)+('Net zero supporting data'!AJ175*ManureNEF))*NtoN2O*kgtoGg,"ERROR"))</f>
        <v>1.1243087675322185</v>
      </c>
      <c r="AT672" s="94">
        <f>IF('Net zero activities &amp; levers'!$C$9="Off",'Activity data'!BM55*ManureNEF*NtoN2O*kgtoGg,IF('Net zero activities &amp; levers'!$C$9="On",(('Net zero supporting data'!AK163*'Net zero supporting data'!AK183)+('Net zero supporting data'!AK175*ManureNEF))*NtoN2O*kgtoGg,"ERROR"))</f>
        <v>1.1774495119019792</v>
      </c>
      <c r="AU672" s="94">
        <f>IF('Net zero activities &amp; levers'!$C$9="Off",'Activity data'!BN55*ManureNEF*NtoN2O*kgtoGg,IF('Net zero activities &amp; levers'!$C$9="On",(('Net zero supporting data'!AL163*'Net zero supporting data'!AL183)+('Net zero supporting data'!AL175*ManureNEF))*NtoN2O*kgtoGg,"ERROR"))</f>
        <v>1.2332540246283563</v>
      </c>
      <c r="AV672" s="94">
        <f>IF('Net zero activities &amp; levers'!$C$9="Off",'Activity data'!BO55*ManureNEF*NtoN2O*kgtoGg,IF('Net zero activities &amp; levers'!$C$9="On",(('Net zero supporting data'!AM163*'Net zero supporting data'!AM183)+('Net zero supporting data'!AM175*ManureNEF))*NtoN2O*kgtoGg,"ERROR"))</f>
        <v>1.2926278816392183</v>
      </c>
      <c r="AW672" s="94">
        <f>IF('Net zero activities &amp; levers'!$C$9="Off",'Activity data'!BP55*ManureNEF*NtoN2O*kgtoGg,IF('Net zero activities &amp; levers'!$C$9="On",(('Net zero supporting data'!AN163*'Net zero supporting data'!AN183)+('Net zero supporting data'!AN175*ManureNEF))*NtoN2O*kgtoGg,"ERROR"))</f>
        <v>1.3508373812373191</v>
      </c>
      <c r="AY672" s="79"/>
      <c r="AZ672" s="79"/>
    </row>
    <row r="673" spans="1:52" x14ac:dyDescent="0.25">
      <c r="A673" s="95" t="str">
        <f t="shared" si="133"/>
        <v>NI Organic</v>
      </c>
      <c r="B673" s="95" t="s">
        <v>968</v>
      </c>
      <c r="C673" s="95" t="s">
        <v>1126</v>
      </c>
      <c r="D673" t="s">
        <v>369</v>
      </c>
      <c r="E673" t="s">
        <v>55</v>
      </c>
      <c r="F673" t="s">
        <v>421</v>
      </c>
      <c r="G673" t="s">
        <v>1163</v>
      </c>
      <c r="H673" t="s">
        <v>1164</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5.9206646241484272E-2</v>
      </c>
      <c r="T673" s="94">
        <f>IF('Net zero activities &amp; levers'!$C$9="Off",'Activity data'!AM56*ManureNEF*NtoN2O*kgtoGg,IF('Net zero activities &amp; levers'!$C$9="On",(('Net zero supporting data'!K164*'Net zero supporting data'!K183)+('Net zero supporting data'!K176*ManureNEF))*NtoN2O*kgtoGg,"ERROR"))</f>
        <v>5.9249261961011081E-2</v>
      </c>
      <c r="U673" s="94">
        <f>IF('Net zero activities &amp; levers'!$C$9="Off",'Activity data'!AN56*ManureNEF*NtoN2O*kgtoGg,IF('Net zero activities &amp; levers'!$C$9="On",(('Net zero supporting data'!L164*'Net zero supporting data'!L183)+('Net zero supporting data'!L176*ManureNEF))*NtoN2O*kgtoGg,"ERROR"))</f>
        <v>5.9234279181673045E-2</v>
      </c>
      <c r="V673" s="94">
        <f>IF('Net zero activities &amp; levers'!$C$9="Off",'Activity data'!AO56*ManureNEF*NtoN2O*kgtoGg,IF('Net zero activities &amp; levers'!$C$9="On",(('Net zero supporting data'!M164*'Net zero supporting data'!M183)+('Net zero supporting data'!M176*ManureNEF))*NtoN2O*kgtoGg,"ERROR"))</f>
        <v>5.9233200541063784E-2</v>
      </c>
      <c r="W673" s="94">
        <f>IF('Net zero activities &amp; levers'!$C$9="Off",'Activity data'!AP56*ManureNEF*NtoN2O*kgtoGg,IF('Net zero activities &amp; levers'!$C$9="On",(('Net zero supporting data'!N164*'Net zero supporting data'!N183)+('Net zero supporting data'!N176*ManureNEF))*NtoN2O*kgtoGg,"ERROR"))</f>
        <v>5.9296029757579687E-2</v>
      </c>
      <c r="X673" s="94">
        <f>IF('Net zero activities &amp; levers'!$C$9="Off",'Activity data'!AQ56*ManureNEF*NtoN2O*kgtoGg,IF('Net zero activities &amp; levers'!$C$9="On",(('Net zero supporting data'!O164*'Net zero supporting data'!O183)+('Net zero supporting data'!O176*ManureNEF))*NtoN2O*kgtoGg,"ERROR"))</f>
        <v>5.9398855559527265E-2</v>
      </c>
      <c r="Y673" s="94">
        <f>IF('Net zero activities &amp; levers'!$C$9="Off",'Activity data'!AR56*ManureNEF*NtoN2O*kgtoGg,IF('Net zero activities &amp; levers'!$C$9="On",(('Net zero supporting data'!P164*'Net zero supporting data'!P183)+('Net zero supporting data'!P176*ManureNEF))*NtoN2O*kgtoGg,"ERROR"))</f>
        <v>5.9497518057295966E-2</v>
      </c>
      <c r="Z673" s="94">
        <f>IF('Net zero activities &amp; levers'!$C$9="Off",'Activity data'!AS56*ManureNEF*NtoN2O*kgtoGg,IF('Net zero activities &amp; levers'!$C$9="On",(('Net zero supporting data'!Q164*'Net zero supporting data'!Q183)+('Net zero supporting data'!Q176*ManureNEF))*NtoN2O*kgtoGg,"ERROR"))</f>
        <v>5.9592335556578689E-2</v>
      </c>
      <c r="AA673" s="94">
        <f>IF('Net zero activities &amp; levers'!$C$9="Off",'Activity data'!AT56*ManureNEF*NtoN2O*kgtoGg,IF('Net zero activities &amp; levers'!$C$9="On",(('Net zero supporting data'!R164*'Net zero supporting data'!R183)+('Net zero supporting data'!R176*ManureNEF))*NtoN2O*kgtoGg,"ERROR"))</f>
        <v>5.9683178655916949E-2</v>
      </c>
      <c r="AB673" s="94">
        <f>IF('Net zero activities &amp; levers'!$C$9="Off",'Activity data'!AU56*ManureNEF*NtoN2O*kgtoGg,IF('Net zero activities &amp; levers'!$C$9="On",(('Net zero supporting data'!S164*'Net zero supporting data'!S183)+('Net zero supporting data'!S176*ManureNEF))*NtoN2O*kgtoGg,"ERROR"))</f>
        <v>5.9771940504679918E-2</v>
      </c>
      <c r="AC673" s="94">
        <f>IF('Net zero activities &amp; levers'!$C$9="Off",'Activity data'!AV56*ManureNEF*NtoN2O*kgtoGg,IF('Net zero activities &amp; levers'!$C$9="On",(('Net zero supporting data'!T164*'Net zero supporting data'!T183)+('Net zero supporting data'!T176*ManureNEF))*NtoN2O*kgtoGg,"ERROR"))</f>
        <v>5.9859917680633305E-2</v>
      </c>
      <c r="AD673" s="94">
        <f>IF('Net zero activities &amp; levers'!$C$9="Off",'Activity data'!AW56*ManureNEF*NtoN2O*kgtoGg,IF('Net zero activities &amp; levers'!$C$9="On",(('Net zero supporting data'!U164*'Net zero supporting data'!U183)+('Net zero supporting data'!U176*ManureNEF))*NtoN2O*kgtoGg,"ERROR"))</f>
        <v>5.994622744604354E-2</v>
      </c>
      <c r="AE673" s="94">
        <f>IF('Net zero activities &amp; levers'!$C$9="Off",'Activity data'!AX56*ManureNEF*NtoN2O*kgtoGg,IF('Net zero activities &amp; levers'!$C$9="On",(('Net zero supporting data'!V164*'Net zero supporting data'!V183)+('Net zero supporting data'!V176*ManureNEF))*NtoN2O*kgtoGg,"ERROR"))</f>
        <v>6.0032110794538678E-2</v>
      </c>
      <c r="AF673" s="94">
        <f>IF('Net zero activities &amp; levers'!$C$9="Off",'Activity data'!AY56*ManureNEF*NtoN2O*kgtoGg,IF('Net zero activities &amp; levers'!$C$9="On",(('Net zero supporting data'!W164*'Net zero supporting data'!W183)+('Net zero supporting data'!W176*ManureNEF))*NtoN2O*kgtoGg,"ERROR"))</f>
        <v>6.0117297176971563E-2</v>
      </c>
      <c r="AG673" s="94">
        <f>IF('Net zero activities &amp; levers'!$C$9="Off",'Activity data'!AZ56*ManureNEF*NtoN2O*kgtoGg,IF('Net zero activities &amp; levers'!$C$9="On",(('Net zero supporting data'!X164*'Net zero supporting data'!X183)+('Net zero supporting data'!X176*ManureNEF))*NtoN2O*kgtoGg,"ERROR"))</f>
        <v>6.0201104026504609E-2</v>
      </c>
      <c r="AH673" s="94">
        <f>IF('Net zero activities &amp; levers'!$C$9="Off",'Activity data'!BA56*ManureNEF*NtoN2O*kgtoGg,IF('Net zero activities &amp; levers'!$C$9="On",(('Net zero supporting data'!Y164*'Net zero supporting data'!Y183)+('Net zero supporting data'!Y176*ManureNEF))*NtoN2O*kgtoGg,"ERROR"))</f>
        <v>6.0283900321551377E-2</v>
      </c>
      <c r="AI673" s="94">
        <f>IF('Net zero activities &amp; levers'!$C$9="Off",'Activity data'!BB56*ManureNEF*NtoN2O*kgtoGg,IF('Net zero activities &amp; levers'!$C$9="On",(('Net zero supporting data'!Z164*'Net zero supporting data'!Z183)+('Net zero supporting data'!Z176*ManureNEF))*NtoN2O*kgtoGg,"ERROR"))</f>
        <v>6.0365774417580641E-2</v>
      </c>
      <c r="AJ673" s="94">
        <f>IF('Net zero activities &amp; levers'!$C$9="Off",'Activity data'!BC56*ManureNEF*NtoN2O*kgtoGg,IF('Net zero activities &amp; levers'!$C$9="On",(('Net zero supporting data'!AA164*'Net zero supporting data'!AA183)+('Net zero supporting data'!AA176*ManureNEF))*NtoN2O*kgtoGg,"ERROR"))</f>
        <v>6.0447004272429113E-2</v>
      </c>
      <c r="AK673" s="94">
        <f>IF('Net zero activities &amp; levers'!$C$9="Off",'Activity data'!BD56*ManureNEF*NtoN2O*kgtoGg,IF('Net zero activities &amp; levers'!$C$9="On",(('Net zero supporting data'!AB164*'Net zero supporting data'!AB183)+('Net zero supporting data'!AB176*ManureNEF))*NtoN2O*kgtoGg,"ERROR"))</f>
        <v>6.0525104414191039E-2</v>
      </c>
      <c r="AL673" s="94">
        <f>IF('Net zero activities &amp; levers'!$C$9="Off",'Activity data'!BE56*ManureNEF*NtoN2O*kgtoGg,IF('Net zero activities &amp; levers'!$C$9="On",(('Net zero supporting data'!AC164*'Net zero supporting data'!AC183)+('Net zero supporting data'!AC176*ManureNEF))*NtoN2O*kgtoGg,"ERROR"))</f>
        <v>6.0599983467265146E-2</v>
      </c>
      <c r="AM673" s="94">
        <f>IF('Net zero activities &amp; levers'!$C$9="Off",'Activity data'!BF56*ManureNEF*NtoN2O*kgtoGg,IF('Net zero activities &amp; levers'!$C$9="On",(('Net zero supporting data'!AD164*'Net zero supporting data'!AD183)+('Net zero supporting data'!AD176*ManureNEF))*NtoN2O*kgtoGg,"ERROR"))</f>
        <v>6.0672341257529266E-2</v>
      </c>
      <c r="AN673" s="94">
        <f>IF('Net zero activities &amp; levers'!$C$9="Off",'Activity data'!BG56*ManureNEF*NtoN2O*kgtoGg,IF('Net zero activities &amp; levers'!$C$9="On",(('Net zero supporting data'!AE164*'Net zero supporting data'!AE183)+('Net zero supporting data'!AE176*ManureNEF))*NtoN2O*kgtoGg,"ERROR"))</f>
        <v>6.0741620622323307E-2</v>
      </c>
      <c r="AO673" s="94">
        <f>IF('Net zero activities &amp; levers'!$C$9="Off",'Activity data'!BH56*ManureNEF*NtoN2O*kgtoGg,IF('Net zero activities &amp; levers'!$C$9="On",(('Net zero supporting data'!AF164*'Net zero supporting data'!AF183)+('Net zero supporting data'!AF176*ManureNEF))*NtoN2O*kgtoGg,"ERROR"))</f>
        <v>6.0807947239837602E-2</v>
      </c>
      <c r="AP673" s="94">
        <f>IF('Net zero activities &amp; levers'!$C$9="Off",'Activity data'!BI56*ManureNEF*NtoN2O*kgtoGg,IF('Net zero activities &amp; levers'!$C$9="On",(('Net zero supporting data'!AG164*'Net zero supporting data'!AG183)+('Net zero supporting data'!AG176*ManureNEF))*NtoN2O*kgtoGg,"ERROR"))</f>
        <v>6.0871022373773183E-2</v>
      </c>
      <c r="AQ673" s="94">
        <f>IF('Net zero activities &amp; levers'!$C$9="Off",'Activity data'!BJ56*ManureNEF*NtoN2O*kgtoGg,IF('Net zero activities &amp; levers'!$C$9="On",(('Net zero supporting data'!AH164*'Net zero supporting data'!AH183)+('Net zero supporting data'!AH176*ManureNEF))*NtoN2O*kgtoGg,"ERROR"))</f>
        <v>6.0929943414023247E-2</v>
      </c>
      <c r="AR673" s="94">
        <f>IF('Net zero activities &amp; levers'!$C$9="Off",'Activity data'!BK56*ManureNEF*NtoN2O*kgtoGg,IF('Net zero activities &amp; levers'!$C$9="On",(('Net zero supporting data'!AI164*'Net zero supporting data'!AI183)+('Net zero supporting data'!AI176*ManureNEF))*NtoN2O*kgtoGg,"ERROR"))</f>
        <v>6.098387393162142E-2</v>
      </c>
      <c r="AS673" s="94">
        <f>IF('Net zero activities &amp; levers'!$C$9="Off",'Activity data'!BL56*ManureNEF*NtoN2O*kgtoGg,IF('Net zero activities &amp; levers'!$C$9="On",(('Net zero supporting data'!AJ164*'Net zero supporting data'!AJ183)+('Net zero supporting data'!AJ176*ManureNEF))*NtoN2O*kgtoGg,"ERROR"))</f>
        <v>6.1032759441621343E-2</v>
      </c>
      <c r="AT673" s="94">
        <f>IF('Net zero activities &amp; levers'!$C$9="Off",'Activity data'!BM56*ManureNEF*NtoN2O*kgtoGg,IF('Net zero activities &amp; levers'!$C$9="On",(('Net zero supporting data'!AK164*'Net zero supporting data'!AK183)+('Net zero supporting data'!AK176*ManureNEF))*NtoN2O*kgtoGg,"ERROR"))</f>
        <v>6.1076225850700765E-2</v>
      </c>
      <c r="AU673" s="94">
        <f>IF('Net zero activities &amp; levers'!$C$9="Off",'Activity data'!BN56*ManureNEF*NtoN2O*kgtoGg,IF('Net zero activities &amp; levers'!$C$9="On",(('Net zero supporting data'!AL164*'Net zero supporting data'!AL183)+('Net zero supporting data'!AL176*ManureNEF))*NtoN2O*kgtoGg,"ERROR"))</f>
        <v>6.1114252195612971E-2</v>
      </c>
      <c r="AV673" s="94">
        <f>IF('Net zero activities &amp; levers'!$C$9="Off",'Activity data'!BO56*ManureNEF*NtoN2O*kgtoGg,IF('Net zero activities &amp; levers'!$C$9="On",(('Net zero supporting data'!AM164*'Net zero supporting data'!AM183)+('Net zero supporting data'!AM176*ManureNEF))*NtoN2O*kgtoGg,"ERROR"))</f>
        <v>6.1147566184616489E-2</v>
      </c>
      <c r="AW673" s="94">
        <f>IF('Net zero activities &amp; levers'!$C$9="Off",'Activity data'!BP56*ManureNEF*NtoN2O*kgtoGg,IF('Net zero activities &amp; levers'!$C$9="On",(('Net zero supporting data'!AN164*'Net zero supporting data'!AN183)+('Net zero supporting data'!AN176*ManureNEF))*NtoN2O*kgtoGg,"ERROR"))</f>
        <v>6.1171840771151238E-2</v>
      </c>
      <c r="AY673" s="79"/>
      <c r="AZ673" s="79"/>
    </row>
    <row r="674" spans="1:52" x14ac:dyDescent="0.25">
      <c r="A674" s="95" t="str">
        <f t="shared" si="133"/>
        <v>NI Organic</v>
      </c>
      <c r="B674" s="95" t="s">
        <v>968</v>
      </c>
      <c r="C674" s="95" t="s">
        <v>1126</v>
      </c>
      <c r="D674" t="s">
        <v>369</v>
      </c>
      <c r="E674" t="s">
        <v>55</v>
      </c>
      <c r="F674" t="s">
        <v>421</v>
      </c>
      <c r="G674" t="s">
        <v>1165</v>
      </c>
      <c r="H674" t="s">
        <v>1166</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4.8186162011392024E-2</v>
      </c>
      <c r="T674" s="22">
        <f t="shared" si="146"/>
        <v>4.8220845414281899E-2</v>
      </c>
      <c r="U674" s="22">
        <f t="shared" si="146"/>
        <v>4.8208651468527576E-2</v>
      </c>
      <c r="V674" s="22">
        <f t="shared" si="146"/>
        <v>4.8207773601692518E-2</v>
      </c>
      <c r="W674" s="22">
        <f t="shared" si="146"/>
        <v>4.8258908043487037E-2</v>
      </c>
      <c r="X674" s="22">
        <f t="shared" si="146"/>
        <v>4.8342594269039987E-2</v>
      </c>
      <c r="Y674" s="22">
        <f t="shared" si="146"/>
        <v>4.8422892130914143E-2</v>
      </c>
      <c r="Z674" s="22">
        <f t="shared" si="146"/>
        <v>4.8500060686675887E-2</v>
      </c>
      <c r="AA674" s="22">
        <f t="shared" si="146"/>
        <v>4.8573994621127721E-2</v>
      </c>
      <c r="AB674" s="22">
        <f t="shared" si="146"/>
        <v>4.8646234700518105E-2</v>
      </c>
      <c r="AC674" s="22">
        <f t="shared" si="146"/>
        <v>4.8717836162902997E-2</v>
      </c>
      <c r="AD674" s="22">
        <f t="shared" si="146"/>
        <v>4.8788080579758822E-2</v>
      </c>
      <c r="AE674" s="22">
        <f t="shared" si="146"/>
        <v>4.8857977951209122E-2</v>
      </c>
      <c r="AF674" s="22">
        <f t="shared" si="146"/>
        <v>4.8927308087024161E-2</v>
      </c>
      <c r="AG674" s="22">
        <f t="shared" si="146"/>
        <v>4.8995515470580273E-2</v>
      </c>
      <c r="AH674" s="22">
        <f t="shared" si="146"/>
        <v>4.9062900400150392E-2</v>
      </c>
      <c r="AI674" s="22">
        <f t="shared" si="146"/>
        <v>4.9129534785075896E-2</v>
      </c>
      <c r="AJ674" s="22">
        <f t="shared" si="146"/>
        <v>4.9195644845252684E-2</v>
      </c>
      <c r="AK674" s="22">
        <f t="shared" si="146"/>
        <v>4.9259207744402629E-2</v>
      </c>
      <c r="AL674" s="22">
        <f t="shared" si="146"/>
        <v>4.9320149115207046E-2</v>
      </c>
      <c r="AM674" s="22">
        <f t="shared" si="146"/>
        <v>4.9379038520802346E-2</v>
      </c>
      <c r="AN674" s="22">
        <f t="shared" si="146"/>
        <v>4.9435422506519014E-2</v>
      </c>
      <c r="AO674" s="22">
        <f t="shared" si="146"/>
        <v>4.9489403357320404E-2</v>
      </c>
      <c r="AP674" s="22">
        <f t="shared" si="146"/>
        <v>4.9540737942466703E-2</v>
      </c>
      <c r="AQ674" s="22">
        <f t="shared" si="146"/>
        <v>4.9588691660023831E-2</v>
      </c>
      <c r="AR674" s="22">
        <f t="shared" si="146"/>
        <v>4.9632583770509955E-2</v>
      </c>
      <c r="AS674" s="22">
        <f t="shared" si="146"/>
        <v>4.9672369930584929E-2</v>
      </c>
      <c r="AT674" s="22">
        <f t="shared" si="146"/>
        <v>4.9707745679135391E-2</v>
      </c>
      <c r="AU674" s="22">
        <f t="shared" si="146"/>
        <v>4.9738693954928054E-2</v>
      </c>
      <c r="AV674" s="22">
        <f t="shared" si="146"/>
        <v>4.9765807013567136E-2</v>
      </c>
      <c r="AW674" s="22">
        <f t="shared" si="146"/>
        <v>4.9785563227333289E-2</v>
      </c>
      <c r="AY674" s="79"/>
      <c r="AZ674" s="79"/>
    </row>
    <row r="675" spans="1:52" x14ac:dyDescent="0.25">
      <c r="A675" s="95" t="str">
        <f t="shared" si="133"/>
        <v>NI Organic</v>
      </c>
      <c r="B675" s="95" t="s">
        <v>968</v>
      </c>
      <c r="C675" s="95" t="s">
        <v>1126</v>
      </c>
      <c r="D675" t="s">
        <v>369</v>
      </c>
      <c r="E675" t="s">
        <v>55</v>
      </c>
      <c r="F675" t="s">
        <v>421</v>
      </c>
      <c r="G675" t="s">
        <v>1167</v>
      </c>
      <c r="H675" t="s">
        <v>1168</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7.2140927380493743E-3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7.4155715935563127E-3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7.446057759840319E-3</v>
      </c>
      <c r="T675" s="94">
        <f>IF('Net zero activities &amp; levers'!$C$9="Off",'Activity data'!AM58*ManureNEF*NtoN2O*kgtoGg,IF('Net zero activities &amp; levers'!$C$9="On",(('Net zero supporting data'!K165*'Net zero supporting data'!K183)+('Net zero supporting data'!K177*ManureNEF))*NtoN2O*kgtoGg,"ERROR"))</f>
        <v>7.4588575402652147E-3</v>
      </c>
      <c r="U675" s="94">
        <f>IF('Net zero activities &amp; levers'!$C$9="Off",'Activity data'!AN58*ManureNEF*NtoN2O*kgtoGg,IF('Net zero activities &amp; levers'!$C$9="On",(('Net zero supporting data'!L165*'Net zero supporting data'!L183)+('Net zero supporting data'!L177*ManureNEF))*NtoN2O*kgtoGg,"ERROR"))</f>
        <v>7.4600996121267065E-3</v>
      </c>
      <c r="V675" s="94">
        <f>IF('Net zero activities &amp; levers'!$C$9="Off",'Activity data'!AO58*ManureNEF*NtoN2O*kgtoGg,IF('Net zero activities &amp; levers'!$C$9="On",(('Net zero supporting data'!M165*'Net zero supporting data'!M183)+('Net zero supporting data'!M177*ManureNEF))*NtoN2O*kgtoGg,"ERROR"))</f>
        <v>7.4635145174609509E-3</v>
      </c>
      <c r="W675" s="94">
        <f>IF('Net zero activities &amp; levers'!$C$9="Off",'Activity data'!AP58*ManureNEF*NtoN2O*kgtoGg,IF('Net zero activities &amp; levers'!$C$9="On",(('Net zero supporting data'!N165*'Net zero supporting data'!N183)+('Net zero supporting data'!N177*ManureNEF))*NtoN2O*kgtoGg,"ERROR"))</f>
        <v>7.478612742540797E-3</v>
      </c>
      <c r="X675" s="94">
        <f>IF('Net zero activities &amp; levers'!$C$9="Off",'Activity data'!AQ58*ManureNEF*NtoN2O*kgtoGg,IF('Net zero activities &amp; levers'!$C$9="On",(('Net zero supporting data'!O165*'Net zero supporting data'!O183)+('Net zero supporting data'!O177*ManureNEF))*NtoN2O*kgtoGg,"ERROR"))</f>
        <v>7.5008213874242727E-3</v>
      </c>
      <c r="Y675" s="94">
        <f>IF('Net zero activities &amp; levers'!$C$9="Off",'Activity data'!AR58*ManureNEF*NtoN2O*kgtoGg,IF('Net zero activities &amp; levers'!$C$9="On",(('Net zero supporting data'!P165*'Net zero supporting data'!P183)+('Net zero supporting data'!P177*ManureNEF))*NtoN2O*kgtoGg,"ERROR"))</f>
        <v>7.521785176202795E-3</v>
      </c>
      <c r="Z675" s="94">
        <f>IF('Net zero activities &amp; levers'!$C$9="Off",'Activity data'!AS58*ManureNEF*NtoN2O*kgtoGg,IF('Net zero activities &amp; levers'!$C$9="On",(('Net zero supporting data'!Q165*'Net zero supporting data'!Q183)+('Net zero supporting data'!Q177*ManureNEF))*NtoN2O*kgtoGg,"ERROR"))</f>
        <v>7.5416026776079998E-3</v>
      </c>
      <c r="AA675" s="94">
        <f>IF('Net zero activities &amp; levers'!$C$9="Off",'Activity data'!AT58*ManureNEF*NtoN2O*kgtoGg,IF('Net zero activities &amp; levers'!$C$9="On",(('Net zero supporting data'!R165*'Net zero supporting data'!R183)+('Net zero supporting data'!R177*ManureNEF))*NtoN2O*kgtoGg,"ERROR"))</f>
        <v>7.5602840353540396E-3</v>
      </c>
      <c r="AB675" s="94">
        <f>IF('Net zero activities &amp; levers'!$C$9="Off",'Activity data'!AU58*ManureNEF*NtoN2O*kgtoGg,IF('Net zero activities &amp; levers'!$C$9="On",(('Net zero supporting data'!S165*'Net zero supporting data'!S183)+('Net zero supporting data'!S177*ManureNEF))*NtoN2O*kgtoGg,"ERROR"))</f>
        <v>7.5782158017585468E-3</v>
      </c>
      <c r="AC675" s="94">
        <f>IF('Net zero activities &amp; levers'!$C$9="Off",'Activity data'!AV58*ManureNEF*NtoN2O*kgtoGg,IF('Net zero activities &amp; levers'!$C$9="On",(('Net zero supporting data'!T165*'Net zero supporting data'!T183)+('Net zero supporting data'!T177*ManureNEF))*NtoN2O*kgtoGg,"ERROR"))</f>
        <v>7.5956670242534503E-3</v>
      </c>
      <c r="AD675" s="94">
        <f>IF('Net zero activities &amp; levers'!$C$9="Off",'Activity data'!AW58*ManureNEF*NtoN2O*kgtoGg,IF('Net zero activities &amp; levers'!$C$9="On",(('Net zero supporting data'!U165*'Net zero supporting data'!U183)+('Net zero supporting data'!U177*ManureNEF))*NtoN2O*kgtoGg,"ERROR"))</f>
        <v>7.6124952267758277E-3</v>
      </c>
      <c r="AE675" s="94">
        <f>IF('Net zero activities &amp; levers'!$C$9="Off",'Activity data'!AX58*ManureNEF*NtoN2O*kgtoGg,IF('Net zero activities &amp; levers'!$C$9="On",(('Net zero supporting data'!V165*'Net zero supporting data'!V183)+('Net zero supporting data'!V177*ManureNEF))*NtoN2O*kgtoGg,"ERROR"))</f>
        <v>7.6289531687582885E-3</v>
      </c>
      <c r="AF675" s="94">
        <f>IF('Net zero activities &amp; levers'!$C$9="Off",'Activity data'!AY58*ManureNEF*NtoN2O*kgtoGg,IF('Net zero activities &amp; levers'!$C$9="On",(('Net zero supporting data'!W165*'Net zero supporting data'!W183)+('Net zero supporting data'!W177*ManureNEF))*NtoN2O*kgtoGg,"ERROR"))</f>
        <v>7.6450086817527159E-3</v>
      </c>
      <c r="AG675" s="94">
        <f>IF('Net zero activities &amp; levers'!$C$9="Off",'Activity data'!AZ58*ManureNEF*NtoN2O*kgtoGg,IF('Net zero activities &amp; levers'!$C$9="On",(('Net zero supporting data'!X165*'Net zero supporting data'!X183)+('Net zero supporting data'!X177*ManureNEF))*NtoN2O*kgtoGg,"ERROR"))</f>
        <v>7.6605519051480614E-3</v>
      </c>
      <c r="AH675" s="94">
        <f>IF('Net zero activities &amp; levers'!$C$9="Off",'Activity data'!BA58*ManureNEF*NtoN2O*kgtoGg,IF('Net zero activities &amp; levers'!$C$9="On",(('Net zero supporting data'!Y165*'Net zero supporting data'!Y183)+('Net zero supporting data'!Y177*ManureNEF))*NtoN2O*kgtoGg,"ERROR"))</f>
        <v>7.6756674337729895E-3</v>
      </c>
      <c r="AI675" s="94">
        <f>IF('Net zero activities &amp; levers'!$C$9="Off",'Activity data'!BB58*ManureNEF*NtoN2O*kgtoGg,IF('Net zero activities &amp; levers'!$C$9="On",(('Net zero supporting data'!Z165*'Net zero supporting data'!Z183)+('Net zero supporting data'!Z177*ManureNEF))*NtoN2O*kgtoGg,"ERROR"))</f>
        <v>7.6903861453690046E-3</v>
      </c>
      <c r="AJ675" s="94">
        <f>IF('Net zero activities &amp; levers'!$C$9="Off",'Activity data'!BC58*ManureNEF*NtoN2O*kgtoGg,IF('Net zero activities &amp; levers'!$C$9="On",(('Net zero supporting data'!AA165*'Net zero supporting data'!AA183)+('Net zero supporting data'!AA177*ManureNEF))*NtoN2O*kgtoGg,"ERROR"))</f>
        <v>7.7047726653034906E-3</v>
      </c>
      <c r="AK675" s="94">
        <f>IF('Net zero activities &amp; levers'!$C$9="Off",'Activity data'!BD58*ManureNEF*NtoN2O*kgtoGg,IF('Net zero activities &amp; levers'!$C$9="On",(('Net zero supporting data'!AB165*'Net zero supporting data'!AB183)+('Net zero supporting data'!AB177*ManureNEF))*NtoN2O*kgtoGg,"ERROR"))</f>
        <v>7.7183809322326768E-3</v>
      </c>
      <c r="AL675" s="94">
        <f>IF('Net zero activities &amp; levers'!$C$9="Off",'Activity data'!BE58*ManureNEF*NtoN2O*kgtoGg,IF('Net zero activities &amp; levers'!$C$9="On",(('Net zero supporting data'!AC165*'Net zero supporting data'!AC183)+('Net zero supporting data'!AC177*ManureNEF))*NtoN2O*kgtoGg,"ERROR"))</f>
        <v>7.7312077295111602E-3</v>
      </c>
      <c r="AM675" s="94">
        <f>IF('Net zero activities &amp; levers'!$C$9="Off",'Activity data'!BF58*ManureNEF*NtoN2O*kgtoGg,IF('Net zero activities &amp; levers'!$C$9="On",(('Net zero supporting data'!AD165*'Net zero supporting data'!AD183)+('Net zero supporting data'!AD177*ManureNEF))*NtoN2O*kgtoGg,"ERROR"))</f>
        <v>7.7433943538670266E-3</v>
      </c>
      <c r="AN675" s="94">
        <f>IF('Net zero activities &amp; levers'!$C$9="Off",'Activity data'!BG58*ManureNEF*NtoN2O*kgtoGg,IF('Net zero activities &amp; levers'!$C$9="On",(('Net zero supporting data'!AE165*'Net zero supporting data'!AE183)+('Net zero supporting data'!AE177*ManureNEF))*NtoN2O*kgtoGg,"ERROR"))</f>
        <v>7.7548499619508725E-3</v>
      </c>
      <c r="AO675" s="94">
        <f>IF('Net zero activities &amp; levers'!$C$9="Off",'Activity data'!BH58*ManureNEF*NtoN2O*kgtoGg,IF('Net zero activities &amp; levers'!$C$9="On",(('Net zero supporting data'!AF165*'Net zero supporting data'!AF183)+('Net zero supporting data'!AF177*ManureNEF))*NtoN2O*kgtoGg,"ERROR"))</f>
        <v>7.7656086534531824E-3</v>
      </c>
      <c r="AP675" s="94">
        <f>IF('Net zero activities &amp; levers'!$C$9="Off",'Activity data'!BI58*ManureNEF*NtoN2O*kgtoGg,IF('Net zero activities &amp; levers'!$C$9="On",(('Net zero supporting data'!AG165*'Net zero supporting data'!AG183)+('Net zero supporting data'!AG177*ManureNEF))*NtoN2O*kgtoGg,"ERROR"))</f>
        <v>7.7756261682697366E-3</v>
      </c>
      <c r="AQ675" s="94">
        <f>IF('Net zero activities &amp; levers'!$C$9="Off",'Activity data'!BJ58*ManureNEF*NtoN2O*kgtoGg,IF('Net zero activities &amp; levers'!$C$9="On",(('Net zero supporting data'!AH165*'Net zero supporting data'!AH183)+('Net zero supporting data'!AH177*ManureNEF))*NtoN2O*kgtoGg,"ERROR"))</f>
        <v>7.7847478814032966E-3</v>
      </c>
      <c r="AR675" s="94">
        <f>IF('Net zero activities &amp; levers'!$C$9="Off",'Activity data'!BK58*ManureNEF*NtoN2O*kgtoGg,IF('Net zero activities &amp; levers'!$C$9="On",(('Net zero supporting data'!AI165*'Net zero supporting data'!AI183)+('Net zero supporting data'!AI177*ManureNEF))*NtoN2O*kgtoGg,"ERROR"))</f>
        <v>7.7928317537802119E-3</v>
      </c>
      <c r="AS675" s="94">
        <f>IF('Net zero activities &amp; levers'!$C$9="Off",'Activity data'!BL58*ManureNEF*NtoN2O*kgtoGg,IF('Net zero activities &amp; levers'!$C$9="On",(('Net zero supporting data'!AJ165*'Net zero supporting data'!AJ183)+('Net zero supporting data'!AJ177*ManureNEF))*NtoN2O*kgtoGg,"ERROR"))</f>
        <v>7.7998783369461555E-3</v>
      </c>
      <c r="AT675" s="94">
        <f>IF('Net zero activities &amp; levers'!$C$9="Off",'Activity data'!BM58*ManureNEF*NtoN2O*kgtoGg,IF('Net zero activities &amp; levers'!$C$9="On",(('Net zero supporting data'!AK165*'Net zero supporting data'!AK183)+('Net zero supporting data'!AK177*ManureNEF))*NtoN2O*kgtoGg,"ERROR"))</f>
        <v>7.8058297320024528E-3</v>
      </c>
      <c r="AU675" s="94">
        <f>IF('Net zero activities &amp; levers'!$C$9="Off",'Activity data'!BN58*ManureNEF*NtoN2O*kgtoGg,IF('Net zero activities &amp; levers'!$C$9="On",(('Net zero supporting data'!AL165*'Net zero supporting data'!AL183)+('Net zero supporting data'!AL177*ManureNEF))*NtoN2O*kgtoGg,"ERROR"))</f>
        <v>7.8106919749548918E-3</v>
      </c>
      <c r="AV675" s="94">
        <f>IF('Net zero activities &amp; levers'!$C$9="Off",'Activity data'!BO58*ManureNEF*NtoN2O*kgtoGg,IF('Net zero activities &amp; levers'!$C$9="On",(('Net zero supporting data'!AM165*'Net zero supporting data'!AM183)+('Net zero supporting data'!AM177*ManureNEF))*NtoN2O*kgtoGg,"ERROR"))</f>
        <v>7.8146060933627498E-3</v>
      </c>
      <c r="AW675" s="94">
        <f>IF('Net zero activities &amp; levers'!$C$9="Off",'Activity data'!BP58*ManureNEF*NtoN2O*kgtoGg,IF('Net zero activities &amp; levers'!$C$9="On",(('Net zero supporting data'!AN165*'Net zero supporting data'!AN183)+('Net zero supporting data'!AN177*ManureNEF))*NtoN2O*kgtoGg,"ERROR"))</f>
        <v>7.8167990100407609E-3</v>
      </c>
      <c r="AY675" s="79"/>
      <c r="AZ675" s="79"/>
    </row>
    <row r="676" spans="1:52" x14ac:dyDescent="0.25">
      <c r="A676" s="95" t="str">
        <f t="shared" si="133"/>
        <v>NI Organic</v>
      </c>
      <c r="B676" s="95" t="s">
        <v>968</v>
      </c>
      <c r="C676" s="95" t="s">
        <v>1126</v>
      </c>
      <c r="D676" t="s">
        <v>369</v>
      </c>
      <c r="E676" t="s">
        <v>55</v>
      </c>
      <c r="F676" t="s">
        <v>421</v>
      </c>
      <c r="G676" t="s">
        <v>1169</v>
      </c>
      <c r="H676" t="s">
        <v>1170</v>
      </c>
      <c r="I676" t="s">
        <v>139</v>
      </c>
      <c r="J676" t="s">
        <v>287</v>
      </c>
      <c r="K676" s="22">
        <f>K1475</f>
        <v>8.7045671471293523E-2</v>
      </c>
      <c r="L676" s="22">
        <f t="shared" ref="L676:AW678" si="147">L1475</f>
        <v>8.7271948200639354E-2</v>
      </c>
      <c r="M676" s="22">
        <f t="shared" si="147"/>
        <v>8.7584088952434122E-2</v>
      </c>
      <c r="N676" s="22">
        <f t="shared" si="147"/>
        <v>8.7964358824768801E-2</v>
      </c>
      <c r="O676" s="22">
        <f t="shared" si="147"/>
        <v>8.8412215452112072E-2</v>
      </c>
      <c r="P676" s="22">
        <f t="shared" si="147"/>
        <v>8.8924932944132923E-2</v>
      </c>
      <c r="Q676" s="22">
        <f t="shared" si="147"/>
        <v>8.9476727309038565E-2</v>
      </c>
      <c r="R676" s="22">
        <f t="shared" si="147"/>
        <v>9.0065414259340087E-2</v>
      </c>
      <c r="S676" s="22">
        <f t="shared" si="147"/>
        <v>8.9844575202202001E-2</v>
      </c>
      <c r="T676" s="22">
        <f t="shared" si="147"/>
        <v>8.9999018113074689E-2</v>
      </c>
      <c r="U676" s="22">
        <f t="shared" si="147"/>
        <v>9.0014005025930557E-2</v>
      </c>
      <c r="V676" s="22">
        <f t="shared" si="147"/>
        <v>9.0055209476527981E-2</v>
      </c>
      <c r="W676" s="22">
        <f t="shared" si="147"/>
        <v>9.0237385557127583E-2</v>
      </c>
      <c r="X676" s="22">
        <f t="shared" si="147"/>
        <v>9.0505356385413932E-2</v>
      </c>
      <c r="Y676" s="22">
        <f t="shared" si="147"/>
        <v>9.0758306705997438E-2</v>
      </c>
      <c r="Z676" s="22">
        <f t="shared" si="147"/>
        <v>9.0997425855048733E-2</v>
      </c>
      <c r="AA676" s="22">
        <f t="shared" si="147"/>
        <v>9.122283622722524E-2</v>
      </c>
      <c r="AB676" s="22">
        <f t="shared" si="147"/>
        <v>9.1439201985751464E-2</v>
      </c>
      <c r="AC676" s="22">
        <f t="shared" si="147"/>
        <v>9.1649769472921652E-2</v>
      </c>
      <c r="AD676" s="22">
        <f t="shared" si="147"/>
        <v>9.1852819564097965E-2</v>
      </c>
      <c r="AE676" s="22">
        <f t="shared" si="147"/>
        <v>9.2051402069607366E-2</v>
      </c>
      <c r="AF676" s="22">
        <f t="shared" si="147"/>
        <v>9.224512884304413E-2</v>
      </c>
      <c r="AG676" s="22">
        <f t="shared" si="147"/>
        <v>9.2432674299750023E-2</v>
      </c>
      <c r="AH676" s="22">
        <f t="shared" si="147"/>
        <v>9.261505916595239E-2</v>
      </c>
      <c r="AI676" s="22">
        <f t="shared" si="147"/>
        <v>9.2792656014314204E-2</v>
      </c>
      <c r="AJ676" s="22">
        <f t="shared" si="147"/>
        <v>9.2966244618356883E-2</v>
      </c>
      <c r="AK676" s="22">
        <f t="shared" si="147"/>
        <v>9.3130442775411881E-2</v>
      </c>
      <c r="AL676" s="22">
        <f t="shared" si="147"/>
        <v>9.3285211673244717E-2</v>
      </c>
      <c r="AM676" s="22">
        <f t="shared" si="147"/>
        <v>9.3432256206569059E-2</v>
      </c>
      <c r="AN676" s="22">
        <f t="shared" si="147"/>
        <v>9.3570480254135169E-2</v>
      </c>
      <c r="AO676" s="22">
        <f t="shared" si="147"/>
        <v>9.3700295264833783E-2</v>
      </c>
      <c r="AP676" s="22">
        <f t="shared" si="147"/>
        <v>9.3821167193618646E-2</v>
      </c>
      <c r="AQ676" s="22">
        <f t="shared" si="147"/>
        <v>9.3931230326088647E-2</v>
      </c>
      <c r="AR676" s="22">
        <f t="shared" si="147"/>
        <v>9.4028770810344664E-2</v>
      </c>
      <c r="AS676" s="22">
        <f t="shared" si="147"/>
        <v>9.4113795301369402E-2</v>
      </c>
      <c r="AT676" s="22">
        <f t="shared" si="147"/>
        <v>9.4185605187612459E-2</v>
      </c>
      <c r="AU676" s="22">
        <f t="shared" si="147"/>
        <v>9.4244273299878237E-2</v>
      </c>
      <c r="AV676" s="22">
        <f t="shared" si="147"/>
        <v>9.429150128507352E-2</v>
      </c>
      <c r="AW676" s="22">
        <f t="shared" si="147"/>
        <v>9.4317961147962676E-2</v>
      </c>
      <c r="AY676" s="79"/>
      <c r="AZ676" s="79"/>
    </row>
    <row r="677" spans="1:52" x14ac:dyDescent="0.25">
      <c r="A677" s="95" t="str">
        <f t="shared" si="133"/>
        <v>NI Organic</v>
      </c>
      <c r="B677" s="95" t="s">
        <v>968</v>
      </c>
      <c r="C677" s="95" t="s">
        <v>1126</v>
      </c>
      <c r="D677" t="s">
        <v>369</v>
      </c>
      <c r="E677" t="s">
        <v>55</v>
      </c>
      <c r="F677" t="s">
        <v>421</v>
      </c>
      <c r="G677" t="s">
        <v>1171</v>
      </c>
      <c r="H677" t="s">
        <v>1172</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5">
      <c r="A678" s="95" t="str">
        <f t="shared" ref="A678:A730" si="149">B678&amp;" "&amp;C678</f>
        <v>NI Organic</v>
      </c>
      <c r="B678" s="95" t="s">
        <v>968</v>
      </c>
      <c r="C678" s="95" t="s">
        <v>1126</v>
      </c>
      <c r="D678" t="s">
        <v>369</v>
      </c>
      <c r="E678" t="s">
        <v>55</v>
      </c>
      <c r="F678" t="s">
        <v>421</v>
      </c>
      <c r="G678" t="s">
        <v>1173</v>
      </c>
      <c r="H678" t="s">
        <v>1174</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5">
      <c r="A679" s="95" t="str">
        <f t="shared" si="149"/>
        <v>NI Organic</v>
      </c>
      <c r="B679" s="95" t="s">
        <v>968</v>
      </c>
      <c r="C679" s="95" t="s">
        <v>1126</v>
      </c>
      <c r="D679" t="s">
        <v>369</v>
      </c>
      <c r="E679" t="s">
        <v>55</v>
      </c>
      <c r="F679" t="s">
        <v>421</v>
      </c>
      <c r="G679" t="s">
        <v>1175</v>
      </c>
      <c r="H679" t="s">
        <v>1176</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0.12395129293471774</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0.12286841678965583</v>
      </c>
      <c r="O679" s="94">
        <f>IF('Net zero activities &amp; levers'!$C$9="Off",'Activity data'!AH62*ManureNEF*NtoN2O*kgtoGg,IF('Net zero activities &amp; levers'!$C$9="On",(('Net zero supporting data'!F166*'Net zero supporting data'!F183)+('Net zero supporting data'!F178*ManureNEF))*NtoN2O*kgtoGg,"ERROR"))</f>
        <v>0.12100901910044995</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0.11491827863139022</v>
      </c>
      <c r="S679" s="94">
        <f>IF('Net zero activities &amp; levers'!$C$9="Off",'Activity data'!AL62*ManureNEF*NtoN2O*kgtoGg,IF('Net zero activities &amp; levers'!$C$9="On",(('Net zero supporting data'!J166*'Net zero supporting data'!J183)+('Net zero supporting data'!J178*ManureNEF))*NtoN2O*kgtoGg,"ERROR"))</f>
        <v>0.10323336206469676</v>
      </c>
      <c r="T679" s="94">
        <f>IF('Net zero activities &amp; levers'!$C$9="Off",'Activity data'!AM62*ManureNEF*NtoN2O*kgtoGg,IF('Net zero activities &amp; levers'!$C$9="On",(('Net zero supporting data'!K166*'Net zero supporting data'!K183)+('Net zero supporting data'!K178*ManureNEF))*NtoN2O*kgtoGg,"ERROR"))</f>
        <v>0.10789835358112609</v>
      </c>
      <c r="U679" s="94">
        <f>IF('Net zero activities &amp; levers'!$C$9="Off",'Activity data'!AN62*ManureNEF*NtoN2O*kgtoGg,IF('Net zero activities &amp; levers'!$C$9="On",(('Net zero supporting data'!L166*'Net zero supporting data'!L183)+('Net zero supporting data'!L178*ManureNEF))*NtoN2O*kgtoGg,"ERROR"))</f>
        <v>0.10930872077776907</v>
      </c>
      <c r="V679" s="94">
        <f>IF('Net zero activities &amp; levers'!$C$9="Off",'Activity data'!AO62*ManureNEF*NtoN2O*kgtoGg,IF('Net zero activities &amp; levers'!$C$9="On",(('Net zero supporting data'!M166*'Net zero supporting data'!M183)+('Net zero supporting data'!M178*ManureNEF))*NtoN2O*kgtoGg,"ERROR"))</f>
        <v>0.10822994982335406</v>
      </c>
      <c r="W679" s="94">
        <f>IF('Net zero activities &amp; levers'!$C$9="Off",'Activity data'!AP62*ManureNEF*NtoN2O*kgtoGg,IF('Net zero activities &amp; levers'!$C$9="On",(('Net zero supporting data'!N166*'Net zero supporting data'!N183)+('Net zero supporting data'!N178*ManureNEF))*NtoN2O*kgtoGg,"ERROR"))</f>
        <v>0.10728117650505167</v>
      </c>
      <c r="X679" s="94">
        <f>IF('Net zero activities &amp; levers'!$C$9="Off",'Activity data'!AQ62*ManureNEF*NtoN2O*kgtoGg,IF('Net zero activities &amp; levers'!$C$9="On",(('Net zero supporting data'!O166*'Net zero supporting data'!O183)+('Net zero supporting data'!O178*ManureNEF))*NtoN2O*kgtoGg,"ERROR"))</f>
        <v>0.10698795772109922</v>
      </c>
      <c r="Y679" s="94">
        <f>IF('Net zero activities &amp; levers'!$C$9="Off",'Activity data'!AR62*ManureNEF*NtoN2O*kgtoGg,IF('Net zero activities &amp; levers'!$C$9="On",(('Net zero supporting data'!P166*'Net zero supporting data'!P183)+('Net zero supporting data'!P178*ManureNEF))*NtoN2O*kgtoGg,"ERROR"))</f>
        <v>0.10732481606756347</v>
      </c>
      <c r="Z679" s="94">
        <f>IF('Net zero activities &amp; levers'!$C$9="Off",'Activity data'!AS62*ManureNEF*NtoN2O*kgtoGg,IF('Net zero activities &amp; levers'!$C$9="On",(('Net zero supporting data'!Q166*'Net zero supporting data'!Q183)+('Net zero supporting data'!Q178*ManureNEF))*NtoN2O*kgtoGg,"ERROR"))</f>
        <v>0.10795224800227457</v>
      </c>
      <c r="AA679" s="94">
        <f>IF('Net zero activities &amp; levers'!$C$9="Off",'Activity data'!AT62*ManureNEF*NtoN2O*kgtoGg,IF('Net zero activities &amp; levers'!$C$9="On",(('Net zero supporting data'!R166*'Net zero supporting data'!R183)+('Net zero supporting data'!R178*ManureNEF))*NtoN2O*kgtoGg,"ERROR"))</f>
        <v>0.10894183514251574</v>
      </c>
      <c r="AB679" s="94">
        <f>IF('Net zero activities &amp; levers'!$C$9="Off",'Activity data'!AU62*ManureNEF*NtoN2O*kgtoGg,IF('Net zero activities &amp; levers'!$C$9="On",(('Net zero supporting data'!S166*'Net zero supporting data'!S183)+('Net zero supporting data'!S178*ManureNEF))*NtoN2O*kgtoGg,"ERROR"))</f>
        <v>0.11053150962299221</v>
      </c>
      <c r="AC679" s="94">
        <f>IF('Net zero activities &amp; levers'!$C$9="Off",'Activity data'!AV62*ManureNEF*NtoN2O*kgtoGg,IF('Net zero activities &amp; levers'!$C$9="On",(('Net zero supporting data'!T166*'Net zero supporting data'!T183)+('Net zero supporting data'!T178*ManureNEF))*NtoN2O*kgtoGg,"ERROR"))</f>
        <v>0.1126657694800189</v>
      </c>
      <c r="AD679" s="94">
        <f>IF('Net zero activities &amp; levers'!$C$9="Off",'Activity data'!AW62*ManureNEF*NtoN2O*kgtoGg,IF('Net zero activities &amp; levers'!$C$9="On",(('Net zero supporting data'!U166*'Net zero supporting data'!U183)+('Net zero supporting data'!U178*ManureNEF))*NtoN2O*kgtoGg,"ERROR"))</f>
        <v>0.11509487827502032</v>
      </c>
      <c r="AE679" s="94">
        <f>IF('Net zero activities &amp; levers'!$C$9="Off",'Activity data'!AX62*ManureNEF*NtoN2O*kgtoGg,IF('Net zero activities &amp; levers'!$C$9="On",(('Net zero supporting data'!V166*'Net zero supporting data'!V183)+('Net zero supporting data'!V178*ManureNEF))*NtoN2O*kgtoGg,"ERROR"))</f>
        <v>0.11779472217084282</v>
      </c>
      <c r="AF679" s="94">
        <f>IF('Net zero activities &amp; levers'!$C$9="Off",'Activity data'!AY62*ManureNEF*NtoN2O*kgtoGg,IF('Net zero activities &amp; levers'!$C$9="On",(('Net zero supporting data'!W166*'Net zero supporting data'!W183)+('Net zero supporting data'!W178*ManureNEF))*NtoN2O*kgtoGg,"ERROR"))</f>
        <v>0.12063025387721567</v>
      </c>
      <c r="AG679" s="94">
        <f>IF('Net zero activities &amp; levers'!$C$9="Off",'Activity data'!AZ62*ManureNEF*NtoN2O*kgtoGg,IF('Net zero activities &amp; levers'!$C$9="On",(('Net zero supporting data'!X166*'Net zero supporting data'!X183)+('Net zero supporting data'!X178*ManureNEF))*NtoN2O*kgtoGg,"ERROR"))</f>
        <v>0.12365017099946446</v>
      </c>
      <c r="AH679" s="94">
        <f>IF('Net zero activities &amp; levers'!$C$9="Off",'Activity data'!BA62*ManureNEF*NtoN2O*kgtoGg,IF('Net zero activities &amp; levers'!$C$9="On",(('Net zero supporting data'!Y166*'Net zero supporting data'!Y183)+('Net zero supporting data'!Y178*ManureNEF))*NtoN2O*kgtoGg,"ERROR"))</f>
        <v>0.12678938256448105</v>
      </c>
      <c r="AI679" s="94">
        <f>IF('Net zero activities &amp; levers'!$C$9="Off",'Activity data'!BB62*ManureNEF*NtoN2O*kgtoGg,IF('Net zero activities &amp; levers'!$C$9="On",(('Net zero supporting data'!Z166*'Net zero supporting data'!Z183)+('Net zero supporting data'!Z178*ManureNEF))*NtoN2O*kgtoGg,"ERROR"))</f>
        <v>0.1298357658486077</v>
      </c>
      <c r="AJ679" s="94">
        <f>IF('Net zero activities &amp; levers'!$C$9="Off",'Activity data'!BC62*ManureNEF*NtoN2O*kgtoGg,IF('Net zero activities &amp; levers'!$C$9="On",(('Net zero supporting data'!AA166*'Net zero supporting data'!AA183)+('Net zero supporting data'!AA178*ManureNEF))*NtoN2O*kgtoGg,"ERROR"))</f>
        <v>0.13308363006040799</v>
      </c>
      <c r="AK679" s="94">
        <f>IF('Net zero activities &amp; levers'!$C$9="Off",'Activity data'!BD62*ManureNEF*NtoN2O*kgtoGg,IF('Net zero activities &amp; levers'!$C$9="On",(('Net zero supporting data'!AB166*'Net zero supporting data'!AB183)+('Net zero supporting data'!AB178*ManureNEF))*NtoN2O*kgtoGg,"ERROR"))</f>
        <v>0.13633797236037076</v>
      </c>
      <c r="AL679" s="94">
        <f>IF('Net zero activities &amp; levers'!$C$9="Off",'Activity data'!BE62*ManureNEF*NtoN2O*kgtoGg,IF('Net zero activities &amp; levers'!$C$9="On",(('Net zero supporting data'!AC166*'Net zero supporting data'!AC183)+('Net zero supporting data'!AC178*ManureNEF))*NtoN2O*kgtoGg,"ERROR"))</f>
        <v>0.1395817064491762</v>
      </c>
      <c r="AM679" s="94">
        <f>IF('Net zero activities &amp; levers'!$C$9="Off",'Activity data'!BF62*ManureNEF*NtoN2O*kgtoGg,IF('Net zero activities &amp; levers'!$C$9="On",(('Net zero supporting data'!AD166*'Net zero supporting data'!AD183)+('Net zero supporting data'!AD178*ManureNEF))*NtoN2O*kgtoGg,"ERROR"))</f>
        <v>0.1428987646619678</v>
      </c>
      <c r="AN679" s="94">
        <f>IF('Net zero activities &amp; levers'!$C$9="Off",'Activity data'!BG62*ManureNEF*NtoN2O*kgtoGg,IF('Net zero activities &amp; levers'!$C$9="On",(('Net zero supporting data'!AE166*'Net zero supporting data'!AE183)+('Net zero supporting data'!AE178*ManureNEF))*NtoN2O*kgtoGg,"ERROR"))</f>
        <v>0.14607463913609417</v>
      </c>
      <c r="AO679" s="94">
        <f>IF('Net zero activities &amp; levers'!$C$9="Off",'Activity data'!BH62*ManureNEF*NtoN2O*kgtoGg,IF('Net zero activities &amp; levers'!$C$9="On",(('Net zero supporting data'!AF166*'Net zero supporting data'!AF183)+('Net zero supporting data'!AF178*ManureNEF))*NtoN2O*kgtoGg,"ERROR"))</f>
        <v>0.14939800642693096</v>
      </c>
      <c r="AP679" s="94">
        <f>IF('Net zero activities &amp; levers'!$C$9="Off",'Activity data'!BI62*ManureNEF*NtoN2O*kgtoGg,IF('Net zero activities &amp; levers'!$C$9="On",(('Net zero supporting data'!AG166*'Net zero supporting data'!AG183)+('Net zero supporting data'!AG178*ManureNEF))*NtoN2O*kgtoGg,"ERROR"))</f>
        <v>0.15296466961282101</v>
      </c>
      <c r="AQ679" s="94">
        <f>IF('Net zero activities &amp; levers'!$C$9="Off",'Activity data'!BJ62*ManureNEF*NtoN2O*kgtoGg,IF('Net zero activities &amp; levers'!$C$9="On",(('Net zero supporting data'!AH166*'Net zero supporting data'!AH183)+('Net zero supporting data'!AH178*ManureNEF))*NtoN2O*kgtoGg,"ERROR"))</f>
        <v>0.1565936649117094</v>
      </c>
      <c r="AR679" s="94">
        <f>IF('Net zero activities &amp; levers'!$C$9="Off",'Activity data'!BK62*ManureNEF*NtoN2O*kgtoGg,IF('Net zero activities &amp; levers'!$C$9="On",(('Net zero supporting data'!AI166*'Net zero supporting data'!AI183)+('Net zero supporting data'!AI178*ManureNEF))*NtoN2O*kgtoGg,"ERROR"))</f>
        <v>0.16029166396054106</v>
      </c>
      <c r="AS679" s="94">
        <f>IF('Net zero activities &amp; levers'!$C$9="Off",'Activity data'!BL62*ManureNEF*NtoN2O*kgtoGg,IF('Net zero activities &amp; levers'!$C$9="On",(('Net zero supporting data'!AJ166*'Net zero supporting data'!AJ183)+('Net zero supporting data'!AJ178*ManureNEF))*NtoN2O*kgtoGg,"ERROR"))</f>
        <v>0.16424139864286944</v>
      </c>
      <c r="AT679" s="94">
        <f>IF('Net zero activities &amp; levers'!$C$9="Off",'Activity data'!BM62*ManureNEF*NtoN2O*kgtoGg,IF('Net zero activities &amp; levers'!$C$9="On",(('Net zero supporting data'!AK166*'Net zero supporting data'!AK183)+('Net zero supporting data'!AK178*ManureNEF))*NtoN2O*kgtoGg,"ERROR"))</f>
        <v>0.1683741087759702</v>
      </c>
      <c r="AU679" s="94">
        <f>IF('Net zero activities &amp; levers'!$C$9="Off",'Activity data'!BN62*ManureNEF*NtoN2O*kgtoGg,IF('Net zero activities &amp; levers'!$C$9="On",(('Net zero supporting data'!AL166*'Net zero supporting data'!AL183)+('Net zero supporting data'!AL178*ManureNEF))*NtoN2O*kgtoGg,"ERROR"))</f>
        <v>0.17264268700084681</v>
      </c>
      <c r="AV679" s="94">
        <f>IF('Net zero activities &amp; levers'!$C$9="Off",'Activity data'!BO62*ManureNEF*NtoN2O*kgtoGg,IF('Net zero activities &amp; levers'!$C$9="On",(('Net zero supporting data'!AM166*'Net zero supporting data'!AM183)+('Net zero supporting data'!AM178*ManureNEF))*NtoN2O*kgtoGg,"ERROR"))</f>
        <v>0.17715786251954191</v>
      </c>
      <c r="AW679" s="94">
        <f>IF('Net zero activities &amp; levers'!$C$9="Off",'Activity data'!BP62*ManureNEF*NtoN2O*kgtoGg,IF('Net zero activities &amp; levers'!$C$9="On",(('Net zero supporting data'!AN166*'Net zero supporting data'!AN183)+('Net zero supporting data'!AN178*ManureNEF))*NtoN2O*kgtoGg,"ERROR"))</f>
        <v>0.1812449136918291</v>
      </c>
      <c r="AY679" s="79"/>
      <c r="AZ679" s="79"/>
    </row>
    <row r="680" spans="1:52" x14ac:dyDescent="0.25">
      <c r="A680" s="95" t="str">
        <f t="shared" si="149"/>
        <v>NI Organic</v>
      </c>
      <c r="B680" s="95" t="s">
        <v>968</v>
      </c>
      <c r="C680" s="95" t="s">
        <v>1126</v>
      </c>
      <c r="D680" t="s">
        <v>369</v>
      </c>
      <c r="E680" t="s">
        <v>55</v>
      </c>
      <c r="F680" t="s">
        <v>421</v>
      </c>
      <c r="G680" t="s">
        <v>1177</v>
      </c>
      <c r="H680" t="s">
        <v>1178</v>
      </c>
      <c r="I680" t="s">
        <v>139</v>
      </c>
      <c r="J680" t="s">
        <v>287</v>
      </c>
      <c r="K680" s="22">
        <f>K1479</f>
        <v>3.1618785484610064E-2</v>
      </c>
      <c r="L680" s="22">
        <f t="shared" ref="L680:AW680" si="150">L1479</f>
        <v>3.1446916354757493E-2</v>
      </c>
      <c r="M680" s="22">
        <f t="shared" si="150"/>
        <v>3.1461022839745605E-2</v>
      </c>
      <c r="N680" s="22">
        <f t="shared" si="150"/>
        <v>3.1172186541537569E-2</v>
      </c>
      <c r="O680" s="22">
        <f t="shared" si="150"/>
        <v>3.0700450247237818E-2</v>
      </c>
      <c r="P680" s="22">
        <f t="shared" si="150"/>
        <v>3.0053355161673637E-2</v>
      </c>
      <c r="Q680" s="22">
        <f t="shared" si="150"/>
        <v>2.9583492368545926E-2</v>
      </c>
      <c r="R680" s="22">
        <f t="shared" si="150"/>
        <v>2.9155206131309685E-2</v>
      </c>
      <c r="S680" s="22">
        <f t="shared" si="150"/>
        <v>2.6190698176732228E-2</v>
      </c>
      <c r="T680" s="22">
        <f t="shared" si="150"/>
        <v>2.7374224338819714E-2</v>
      </c>
      <c r="U680" s="22">
        <f t="shared" si="150"/>
        <v>2.773203988242751E-2</v>
      </c>
      <c r="V680" s="22">
        <f t="shared" si="150"/>
        <v>2.7458351571751329E-2</v>
      </c>
      <c r="W680" s="22">
        <f t="shared" si="150"/>
        <v>2.7217644157783535E-2</v>
      </c>
      <c r="X680" s="22">
        <f t="shared" si="150"/>
        <v>2.7143253432569785E-2</v>
      </c>
      <c r="Y680" s="22">
        <f t="shared" si="150"/>
        <v>2.7228715681440727E-2</v>
      </c>
      <c r="Z680" s="22">
        <f t="shared" si="150"/>
        <v>2.7387897559273622E-2</v>
      </c>
      <c r="AA680" s="22">
        <f t="shared" si="150"/>
        <v>2.7638959595724485E-2</v>
      </c>
      <c r="AB680" s="22">
        <f t="shared" si="150"/>
        <v>2.8042266081967953E-2</v>
      </c>
      <c r="AC680" s="22">
        <f t="shared" si="150"/>
        <v>2.8583735957869796E-2</v>
      </c>
      <c r="AD680" s="22">
        <f t="shared" si="150"/>
        <v>2.9200010135285986E-2</v>
      </c>
      <c r="AE680" s="22">
        <f t="shared" si="150"/>
        <v>2.988497084164626E-2</v>
      </c>
      <c r="AF680" s="22">
        <f t="shared" si="150"/>
        <v>3.0604356063699028E-2</v>
      </c>
      <c r="AG680" s="22">
        <f t="shared" si="150"/>
        <v>3.1370520569878685E-2</v>
      </c>
      <c r="AH680" s="22">
        <f t="shared" si="150"/>
        <v>3.2166950531742462E-2</v>
      </c>
      <c r="AI680" s="22">
        <f t="shared" si="150"/>
        <v>3.2939829604257814E-2</v>
      </c>
      <c r="AJ680" s="22">
        <f t="shared" si="150"/>
        <v>3.376382515752635E-2</v>
      </c>
      <c r="AK680" s="22">
        <f t="shared" si="150"/>
        <v>3.4589464226499819E-2</v>
      </c>
      <c r="AL680" s="22">
        <f t="shared" si="150"/>
        <v>3.5412411951792733E-2</v>
      </c>
      <c r="AM680" s="22">
        <f t="shared" si="150"/>
        <v>3.625396228734637E-2</v>
      </c>
      <c r="AN680" s="22">
        <f t="shared" si="150"/>
        <v>3.705969376925726E-2</v>
      </c>
      <c r="AO680" s="22">
        <f t="shared" si="150"/>
        <v>3.7902844742003665E-2</v>
      </c>
      <c r="AP680" s="22">
        <f t="shared" si="150"/>
        <v>3.8807720812407763E-2</v>
      </c>
      <c r="AQ680" s="22">
        <f t="shared" si="150"/>
        <v>3.9728410777909444E-2</v>
      </c>
      <c r="AR680" s="22">
        <f t="shared" si="150"/>
        <v>4.0666607258278795E-2</v>
      </c>
      <c r="AS680" s="22">
        <f t="shared" si="150"/>
        <v>4.1668670030178073E-2</v>
      </c>
      <c r="AT680" s="22">
        <f t="shared" si="150"/>
        <v>4.2717154372673226E-2</v>
      </c>
      <c r="AU680" s="22">
        <f t="shared" si="150"/>
        <v>4.380010896889619E-2</v>
      </c>
      <c r="AV680" s="22">
        <f t="shared" si="150"/>
        <v>4.4945626240250815E-2</v>
      </c>
      <c r="AW680" s="22">
        <f t="shared" si="150"/>
        <v>4.5982526730028013E-2</v>
      </c>
      <c r="AY680" s="79"/>
      <c r="AZ680" s="79"/>
    </row>
    <row r="681" spans="1:52" x14ac:dyDescent="0.25">
      <c r="A681" s="95" t="str">
        <f t="shared" si="149"/>
        <v>NI Organic</v>
      </c>
      <c r="B681" s="95" t="s">
        <v>968</v>
      </c>
      <c r="C681" s="95" t="s">
        <v>1126</v>
      </c>
      <c r="D681" t="s">
        <v>369</v>
      </c>
      <c r="E681" t="s">
        <v>55</v>
      </c>
      <c r="F681" t="s">
        <v>421</v>
      </c>
      <c r="G681" t="s">
        <v>1179</v>
      </c>
      <c r="H681" t="s">
        <v>1180</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0.16826815584544114</v>
      </c>
      <c r="T681" s="94">
        <f>IF('Net zero activities &amp; levers'!$C$9="Off",'Activity data'!AM64*ManureNEF*NtoN2O*kgtoGg,IF('Net zero activities &amp; levers'!$C$9="On",(('Net zero supporting data'!K167*'Net zero supporting data'!K183)+('Net zero supporting data'!K179*ManureNEF))*NtoN2O*kgtoGg,"ERROR"))</f>
        <v>0.17529364111541346</v>
      </c>
      <c r="U681" s="94">
        <f>IF('Net zero activities &amp; levers'!$C$9="Off",'Activity data'!AN64*ManureNEF*NtoN2O*kgtoGg,IF('Net zero activities &amp; levers'!$C$9="On",(('Net zero supporting data'!L167*'Net zero supporting data'!L183)+('Net zero supporting data'!L179*ManureNEF))*NtoN2O*kgtoGg,"ERROR"))</f>
        <v>0.179468936116296</v>
      </c>
      <c r="V681" s="94">
        <f>IF('Net zero activities &amp; levers'!$C$9="Off",'Activity data'!AO64*ManureNEF*NtoN2O*kgtoGg,IF('Net zero activities &amp; levers'!$C$9="On",(('Net zero supporting data'!M167*'Net zero supporting data'!M183)+('Net zero supporting data'!M179*ManureNEF))*NtoN2O*kgtoGg,"ERROR"))</f>
        <v>0.18146185289572461</v>
      </c>
      <c r="W681" s="94">
        <f>IF('Net zero activities &amp; levers'!$C$9="Off",'Activity data'!AP64*ManureNEF*NtoN2O*kgtoGg,IF('Net zero activities &amp; levers'!$C$9="On",(('Net zero supporting data'!N167*'Net zero supporting data'!N183)+('Net zero supporting data'!N179*ManureNEF))*NtoN2O*kgtoGg,"ERROR"))</f>
        <v>0.18367206757119967</v>
      </c>
      <c r="X681" s="94">
        <f>IF('Net zero activities &amp; levers'!$C$9="Off",'Activity data'!AQ64*ManureNEF*NtoN2O*kgtoGg,IF('Net zero activities &amp; levers'!$C$9="On",(('Net zero supporting data'!O167*'Net zero supporting data'!O183)+('Net zero supporting data'!O179*ManureNEF))*NtoN2O*kgtoGg,"ERROR"))</f>
        <v>0.18655442341123246</v>
      </c>
      <c r="Y681" s="94">
        <f>IF('Net zero activities &amp; levers'!$C$9="Off",'Activity data'!AR64*ManureNEF*NtoN2O*kgtoGg,IF('Net zero activities &amp; levers'!$C$9="On",(('Net zero supporting data'!P167*'Net zero supporting data'!P183)+('Net zero supporting data'!P179*ManureNEF))*NtoN2O*kgtoGg,"ERROR"))</f>
        <v>0.19002403855752484</v>
      </c>
      <c r="Z681" s="94">
        <f>IF('Net zero activities &amp; levers'!$C$9="Off",'Activity data'!AS64*ManureNEF*NtoN2O*kgtoGg,IF('Net zero activities &amp; levers'!$C$9="On",(('Net zero supporting data'!Q167*'Net zero supporting data'!Q183)+('Net zero supporting data'!Q179*ManureNEF))*NtoN2O*kgtoGg,"ERROR"))</f>
        <v>0.19378713542621159</v>
      </c>
      <c r="AA681" s="94">
        <f>IF('Net zero activities &amp; levers'!$C$9="Off",'Activity data'!AT64*ManureNEF*NtoN2O*kgtoGg,IF('Net zero activities &amp; levers'!$C$9="On",(('Net zero supporting data'!R167*'Net zero supporting data'!R183)+('Net zero supporting data'!R179*ManureNEF))*NtoN2O*kgtoGg,"ERROR"))</f>
        <v>0.19793608752558689</v>
      </c>
      <c r="AB681" s="94">
        <f>IF('Net zero activities &amp; levers'!$C$9="Off",'Activity data'!AU64*ManureNEF*NtoN2O*kgtoGg,IF('Net zero activities &amp; levers'!$C$9="On",(('Net zero supporting data'!S167*'Net zero supporting data'!S183)+('Net zero supporting data'!S179*ManureNEF))*NtoN2O*kgtoGg,"ERROR"))</f>
        <v>0.20274560727871463</v>
      </c>
      <c r="AC681" s="94">
        <f>IF('Net zero activities &amp; levers'!$C$9="Off",'Activity data'!AV64*ManureNEF*NtoN2O*kgtoGg,IF('Net zero activities &amp; levers'!$C$9="On",(('Net zero supporting data'!T167*'Net zero supporting data'!T183)+('Net zero supporting data'!T179*ManureNEF))*NtoN2O*kgtoGg,"ERROR"))</f>
        <v>0.2082010892393113</v>
      </c>
      <c r="AD681" s="94">
        <f>IF('Net zero activities &amp; levers'!$C$9="Off",'Activity data'!AW64*ManureNEF*NtoN2O*kgtoGg,IF('Net zero activities &amp; levers'!$C$9="On",(('Net zero supporting data'!U167*'Net zero supporting data'!U183)+('Net zero supporting data'!U179*ManureNEF))*NtoN2O*kgtoGg,"ERROR"))</f>
        <v>0.21407047800501874</v>
      </c>
      <c r="AE681" s="94">
        <f>IF('Net zero activities &amp; levers'!$C$9="Off",'Activity data'!AX64*ManureNEF*NtoN2O*kgtoGg,IF('Net zero activities &amp; levers'!$C$9="On",(('Net zero supporting data'!V167*'Net zero supporting data'!V183)+('Net zero supporting data'!V179*ManureNEF))*NtoN2O*kgtoGg,"ERROR"))</f>
        <v>0.22035285326760637</v>
      </c>
      <c r="AF681" s="94">
        <f>IF('Net zero activities &amp; levers'!$C$9="Off",'Activity data'!AY64*ManureNEF*NtoN2O*kgtoGg,IF('Net zero activities &amp; levers'!$C$9="On",(('Net zero supporting data'!W167*'Net zero supporting data'!W183)+('Net zero supporting data'!W179*ManureNEF))*NtoN2O*kgtoGg,"ERROR"))</f>
        <v>0.22691830683757538</v>
      </c>
      <c r="AG681" s="94">
        <f>IF('Net zero activities &amp; levers'!$C$9="Off",'Activity data'!AZ64*ManureNEF*NtoN2O*kgtoGg,IF('Net zero activities &amp; levers'!$C$9="On",(('Net zero supporting data'!X167*'Net zero supporting data'!X183)+('Net zero supporting data'!X179*ManureNEF))*NtoN2O*kgtoGg,"ERROR"))</f>
        <v>0.23383349407065357</v>
      </c>
      <c r="AH681" s="94">
        <f>IF('Net zero activities &amp; levers'!$C$9="Off",'Activity data'!BA64*ManureNEF*NtoN2O*kgtoGg,IF('Net zero activities &amp; levers'!$C$9="On",(('Net zero supporting data'!Y167*'Net zero supporting data'!Y183)+('Net zero supporting data'!Y179*ManureNEF))*NtoN2O*kgtoGg,"ERROR"))</f>
        <v>0.24104032281254165</v>
      </c>
      <c r="AI681" s="94">
        <f>IF('Net zero activities &amp; levers'!$C$9="Off",'Activity data'!BB64*ManureNEF*NtoN2O*kgtoGg,IF('Net zero activities &amp; levers'!$C$9="On",(('Net zero supporting data'!Z167*'Net zero supporting data'!Z183)+('Net zero supporting data'!Z179*ManureNEF))*NtoN2O*kgtoGg,"ERROR"))</f>
        <v>0.24830078825991211</v>
      </c>
      <c r="AJ681" s="94">
        <f>IF('Net zero activities &amp; levers'!$C$9="Off",'Activity data'!BC64*ManureNEF*NtoN2O*kgtoGg,IF('Net zero activities &amp; levers'!$C$9="On",(('Net zero supporting data'!AA167*'Net zero supporting data'!AA183)+('Net zero supporting data'!AA179*ManureNEF))*NtoN2O*kgtoGg,"ERROR"))</f>
        <v>0.25596851329364728</v>
      </c>
      <c r="AK681" s="94">
        <f>IF('Net zero activities &amp; levers'!$C$9="Off",'Activity data'!BD64*ManureNEF*NtoN2O*kgtoGg,IF('Net zero activities &amp; levers'!$C$9="On",(('Net zero supporting data'!AB167*'Net zero supporting data'!AB183)+('Net zero supporting data'!AB179*ManureNEF))*NtoN2O*kgtoGg,"ERROR"))</f>
        <v>0.26381659798331969</v>
      </c>
      <c r="AL681" s="94">
        <f>IF('Net zero activities &amp; levers'!$C$9="Off",'Activity data'!BE64*ManureNEF*NtoN2O*kgtoGg,IF('Net zero activities &amp; levers'!$C$9="On",(('Net zero supporting data'!AC167*'Net zero supporting data'!AC183)+('Net zero supporting data'!AC179*ManureNEF))*NtoN2O*kgtoGg,"ERROR"))</f>
        <v>0.27182892851236273</v>
      </c>
      <c r="AM681" s="94">
        <f>IF('Net zero activities &amp; levers'!$C$9="Off",'Activity data'!BF64*ManureNEF*NtoN2O*kgtoGg,IF('Net zero activities &amp; levers'!$C$9="On",(('Net zero supporting data'!AD167*'Net zero supporting data'!AD183)+('Net zero supporting data'!AD179*ManureNEF))*NtoN2O*kgtoGg,"ERROR"))</f>
        <v>0.28011873521820613</v>
      </c>
      <c r="AN681" s="94">
        <f>IF('Net zero activities &amp; levers'!$C$9="Off",'Activity data'!BG64*ManureNEF*NtoN2O*kgtoGg,IF('Net zero activities &amp; levers'!$C$9="On",(('Net zero supporting data'!AE167*'Net zero supporting data'!AE183)+('Net zero supporting data'!AE179*ManureNEF))*NtoN2O*kgtoGg,"ERROR"))</f>
        <v>0.28841666797515925</v>
      </c>
      <c r="AO681" s="94">
        <f>IF('Net zero activities &amp; levers'!$C$9="Off",'Activity data'!BH64*ManureNEF*NtoN2O*kgtoGg,IF('Net zero activities &amp; levers'!$C$9="On",(('Net zero supporting data'!AF167*'Net zero supporting data'!AF183)+('Net zero supporting data'!AF179*ManureNEF))*NtoN2O*kgtoGg,"ERROR"))</f>
        <v>0.29710042873684378</v>
      </c>
      <c r="AP681" s="94">
        <f>IF('Net zero activities &amp; levers'!$C$9="Off",'Activity data'!BI64*ManureNEF*NtoN2O*kgtoGg,IF('Net zero activities &amp; levers'!$C$9="On",(('Net zero supporting data'!AG167*'Net zero supporting data'!AG183)+('Net zero supporting data'!AG179*ManureNEF))*NtoN2O*kgtoGg,"ERROR"))</f>
        <v>0.30631512135319056</v>
      </c>
      <c r="AQ681" s="94">
        <f>IF('Net zero activities &amp; levers'!$C$9="Off",'Activity data'!BJ64*ManureNEF*NtoN2O*kgtoGg,IF('Net zero activities &amp; levers'!$C$9="On",(('Net zero supporting data'!AH167*'Net zero supporting data'!AH183)+('Net zero supporting data'!AH179*ManureNEF))*NtoN2O*kgtoGg,"ERROR"))</f>
        <v>0.31583438977210859</v>
      </c>
      <c r="AR681" s="94">
        <f>IF('Net zero activities &amp; levers'!$C$9="Off",'Activity data'!BK64*ManureNEF*NtoN2O*kgtoGg,IF('Net zero activities &amp; levers'!$C$9="On",(('Net zero supporting data'!AI167*'Net zero supporting data'!AI183)+('Net zero supporting data'!AI179*ManureNEF))*NtoN2O*kgtoGg,"ERROR"))</f>
        <v>0.32567682367490652</v>
      </c>
      <c r="AS681" s="94">
        <f>IF('Net zero activities &amp; levers'!$C$9="Off",'Activity data'!BL64*ManureNEF*NtoN2O*kgtoGg,IF('Net zero activities &amp; levers'!$C$9="On",(('Net zero supporting data'!AJ167*'Net zero supporting data'!AJ183)+('Net zero supporting data'!AJ179*ManureNEF))*NtoN2O*kgtoGg,"ERROR"))</f>
        <v>0.33611496479516756</v>
      </c>
      <c r="AT681" s="94">
        <f>IF('Net zero activities &amp; levers'!$C$9="Off",'Activity data'!BM64*ManureNEF*NtoN2O*kgtoGg,IF('Net zero activities &amp; levers'!$C$9="On",(('Net zero supporting data'!AK167*'Net zero supporting data'!AK183)+('Net zero supporting data'!AK179*ManureNEF))*NtoN2O*kgtoGg,"ERROR"))</f>
        <v>0.34707529344515536</v>
      </c>
      <c r="AU681" s="94">
        <f>IF('Net zero activities &amp; levers'!$C$9="Off",'Activity data'!BN64*ManureNEF*NtoN2O*kgtoGg,IF('Net zero activities &amp; levers'!$C$9="On",(('Net zero supporting data'!AL167*'Net zero supporting data'!AL183)+('Net zero supporting data'!AL179*ManureNEF))*NtoN2O*kgtoGg,"ERROR"))</f>
        <v>0.35851078392222901</v>
      </c>
      <c r="AV681" s="94">
        <f>IF('Net zero activities &amp; levers'!$C$9="Off",'Activity data'!BO64*ManureNEF*NtoN2O*kgtoGg,IF('Net zero activities &amp; levers'!$C$9="On",(('Net zero supporting data'!AM167*'Net zero supporting data'!AM183)+('Net zero supporting data'!AM179*ManureNEF))*NtoN2O*kgtoGg,"ERROR"))</f>
        <v>0.37060965152650638</v>
      </c>
      <c r="AW681" s="94">
        <f>IF('Net zero activities &amp; levers'!$C$9="Off",'Activity data'!BP64*ManureNEF*NtoN2O*kgtoGg,IF('Net zero activities &amp; levers'!$C$9="On",(('Net zero supporting data'!AN167*'Net zero supporting data'!AN183)+('Net zero supporting data'!AN179*ManureNEF))*NtoN2O*kgtoGg,"ERROR"))</f>
        <v>0.38235584366830411</v>
      </c>
      <c r="AY681" s="79"/>
      <c r="AZ681" s="79"/>
    </row>
    <row r="682" spans="1:52" x14ac:dyDescent="0.25">
      <c r="A682" s="95" t="str">
        <f t="shared" si="149"/>
        <v>NI Organic</v>
      </c>
      <c r="B682" s="95" t="s">
        <v>968</v>
      </c>
      <c r="C682" s="95" t="s">
        <v>1126</v>
      </c>
      <c r="D682" t="s">
        <v>369</v>
      </c>
      <c r="E682" t="s">
        <v>55</v>
      </c>
      <c r="F682" t="s">
        <v>421</v>
      </c>
      <c r="G682" t="s">
        <v>1181</v>
      </c>
      <c r="H682" t="s">
        <v>1182</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0.81318534024672107</v>
      </c>
      <c r="N682" s="94">
        <f>IF('Net zero activities &amp; levers'!$C$9="Off",'Activity data'!AG65*ManureNEF*NtoN2O*kgtoGg,IF('Net zero activities &amp; levers'!$C$9="On",(('Net zero supporting data'!E168*'Net zero supporting data'!E183)+('Net zero supporting data'!E180*ManureNEF))*NtoN2O*kgtoGg,"ERROR"))</f>
        <v>0.81796021384654038</v>
      </c>
      <c r="O682" s="94">
        <f>IF('Net zero activities &amp; levers'!$C$9="Off",'Activity data'!AH65*ManureNEF*NtoN2O*kgtoGg,IF('Net zero activities &amp; levers'!$C$9="On",(('Net zero supporting data'!F168*'Net zero supporting data'!F183)+('Net zero supporting data'!F180*ManureNEF))*NtoN2O*kgtoGg,"ERROR"))</f>
        <v>0.81503229757580586</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0.79997057217510736</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0.6929945167812448</v>
      </c>
      <c r="T682" s="94">
        <f>IF('Net zero activities &amp; levers'!$C$9="Off",'Activity data'!AM65*ManureNEF*NtoN2O*kgtoGg,IF('Net zero activities &amp; levers'!$C$9="On",(('Net zero supporting data'!K168*'Net zero supporting data'!K183)+('Net zero supporting data'!K180*ManureNEF))*NtoN2O*kgtoGg,"ERROR"))</f>
        <v>0.75569325830504319</v>
      </c>
      <c r="U682" s="94">
        <f>IF('Net zero activities &amp; levers'!$C$9="Off",'Activity data'!AN65*ManureNEF*NtoN2O*kgtoGg,IF('Net zero activities &amp; levers'!$C$9="On",(('Net zero supporting data'!L168*'Net zero supporting data'!L183)+('Net zero supporting data'!L180*ManureNEF))*NtoN2O*kgtoGg,"ERROR"))</f>
        <v>0.78586192008020839</v>
      </c>
      <c r="V682" s="94">
        <f>IF('Net zero activities &amp; levers'!$C$9="Off",'Activity data'!AO65*ManureNEF*NtoN2O*kgtoGg,IF('Net zero activities &amp; levers'!$C$9="On",(('Net zero supporting data'!M168*'Net zero supporting data'!M183)+('Net zero supporting data'!M180*ManureNEF))*NtoN2O*kgtoGg,"ERROR"))</f>
        <v>0.78963673487778696</v>
      </c>
      <c r="W682" s="94">
        <f>IF('Net zero activities &amp; levers'!$C$9="Off",'Activity data'!AP65*ManureNEF*NtoN2O*kgtoGg,IF('Net zero activities &amp; levers'!$C$9="On",(('Net zero supporting data'!N168*'Net zero supporting data'!N183)+('Net zero supporting data'!N180*ManureNEF))*NtoN2O*kgtoGg,"ERROR"))</f>
        <v>0.79398832301737687</v>
      </c>
      <c r="X682" s="94">
        <f>IF('Net zero activities &amp; levers'!$C$9="Off",'Activity data'!AQ65*ManureNEF*NtoN2O*kgtoGg,IF('Net zero activities &amp; levers'!$C$9="On",(('Net zero supporting data'!O168*'Net zero supporting data'!O183)+('Net zero supporting data'!O180*ManureNEF))*NtoN2O*kgtoGg,"ERROR"))</f>
        <v>0.80502399258159163</v>
      </c>
      <c r="Y682" s="94">
        <f>IF('Net zero activities &amp; levers'!$C$9="Off",'Activity data'!AR65*ManureNEF*NtoN2O*kgtoGg,IF('Net zero activities &amp; levers'!$C$9="On",(('Net zero supporting data'!P168*'Net zero supporting data'!P183)+('Net zero supporting data'!P180*ManureNEF))*NtoN2O*kgtoGg,"ERROR"))</f>
        <v>0.82319477266803398</v>
      </c>
      <c r="Z682" s="94">
        <f>IF('Net zero activities &amp; levers'!$C$9="Off",'Activity data'!AS65*ManureNEF*NtoN2O*kgtoGg,IF('Net zero activities &amp; levers'!$C$9="On",(('Net zero supporting data'!Q168*'Net zero supporting data'!Q183)+('Net zero supporting data'!Q180*ManureNEF))*NtoN2O*kgtoGg,"ERROR"))</f>
        <v>0.84493550271536799</v>
      </c>
      <c r="AA682" s="94">
        <f>IF('Net zero activities &amp; levers'!$C$9="Off",'Activity data'!AT65*ManureNEF*NtoN2O*kgtoGg,IF('Net zero activities &amp; levers'!$C$9="On",(('Net zero supporting data'!R168*'Net zero supporting data'!R183)+('Net zero supporting data'!R180*ManureNEF))*NtoN2O*kgtoGg,"ERROR"))</f>
        <v>0.87120575605676209</v>
      </c>
      <c r="AB682" s="94">
        <f>IF('Net zero activities &amp; levers'!$C$9="Off",'Activity data'!AU65*ManureNEF*NtoN2O*kgtoGg,IF('Net zero activities &amp; levers'!$C$9="On",(('Net zero supporting data'!S168*'Net zero supporting data'!S183)+('Net zero supporting data'!S180*ManureNEF))*NtoN2O*kgtoGg,"ERROR"))</f>
        <v>0.90492220164986781</v>
      </c>
      <c r="AC682" s="94">
        <f>IF('Net zero activities &amp; levers'!$C$9="Off",'Activity data'!AV65*ManureNEF*NtoN2O*kgtoGg,IF('Net zero activities &amp; levers'!$C$9="On",(('Net zero supporting data'!T168*'Net zero supporting data'!T183)+('Net zero supporting data'!T180*ManureNEF))*NtoN2O*kgtoGg,"ERROR"))</f>
        <v>0.94570019320131005</v>
      </c>
      <c r="AD682" s="94">
        <f>IF('Net zero activities &amp; levers'!$C$9="Off",'Activity data'!AW65*ManureNEF*NtoN2O*kgtoGg,IF('Net zero activities &amp; levers'!$C$9="On",(('Net zero supporting data'!U168*'Net zero supporting data'!U183)+('Net zero supporting data'!U180*ManureNEF))*NtoN2O*kgtoGg,"ERROR"))</f>
        <v>0.9908342510405731</v>
      </c>
      <c r="AE682" s="94">
        <f>IF('Net zero activities &amp; levers'!$C$9="Off",'Activity data'!AX65*ManureNEF*NtoN2O*kgtoGg,IF('Net zero activities &amp; levers'!$C$9="On",(('Net zero supporting data'!V168*'Net zero supporting data'!V183)+('Net zero supporting data'!V180*ManureNEF))*NtoN2O*kgtoGg,"ERROR"))</f>
        <v>1.0401746402938727</v>
      </c>
      <c r="AF682" s="94">
        <f>IF('Net zero activities &amp; levers'!$C$9="Off",'Activity data'!AY65*ManureNEF*NtoN2O*kgtoGg,IF('Net zero activities &amp; levers'!$C$9="On",(('Net zero supporting data'!W168*'Net zero supporting data'!W183)+('Net zero supporting data'!W180*ManureNEF))*NtoN2O*kgtoGg,"ERROR"))</f>
        <v>1.0922195176686915</v>
      </c>
      <c r="AG682" s="94">
        <f>IF('Net zero activities &amp; levers'!$C$9="Off",'Activity data'!AZ65*ManureNEF*NtoN2O*kgtoGg,IF('Net zero activities &amp; levers'!$C$9="On",(('Net zero supporting data'!X168*'Net zero supporting data'!X183)+('Net zero supporting data'!X180*ManureNEF))*NtoN2O*kgtoGg,"ERROR"))</f>
        <v>1.1476653338002605</v>
      </c>
      <c r="AH682" s="94">
        <f>IF('Net zero activities &amp; levers'!$C$9="Off",'Activity data'!BA65*ManureNEF*NtoN2O*kgtoGg,IF('Net zero activities &amp; levers'!$C$9="On",(('Net zero supporting data'!Y168*'Net zero supporting data'!Y183)+('Net zero supporting data'!Y180*ManureNEF))*NtoN2O*kgtoGg,"ERROR"))</f>
        <v>1.2058049098103554</v>
      </c>
      <c r="AI682" s="94">
        <f>IF('Net zero activities &amp; levers'!$C$9="Off",'Activity data'!BB65*ManureNEF*NtoN2O*kgtoGg,IF('Net zero activities &amp; levers'!$C$9="On",(('Net zero supporting data'!Z168*'Net zero supporting data'!Z183)+('Net zero supporting data'!Z180*ManureNEF))*NtoN2O*kgtoGg,"ERROR"))</f>
        <v>1.2640288398876942</v>
      </c>
      <c r="AJ682" s="94">
        <f>IF('Net zero activities &amp; levers'!$C$9="Off",'Activity data'!BC65*ManureNEF*NtoN2O*kgtoGg,IF('Net zero activities &amp; levers'!$C$9="On",(('Net zero supporting data'!AA168*'Net zero supporting data'!AA183)+('Net zero supporting data'!AA180*ManureNEF))*NtoN2O*kgtoGg,"ERROR"))</f>
        <v>1.3261031190213208</v>
      </c>
      <c r="AK682" s="94">
        <f>IF('Net zero activities &amp; levers'!$C$9="Off",'Activity data'!BD65*ManureNEF*NtoN2O*kgtoGg,IF('Net zero activities &amp; levers'!$C$9="On",(('Net zero supporting data'!AB168*'Net zero supporting data'!AB183)+('Net zero supporting data'!AB180*ManureNEF))*NtoN2O*kgtoGg,"ERROR"))</f>
        <v>1.3896418297181288</v>
      </c>
      <c r="AL682" s="94">
        <f>IF('Net zero activities &amp; levers'!$C$9="Off",'Activity data'!BE65*ManureNEF*NtoN2O*kgtoGg,IF('Net zero activities &amp; levers'!$C$9="On",(('Net zero supporting data'!AC168*'Net zero supporting data'!AC183)+('Net zero supporting data'!AC180*ManureNEF))*NtoN2O*kgtoGg,"ERROR"))</f>
        <v>1.4544565281623518</v>
      </c>
      <c r="AM682" s="94">
        <f>IF('Net zero activities &amp; levers'!$C$9="Off",'Activity data'!BF65*ManureNEF*NtoN2O*kgtoGg,IF('Net zero activities &amp; levers'!$C$9="On",(('Net zero supporting data'!AD168*'Net zero supporting data'!AD183)+('Net zero supporting data'!AD180*ManureNEF))*NtoN2O*kgtoGg,"ERROR"))</f>
        <v>1.521690334823528</v>
      </c>
      <c r="AN682" s="94">
        <f>IF('Net zero activities &amp; levers'!$C$9="Off",'Activity data'!BG65*ManureNEF*NtoN2O*kgtoGg,IF('Net zero activities &amp; levers'!$C$9="On",(('Net zero supporting data'!AE168*'Net zero supporting data'!AE183)+('Net zero supporting data'!AE180*ManureNEF))*NtoN2O*kgtoGg,"ERROR"))</f>
        <v>1.5885204638072115</v>
      </c>
      <c r="AO682" s="94">
        <f>IF('Net zero activities &amp; levers'!$C$9="Off",'Activity data'!BH65*ManureNEF*NtoN2O*kgtoGg,IF('Net zero activities &amp; levers'!$C$9="On",(('Net zero supporting data'!AF168*'Net zero supporting data'!AF183)+('Net zero supporting data'!AF180*ManureNEF))*NtoN2O*kgtoGg,"ERROR"))</f>
        <v>1.6588648682392355</v>
      </c>
      <c r="AP682" s="94">
        <f>IF('Net zero activities &amp; levers'!$C$9="Off",'Activity data'!BI65*ManureNEF*NtoN2O*kgtoGg,IF('Net zero activities &amp; levers'!$C$9="On",(('Net zero supporting data'!AG168*'Net zero supporting data'!AG183)+('Net zero supporting data'!AG180*ManureNEF))*NtoN2O*kgtoGg,"ERROR"))</f>
        <v>1.7341718158890906</v>
      </c>
      <c r="AQ682" s="94">
        <f>IF('Net zero activities &amp; levers'!$C$9="Off",'Activity data'!BJ65*ManureNEF*NtoN2O*kgtoGg,IF('Net zero activities &amp; levers'!$C$9="On",(('Net zero supporting data'!AH168*'Net zero supporting data'!AH183)+('Net zero supporting data'!AH180*ManureNEF))*NtoN2O*kgtoGg,"ERROR"))</f>
        <v>1.812078309357211</v>
      </c>
      <c r="AR682" s="94">
        <f>IF('Net zero activities &amp; levers'!$C$9="Off",'Activity data'!BK65*ManureNEF*NtoN2O*kgtoGg,IF('Net zero activities &amp; levers'!$C$9="On",(('Net zero supporting data'!AI168*'Net zero supporting data'!AI183)+('Net zero supporting data'!AI180*ManureNEF))*NtoN2O*kgtoGg,"ERROR"))</f>
        <v>1.8927662707454833</v>
      </c>
      <c r="AS682" s="94">
        <f>IF('Net zero activities &amp; levers'!$C$9="Off",'Activity data'!BL65*ManureNEF*NtoN2O*kgtoGg,IF('Net zero activities &amp; levers'!$C$9="On",(('Net zero supporting data'!AJ168*'Net zero supporting data'!AJ183)+('Net zero supporting data'!AJ180*ManureNEF))*NtoN2O*kgtoGg,"ERROR"))</f>
        <v>1.9789566108434027</v>
      </c>
      <c r="AT682" s="94">
        <f>IF('Net zero activities &amp; levers'!$C$9="Off",'Activity data'!BM65*ManureNEF*NtoN2O*kgtoGg,IF('Net zero activities &amp; levers'!$C$9="On",(('Net zero supporting data'!AK168*'Net zero supporting data'!AK183)+('Net zero supporting data'!AK180*ManureNEF))*NtoN2O*kgtoGg,"ERROR"))</f>
        <v>2.0698402438653445</v>
      </c>
      <c r="AU682" s="94">
        <f>IF('Net zero activities &amp; levers'!$C$9="Off",'Activity data'!BN65*ManureNEF*NtoN2O*kgtoGg,IF('Net zero activities &amp; levers'!$C$9="On",(('Net zero supporting data'!AL168*'Net zero supporting data'!AL183)+('Net zero supporting data'!AL180*ManureNEF))*NtoN2O*kgtoGg,"ERROR"))</f>
        <v>2.1648797356645511</v>
      </c>
      <c r="AV682" s="94">
        <f>IF('Net zero activities &amp; levers'!$C$9="Off",'Activity data'!BO65*ManureNEF*NtoN2O*kgtoGg,IF('Net zero activities &amp; levers'!$C$9="On",(('Net zero supporting data'!AM168*'Net zero supporting data'!AM183)+('Net zero supporting data'!AM180*ManureNEF))*NtoN2O*kgtoGg,"ERROR"))</f>
        <v>2.2658660016789853</v>
      </c>
      <c r="AW682" s="94">
        <f>IF('Net zero activities &amp; levers'!$C$9="Off",'Activity data'!BP65*ManureNEF*NtoN2O*kgtoGg,IF('Net zero activities &amp; levers'!$C$9="On",(('Net zero supporting data'!AN168*'Net zero supporting data'!AN183)+('Net zero supporting data'!AN180*ManureNEF))*NtoN2O*kgtoGg,"ERROR"))</f>
        <v>2.3628024258404521</v>
      </c>
      <c r="AY682" s="79"/>
      <c r="AZ682" s="79"/>
    </row>
    <row r="683" spans="1:52" x14ac:dyDescent="0.25">
      <c r="A683" s="95" t="str">
        <f t="shared" si="149"/>
        <v>NI U&amp;D</v>
      </c>
      <c r="B683" s="95" t="s">
        <v>968</v>
      </c>
      <c r="C683" s="95" t="s">
        <v>1335</v>
      </c>
      <c r="D683" t="s">
        <v>369</v>
      </c>
      <c r="E683" t="s">
        <v>55</v>
      </c>
      <c r="F683" t="s">
        <v>422</v>
      </c>
      <c r="G683" t="s">
        <v>1151</v>
      </c>
      <c r="H683" t="s">
        <v>1239</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5">
      <c r="A684" s="95" t="str">
        <f t="shared" si="149"/>
        <v>NI U&amp;D</v>
      </c>
      <c r="B684" s="95" t="s">
        <v>968</v>
      </c>
      <c r="C684" s="95" t="s">
        <v>1335</v>
      </c>
      <c r="D684" t="s">
        <v>369</v>
      </c>
      <c r="E684" t="s">
        <v>55</v>
      </c>
      <c r="F684" t="s">
        <v>422</v>
      </c>
      <c r="G684" t="s">
        <v>1153</v>
      </c>
      <c r="H684" t="s">
        <v>1240</v>
      </c>
      <c r="I684" t="s">
        <v>139</v>
      </c>
      <c r="J684" t="s">
        <v>287</v>
      </c>
      <c r="K684" s="22">
        <f t="shared" ref="K684:Z710" si="152">K1483</f>
        <v>1.0775797812462991</v>
      </c>
      <c r="L684" s="22">
        <f t="shared" si="152"/>
        <v>1.0836040032789309</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1.1114672588381174</v>
      </c>
      <c r="S684" s="22">
        <f t="shared" si="152"/>
        <v>1.0793644035028189</v>
      </c>
      <c r="T684" s="22">
        <f t="shared" si="152"/>
        <v>1.1011309234167481</v>
      </c>
      <c r="U684" s="22">
        <f t="shared" si="152"/>
        <v>1.1119360252245196</v>
      </c>
      <c r="V684" s="22">
        <f t="shared" si="152"/>
        <v>1.1147578792291293</v>
      </c>
      <c r="W684" s="22">
        <f t="shared" si="152"/>
        <v>1.1187702241985282</v>
      </c>
      <c r="X684" s="22">
        <f t="shared" si="152"/>
        <v>1.1255029693063063</v>
      </c>
      <c r="Y684" s="22">
        <f t="shared" si="152"/>
        <v>1.1343971625372145</v>
      </c>
      <c r="Z684" s="22">
        <f t="shared" si="152"/>
        <v>1.1443552033124911</v>
      </c>
      <c r="AA684" s="22">
        <f t="shared" si="151"/>
        <v>1.1556907140958508</v>
      </c>
      <c r="AB684" s="22">
        <f t="shared" si="151"/>
        <v>1.1693756036758489</v>
      </c>
      <c r="AC684" s="22">
        <f t="shared" si="151"/>
        <v>1.1853303744222352</v>
      </c>
      <c r="AD684" s="22">
        <f t="shared" si="151"/>
        <v>1.202695771968407</v>
      </c>
      <c r="AE684" s="22">
        <f t="shared" si="151"/>
        <v>1.2214561017242225</v>
      </c>
      <c r="AF684" s="22">
        <f t="shared" si="151"/>
        <v>1.2411353009439861</v>
      </c>
      <c r="AG684" s="22">
        <f t="shared" si="151"/>
        <v>1.2619534777795529</v>
      </c>
      <c r="AH684" s="22">
        <f t="shared" si="151"/>
        <v>1.2836965756368759</v>
      </c>
      <c r="AI684" s="22">
        <f t="shared" si="151"/>
        <v>1.3055267417806069</v>
      </c>
      <c r="AJ684" s="22">
        <f t="shared" si="151"/>
        <v>1.3286718687824415</v>
      </c>
      <c r="AK684" s="22">
        <f t="shared" si="151"/>
        <v>1.3523228735789439</v>
      </c>
      <c r="AL684" s="22">
        <f t="shared" si="151"/>
        <v>1.3764196040319214</v>
      </c>
      <c r="AM684" s="22">
        <f t="shared" si="151"/>
        <v>1.4013502875110349</v>
      </c>
      <c r="AN684" s="22">
        <f t="shared" si="151"/>
        <v>1.4261842268183196</v>
      </c>
      <c r="AO684" s="22">
        <f t="shared" si="151"/>
        <v>1.4522110683153209</v>
      </c>
      <c r="AP684" s="22">
        <f t="shared" si="151"/>
        <v>1.4799113366388263</v>
      </c>
      <c r="AQ684" s="22">
        <f t="shared" si="151"/>
        <v>1.5084997172355739</v>
      </c>
      <c r="AR684" s="22">
        <f t="shared" si="151"/>
        <v>1.538027931051154</v>
      </c>
      <c r="AS684" s="22">
        <f t="shared" si="151"/>
        <v>1.5694046317393286</v>
      </c>
      <c r="AT684" s="22">
        <f t="shared" si="151"/>
        <v>1.602365939528593</v>
      </c>
      <c r="AU684" s="22">
        <f t="shared" si="151"/>
        <v>1.6367417968061735</v>
      </c>
      <c r="AV684" s="22">
        <f t="shared" si="151"/>
        <v>1.673151630600247</v>
      </c>
      <c r="AW684" s="22">
        <f t="shared" si="151"/>
        <v>1.7081846028232541</v>
      </c>
      <c r="AY684" s="79"/>
      <c r="AZ684" s="79"/>
    </row>
    <row r="685" spans="1:52" x14ac:dyDescent="0.25">
      <c r="A685" s="95" t="str">
        <f t="shared" si="149"/>
        <v>NI U&amp;D</v>
      </c>
      <c r="B685" s="95" t="s">
        <v>968</v>
      </c>
      <c r="C685" s="95" t="s">
        <v>1335</v>
      </c>
      <c r="D685" t="s">
        <v>369</v>
      </c>
      <c r="E685" t="s">
        <v>55</v>
      </c>
      <c r="F685" t="s">
        <v>422</v>
      </c>
      <c r="G685" t="s">
        <v>1155</v>
      </c>
      <c r="H685" t="s">
        <v>1241</v>
      </c>
      <c r="I685" t="s">
        <v>139</v>
      </c>
      <c r="J685" t="s">
        <v>287</v>
      </c>
      <c r="K685" s="22">
        <f t="shared" si="152"/>
        <v>0.73383920392416069</v>
      </c>
      <c r="L685" s="22">
        <f t="shared" si="151"/>
        <v>0.73794174034663862</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0.75691680802528449</v>
      </c>
      <c r="S685" s="22">
        <f t="shared" si="151"/>
        <v>0.73505454389139269</v>
      </c>
      <c r="T685" s="22">
        <f t="shared" si="151"/>
        <v>0.74987769288121808</v>
      </c>
      <c r="U685" s="22">
        <f t="shared" si="151"/>
        <v>0.75723604114176524</v>
      </c>
      <c r="V685" s="22">
        <f t="shared" si="151"/>
        <v>0.75915774302627725</v>
      </c>
      <c r="W685" s="22">
        <f t="shared" si="151"/>
        <v>0.76189017740325427</v>
      </c>
      <c r="X685" s="22">
        <f t="shared" si="151"/>
        <v>0.7664752228876841</v>
      </c>
      <c r="Y685" s="22">
        <f t="shared" si="151"/>
        <v>0.77253222933278298</v>
      </c>
      <c r="Z685" s="22">
        <f t="shared" si="151"/>
        <v>0.77931372323453529</v>
      </c>
      <c r="AA685" s="22">
        <f t="shared" si="151"/>
        <v>0.78703328363656277</v>
      </c>
      <c r="AB685" s="22">
        <f t="shared" si="151"/>
        <v>0.79635278707375712</v>
      </c>
      <c r="AC685" s="22">
        <f t="shared" si="151"/>
        <v>0.80721809511598763</v>
      </c>
      <c r="AD685" s="22">
        <f t="shared" si="151"/>
        <v>0.81904404966050492</v>
      </c>
      <c r="AE685" s="22">
        <f t="shared" si="151"/>
        <v>0.83181996258403779</v>
      </c>
      <c r="AF685" s="22">
        <f t="shared" si="151"/>
        <v>0.8452216318995045</v>
      </c>
      <c r="AG685" s="22">
        <f t="shared" si="151"/>
        <v>0.85939895276431877</v>
      </c>
      <c r="AH685" s="22">
        <f t="shared" si="151"/>
        <v>0.87420615117333955</v>
      </c>
      <c r="AI685" s="22">
        <f t="shared" si="151"/>
        <v>0.88907264368113259</v>
      </c>
      <c r="AJ685" s="22">
        <f t="shared" si="151"/>
        <v>0.90483463353037208</v>
      </c>
      <c r="AK685" s="22">
        <f t="shared" si="151"/>
        <v>0.92094112961904073</v>
      </c>
      <c r="AL685" s="22">
        <f t="shared" si="151"/>
        <v>0.93735116792946294</v>
      </c>
      <c r="AM685" s="22">
        <f t="shared" si="151"/>
        <v>0.9543291339566633</v>
      </c>
      <c r="AN685" s="22">
        <f t="shared" si="151"/>
        <v>0.97124121654091655</v>
      </c>
      <c r="AO685" s="22">
        <f t="shared" si="151"/>
        <v>0.98896567367830823</v>
      </c>
      <c r="AP685" s="22">
        <f t="shared" si="151"/>
        <v>1.0078297459342822</v>
      </c>
      <c r="AQ685" s="22">
        <f t="shared" si="151"/>
        <v>1.0272986287248762</v>
      </c>
      <c r="AR685" s="22">
        <f t="shared" si="151"/>
        <v>1.0474075443679165</v>
      </c>
      <c r="AS685" s="22">
        <f t="shared" si="151"/>
        <v>1.068775292218703</v>
      </c>
      <c r="AT685" s="22">
        <f t="shared" si="151"/>
        <v>1.0912221683473529</v>
      </c>
      <c r="AU685" s="22">
        <f t="shared" si="151"/>
        <v>1.1146323623560173</v>
      </c>
      <c r="AV685" s="22">
        <f t="shared" si="151"/>
        <v>1.1394277082890591</v>
      </c>
      <c r="AW685" s="22">
        <f t="shared" si="151"/>
        <v>1.1632854020715975</v>
      </c>
      <c r="AY685" s="79"/>
      <c r="AZ685" s="79"/>
    </row>
    <row r="686" spans="1:52" x14ac:dyDescent="0.25">
      <c r="A686" s="95" t="str">
        <f t="shared" si="149"/>
        <v>NI U&amp;D</v>
      </c>
      <c r="B686" s="95" t="s">
        <v>968</v>
      </c>
      <c r="C686" s="95" t="s">
        <v>1335</v>
      </c>
      <c r="D686" t="s">
        <v>369</v>
      </c>
      <c r="E686" t="s">
        <v>55</v>
      </c>
      <c r="F686" t="s">
        <v>422</v>
      </c>
      <c r="G686" t="s">
        <v>1157</v>
      </c>
      <c r="H686" t="s">
        <v>1242</v>
      </c>
      <c r="I686" t="s">
        <v>139</v>
      </c>
      <c r="J686" t="s">
        <v>287</v>
      </c>
      <c r="K686" s="22">
        <f t="shared" si="152"/>
        <v>15.353527292296837</v>
      </c>
      <c r="L686" s="22">
        <f t="shared" si="151"/>
        <v>15.220371053361486</v>
      </c>
      <c r="M686" s="22">
        <f t="shared" si="151"/>
        <v>15.169682504177882</v>
      </c>
      <c r="N686" s="22">
        <f t="shared" si="151"/>
        <v>14.967111251021189</v>
      </c>
      <c r="O686" s="22">
        <f t="shared" si="151"/>
        <v>14.673074129931946</v>
      </c>
      <c r="P686" s="22">
        <f t="shared" si="151"/>
        <v>14.293651368256896</v>
      </c>
      <c r="Q686" s="22">
        <f t="shared" si="151"/>
        <v>13.994389539168758</v>
      </c>
      <c r="R686" s="22">
        <f t="shared" si="151"/>
        <v>13.711253827544139</v>
      </c>
      <c r="S686" s="22">
        <f t="shared" si="151"/>
        <v>12.243525743929849</v>
      </c>
      <c r="T686" s="22">
        <f t="shared" si="151"/>
        <v>12.828892404772391</v>
      </c>
      <c r="U686" s="22">
        <f t="shared" si="151"/>
        <v>13.031546455407888</v>
      </c>
      <c r="V686" s="22">
        <f t="shared" si="151"/>
        <v>12.943540859671467</v>
      </c>
      <c r="W686" s="22">
        <f t="shared" si="151"/>
        <v>12.871954504278984</v>
      </c>
      <c r="X686" s="22">
        <f t="shared" si="151"/>
        <v>12.876656938031642</v>
      </c>
      <c r="Y686" s="22">
        <f t="shared" si="151"/>
        <v>12.952269652428015</v>
      </c>
      <c r="Z686" s="22">
        <f t="shared" si="151"/>
        <v>13.059558904717129</v>
      </c>
      <c r="AA686" s="22">
        <f t="shared" si="151"/>
        <v>13.207166717271191</v>
      </c>
      <c r="AB686" s="22">
        <f t="shared" si="151"/>
        <v>13.423383196860698</v>
      </c>
      <c r="AC686" s="22">
        <f t="shared" si="151"/>
        <v>13.702101889701561</v>
      </c>
      <c r="AD686" s="22">
        <f t="shared" si="151"/>
        <v>13.896423189138504</v>
      </c>
      <c r="AE686" s="22">
        <f t="shared" si="151"/>
        <v>14.113699365030318</v>
      </c>
      <c r="AF686" s="22">
        <f t="shared" si="151"/>
        <v>14.337556202398742</v>
      </c>
      <c r="AG686" s="22">
        <f t="shared" si="151"/>
        <v>14.572966422289987</v>
      </c>
      <c r="AH686" s="22">
        <f t="shared" si="151"/>
        <v>14.811902600863377</v>
      </c>
      <c r="AI686" s="22">
        <f t="shared" si="151"/>
        <v>15.030093790009266</v>
      </c>
      <c r="AJ686" s="22">
        <f t="shared" si="151"/>
        <v>15.260245449721568</v>
      </c>
      <c r="AK686" s="22">
        <f t="shared" si="151"/>
        <v>15.479975870373321</v>
      </c>
      <c r="AL686" s="22">
        <f t="shared" si="151"/>
        <v>15.687168192029855</v>
      </c>
      <c r="AM686" s="22">
        <f t="shared" si="151"/>
        <v>15.890679126882141</v>
      </c>
      <c r="AN686" s="22">
        <f t="shared" si="151"/>
        <v>16.149107215315812</v>
      </c>
      <c r="AO686" s="22">
        <f t="shared" si="151"/>
        <v>16.416401953220753</v>
      </c>
      <c r="AP686" s="22">
        <f t="shared" si="151"/>
        <v>16.702277130443278</v>
      </c>
      <c r="AQ686" s="22">
        <f t="shared" si="151"/>
        <v>16.98704006145238</v>
      </c>
      <c r="AR686" s="22">
        <f t="shared" si="151"/>
        <v>17.271060351529361</v>
      </c>
      <c r="AS686" s="22">
        <f t="shared" si="151"/>
        <v>17.573003837482712</v>
      </c>
      <c r="AT686" s="22">
        <f t="shared" si="151"/>
        <v>17.88505244077637</v>
      </c>
      <c r="AU686" s="22">
        <f t="shared" si="151"/>
        <v>18.201780897575926</v>
      </c>
      <c r="AV686" s="22">
        <f t="shared" si="151"/>
        <v>18.533967675320017</v>
      </c>
      <c r="AW686" s="22">
        <f t="shared" si="151"/>
        <v>18.812464966150909</v>
      </c>
      <c r="AY686" s="79"/>
      <c r="AZ686" s="79"/>
    </row>
    <row r="687" spans="1:52" x14ac:dyDescent="0.25">
      <c r="A687" s="95" t="str">
        <f t="shared" si="149"/>
        <v>NI U&amp;D</v>
      </c>
      <c r="B687" s="95" t="s">
        <v>968</v>
      </c>
      <c r="C687" s="95" t="s">
        <v>1335</v>
      </c>
      <c r="D687" t="s">
        <v>369</v>
      </c>
      <c r="E687" t="s">
        <v>55</v>
      </c>
      <c r="F687" t="s">
        <v>422</v>
      </c>
      <c r="G687" t="s">
        <v>1159</v>
      </c>
      <c r="H687" t="s">
        <v>1243</v>
      </c>
      <c r="I687" t="s">
        <v>139</v>
      </c>
      <c r="J687" t="s">
        <v>287</v>
      </c>
      <c r="K687" s="22">
        <f t="shared" si="152"/>
        <v>9.6543103644621411</v>
      </c>
      <c r="L687" s="22">
        <f t="shared" si="151"/>
        <v>9.570581613851763</v>
      </c>
      <c r="M687" s="22">
        <f t="shared" si="151"/>
        <v>9.5387086131772989</v>
      </c>
      <c r="N687" s="22">
        <f t="shared" si="151"/>
        <v>9.4113316455488931</v>
      </c>
      <c r="O687" s="22">
        <f t="shared" si="151"/>
        <v>9.2264408662754729</v>
      </c>
      <c r="P687" s="22">
        <f t="shared" si="151"/>
        <v>8.9878595272244652</v>
      </c>
      <c r="Q687" s="22">
        <f t="shared" si="151"/>
        <v>8.7996834473406587</v>
      </c>
      <c r="R687" s="22">
        <f t="shared" si="151"/>
        <v>8.6216474831450967</v>
      </c>
      <c r="S687" s="22">
        <f t="shared" si="151"/>
        <v>7.6987388784911763</v>
      </c>
      <c r="T687" s="22">
        <f t="shared" si="151"/>
        <v>8.0668179077067048</v>
      </c>
      <c r="U687" s="22">
        <f t="shared" si="151"/>
        <v>8.1942469384566685</v>
      </c>
      <c r="V687" s="22">
        <f t="shared" si="151"/>
        <v>8.1389089487638984</v>
      </c>
      <c r="W687" s="22">
        <f t="shared" si="151"/>
        <v>8.0938953906633806</v>
      </c>
      <c r="X687" s="22">
        <f t="shared" si="151"/>
        <v>8.0968522848058253</v>
      </c>
      <c r="Y687" s="22">
        <f t="shared" si="151"/>
        <v>8.1443976207006106</v>
      </c>
      <c r="Z687" s="22">
        <f t="shared" si="151"/>
        <v>8.2118611892116604</v>
      </c>
      <c r="AA687" s="22">
        <f t="shared" si="151"/>
        <v>8.304677100987929</v>
      </c>
      <c r="AB687" s="22">
        <f t="shared" si="151"/>
        <v>8.4406341980203354</v>
      </c>
      <c r="AC687" s="22">
        <f t="shared" si="151"/>
        <v>8.6158927372364591</v>
      </c>
      <c r="AD687" s="22">
        <f t="shared" si="151"/>
        <v>8.738082127301313</v>
      </c>
      <c r="AE687" s="22">
        <f t="shared" si="151"/>
        <v>8.8747055622246656</v>
      </c>
      <c r="AF687" s="22">
        <f t="shared" si="151"/>
        <v>9.015466922400579</v>
      </c>
      <c r="AG687" s="22">
        <f t="shared" si="151"/>
        <v>9.1634930588400287</v>
      </c>
      <c r="AH687" s="22">
        <f t="shared" si="151"/>
        <v>9.3137363209471946</v>
      </c>
      <c r="AI687" s="22">
        <f t="shared" si="151"/>
        <v>9.4509351169438833</v>
      </c>
      <c r="AJ687" s="22">
        <f t="shared" si="151"/>
        <v>9.5956546664947826</v>
      </c>
      <c r="AK687" s="22">
        <f t="shared" si="151"/>
        <v>9.7338213325058032</v>
      </c>
      <c r="AL687" s="22">
        <f t="shared" si="151"/>
        <v>9.8641040317399575</v>
      </c>
      <c r="AM687" s="22">
        <f t="shared" si="151"/>
        <v>9.9920718719776573</v>
      </c>
      <c r="AN687" s="22">
        <f t="shared" si="151"/>
        <v>10.154571662751145</v>
      </c>
      <c r="AO687" s="22">
        <f t="shared" si="151"/>
        <v>10.322646809874932</v>
      </c>
      <c r="AP687" s="22">
        <f t="shared" si="151"/>
        <v>10.502405352251484</v>
      </c>
      <c r="AQ687" s="22">
        <f t="shared" si="151"/>
        <v>10.681464513310528</v>
      </c>
      <c r="AR687" s="22">
        <f t="shared" si="151"/>
        <v>10.860056701151523</v>
      </c>
      <c r="AS687" s="22">
        <f t="shared" si="151"/>
        <v>11.049919009038504</v>
      </c>
      <c r="AT687" s="22">
        <f t="shared" si="151"/>
        <v>11.246135422872308</v>
      </c>
      <c r="AU687" s="22">
        <f t="shared" si="151"/>
        <v>11.445294532371156</v>
      </c>
      <c r="AV687" s="22">
        <f t="shared" si="151"/>
        <v>11.654173846567643</v>
      </c>
      <c r="AW687" s="22">
        <f t="shared" si="151"/>
        <v>11.829293168021046</v>
      </c>
      <c r="AY687" s="79"/>
      <c r="AZ687" s="79"/>
    </row>
    <row r="688" spans="1:52" x14ac:dyDescent="0.25">
      <c r="A688" s="95" t="str">
        <f t="shared" si="149"/>
        <v>NI U&amp;D</v>
      </c>
      <c r="B688" s="95" t="s">
        <v>968</v>
      </c>
      <c r="C688" s="95" t="s">
        <v>1335</v>
      </c>
      <c r="D688" t="s">
        <v>369</v>
      </c>
      <c r="E688" t="s">
        <v>55</v>
      </c>
      <c r="F688" t="s">
        <v>422</v>
      </c>
      <c r="G688" t="s">
        <v>1161</v>
      </c>
      <c r="H688" t="s">
        <v>1244</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5">
      <c r="A689" s="95" t="str">
        <f t="shared" si="149"/>
        <v>NI U&amp;D</v>
      </c>
      <c r="B689" s="95" t="s">
        <v>968</v>
      </c>
      <c r="C689" s="95" t="s">
        <v>1335</v>
      </c>
      <c r="D689" t="s">
        <v>369</v>
      </c>
      <c r="E689" t="s">
        <v>55</v>
      </c>
      <c r="F689" t="s">
        <v>422</v>
      </c>
      <c r="G689" t="s">
        <v>1163</v>
      </c>
      <c r="H689" t="s">
        <v>1245</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5.8849979697860864</v>
      </c>
      <c r="T689" s="22">
        <f t="shared" si="151"/>
        <v>5.8892338696185709</v>
      </c>
      <c r="U689" s="22">
        <f t="shared" si="151"/>
        <v>5.8877446174554535</v>
      </c>
      <c r="V689" s="22">
        <f t="shared" si="151"/>
        <v>5.8876374031780276</v>
      </c>
      <c r="W689" s="22">
        <f t="shared" si="151"/>
        <v>5.8938824759040038</v>
      </c>
      <c r="X689" s="22">
        <f t="shared" si="151"/>
        <v>5.9041031128445773</v>
      </c>
      <c r="Y689" s="22">
        <f t="shared" si="151"/>
        <v>5.9139099273818276</v>
      </c>
      <c r="Z689" s="22">
        <f t="shared" si="151"/>
        <v>5.9233345583346297</v>
      </c>
      <c r="AA689" s="22">
        <f t="shared" si="151"/>
        <v>5.9323641435098171</v>
      </c>
      <c r="AB689" s="22">
        <f t="shared" si="151"/>
        <v>5.9411868573928839</v>
      </c>
      <c r="AC689" s="22">
        <f t="shared" si="151"/>
        <v>5.9499315766894556</v>
      </c>
      <c r="AD689" s="22">
        <f t="shared" si="151"/>
        <v>5.9585105593958936</v>
      </c>
      <c r="AE689" s="22">
        <f t="shared" si="151"/>
        <v>5.9670471572884827</v>
      </c>
      <c r="AF689" s="22">
        <f t="shared" si="151"/>
        <v>5.9755144784339187</v>
      </c>
      <c r="AG689" s="22">
        <f t="shared" si="151"/>
        <v>5.9838446773332894</v>
      </c>
      <c r="AH689" s="22">
        <f t="shared" si="151"/>
        <v>5.992074429551792</v>
      </c>
      <c r="AI689" s="22">
        <f t="shared" si="151"/>
        <v>6.0002125174101231</v>
      </c>
      <c r="AJ689" s="22">
        <f t="shared" si="151"/>
        <v>6.0082865692474714</v>
      </c>
      <c r="AK689" s="22">
        <f t="shared" si="151"/>
        <v>6.0160495351454939</v>
      </c>
      <c r="AL689" s="22">
        <f t="shared" si="151"/>
        <v>6.0234923325896075</v>
      </c>
      <c r="AM689" s="22">
        <f t="shared" si="151"/>
        <v>6.0306845225857399</v>
      </c>
      <c r="AN689" s="22">
        <f t="shared" si="151"/>
        <v>6.0375707245080381</v>
      </c>
      <c r="AO689" s="22">
        <f t="shared" si="151"/>
        <v>6.0441634304657859</v>
      </c>
      <c r="AP689" s="22">
        <f t="shared" si="151"/>
        <v>6.0504329467907079</v>
      </c>
      <c r="AQ689" s="22">
        <f t="shared" si="151"/>
        <v>6.0562895562131533</v>
      </c>
      <c r="AR689" s="22">
        <f t="shared" si="151"/>
        <v>6.0616501197093573</v>
      </c>
      <c r="AS689" s="22">
        <f t="shared" si="151"/>
        <v>6.0665092216069407</v>
      </c>
      <c r="AT689" s="22">
        <f t="shared" si="151"/>
        <v>6.0708296779310995</v>
      </c>
      <c r="AU689" s="22">
        <f t="shared" si="151"/>
        <v>6.0746094049856261</v>
      </c>
      <c r="AV689" s="22">
        <f t="shared" si="151"/>
        <v>6.0779207352179032</v>
      </c>
      <c r="AW689" s="22">
        <f t="shared" si="151"/>
        <v>6.0803335706264781</v>
      </c>
      <c r="AY689" s="79"/>
      <c r="AZ689" s="79"/>
    </row>
    <row r="690" spans="1:52" x14ac:dyDescent="0.25">
      <c r="A690" s="95" t="str">
        <f t="shared" si="149"/>
        <v>NI U&amp;D</v>
      </c>
      <c r="B690" s="95" t="s">
        <v>968</v>
      </c>
      <c r="C690" s="95" t="s">
        <v>1335</v>
      </c>
      <c r="D690" t="s">
        <v>369</v>
      </c>
      <c r="E690" t="s">
        <v>55</v>
      </c>
      <c r="F690" t="s">
        <v>422</v>
      </c>
      <c r="G690" t="s">
        <v>1165</v>
      </c>
      <c r="H690" t="s">
        <v>1246</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0.65693953925961401</v>
      </c>
      <c r="T690" s="22">
        <f t="shared" si="153"/>
        <v>0.65741239075397129</v>
      </c>
      <c r="U690" s="22">
        <f t="shared" si="153"/>
        <v>0.65724614623954603</v>
      </c>
      <c r="V690" s="22">
        <f t="shared" si="153"/>
        <v>0.65723417796047845</v>
      </c>
      <c r="W690" s="22">
        <f t="shared" si="153"/>
        <v>0.65793131247442549</v>
      </c>
      <c r="X690" s="22">
        <f t="shared" si="153"/>
        <v>0.65907223734086595</v>
      </c>
      <c r="Y690" s="22">
        <f t="shared" si="153"/>
        <v>0.66016696740819658</v>
      </c>
      <c r="Z690" s="22">
        <f t="shared" si="153"/>
        <v>0.66121903450280095</v>
      </c>
      <c r="AA690" s="22">
        <f t="shared" si="153"/>
        <v>0.66222700282414093</v>
      </c>
      <c r="AB690" s="22">
        <f t="shared" si="153"/>
        <v>0.66321187820100891</v>
      </c>
      <c r="AC690" s="22">
        <f t="shared" si="153"/>
        <v>0.66418804707908485</v>
      </c>
      <c r="AD690" s="22">
        <f t="shared" si="153"/>
        <v>0.66514571486001184</v>
      </c>
      <c r="AE690" s="22">
        <f t="shared" si="153"/>
        <v>0.66609865124422019</v>
      </c>
      <c r="AF690" s="22">
        <f t="shared" si="153"/>
        <v>0.6670438542979179</v>
      </c>
      <c r="AG690" s="22">
        <f t="shared" si="153"/>
        <v>0.6679737504601575</v>
      </c>
      <c r="AH690" s="22">
        <f t="shared" si="153"/>
        <v>0.66889243380693197</v>
      </c>
      <c r="AI690" s="22">
        <f t="shared" si="153"/>
        <v>0.66980088470454557</v>
      </c>
      <c r="AJ690" s="22">
        <f t="shared" si="153"/>
        <v>0.67070218729143127</v>
      </c>
      <c r="AK690" s="22">
        <f t="shared" si="153"/>
        <v>0.6715687635020805</v>
      </c>
      <c r="AL690" s="22">
        <f t="shared" si="153"/>
        <v>0.67239959945968686</v>
      </c>
      <c r="AM690" s="22">
        <f t="shared" si="153"/>
        <v>0.67320246022643382</v>
      </c>
      <c r="AN690" s="22">
        <f t="shared" si="153"/>
        <v>0.67397116368925725</v>
      </c>
      <c r="AO690" s="22">
        <f t="shared" si="153"/>
        <v>0.67470710433640646</v>
      </c>
      <c r="AP690" s="22">
        <f t="shared" si="153"/>
        <v>0.67540696747773998</v>
      </c>
      <c r="AQ690" s="22">
        <f t="shared" si="153"/>
        <v>0.67606073801688993</v>
      </c>
      <c r="AR690" s="22">
        <f t="shared" si="153"/>
        <v>0.67665913518396625</v>
      </c>
      <c r="AS690" s="22">
        <f t="shared" si="153"/>
        <v>0.67720155443002239</v>
      </c>
      <c r="AT690" s="22">
        <f t="shared" si="153"/>
        <v>0.67768384492554279</v>
      </c>
      <c r="AU690" s="22">
        <f t="shared" si="153"/>
        <v>0.67810577406850514</v>
      </c>
      <c r="AV690" s="22">
        <f t="shared" si="153"/>
        <v>0.67847541629579156</v>
      </c>
      <c r="AW690" s="22">
        <f t="shared" si="153"/>
        <v>0.67874475997097328</v>
      </c>
      <c r="AY690" s="79"/>
      <c r="AZ690" s="79"/>
    </row>
    <row r="691" spans="1:52" x14ac:dyDescent="0.25">
      <c r="A691" s="95" t="str">
        <f t="shared" si="149"/>
        <v>NI U&amp;D</v>
      </c>
      <c r="B691" s="95" t="s">
        <v>968</v>
      </c>
      <c r="C691" s="95" t="s">
        <v>1335</v>
      </c>
      <c r="D691" t="s">
        <v>369</v>
      </c>
      <c r="E691" t="s">
        <v>55</v>
      </c>
      <c r="F691" t="s">
        <v>422</v>
      </c>
      <c r="G691" t="s">
        <v>1167</v>
      </c>
      <c r="H691" t="s">
        <v>1247</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0.73708994755228407</v>
      </c>
      <c r="R691" s="22">
        <f t="shared" si="153"/>
        <v>0.74193942345928476</v>
      </c>
      <c r="S691" s="22">
        <f t="shared" si="153"/>
        <v>0.74012019902027282</v>
      </c>
      <c r="T691" s="22">
        <f t="shared" si="153"/>
        <v>0.74139246635166289</v>
      </c>
      <c r="U691" s="22">
        <f t="shared" si="153"/>
        <v>0.74151592530175092</v>
      </c>
      <c r="V691" s="22">
        <f t="shared" si="153"/>
        <v>0.74185535866328745</v>
      </c>
      <c r="W691" s="22">
        <f t="shared" si="153"/>
        <v>0.74335608585495871</v>
      </c>
      <c r="X691" s="22">
        <f t="shared" si="153"/>
        <v>0.74556357164156939</v>
      </c>
      <c r="Y691" s="22">
        <f t="shared" si="153"/>
        <v>0.74764732173100068</v>
      </c>
      <c r="Z691" s="22">
        <f t="shared" si="153"/>
        <v>0.74961713361766258</v>
      </c>
      <c r="AA691" s="22">
        <f t="shared" si="153"/>
        <v>0.75147401556229898</v>
      </c>
      <c r="AB691" s="22">
        <f t="shared" si="153"/>
        <v>0.75325638993383137</v>
      </c>
      <c r="AC691" s="22">
        <f t="shared" si="153"/>
        <v>0.75499099939868619</v>
      </c>
      <c r="AD691" s="22">
        <f t="shared" si="153"/>
        <v>0.75666368217952507</v>
      </c>
      <c r="AE691" s="22">
        <f t="shared" si="153"/>
        <v>0.75829956195489012</v>
      </c>
      <c r="AF691" s="22">
        <f t="shared" si="153"/>
        <v>0.75989544125855291</v>
      </c>
      <c r="AG691" s="22">
        <f t="shared" si="153"/>
        <v>0.76144040021050008</v>
      </c>
      <c r="AH691" s="22">
        <f t="shared" si="153"/>
        <v>0.76294284733285755</v>
      </c>
      <c r="AI691" s="22">
        <f t="shared" si="153"/>
        <v>0.76440585179872644</v>
      </c>
      <c r="AJ691" s="22">
        <f t="shared" si="153"/>
        <v>0.76583583721390103</v>
      </c>
      <c r="AK691" s="22">
        <f t="shared" si="153"/>
        <v>0.76718846615565761</v>
      </c>
      <c r="AL691" s="22">
        <f t="shared" si="153"/>
        <v>0.76846341889719361</v>
      </c>
      <c r="AM691" s="22">
        <f t="shared" si="153"/>
        <v>0.769674739992807</v>
      </c>
      <c r="AN691" s="22">
        <f t="shared" si="153"/>
        <v>0.77081339983246644</v>
      </c>
      <c r="AO691" s="22">
        <f t="shared" si="153"/>
        <v>0.77188278784323794</v>
      </c>
      <c r="AP691" s="22">
        <f t="shared" si="153"/>
        <v>0.77287850467741359</v>
      </c>
      <c r="AQ691" s="22">
        <f t="shared" si="153"/>
        <v>0.77378518098285765</v>
      </c>
      <c r="AR691" s="22">
        <f t="shared" si="153"/>
        <v>0.77458869841791256</v>
      </c>
      <c r="AS691" s="22">
        <f t="shared" si="153"/>
        <v>0.77528911180488913</v>
      </c>
      <c r="AT691" s="22">
        <f t="shared" si="153"/>
        <v>0.77588066613277407</v>
      </c>
      <c r="AU691" s="22">
        <f t="shared" si="153"/>
        <v>0.77636396136599817</v>
      </c>
      <c r="AV691" s="22">
        <f t="shared" si="153"/>
        <v>0.77675301530412866</v>
      </c>
      <c r="AW691" s="22">
        <f t="shared" si="153"/>
        <v>0.77697098593778646</v>
      </c>
      <c r="AY691" s="79"/>
      <c r="AZ691" s="79"/>
    </row>
    <row r="692" spans="1:52" x14ac:dyDescent="0.25">
      <c r="A692" s="95" t="str">
        <f t="shared" si="149"/>
        <v>NI U&amp;D</v>
      </c>
      <c r="B692" s="95" t="s">
        <v>968</v>
      </c>
      <c r="C692" s="95" t="s">
        <v>1335</v>
      </c>
      <c r="D692" t="s">
        <v>369</v>
      </c>
      <c r="E692" t="s">
        <v>55</v>
      </c>
      <c r="F692" t="s">
        <v>422</v>
      </c>
      <c r="G692" t="s">
        <v>1169</v>
      </c>
      <c r="H692" t="s">
        <v>1248</v>
      </c>
      <c r="I692" t="s">
        <v>139</v>
      </c>
      <c r="J692" t="s">
        <v>287</v>
      </c>
      <c r="K692" s="22">
        <f t="shared" si="152"/>
        <v>1.1867254191644501</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1.2198688909683482</v>
      </c>
      <c r="R692" s="22">
        <f t="shared" si="153"/>
        <v>1.2278946750888551</v>
      </c>
      <c r="S692" s="22">
        <f t="shared" si="153"/>
        <v>1.2248838955955119</v>
      </c>
      <c r="T692" s="22">
        <f t="shared" si="153"/>
        <v>1.2269894721858747</v>
      </c>
      <c r="U692" s="22">
        <f t="shared" si="153"/>
        <v>1.2271937942404954</v>
      </c>
      <c r="V692" s="22">
        <f t="shared" si="153"/>
        <v>1.2277555495590562</v>
      </c>
      <c r="W692" s="22">
        <f t="shared" si="153"/>
        <v>1.2302392225775656</v>
      </c>
      <c r="X692" s="22">
        <f t="shared" si="153"/>
        <v>1.2338925667145779</v>
      </c>
      <c r="Y692" s="22">
        <f t="shared" si="153"/>
        <v>1.2373411307861553</v>
      </c>
      <c r="Z692" s="22">
        <f t="shared" si="153"/>
        <v>1.2406011294465342</v>
      </c>
      <c r="AA692" s="22">
        <f t="shared" si="153"/>
        <v>1.2436742313467632</v>
      </c>
      <c r="AB692" s="22">
        <f t="shared" si="153"/>
        <v>1.2466240247269491</v>
      </c>
      <c r="AC692" s="22">
        <f t="shared" si="153"/>
        <v>1.2494947681568149</v>
      </c>
      <c r="AD692" s="22">
        <f t="shared" si="153"/>
        <v>1.2522630241825274</v>
      </c>
      <c r="AE692" s="22">
        <f t="shared" si="153"/>
        <v>1.2549703719817464</v>
      </c>
      <c r="AF692" s="22">
        <f t="shared" si="153"/>
        <v>1.2576115198128128</v>
      </c>
      <c r="AG692" s="22">
        <f t="shared" si="153"/>
        <v>1.2601683954961149</v>
      </c>
      <c r="AH692" s="22">
        <f t="shared" si="153"/>
        <v>1.2626549149649742</v>
      </c>
      <c r="AI692" s="22">
        <f t="shared" si="153"/>
        <v>1.2650761576385281</v>
      </c>
      <c r="AJ692" s="22">
        <f t="shared" si="153"/>
        <v>1.2674427544538867</v>
      </c>
      <c r="AK692" s="22">
        <f t="shared" si="153"/>
        <v>1.2696813278770511</v>
      </c>
      <c r="AL692" s="22">
        <f t="shared" si="153"/>
        <v>1.2717913487666579</v>
      </c>
      <c r="AM692" s="22">
        <f t="shared" si="153"/>
        <v>1.2737960605747884</v>
      </c>
      <c r="AN692" s="22">
        <f t="shared" si="153"/>
        <v>1.2756805194802561</v>
      </c>
      <c r="AO692" s="22">
        <f t="shared" si="153"/>
        <v>1.2774503349160069</v>
      </c>
      <c r="AP692" s="22">
        <f t="shared" si="153"/>
        <v>1.2790982260509465</v>
      </c>
      <c r="AQ692" s="22">
        <f t="shared" si="153"/>
        <v>1.2805987569194814</v>
      </c>
      <c r="AR692" s="22">
        <f t="shared" si="153"/>
        <v>1.2819285619529504</v>
      </c>
      <c r="AS692" s="22">
        <f t="shared" si="153"/>
        <v>1.2830877318811631</v>
      </c>
      <c r="AT692" s="22">
        <f t="shared" si="153"/>
        <v>1.2840667422777918</v>
      </c>
      <c r="AU692" s="22">
        <f t="shared" si="153"/>
        <v>1.2848665860717841</v>
      </c>
      <c r="AV692" s="22">
        <f t="shared" si="153"/>
        <v>1.2855104624366835</v>
      </c>
      <c r="AW692" s="22">
        <f t="shared" si="153"/>
        <v>1.2858711994078322</v>
      </c>
      <c r="AY692" s="79"/>
      <c r="AZ692" s="79"/>
    </row>
    <row r="693" spans="1:52" x14ac:dyDescent="0.25">
      <c r="A693" s="95" t="str">
        <f t="shared" si="149"/>
        <v>NI U&amp;D</v>
      </c>
      <c r="B693" s="95" t="s">
        <v>968</v>
      </c>
      <c r="C693" s="95" t="s">
        <v>1335</v>
      </c>
      <c r="D693" t="s">
        <v>369</v>
      </c>
      <c r="E693" t="s">
        <v>55</v>
      </c>
      <c r="F693" t="s">
        <v>422</v>
      </c>
      <c r="G693" t="s">
        <v>1171</v>
      </c>
      <c r="H693" t="s">
        <v>1249</v>
      </c>
      <c r="I693" t="s">
        <v>139</v>
      </c>
      <c r="J693" t="s">
        <v>287</v>
      </c>
      <c r="K693" s="22">
        <f t="shared" si="152"/>
        <v>0.19147730421375916</v>
      </c>
      <c r="L693" s="22">
        <f t="shared" si="153"/>
        <v>0.19240499933397132</v>
      </c>
      <c r="M693" s="22">
        <f t="shared" si="153"/>
        <v>0.19381280191845884</v>
      </c>
      <c r="N693" s="22">
        <f t="shared" si="153"/>
        <v>0.19411375969056655</v>
      </c>
      <c r="O693" s="22">
        <f t="shared" si="153"/>
        <v>0.19368291106027893</v>
      </c>
      <c r="P693" s="22">
        <f t="shared" si="153"/>
        <v>0.19253602379697463</v>
      </c>
      <c r="Q693" s="22">
        <f t="shared" si="153"/>
        <v>0.19190012409058904</v>
      </c>
      <c r="R693" s="22">
        <f t="shared" si="153"/>
        <v>0.19132863754616411</v>
      </c>
      <c r="S693" s="22">
        <f t="shared" si="153"/>
        <v>0.18266880885015579</v>
      </c>
      <c r="T693" s="22">
        <f t="shared" si="153"/>
        <v>0.18809378134692423</v>
      </c>
      <c r="U693" s="22">
        <f t="shared" si="153"/>
        <v>0.19079942650123977</v>
      </c>
      <c r="V693" s="22">
        <f t="shared" si="153"/>
        <v>0.19120805768125793</v>
      </c>
      <c r="W693" s="22">
        <f t="shared" si="153"/>
        <v>0.191567581973451</v>
      </c>
      <c r="X693" s="22">
        <f t="shared" si="153"/>
        <v>0.19243995083448096</v>
      </c>
      <c r="Y693" s="22">
        <f t="shared" si="153"/>
        <v>0.1939290152815269</v>
      </c>
      <c r="Z693" s="22">
        <f t="shared" si="153"/>
        <v>0.19572566733105584</v>
      </c>
      <c r="AA693" s="22">
        <f t="shared" si="153"/>
        <v>0.19791142753361757</v>
      </c>
      <c r="AB693" s="22">
        <f t="shared" si="153"/>
        <v>0.20073163120248141</v>
      </c>
      <c r="AC693" s="22">
        <f t="shared" si="153"/>
        <v>0.20414944143031946</v>
      </c>
      <c r="AD693" s="22">
        <f t="shared" si="153"/>
        <v>0.2079342142091529</v>
      </c>
      <c r="AE693" s="22">
        <f t="shared" si="153"/>
        <v>0.2120704701686861</v>
      </c>
      <c r="AF693" s="22">
        <f t="shared" si="153"/>
        <v>0.21643036681214611</v>
      </c>
      <c r="AG693" s="22">
        <f t="shared" si="153"/>
        <v>0.22107481526755876</v>
      </c>
      <c r="AH693" s="22">
        <f t="shared" si="153"/>
        <v>0.22594299924319575</v>
      </c>
      <c r="AI693" s="22">
        <f t="shared" si="153"/>
        <v>0.23081287404445633</v>
      </c>
      <c r="AJ693" s="22">
        <f t="shared" si="153"/>
        <v>0.23600481014510816</v>
      </c>
      <c r="AK693" s="22">
        <f t="shared" si="153"/>
        <v>0.24132262653826006</v>
      </c>
      <c r="AL693" s="22">
        <f t="shared" si="153"/>
        <v>0.24675186109010536</v>
      </c>
      <c r="AM693" s="22">
        <f t="shared" si="153"/>
        <v>0.25238913765935056</v>
      </c>
      <c r="AN693" s="22">
        <f t="shared" si="153"/>
        <v>0.25799715238539928</v>
      </c>
      <c r="AO693" s="22">
        <f t="shared" si="153"/>
        <v>0.26391035530015045</v>
      </c>
      <c r="AP693" s="22">
        <f t="shared" si="153"/>
        <v>0.27025468976471112</v>
      </c>
      <c r="AQ693" s="22">
        <f t="shared" si="153"/>
        <v>0.27683409216202315</v>
      </c>
      <c r="AR693" s="22">
        <f t="shared" si="153"/>
        <v>0.28366954305937575</v>
      </c>
      <c r="AS693" s="22">
        <f t="shared" si="153"/>
        <v>0.29099654328717883</v>
      </c>
      <c r="AT693" s="22">
        <f t="shared" si="153"/>
        <v>0.29875152246319292</v>
      </c>
      <c r="AU693" s="22">
        <f t="shared" si="153"/>
        <v>0.30689307002053717</v>
      </c>
      <c r="AV693" s="22">
        <f t="shared" si="153"/>
        <v>0.31557625829716562</v>
      </c>
      <c r="AW693" s="22">
        <f t="shared" si="153"/>
        <v>0.32396777623584005</v>
      </c>
      <c r="AY693" s="79"/>
      <c r="AZ693" s="79"/>
    </row>
    <row r="694" spans="1:52" x14ac:dyDescent="0.25">
      <c r="A694" s="95" t="str">
        <f t="shared" si="149"/>
        <v>NI U&amp;D</v>
      </c>
      <c r="B694" s="95" t="s">
        <v>968</v>
      </c>
      <c r="C694" s="95" t="s">
        <v>1335</v>
      </c>
      <c r="D694" t="s">
        <v>369</v>
      </c>
      <c r="E694" t="s">
        <v>55</v>
      </c>
      <c r="F694" t="s">
        <v>422</v>
      </c>
      <c r="G694" t="s">
        <v>1173</v>
      </c>
      <c r="H694" t="s">
        <v>1250</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5">
      <c r="A695" s="95" t="str">
        <f t="shared" si="149"/>
        <v>NI U&amp;D</v>
      </c>
      <c r="B695" s="95" t="s">
        <v>968</v>
      </c>
      <c r="C695" s="95" t="s">
        <v>1335</v>
      </c>
      <c r="D695" t="s">
        <v>369</v>
      </c>
      <c r="E695" t="s">
        <v>55</v>
      </c>
      <c r="F695" t="s">
        <v>422</v>
      </c>
      <c r="G695" t="s">
        <v>1175</v>
      </c>
      <c r="H695" t="s">
        <v>1251</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5">
      <c r="A696" s="95" t="str">
        <f t="shared" si="149"/>
        <v>NI U&amp;D</v>
      </c>
      <c r="B696" s="95" t="s">
        <v>968</v>
      </c>
      <c r="C696" s="95" t="s">
        <v>1335</v>
      </c>
      <c r="D696" t="s">
        <v>369</v>
      </c>
      <c r="E696" t="s">
        <v>55</v>
      </c>
      <c r="F696" t="s">
        <v>422</v>
      </c>
      <c r="G696" t="s">
        <v>1177</v>
      </c>
      <c r="H696" t="s">
        <v>1252</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5">
      <c r="A697" s="95" t="str">
        <f t="shared" si="149"/>
        <v>NI U&amp;D</v>
      </c>
      <c r="B697" s="95" t="s">
        <v>968</v>
      </c>
      <c r="C697" s="95" t="s">
        <v>1335</v>
      </c>
      <c r="D697" t="s">
        <v>369</v>
      </c>
      <c r="E697" t="s">
        <v>55</v>
      </c>
      <c r="F697" t="s">
        <v>422</v>
      </c>
      <c r="G697" t="s">
        <v>1179</v>
      </c>
      <c r="H697" t="s">
        <v>1253</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5">
      <c r="A698" s="95" t="str">
        <f t="shared" si="149"/>
        <v>NI U&amp;D</v>
      </c>
      <c r="B698" s="95" t="s">
        <v>968</v>
      </c>
      <c r="C698" s="95" t="s">
        <v>1335</v>
      </c>
      <c r="D698" t="s">
        <v>369</v>
      </c>
      <c r="E698" t="s">
        <v>55</v>
      </c>
      <c r="F698" t="s">
        <v>422</v>
      </c>
      <c r="G698" t="s">
        <v>1181</v>
      </c>
      <c r="H698" t="s">
        <v>1254</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5">
      <c r="A699" s="95" t="str">
        <f t="shared" si="149"/>
        <v>NI FSOM</v>
      </c>
      <c r="B699" s="95" t="s">
        <v>968</v>
      </c>
      <c r="C699" s="95" t="s">
        <v>60</v>
      </c>
      <c r="D699" t="s">
        <v>369</v>
      </c>
      <c r="E699" t="s">
        <v>55</v>
      </c>
      <c r="F699" t="s">
        <v>60</v>
      </c>
      <c r="G699" t="s">
        <v>1265</v>
      </c>
      <c r="H699" t="s">
        <v>1266</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5">
      <c r="A700" s="95" t="str">
        <f t="shared" si="149"/>
        <v>NI FSOM</v>
      </c>
      <c r="B700" s="95" t="s">
        <v>968</v>
      </c>
      <c r="C700" s="95" t="s">
        <v>60</v>
      </c>
      <c r="D700" t="s">
        <v>369</v>
      </c>
      <c r="E700" t="s">
        <v>55</v>
      </c>
      <c r="F700" t="s">
        <v>60</v>
      </c>
      <c r="G700" t="s">
        <v>1267</v>
      </c>
      <c r="H700" t="s">
        <v>1268</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5">
      <c r="A701" s="95" t="str">
        <f t="shared" si="149"/>
        <v>NI FSOM</v>
      </c>
      <c r="B701" s="95" t="s">
        <v>968</v>
      </c>
      <c r="C701" s="95" t="s">
        <v>60</v>
      </c>
      <c r="D701" t="s">
        <v>369</v>
      </c>
      <c r="E701" t="s">
        <v>55</v>
      </c>
      <c r="F701" t="s">
        <v>60</v>
      </c>
      <c r="G701" t="s">
        <v>1269</v>
      </c>
      <c r="H701" t="s">
        <v>1270</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5">
      <c r="A702" s="95" t="str">
        <f t="shared" si="149"/>
        <v>NI FSOM</v>
      </c>
      <c r="B702" s="95" t="s">
        <v>968</v>
      </c>
      <c r="C702" s="95" t="s">
        <v>60</v>
      </c>
      <c r="D702" t="s">
        <v>369</v>
      </c>
      <c r="E702" t="s">
        <v>55</v>
      </c>
      <c r="F702" t="s">
        <v>60</v>
      </c>
      <c r="G702" t="s">
        <v>1271</v>
      </c>
      <c r="H702" t="s">
        <v>1272</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5">
      <c r="A703" s="95" t="str">
        <f t="shared" si="149"/>
        <v>NI FSOM</v>
      </c>
      <c r="B703" s="95" t="s">
        <v>968</v>
      </c>
      <c r="C703" s="95" t="s">
        <v>60</v>
      </c>
      <c r="D703" t="s">
        <v>369</v>
      </c>
      <c r="E703" t="s">
        <v>55</v>
      </c>
      <c r="F703" t="s">
        <v>60</v>
      </c>
      <c r="G703" t="s">
        <v>1273</v>
      </c>
      <c r="H703" t="s">
        <v>1274</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5">
      <c r="A704" s="95" t="str">
        <f t="shared" si="149"/>
        <v>NI FSOM</v>
      </c>
      <c r="B704" s="95" t="s">
        <v>968</v>
      </c>
      <c r="C704" s="95" t="s">
        <v>60</v>
      </c>
      <c r="D704" t="s">
        <v>369</v>
      </c>
      <c r="E704" t="s">
        <v>55</v>
      </c>
      <c r="F704" t="s">
        <v>60</v>
      </c>
      <c r="G704" t="s">
        <v>1275</v>
      </c>
      <c r="H704" t="s">
        <v>1276</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5">
      <c r="A705" s="95" t="str">
        <f t="shared" si="149"/>
        <v>NI FSOM</v>
      </c>
      <c r="B705" s="95" t="s">
        <v>968</v>
      </c>
      <c r="C705" s="95" t="s">
        <v>60</v>
      </c>
      <c r="D705" t="s">
        <v>369</v>
      </c>
      <c r="E705" t="s">
        <v>55</v>
      </c>
      <c r="F705" t="s">
        <v>60</v>
      </c>
      <c r="G705" t="s">
        <v>1277</v>
      </c>
      <c r="H705" t="s">
        <v>1278</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5">
      <c r="A706" s="95" t="str">
        <f t="shared" si="149"/>
        <v>NI FSOM</v>
      </c>
      <c r="B706" s="95" t="s">
        <v>968</v>
      </c>
      <c r="C706" s="95" t="s">
        <v>60</v>
      </c>
      <c r="D706" t="s">
        <v>369</v>
      </c>
      <c r="E706" t="s">
        <v>55</v>
      </c>
      <c r="F706" t="s">
        <v>60</v>
      </c>
      <c r="G706" t="s">
        <v>1279</v>
      </c>
      <c r="H706" t="s">
        <v>1280</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5">
      <c r="A707" s="95" t="str">
        <f t="shared" si="149"/>
        <v>NI FSOM</v>
      </c>
      <c r="B707" s="95" t="s">
        <v>968</v>
      </c>
      <c r="C707" s="95" t="s">
        <v>60</v>
      </c>
      <c r="D707" t="s">
        <v>369</v>
      </c>
      <c r="E707" t="s">
        <v>55</v>
      </c>
      <c r="F707" t="s">
        <v>60</v>
      </c>
      <c r="G707" t="s">
        <v>1281</v>
      </c>
      <c r="H707" t="s">
        <v>1282</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5">
      <c r="A708" s="95" t="str">
        <f t="shared" si="149"/>
        <v>NI FSOM</v>
      </c>
      <c r="B708" s="95" t="s">
        <v>968</v>
      </c>
      <c r="C708" s="95" t="s">
        <v>60</v>
      </c>
      <c r="D708" t="s">
        <v>369</v>
      </c>
      <c r="E708" t="s">
        <v>55</v>
      </c>
      <c r="F708" t="s">
        <v>60</v>
      </c>
      <c r="G708" t="s">
        <v>1283</v>
      </c>
      <c r="H708" t="s">
        <v>1284</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5">
      <c r="A709" s="95" t="str">
        <f t="shared" si="149"/>
        <v>NI FSOM</v>
      </c>
      <c r="B709" s="95" t="s">
        <v>968</v>
      </c>
      <c r="C709" s="95" t="s">
        <v>60</v>
      </c>
      <c r="D709" t="s">
        <v>369</v>
      </c>
      <c r="E709" t="s">
        <v>55</v>
      </c>
      <c r="F709" t="s">
        <v>60</v>
      </c>
      <c r="G709" t="s">
        <v>1285</v>
      </c>
      <c r="H709" t="s">
        <v>1286</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5">
      <c r="A710" s="95" t="str">
        <f t="shared" si="149"/>
        <v>NI FSOM</v>
      </c>
      <c r="B710" s="95" t="s">
        <v>968</v>
      </c>
      <c r="C710" s="95" t="s">
        <v>60</v>
      </c>
      <c r="D710" t="s">
        <v>369</v>
      </c>
      <c r="E710" t="s">
        <v>55</v>
      </c>
      <c r="F710" t="s">
        <v>60</v>
      </c>
      <c r="G710" t="s">
        <v>1287</v>
      </c>
      <c r="H710" t="s">
        <v>1288</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5">
      <c r="A711" s="95" t="str">
        <f t="shared" si="149"/>
        <v>NI Volatilisation</v>
      </c>
      <c r="B711" s="95" t="s">
        <v>968</v>
      </c>
      <c r="C711" s="95" t="s">
        <v>62</v>
      </c>
      <c r="D711" t="s">
        <v>369</v>
      </c>
      <c r="E711" t="s">
        <v>61</v>
      </c>
      <c r="F711" t="s">
        <v>62</v>
      </c>
      <c r="G711" t="s">
        <v>435</v>
      </c>
      <c r="H711" t="s">
        <v>1183</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0.66036342435905737</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0.66004971859529549</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0.65987679285209155</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0.65980968039636112</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0.65973729403354264</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0.6596371673513507</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0.65951092743964945</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0.65937292152761395</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0.65921980493186427</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0.65904099002136718</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0.6588390077412124</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0.65862502813307378</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0.65840030111280701</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0.65817083248767305</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0.65793473576190653</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0.65769490947439302</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0.65746015679174796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0.65721839556094175</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0.65697772026100598</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0.65673876647835383</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0.65649818227366441</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0.65626429517048157</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0.65602587146144697</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0.65577947514353263</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0.65553213474499905</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0.65528365550023426</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0.65502749591835585</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0.65476643110027843</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0.65450232737774761</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0.65423151331477958</v>
      </c>
      <c r="AY711" s="79"/>
      <c r="AZ711" s="79"/>
    </row>
    <row r="712" spans="1:52" x14ac:dyDescent="0.25">
      <c r="A712" s="95" t="str">
        <f t="shared" si="149"/>
        <v>NI Volatilisation</v>
      </c>
      <c r="B712" s="95" t="s">
        <v>968</v>
      </c>
      <c r="C712" s="95" t="s">
        <v>62</v>
      </c>
      <c r="D712" t="s">
        <v>369</v>
      </c>
      <c r="E712" t="s">
        <v>61</v>
      </c>
      <c r="F712" t="s">
        <v>62</v>
      </c>
      <c r="G712" t="s">
        <v>436</v>
      </c>
      <c r="H712" t="s">
        <v>1184</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8.7167972015395577E-3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8.7126562854578996E-3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8.7103736656476104E-3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8.7094877812319699E-3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8.7085322812427632E-3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8.7072106090378288E-3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8.7055442422033745E-3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8.7037225641645056E-3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8.7017014251006084E-3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8.699341068282046E-3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8.6966749021840043E-3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8.6938503713565752E-3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8.6908839746890534E-3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8.687854988837283E-3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8.6847385120571701E-3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8.6815728050619895E-3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8.6784740696510734E-3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8.6752828214044318E-3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8.672105907445278E-3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8.6689517175142713E-3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8.6657760060123695E-3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8.6626886962503594E-3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8.6595415032911013E-3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8.6562890718946302E-3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8.65302417863399E-3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8.6497442526030921E-3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8.6463629461222963E-3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8.6429168905236796E-3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8.6394307213862702E-3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8.6358559757550891E-3</v>
      </c>
      <c r="AY712" s="79"/>
      <c r="AZ712" s="79"/>
    </row>
    <row r="713" spans="1:52" x14ac:dyDescent="0.25">
      <c r="A713" s="95" t="str">
        <f t="shared" si="149"/>
        <v>NI Volatilisation</v>
      </c>
      <c r="B713" s="95" t="s">
        <v>968</v>
      </c>
      <c r="C713" s="95" t="s">
        <v>62</v>
      </c>
      <c r="D713" t="s">
        <v>369</v>
      </c>
      <c r="E713" t="s">
        <v>61</v>
      </c>
      <c r="F713" t="s">
        <v>62</v>
      </c>
      <c r="G713" t="s">
        <v>437</v>
      </c>
      <c r="H713" t="s">
        <v>1185</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1.2008407282256133</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1.2019035107607592</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1.2055442230548152</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1.1958435838326273</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1.0635026929062164</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1.1127914653577025</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1.1339456607288676</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1.1334093263464944</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1.1341671660422112</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1.1408235439735572</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1.1530569851412431</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1.1679322279348805</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1.1861792833479095</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1.2100969940218784</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1.2393194864291859</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1.2672278032377093</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1.2977962214580763</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1.329788063562543</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1.3636827815165269</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1.3988919386644247</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1.4334139363721508</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1.4700649477851668</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1.5069886120645011</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1.5440287360100955</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1.5820093604594603</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1.6219033183214897</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1.6636708318066389</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1.7082959626143681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1.7540375132373072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1.8009857640186506</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1.8510064312178449</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1.9034681141674186</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1.9579460640600546</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2.0156248390942006</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2.0696024098416643</v>
      </c>
      <c r="AY713" s="79"/>
      <c r="AZ713" s="79"/>
    </row>
    <row r="714" spans="1:52" x14ac:dyDescent="0.25">
      <c r="A714" s="95" t="str">
        <f t="shared" si="149"/>
        <v>NI Volatilisation</v>
      </c>
      <c r="B714" s="95" t="s">
        <v>968</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4.3975799639737021</v>
      </c>
      <c r="L714" s="22">
        <f t="shared" ref="L714:AW714" si="160">L1513</f>
        <v>4.3787767883653972</v>
      </c>
      <c r="M714" s="22">
        <f t="shared" si="160"/>
        <v>4.3752716537638934</v>
      </c>
      <c r="N714" s="22">
        <f t="shared" si="160"/>
        <v>4.3473821211305586</v>
      </c>
      <c r="O714" s="22">
        <f t="shared" si="160"/>
        <v>4.3052096453824591</v>
      </c>
      <c r="P714" s="22">
        <f t="shared" si="160"/>
        <v>4.2496956169043703</v>
      </c>
      <c r="Q714" s="22">
        <f t="shared" si="160"/>
        <v>4.2083609134426787</v>
      </c>
      <c r="R714" s="22">
        <f t="shared" si="160"/>
        <v>4.1703852155628214</v>
      </c>
      <c r="S714" s="22">
        <f t="shared" si="160"/>
        <v>3.920518553769567</v>
      </c>
      <c r="T714" s="22">
        <f t="shared" si="160"/>
        <v>4.022224403214822</v>
      </c>
      <c r="U714" s="22">
        <f t="shared" si="160"/>
        <v>4.0573246422564955</v>
      </c>
      <c r="V714" s="22">
        <f t="shared" si="160"/>
        <v>4.0437027667632135</v>
      </c>
      <c r="W714" s="22">
        <f t="shared" si="160"/>
        <v>4.0349744796970102</v>
      </c>
      <c r="X714" s="22">
        <f t="shared" si="160"/>
        <v>4.0404911436640738</v>
      </c>
      <c r="Y714" s="22">
        <f t="shared" si="160"/>
        <v>4.0578866533033189</v>
      </c>
      <c r="Z714" s="22">
        <f t="shared" si="160"/>
        <v>4.0805365209798321</v>
      </c>
      <c r="AA714" s="22">
        <f t="shared" si="160"/>
        <v>4.109915060040195</v>
      </c>
      <c r="AB714" s="22">
        <f t="shared" si="160"/>
        <v>4.1509048491402085</v>
      </c>
      <c r="AC714" s="22">
        <f t="shared" si="160"/>
        <v>4.202533390484211</v>
      </c>
      <c r="AD714" s="22">
        <f t="shared" si="160"/>
        <v>4.2406560670580085</v>
      </c>
      <c r="AE714" s="22">
        <f t="shared" si="160"/>
        <v>4.2827934559696441</v>
      </c>
      <c r="AF714" s="22">
        <f t="shared" si="160"/>
        <v>4.3261652521730651</v>
      </c>
      <c r="AG714" s="22">
        <f t="shared" si="160"/>
        <v>4.3716097132066274</v>
      </c>
      <c r="AH714" s="22">
        <f t="shared" si="160"/>
        <v>4.417783804127744</v>
      </c>
      <c r="AI714" s="22">
        <f t="shared" si="160"/>
        <v>4.46055260064648</v>
      </c>
      <c r="AJ714" s="22">
        <f t="shared" si="160"/>
        <v>4.5055232078089906</v>
      </c>
      <c r="AK714" s="22">
        <f t="shared" si="160"/>
        <v>4.5487963787371326</v>
      </c>
      <c r="AL714" s="22">
        <f t="shared" si="160"/>
        <v>4.5900121260194853</v>
      </c>
      <c r="AM714" s="22">
        <f t="shared" si="160"/>
        <v>4.6307205405262888</v>
      </c>
      <c r="AN714" s="22">
        <f t="shared" si="160"/>
        <v>4.6802451384074173</v>
      </c>
      <c r="AO714" s="22">
        <f t="shared" si="160"/>
        <v>4.7313734673669652</v>
      </c>
      <c r="AP714" s="22">
        <f t="shared" si="160"/>
        <v>4.7857847377648062</v>
      </c>
      <c r="AQ714" s="22">
        <f t="shared" si="160"/>
        <v>4.8400720712169321</v>
      </c>
      <c r="AR714" s="22">
        <f t="shared" si="160"/>
        <v>4.8942825787604232</v>
      </c>
      <c r="AS714" s="22">
        <f t="shared" si="160"/>
        <v>4.9516552239356777</v>
      </c>
      <c r="AT714" s="22">
        <f t="shared" si="160"/>
        <v>5.010848202184258</v>
      </c>
      <c r="AU714" s="22">
        <f t="shared" si="160"/>
        <v>5.070940832499133</v>
      </c>
      <c r="AV714" s="22">
        <f t="shared" si="160"/>
        <v>5.1338473778737468</v>
      </c>
      <c r="AW714" s="22">
        <f t="shared" si="160"/>
        <v>5.1874285866281769</v>
      </c>
      <c r="AY714" s="79"/>
      <c r="AZ714" s="79"/>
    </row>
    <row r="715" spans="1:52" x14ac:dyDescent="0.25">
      <c r="A715" s="95" t="str">
        <f t="shared" si="149"/>
        <v>NI Leaching</v>
      </c>
      <c r="B715" s="95" t="s">
        <v>968</v>
      </c>
      <c r="C715" s="95" t="s">
        <v>1189</v>
      </c>
      <c r="D715" t="s">
        <v>369</v>
      </c>
      <c r="E715" t="s">
        <v>61</v>
      </c>
      <c r="F715" t="s">
        <v>63</v>
      </c>
      <c r="G715" t="s">
        <v>435</v>
      </c>
      <c r="H715" t="s">
        <v>1186</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2.2782538140387479E-4</v>
      </c>
      <c r="U715" s="94">
        <f>IF('Net zero activities &amp; levers'!$C$9="Off",'Activity data'!AN47*FracLEACH*MSLeachEF*NtoN2O*kgtoGg,IF('Net zero activities &amp; levers'!$C$9="On",(('Net zero supporting data'!L157*FracLEACH*'Net zero supporting data'!L185)+('Net zero supporting data'!L169*FracLEACH*MSLeachEF))*NtoN2O*kgtoGg,"ERROR"))</f>
        <v>2.2771715291537687E-4</v>
      </c>
      <c r="V715" s="94">
        <f>IF('Net zero activities &amp; levers'!$C$9="Off",'Activity data'!AO47*FracLEACH*MSLeachEF*NtoN2O*kgtoGg,IF('Net zero activities &amp; levers'!$C$9="On",(('Net zero supporting data'!M157*FracLEACH*'Net zero supporting data'!M185)+('Net zero supporting data'!M169*FracLEACH*MSLeachEF))*NtoN2O*kgtoGg,"ERROR"))</f>
        <v>2.2765749353397156E-4</v>
      </c>
      <c r="W715" s="94">
        <f>IF('Net zero activities &amp; levers'!$C$9="Off",'Activity data'!AP47*FracLEACH*MSLeachEF*NtoN2O*kgtoGg,IF('Net zero activities &amp; levers'!$C$9="On",(('Net zero supporting data'!N157*FracLEACH*'Net zero supporting data'!N185)+('Net zero supporting data'!N169*FracLEACH*MSLeachEF))*NtoN2O*kgtoGg,"ERROR"))</f>
        <v>2.2763433973674462E-4</v>
      </c>
      <c r="X715" s="94">
        <f>IF('Net zero activities &amp; levers'!$C$9="Off",'Activity data'!AQ47*FracLEACH*MSLeachEF*NtoN2O*kgtoGg,IF('Net zero activities &amp; levers'!$C$9="On",(('Net zero supporting data'!O157*FracLEACH*'Net zero supporting data'!O185)+('Net zero supporting data'!O169*FracLEACH*MSLeachEF))*NtoN2O*kgtoGg,"ERROR"))</f>
        <v>2.2760936644157216E-4</v>
      </c>
      <c r="Y715" s="94">
        <f>IF('Net zero activities &amp; levers'!$C$9="Off",'Activity data'!AR47*FracLEACH*MSLeachEF*NtoN2O*kgtoGg,IF('Net zero activities &amp; levers'!$C$9="On",(('Net zero supporting data'!P157*FracLEACH*'Net zero supporting data'!P185)+('Net zero supporting data'!P169*FracLEACH*MSLeachEF))*NtoN2O*kgtoGg,"ERROR"))</f>
        <v>2.2757482273621599E-4</v>
      </c>
      <c r="Z715" s="94">
        <f>IF('Net zero activities &amp; levers'!$C$9="Off",'Activity data'!AS47*FracLEACH*MSLeachEF*NtoN2O*kgtoGg,IF('Net zero activities &amp; levers'!$C$9="On",(('Net zero supporting data'!Q157*FracLEACH*'Net zero supporting data'!Q185)+('Net zero supporting data'!Q169*FracLEACH*MSLeachEF))*NtoN2O*kgtoGg,"ERROR"))</f>
        <v>2.27531269966679E-4</v>
      </c>
      <c r="AA715" s="94">
        <f>IF('Net zero activities &amp; levers'!$C$9="Off",'Activity data'!AT47*FracLEACH*MSLeachEF*NtoN2O*kgtoGg,IF('Net zero activities &amp; levers'!$C$9="On",(('Net zero supporting data'!R157*FracLEACH*'Net zero supporting data'!R185)+('Net zero supporting data'!R169*FracLEACH*MSLeachEF))*NtoN2O*kgtoGg,"ERROR"))</f>
        <v>2.2748365792702683E-4</v>
      </c>
      <c r="AB715" s="94">
        <f>IF('Net zero activities &amp; levers'!$C$9="Off",'Activity data'!AU47*FracLEACH*MSLeachEF*NtoN2O*kgtoGg,IF('Net zero activities &amp; levers'!$C$9="On",(('Net zero supporting data'!S157*FracLEACH*'Net zero supporting data'!S185)+('Net zero supporting data'!S169*FracLEACH*MSLeachEF))*NtoN2O*kgtoGg,"ERROR"))</f>
        <v>2.2743083270149308E-4</v>
      </c>
      <c r="AC715" s="94">
        <f>IF('Net zero activities &amp; levers'!$C$9="Off",'Activity data'!AV47*FracLEACH*MSLeachEF*NtoN2O*kgtoGg,IF('Net zero activities &amp; levers'!$C$9="On",(('Net zero supporting data'!T157*FracLEACH*'Net zero supporting data'!T185)+('Net zero supporting data'!T169*FracLEACH*MSLeachEF))*NtoN2O*kgtoGg,"ERROR"))</f>
        <v>2.2736914155737162E-4</v>
      </c>
      <c r="AD715" s="94">
        <f>IF('Net zero activities &amp; levers'!$C$9="Off",'Activity data'!AW47*FracLEACH*MSLeachEF*NtoN2O*kgtoGg,IF('Net zero activities &amp; levers'!$C$9="On",(('Net zero supporting data'!U157*FracLEACH*'Net zero supporting data'!U185)+('Net zero supporting data'!U169*FracLEACH*MSLeachEF))*NtoN2O*kgtoGg,"ERROR"))</f>
        <v>2.272994576707182E-4</v>
      </c>
      <c r="AE715" s="94">
        <f>IF('Net zero activities &amp; levers'!$C$9="Off",'Activity data'!AX47*FracLEACH*MSLeachEF*NtoN2O*kgtoGg,IF('Net zero activities &amp; levers'!$C$9="On",(('Net zero supporting data'!V157*FracLEACH*'Net zero supporting data'!V185)+('Net zero supporting data'!V169*FracLEACH*MSLeachEF))*NtoN2O*kgtoGg,"ERROR"))</f>
        <v>2.2722563470591042E-4</v>
      </c>
      <c r="AF715" s="94">
        <f>IF('Net zero activities &amp; levers'!$C$9="Off",'Activity data'!AY47*FracLEACH*MSLeachEF*NtoN2O*kgtoGg,IF('Net zero activities &amp; levers'!$C$9="On",(('Net zero supporting data'!W157*FracLEACH*'Net zero supporting data'!W185)+('Net zero supporting data'!W169*FracLEACH*MSLeachEF))*NtoN2O*kgtoGg,"ERROR"))</f>
        <v>2.2714810388391836E-4</v>
      </c>
      <c r="AG715" s="94">
        <f>IF('Net zero activities &amp; levers'!$C$9="Off",'Activity data'!AZ47*FracLEACH*MSLeachEF*NtoN2O*kgtoGg,IF('Net zero activities &amp; levers'!$C$9="On",(('Net zero supporting data'!X157*FracLEACH*'Net zero supporting data'!X185)+('Net zero supporting data'!X169*FracLEACH*MSLeachEF))*NtoN2O*kgtoGg,"ERROR"))</f>
        <v>2.2706893720824713E-4</v>
      </c>
      <c r="AH715" s="94">
        <f>IF('Net zero activities &amp; levers'!$C$9="Off",'Activity data'!BA47*FracLEACH*MSLeachEF*NtoN2O*kgtoGg,IF('Net zero activities &amp; levers'!$C$9="On",(('Net zero supporting data'!Y157*FracLEACH*'Net zero supporting data'!Y185)+('Net zero supporting data'!Y169*FracLEACH*MSLeachEF))*NtoN2O*kgtoGg,"ERROR"))</f>
        <v>2.2698748383785777E-4</v>
      </c>
      <c r="AI715" s="94">
        <f>IF('Net zero activities &amp; levers'!$C$9="Off",'Activity data'!BB47*FracLEACH*MSLeachEF*NtoN2O*kgtoGg,IF('Net zero activities &amp; levers'!$C$9="On",(('Net zero supporting data'!Z157*FracLEACH*'Net zero supporting data'!Z185)+('Net zero supporting data'!Z169*FracLEACH*MSLeachEF))*NtoN2O*kgtoGg,"ERROR"))</f>
        <v>2.2690474376866552E-4</v>
      </c>
      <c r="AJ715" s="94">
        <f>IF('Net zero activities &amp; levers'!$C$9="Off",'Activity data'!BC47*FracLEACH*MSLeachEF*NtoN2O*kgtoGg,IF('Net zero activities &amp; levers'!$C$9="On",(('Net zero supporting data'!AA157*FracLEACH*'Net zero supporting data'!AA185)+('Net zero supporting data'!AA169*FracLEACH*MSLeachEF))*NtoN2O*kgtoGg,"ERROR"))</f>
        <v>2.2682375409315307E-4</v>
      </c>
      <c r="AK715" s="94">
        <f>IF('Net zero activities &amp; levers'!$C$9="Off",'Activity data'!BD47*FracLEACH*MSLeachEF*NtoN2O*kgtoGg,IF('Net zero activities &amp; levers'!$C$9="On",(('Net zero supporting data'!AB157*FracLEACH*'Net zero supporting data'!AB185)+('Net zero supporting data'!AB169*FracLEACH*MSLeachEF))*NtoN2O*kgtoGg,"ERROR"))</f>
        <v>2.2674034646852486E-4</v>
      </c>
      <c r="AL715" s="94">
        <f>IF('Net zero activities &amp; levers'!$C$9="Off",'Activity data'!BE47*FracLEACH*MSLeachEF*NtoN2O*kgtoGg,IF('Net zero activities &amp; levers'!$C$9="On",(('Net zero supporting data'!AC157*FracLEACH*'Net zero supporting data'!AC185)+('Net zero supporting data'!AC169*FracLEACH*MSLeachEF))*NtoN2O*kgtoGg,"ERROR"))</f>
        <v>2.26657313490047E-4</v>
      </c>
      <c r="AM715" s="94">
        <f>IF('Net zero activities &amp; levers'!$C$9="Off",'Activity data'!BF47*FracLEACH*MSLeachEF*NtoN2O*kgtoGg,IF('Net zero activities &amp; levers'!$C$9="On",(('Net zero supporting data'!AD157*FracLEACH*'Net zero supporting data'!AD185)+('Net zero supporting data'!AD169*FracLEACH*MSLeachEF))*NtoN2O*kgtoGg,"ERROR"))</f>
        <v>2.2657487443503212E-4</v>
      </c>
      <c r="AN715" s="94">
        <f>IF('Net zero activities &amp; levers'!$C$9="Off",'Activity data'!BG47*FracLEACH*MSLeachEF*NtoN2O*kgtoGg,IF('Net zero activities &amp; levers'!$C$9="On",(('Net zero supporting data'!AE157*FracLEACH*'Net zero supporting data'!AE185)+('Net zero supporting data'!AE169*FracLEACH*MSLeachEF))*NtoN2O*kgtoGg,"ERROR"))</f>
        <v>2.2649187288441419E-4</v>
      </c>
      <c r="AO715" s="94">
        <f>IF('Net zero activities &amp; levers'!$C$9="Off",'Activity data'!BH47*FracLEACH*MSLeachEF*NtoN2O*kgtoGg,IF('Net zero activities &amp; levers'!$C$9="On",(('Net zero supporting data'!AF157*FracLEACH*'Net zero supporting data'!AF185)+('Net zero supporting data'!AF169*FracLEACH*MSLeachEF))*NtoN2O*kgtoGg,"ERROR"))</f>
        <v>2.2641118183381611E-4</v>
      </c>
      <c r="AP715" s="94">
        <f>IF('Net zero activities &amp; levers'!$C$9="Off",'Activity data'!BI47*FracLEACH*MSLeachEF*NtoN2O*kgtoGg,IF('Net zero activities &amp; levers'!$C$9="On",(('Net zero supporting data'!AG157*FracLEACH*'Net zero supporting data'!AG185)+('Net zero supporting data'!AG169*FracLEACH*MSLeachEF))*NtoN2O*kgtoGg,"ERROR"))</f>
        <v>2.2632892565419918E-4</v>
      </c>
      <c r="AQ715" s="94">
        <f>IF('Net zero activities &amp; levers'!$C$9="Off",'Activity data'!BJ47*FracLEACH*MSLeachEF*NtoN2O*kgtoGg,IF('Net zero activities &amp; levers'!$C$9="On",(('Net zero supporting data'!AH157*FracLEACH*'Net zero supporting data'!AH185)+('Net zero supporting data'!AH169*FracLEACH*MSLeachEF))*NtoN2O*kgtoGg,"ERROR"))</f>
        <v>2.2624391892451869E-4</v>
      </c>
      <c r="AR715" s="94">
        <f>IF('Net zero activities &amp; levers'!$C$9="Off",'Activity data'!BK47*FracLEACH*MSLeachEF*NtoN2O*kgtoGg,IF('Net zero activities &amp; levers'!$C$9="On",(('Net zero supporting data'!AI157*FracLEACH*'Net zero supporting data'!AI185)+('Net zero supporting data'!AI169*FracLEACH*MSLeachEF))*NtoN2O*kgtoGg,"ERROR"))</f>
        <v>2.2615858648702465E-4</v>
      </c>
      <c r="AS715" s="94">
        <f>IF('Net zero activities &amp; levers'!$C$9="Off",'Activity data'!BL47*FracLEACH*MSLeachEF*NtoN2O*kgtoGg,IF('Net zero activities &amp; levers'!$C$9="On",(('Net zero supporting data'!AJ157*FracLEACH*'Net zero supporting data'!AJ185)+('Net zero supporting data'!AJ169*FracLEACH*MSLeachEF))*NtoN2O*kgtoGg,"ERROR"))</f>
        <v>2.2607286114758075E-4</v>
      </c>
      <c r="AT715" s="94">
        <f>IF('Net zero activities &amp; levers'!$C$9="Off",'Activity data'!BM47*FracLEACH*MSLeachEF*NtoN2O*kgtoGg,IF('Net zero activities &amp; levers'!$C$9="On",(('Net zero supporting data'!AK157*FracLEACH*'Net zero supporting data'!AK185)+('Net zero supporting data'!AK169*FracLEACH*MSLeachEF))*NtoN2O*kgtoGg,"ERROR"))</f>
        <v>2.2598448609183276E-4</v>
      </c>
      <c r="AU715" s="94">
        <f>IF('Net zero activities &amp; levers'!$C$9="Off",'Activity data'!BN47*FracLEACH*MSLeachEF*NtoN2O*kgtoGg,IF('Net zero activities &amp; levers'!$C$9="On",(('Net zero supporting data'!AL157*FracLEACH*'Net zero supporting data'!AL185)+('Net zero supporting data'!AL169*FracLEACH*MSLeachEF))*NtoN2O*kgtoGg,"ERROR"))</f>
        <v>2.2589441872959606E-4</v>
      </c>
      <c r="AV715" s="94">
        <f>IF('Net zero activities &amp; levers'!$C$9="Off",'Activity data'!BO47*FracLEACH*MSLeachEF*NtoN2O*kgtoGg,IF('Net zero activities &amp; levers'!$C$9="On",(('Net zero supporting data'!AM157*FracLEACH*'Net zero supporting data'!AM185)+('Net zero supporting data'!AM169*FracLEACH*MSLeachEF))*NtoN2O*kgtoGg,"ERROR"))</f>
        <v>2.2580330294532294E-4</v>
      </c>
      <c r="AW715" s="94">
        <f>IF('Net zero activities &amp; levers'!$C$9="Off",'Activity data'!BP47*FracLEACH*MSLeachEF*NtoN2O*kgtoGg,IF('Net zero activities &amp; levers'!$C$9="On",(('Net zero supporting data'!AN157*FracLEACH*'Net zero supporting data'!AN185)+('Net zero supporting data'!AN169*FracLEACH*MSLeachEF))*NtoN2O*kgtoGg,"ERROR"))</f>
        <v>2.2570987209359888E-4</v>
      </c>
      <c r="AY715" s="79"/>
      <c r="AZ715" s="79"/>
    </row>
    <row r="716" spans="1:52" x14ac:dyDescent="0.25">
      <c r="A716" s="95" t="str">
        <f t="shared" si="149"/>
        <v>NI Leaching</v>
      </c>
      <c r="B716" s="95" t="s">
        <v>968</v>
      </c>
      <c r="C716" s="95" t="s">
        <v>1189</v>
      </c>
      <c r="D716" t="s">
        <v>369</v>
      </c>
      <c r="E716" t="s">
        <v>61</v>
      </c>
      <c r="F716" t="s">
        <v>63</v>
      </c>
      <c r="G716" t="s">
        <v>436</v>
      </c>
      <c r="H716" t="s">
        <v>1187</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1.5036475172655738E-6</v>
      </c>
      <c r="U716" s="94">
        <f>IF('Net zero activities &amp; levers'!$C$9="Off",'Activity data'!AN48*FracLEACH*MSLeachEF*NtoN2O*kgtoGg,IF('Net zero activities &amp; levers'!$C$9="On",(('Net zero supporting data'!L158*FracLEACH*'Net zero supporting data'!L185)+('Net zero supporting data'!L170*FracLEACH*MSLeachEF))*NtoN2O*kgtoGg,"ERROR"))</f>
        <v>1.5029332092414877E-6</v>
      </c>
      <c r="V716" s="94">
        <f>IF('Net zero activities &amp; levers'!$C$9="Off",'Activity data'!AO48*FracLEACH*MSLeachEF*NtoN2O*kgtoGg,IF('Net zero activities &amp; levers'!$C$9="On",(('Net zero supporting data'!M158*FracLEACH*'Net zero supporting data'!M185)+('Net zero supporting data'!M170*FracLEACH*MSLeachEF))*NtoN2O*kgtoGg,"ERROR"))</f>
        <v>1.5025394573242125E-6</v>
      </c>
      <c r="W716" s="94">
        <f>IF('Net zero activities &amp; levers'!$C$9="Off",'Activity data'!AP48*FracLEACH*MSLeachEF*NtoN2O*kgtoGg,IF('Net zero activities &amp; levers'!$C$9="On",(('Net zero supporting data'!N158*FracLEACH*'Net zero supporting data'!N185)+('Net zero supporting data'!N170*FracLEACH*MSLeachEF))*NtoN2O*kgtoGg,"ERROR"))</f>
        <v>1.5023866422625144E-6</v>
      </c>
      <c r="X716" s="94">
        <f>IF('Net zero activities &amp; levers'!$C$9="Off",'Activity data'!AQ48*FracLEACH*MSLeachEF*NtoN2O*kgtoGg,IF('Net zero activities &amp; levers'!$C$9="On",(('Net zero supporting data'!O158*FracLEACH*'Net zero supporting data'!O185)+('Net zero supporting data'!O170*FracLEACH*MSLeachEF))*NtoN2O*kgtoGg,"ERROR"))</f>
        <v>1.5022218185143764E-6</v>
      </c>
      <c r="Y716" s="94">
        <f>IF('Net zero activities &amp; levers'!$C$9="Off",'Activity data'!AR48*FracLEACH*MSLeachEF*NtoN2O*kgtoGg,IF('Net zero activities &amp; levers'!$C$9="On",(('Net zero supporting data'!P158*FracLEACH*'Net zero supporting data'!P185)+('Net zero supporting data'!P170*FracLEACH*MSLeachEF))*NtoN2O*kgtoGg,"ERROR"))</f>
        <v>1.5019938300590255E-6</v>
      </c>
      <c r="Z716" s="94">
        <f>IF('Net zero activities &amp; levers'!$C$9="Off",'Activity data'!AS48*FracLEACH*MSLeachEF*NtoN2O*kgtoGg,IF('Net zero activities &amp; levers'!$C$9="On",(('Net zero supporting data'!Q158*FracLEACH*'Net zero supporting data'!Q185)+('Net zero supporting data'!Q170*FracLEACH*MSLeachEF))*NtoN2O*kgtoGg,"ERROR"))</f>
        <v>1.5017063817800821E-6</v>
      </c>
      <c r="AA716" s="94">
        <f>IF('Net zero activities &amp; levers'!$C$9="Off",'Activity data'!AT48*FracLEACH*MSLeachEF*NtoN2O*kgtoGg,IF('Net zero activities &amp; levers'!$C$9="On",(('Net zero supporting data'!R158*FracLEACH*'Net zero supporting data'!R185)+('Net zero supporting data'!R170*FracLEACH*MSLeachEF))*NtoN2O*kgtoGg,"ERROR"))</f>
        <v>1.5013921423183768E-6</v>
      </c>
      <c r="AB716" s="94">
        <f>IF('Net zero activities &amp; levers'!$C$9="Off",'Activity data'!AU48*FracLEACH*MSLeachEF*NtoN2O*kgtoGg,IF('Net zero activities &amp; levers'!$C$9="On",(('Net zero supporting data'!S158*FracLEACH*'Net zero supporting data'!S185)+('Net zero supporting data'!S170*FracLEACH*MSLeachEF))*NtoN2O*kgtoGg,"ERROR"))</f>
        <v>1.5010434958298549E-6</v>
      </c>
      <c r="AC716" s="94">
        <f>IF('Net zero activities &amp; levers'!$C$9="Off",'Activity data'!AV48*FracLEACH*MSLeachEF*NtoN2O*kgtoGg,IF('Net zero activities &amp; levers'!$C$9="On",(('Net zero supporting data'!T158*FracLEACH*'Net zero supporting data'!T185)+('Net zero supporting data'!T170*FracLEACH*MSLeachEF))*NtoN2O*kgtoGg,"ERROR"))</f>
        <v>1.5006363342786528E-6</v>
      </c>
      <c r="AD716" s="94">
        <f>IF('Net zero activities &amp; levers'!$C$9="Off",'Activity data'!AW48*FracLEACH*MSLeachEF*NtoN2O*kgtoGg,IF('Net zero activities &amp; levers'!$C$9="On",(('Net zero supporting data'!U158*FracLEACH*'Net zero supporting data'!U185)+('Net zero supporting data'!U170*FracLEACH*MSLeachEF))*NtoN2O*kgtoGg,"ERROR"))</f>
        <v>1.5001764206267405E-6</v>
      </c>
      <c r="AE716" s="94">
        <f>IF('Net zero activities &amp; levers'!$C$9="Off",'Activity data'!AX48*FracLEACH*MSLeachEF*NtoN2O*kgtoGg,IF('Net zero activities &amp; levers'!$C$9="On",(('Net zero supporting data'!V158*FracLEACH*'Net zero supporting data'!V185)+('Net zero supporting data'!V170*FracLEACH*MSLeachEF))*NtoN2O*kgtoGg,"ERROR"))</f>
        <v>1.4996891890590088E-6</v>
      </c>
      <c r="AF716" s="94">
        <f>IF('Net zero activities &amp; levers'!$C$9="Off",'Activity data'!AY48*FracLEACH*MSLeachEF*NtoN2O*kgtoGg,IF('Net zero activities &amp; levers'!$C$9="On",(('Net zero supporting data'!W158*FracLEACH*'Net zero supporting data'!W185)+('Net zero supporting data'!W170*FracLEACH*MSLeachEF))*NtoN2O*kgtoGg,"ERROR"))</f>
        <v>1.4991774856338616E-6</v>
      </c>
      <c r="AG716" s="94">
        <f>IF('Net zero activities &amp; levers'!$C$9="Off",'Activity data'!AZ48*FracLEACH*MSLeachEF*NtoN2O*kgtoGg,IF('Net zero activities &amp; levers'!$C$9="On",(('Net zero supporting data'!X158*FracLEACH*'Net zero supporting data'!X185)+('Net zero supporting data'!X170*FracLEACH*MSLeachEF))*NtoN2O*kgtoGg,"ERROR"))</f>
        <v>1.4986549855744315E-6</v>
      </c>
      <c r="AH716" s="94">
        <f>IF('Net zero activities &amp; levers'!$C$9="Off",'Activity data'!BA48*FracLEACH*MSLeachEF*NtoN2O*kgtoGg,IF('Net zero activities &amp; levers'!$C$9="On",(('Net zero supporting data'!Y158*FracLEACH*'Net zero supporting data'!Y185)+('Net zero supporting data'!Y170*FracLEACH*MSLeachEF))*NtoN2O*kgtoGg,"ERROR"))</f>
        <v>1.4981173933298619E-6</v>
      </c>
      <c r="AI716" s="94">
        <f>IF('Net zero activities &amp; levers'!$C$9="Off",'Activity data'!BB48*FracLEACH*MSLeachEF*NtoN2O*kgtoGg,IF('Net zero activities &amp; levers'!$C$9="On",(('Net zero supporting data'!Z158*FracLEACH*'Net zero supporting data'!Z185)+('Net zero supporting data'!Z170*FracLEACH*MSLeachEF))*NtoN2O*kgtoGg,"ERROR"))</f>
        <v>1.4975713088731927E-6</v>
      </c>
      <c r="AJ716" s="94">
        <f>IF('Net zero activities &amp; levers'!$C$9="Off",'Activity data'!BC48*FracLEACH*MSLeachEF*NtoN2O*kgtoGg,IF('Net zero activities &amp; levers'!$C$9="On",(('Net zero supporting data'!AA158*FracLEACH*'Net zero supporting data'!AA185)+('Net zero supporting data'!AA170*FracLEACH*MSLeachEF))*NtoN2O*kgtoGg,"ERROR"))</f>
        <v>1.4970367770148105E-6</v>
      </c>
      <c r="AK716" s="94">
        <f>IF('Net zero activities &amp; levers'!$C$9="Off",'Activity data'!BD48*FracLEACH*MSLeachEF*NtoN2O*kgtoGg,IF('Net zero activities &amp; levers'!$C$9="On",(('Net zero supporting data'!AB158*FracLEACH*'Net zero supporting data'!AB185)+('Net zero supporting data'!AB170*FracLEACH*MSLeachEF))*NtoN2O*kgtoGg,"ERROR"))</f>
        <v>1.4964862866922644E-6</v>
      </c>
      <c r="AL716" s="94">
        <f>IF('Net zero activities &amp; levers'!$C$9="Off",'Activity data'!BE48*FracLEACH*MSLeachEF*NtoN2O*kgtoGg,IF('Net zero activities &amp; levers'!$C$9="On",(('Net zero supporting data'!AC158*FracLEACH*'Net zero supporting data'!AC185)+('Net zero supporting data'!AC170*FracLEACH*MSLeachEF))*NtoN2O*kgtoGg,"ERROR"))</f>
        <v>1.4959382690343105E-6</v>
      </c>
      <c r="AM716" s="94">
        <f>IF('Net zero activities &amp; levers'!$C$9="Off",'Activity data'!BF48*FracLEACH*MSLeachEF*NtoN2O*kgtoGg,IF('Net zero activities &amp; levers'!$C$9="On",(('Net zero supporting data'!AD158*FracLEACH*'Net zero supporting data'!AD185)+('Net zero supporting data'!AD170*FracLEACH*MSLeachEF))*NtoN2O*kgtoGg,"ERROR"))</f>
        <v>1.4953941712712119E-6</v>
      </c>
      <c r="AN716" s="94">
        <f>IF('Net zero activities &amp; levers'!$C$9="Off",'Activity data'!BG48*FracLEACH*MSLeachEF*NtoN2O*kgtoGg,IF('Net zero activities &amp; levers'!$C$9="On",(('Net zero supporting data'!AE158*FracLEACH*'Net zero supporting data'!AE185)+('Net zero supporting data'!AE170*FracLEACH*MSLeachEF))*NtoN2O*kgtoGg,"ERROR"))</f>
        <v>1.4948463610371335E-6</v>
      </c>
      <c r="AO716" s="94">
        <f>IF('Net zero activities &amp; levers'!$C$9="Off",'Activity data'!BH48*FracLEACH*MSLeachEF*NtoN2O*kgtoGg,IF('Net zero activities &amp; levers'!$C$9="On",(('Net zero supporting data'!AF158*FracLEACH*'Net zero supporting data'!AF185)+('Net zero supporting data'!AF170*FracLEACH*MSLeachEF))*NtoN2O*kgtoGg,"ERROR"))</f>
        <v>1.4943138001031867E-6</v>
      </c>
      <c r="AP716" s="94">
        <f>IF('Net zero activities &amp; levers'!$C$9="Off",'Activity data'!BI48*FracLEACH*MSLeachEF*NtoN2O*kgtoGg,IF('Net zero activities &amp; levers'!$C$9="On",(('Net zero supporting data'!AG158*FracLEACH*'Net zero supporting data'!AG185)+('Net zero supporting data'!AG170*FracLEACH*MSLeachEF))*NtoN2O*kgtoGg,"ERROR"))</f>
        <v>1.4937709093177149E-6</v>
      </c>
      <c r="AQ716" s="94">
        <f>IF('Net zero activities &amp; levers'!$C$9="Off",'Activity data'!BJ48*FracLEACH*MSLeachEF*NtoN2O*kgtoGg,IF('Net zero activities &amp; levers'!$C$9="On",(('Net zero supporting data'!AH158*FracLEACH*'Net zero supporting data'!AH185)+('Net zero supporting data'!AH170*FracLEACH*MSLeachEF))*NtoN2O*kgtoGg,"ERROR"))</f>
        <v>1.4932098649018236E-6</v>
      </c>
      <c r="AR716" s="94">
        <f>IF('Net zero activities &amp; levers'!$C$9="Off",'Activity data'!BK48*FracLEACH*MSLeachEF*NtoN2O*kgtoGg,IF('Net zero activities &amp; levers'!$C$9="On",(('Net zero supporting data'!AI158*FracLEACH*'Net zero supporting data'!AI185)+('Net zero supporting data'!AI170*FracLEACH*MSLeachEF))*NtoN2O*kgtoGg,"ERROR"))</f>
        <v>1.4926466708143633E-6</v>
      </c>
      <c r="AS716" s="94">
        <f>IF('Net zero activities &amp; levers'!$C$9="Off",'Activity data'!BL48*FracLEACH*MSLeachEF*NtoN2O*kgtoGg,IF('Net zero activities &amp; levers'!$C$9="On",(('Net zero supporting data'!AJ158*FracLEACH*'Net zero supporting data'!AJ185)+('Net zero supporting data'!AJ170*FracLEACH*MSLeachEF))*NtoN2O*kgtoGg,"ERROR"))</f>
        <v>1.4920808835740333E-6</v>
      </c>
      <c r="AT716" s="94">
        <f>IF('Net zero activities &amp; levers'!$C$9="Off",'Activity data'!BM48*FracLEACH*MSLeachEF*NtoN2O*kgtoGg,IF('Net zero activities &amp; levers'!$C$9="On",(('Net zero supporting data'!AK158*FracLEACH*'Net zero supporting data'!AK185)+('Net zero supporting data'!AK170*FracLEACH*MSLeachEF))*NtoN2O*kgtoGg,"ERROR"))</f>
        <v>1.4914976082060963E-6</v>
      </c>
      <c r="AU716" s="94">
        <f>IF('Net zero activities &amp; levers'!$C$9="Off",'Activity data'!BN48*FracLEACH*MSLeachEF*NtoN2O*kgtoGg,IF('Net zero activities &amp; levers'!$C$9="On",(('Net zero supporting data'!AL158*FracLEACH*'Net zero supporting data'!AL185)+('Net zero supporting data'!AL170*FracLEACH*MSLeachEF))*NtoN2O*kgtoGg,"ERROR"))</f>
        <v>1.4909031636153342E-6</v>
      </c>
      <c r="AV716" s="94">
        <f>IF('Net zero activities &amp; levers'!$C$9="Off",'Activity data'!BO48*FracLEACH*MSLeachEF*NtoN2O*kgtoGg,IF('Net zero activities &amp; levers'!$C$9="On",(('Net zero supporting data'!AM158*FracLEACH*'Net zero supporting data'!AM185)+('Net zero supporting data'!AM170*FracLEACH*MSLeachEF))*NtoN2O*kgtoGg,"ERROR"))</f>
        <v>1.4903017994391313E-6</v>
      </c>
      <c r="AW716" s="94">
        <f>IF('Net zero activities &amp; levers'!$C$9="Off",'Activity data'!BP48*FracLEACH*MSLeachEF*NtoN2O*kgtoGg,IF('Net zero activities &amp; levers'!$C$9="On",(('Net zero supporting data'!AN158*FracLEACH*'Net zero supporting data'!AN185)+('Net zero supporting data'!AN170*FracLEACH*MSLeachEF))*NtoN2O*kgtoGg,"ERROR"))</f>
        <v>1.4896851558177531E-6</v>
      </c>
      <c r="AY716" s="79"/>
      <c r="AZ716" s="79"/>
    </row>
    <row r="717" spans="1:52" x14ac:dyDescent="0.25">
      <c r="A717" s="95" t="str">
        <f t="shared" si="149"/>
        <v>NI Leaching</v>
      </c>
      <c r="B717" s="95" t="s">
        <v>968</v>
      </c>
      <c r="C717" s="95" t="s">
        <v>1189</v>
      </c>
      <c r="D717" t="s">
        <v>369</v>
      </c>
      <c r="E717" t="s">
        <v>61</v>
      </c>
      <c r="F717" t="s">
        <v>63</v>
      </c>
      <c r="G717" t="s">
        <v>437</v>
      </c>
      <c r="H717" t="s">
        <v>1188</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0.20714502561891826</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0.20732835560623097</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0.20795637847695561</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0.20628301821112818</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0.18345421452632232</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0.19195652777420363</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0.19560562647572965</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0.19551310879477027</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0.19564383614228145</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0.19679206133543856</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0.19890232993686438</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0.20146830931876691</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0.20461592637751433</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0.20874173146877406</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0.21378261140903454</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0.21859679605850485</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0.22386984820151812</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0.22938844096453867</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0.23523527981160089</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0.24130885941961319</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0.2472639040241959</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0.2535862034929412</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0.25995553558112644</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0.26634495696174137</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0.27289661467925691</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0.27977832241045703</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0.28698321848664521</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0.29468105355097846</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0.3025714710334354</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0.31067004429321721</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0.31929860938507826</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0.32834824969387966</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0.33774569605035937</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0.34769528474374956</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0.3570064156976871</v>
      </c>
      <c r="AY717" s="79"/>
      <c r="AZ717" s="79"/>
    </row>
    <row r="718" spans="1:52" x14ac:dyDescent="0.25">
      <c r="A718" s="95" t="str">
        <f t="shared" si="149"/>
        <v>NI Leaching</v>
      </c>
      <c r="B718" s="95" t="s">
        <v>968</v>
      </c>
      <c r="C718" s="95" t="s">
        <v>1189</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5">
      <c r="A719" s="95" t="str">
        <f t="shared" si="149"/>
        <v>NI Leaching</v>
      </c>
      <c r="B719" s="95" t="s">
        <v>968</v>
      </c>
      <c r="C719" s="95" t="s">
        <v>1189</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0.10248443536314014</v>
      </c>
      <c r="U719" s="22">
        <f t="shared" si="167"/>
        <v>0.10329242458615623</v>
      </c>
      <c r="V719" s="22">
        <f t="shared" si="167"/>
        <v>0.1037378169028777</v>
      </c>
      <c r="W719" s="22">
        <f t="shared" si="167"/>
        <v>0.10391067359607317</v>
      </c>
      <c r="X719" s="22">
        <f t="shared" si="167"/>
        <v>0.10409711390991817</v>
      </c>
      <c r="Y719" s="22">
        <f t="shared" si="167"/>
        <v>0.10435500295593778</v>
      </c>
      <c r="Z719" s="22">
        <f t="shared" si="167"/>
        <v>0.10468014995657268</v>
      </c>
      <c r="AA719" s="22">
        <f t="shared" si="165"/>
        <v>0.10503560179239499</v>
      </c>
      <c r="AB719" s="22">
        <f t="shared" si="165"/>
        <v>0.10542997312222666</v>
      </c>
      <c r="AC719" s="22">
        <f t="shared" si="165"/>
        <v>0.10589053374076159</v>
      </c>
      <c r="AD719" s="22">
        <f t="shared" si="165"/>
        <v>0.10641076487597649</v>
      </c>
      <c r="AE719" s="22">
        <f t="shared" si="165"/>
        <v>0.10696189666025695</v>
      </c>
      <c r="AF719" s="22">
        <f t="shared" si="165"/>
        <v>0.10754070977582914</v>
      </c>
      <c r="AG719" s="22">
        <f t="shared" si="165"/>
        <v>0.10813173549975955</v>
      </c>
      <c r="AH719" s="22">
        <f t="shared" si="165"/>
        <v>0.10873983274260557</v>
      </c>
      <c r="AI719" s="22">
        <f t="shared" si="165"/>
        <v>0.10935753594761956</v>
      </c>
      <c r="AJ719" s="22">
        <f t="shared" si="165"/>
        <v>0.10996217143590806</v>
      </c>
      <c r="AK719" s="22">
        <f t="shared" si="165"/>
        <v>0.11058485833426822</v>
      </c>
      <c r="AL719" s="22">
        <f t="shared" si="165"/>
        <v>0.11120474827910765</v>
      </c>
      <c r="AM719" s="22">
        <f t="shared" si="165"/>
        <v>0.11182020423651956</v>
      </c>
      <c r="AN719" s="22">
        <f t="shared" si="165"/>
        <v>0.11243985955392911</v>
      </c>
      <c r="AO719" s="22">
        <f t="shared" si="165"/>
        <v>0.11304226563186594</v>
      </c>
      <c r="AP719" s="22">
        <f t="shared" si="165"/>
        <v>0.1136563563170396</v>
      </c>
      <c r="AQ719" s="22">
        <f t="shared" si="165"/>
        <v>0.1142909814736776</v>
      </c>
      <c r="AR719" s="22">
        <f t="shared" si="165"/>
        <v>0.11492803823041334</v>
      </c>
      <c r="AS719" s="22">
        <f t="shared" si="165"/>
        <v>0.11556802823093357</v>
      </c>
      <c r="AT719" s="22">
        <f t="shared" si="165"/>
        <v>0.11622779991969046</v>
      </c>
      <c r="AU719" s="22">
        <f t="shared" si="165"/>
        <v>0.11690020567017985</v>
      </c>
      <c r="AV719" s="22">
        <f t="shared" si="165"/>
        <v>0.11758043850684917</v>
      </c>
      <c r="AW719" s="22">
        <f t="shared" si="165"/>
        <v>0.11827795468154553</v>
      </c>
      <c r="AY719" s="79"/>
      <c r="AZ719" s="79"/>
    </row>
    <row r="720" spans="1:52" x14ac:dyDescent="0.25">
      <c r="A720" s="95" t="str">
        <f t="shared" si="149"/>
        <v>NI Leaching</v>
      </c>
      <c r="B720" s="95" t="s">
        <v>968</v>
      </c>
      <c r="C720" s="95" t="s">
        <v>1189</v>
      </c>
      <c r="D720" t="s">
        <v>369</v>
      </c>
      <c r="E720" t="s">
        <v>61</v>
      </c>
      <c r="F720" t="s">
        <v>63</v>
      </c>
      <c r="G720" t="s">
        <v>1192</v>
      </c>
      <c r="H720" t="s">
        <v>1193</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5">
      <c r="A721" s="95" t="str">
        <f t="shared" si="149"/>
        <v>NI Leaching</v>
      </c>
      <c r="B721" s="95" t="s">
        <v>968</v>
      </c>
      <c r="C721" s="95" t="s">
        <v>1189</v>
      </c>
      <c r="D721" t="s">
        <v>369</v>
      </c>
      <c r="E721" t="s">
        <v>61</v>
      </c>
      <c r="F721" t="s">
        <v>63</v>
      </c>
      <c r="G721" t="s">
        <v>1194</v>
      </c>
      <c r="H721" t="s">
        <v>1195</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5">
      <c r="A722" s="95" t="str">
        <f t="shared" si="149"/>
        <v>NI Leaching</v>
      </c>
      <c r="B722" s="95" t="s">
        <v>968</v>
      </c>
      <c r="C722" s="95" t="s">
        <v>1189</v>
      </c>
      <c r="D722" t="s">
        <v>369</v>
      </c>
      <c r="E722" t="s">
        <v>61</v>
      </c>
      <c r="F722" t="s">
        <v>63</v>
      </c>
      <c r="G722" t="s">
        <v>1196</v>
      </c>
      <c r="H722" t="s">
        <v>1197</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5">
      <c r="A723" s="95" t="str">
        <f t="shared" si="149"/>
        <v>NI Leaching</v>
      </c>
      <c r="B723" s="95" t="s">
        <v>968</v>
      </c>
      <c r="C723" s="95" t="s">
        <v>1189</v>
      </c>
      <c r="D723" t="s">
        <v>369</v>
      </c>
      <c r="E723" t="s">
        <v>61</v>
      </c>
      <c r="F723" t="s">
        <v>63</v>
      </c>
      <c r="G723" t="s">
        <v>1198</v>
      </c>
      <c r="H723" t="s">
        <v>1199</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5">
      <c r="A724" s="95" t="str">
        <f t="shared" si="149"/>
        <v>NI Leaching</v>
      </c>
      <c r="B724" s="95" t="s">
        <v>968</v>
      </c>
      <c r="C724" s="95" t="s">
        <v>1189</v>
      </c>
      <c r="D724" t="s">
        <v>369</v>
      </c>
      <c r="E724" t="s">
        <v>61</v>
      </c>
      <c r="F724" t="s">
        <v>63</v>
      </c>
      <c r="G724" t="s">
        <v>1200</v>
      </c>
      <c r="H724" t="s">
        <v>1201</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5">
      <c r="A725" s="95" t="str">
        <f t="shared" si="149"/>
        <v>NI Leaching</v>
      </c>
      <c r="B725" s="95" t="s">
        <v>968</v>
      </c>
      <c r="C725" s="95" t="s">
        <v>1189</v>
      </c>
      <c r="D725" t="s">
        <v>369</v>
      </c>
      <c r="E725" t="s">
        <v>61</v>
      </c>
      <c r="F725" t="s">
        <v>63</v>
      </c>
      <c r="G725" t="s">
        <v>1202</v>
      </c>
      <c r="H725" t="s">
        <v>1203</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5">
      <c r="A726" s="95" t="str">
        <f t="shared" si="149"/>
        <v>NI Leaching</v>
      </c>
      <c r="B726" s="95" t="s">
        <v>968</v>
      </c>
      <c r="C726" s="95" t="s">
        <v>1189</v>
      </c>
      <c r="D726" t="s">
        <v>369</v>
      </c>
      <c r="E726" t="s">
        <v>61</v>
      </c>
      <c r="F726" t="s">
        <v>63</v>
      </c>
      <c r="G726" t="s">
        <v>1204</v>
      </c>
      <c r="H726" t="s">
        <v>1205</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5">
      <c r="A727" s="95" t="str">
        <f t="shared" si="149"/>
        <v>NI Leaching</v>
      </c>
      <c r="B727" s="95" t="s">
        <v>968</v>
      </c>
      <c r="C727" s="95" t="s">
        <v>1189</v>
      </c>
      <c r="D727" t="s">
        <v>369</v>
      </c>
      <c r="E727" t="s">
        <v>61</v>
      </c>
      <c r="F727" t="s">
        <v>63</v>
      </c>
      <c r="G727" t="s">
        <v>1206</v>
      </c>
      <c r="H727" t="s">
        <v>1207</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5">
      <c r="A728" s="95" t="str">
        <f t="shared" si="149"/>
        <v>NI Leaching</v>
      </c>
      <c r="B728" s="95" t="s">
        <v>968</v>
      </c>
      <c r="C728" s="95" t="s">
        <v>1189</v>
      </c>
      <c r="D728" t="s">
        <v>369</v>
      </c>
      <c r="E728" t="s">
        <v>61</v>
      </c>
      <c r="F728" t="s">
        <v>63</v>
      </c>
      <c r="G728" t="s">
        <v>1208</v>
      </c>
      <c r="H728" t="s">
        <v>1209</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5">
      <c r="A729" s="95" t="str">
        <f t="shared" si="149"/>
        <v>NI Leaching</v>
      </c>
      <c r="B729" s="95" t="s">
        <v>968</v>
      </c>
      <c r="C729" s="95" t="s">
        <v>1189</v>
      </c>
      <c r="D729" t="s">
        <v>369</v>
      </c>
      <c r="E729" t="s">
        <v>61</v>
      </c>
      <c r="F729" t="s">
        <v>63</v>
      </c>
      <c r="G729" t="s">
        <v>1210</v>
      </c>
      <c r="H729" t="s">
        <v>1211</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5">
      <c r="A730" s="95" t="str">
        <f t="shared" si="149"/>
        <v>NI Leaching</v>
      </c>
      <c r="B730" s="95" t="s">
        <v>968</v>
      </c>
      <c r="C730" s="95" t="s">
        <v>1189</v>
      </c>
      <c r="D730" t="s">
        <v>369</v>
      </c>
      <c r="E730" t="s">
        <v>61</v>
      </c>
      <c r="F730" t="s">
        <v>63</v>
      </c>
      <c r="G730" t="s">
        <v>1212</v>
      </c>
      <c r="H730" t="s">
        <v>1213</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5">
      <c r="A731" s="95"/>
      <c r="B731" s="95" t="s">
        <v>968</v>
      </c>
      <c r="C731" s="95"/>
      <c r="D731" t="s">
        <v>369</v>
      </c>
      <c r="E731" t="s">
        <v>61</v>
      </c>
      <c r="F731" t="s">
        <v>63</v>
      </c>
      <c r="G731" t="s">
        <v>1214</v>
      </c>
      <c r="H731" t="s">
        <v>1215</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5">
      <c r="A732" s="95" t="str">
        <f t="shared" ref="A732:A795" si="176">B732&amp;" "&amp;C732</f>
        <v>NI MM Volatilisation</v>
      </c>
      <c r="B732" s="95" t="s">
        <v>968</v>
      </c>
      <c r="C732" s="95" t="s">
        <v>1331</v>
      </c>
      <c r="D732" t="s">
        <v>369</v>
      </c>
      <c r="E732" t="s">
        <v>64</v>
      </c>
      <c r="F732" t="s">
        <v>62</v>
      </c>
      <c r="G732" t="s">
        <v>1151</v>
      </c>
      <c r="H732" t="s">
        <v>1289</v>
      </c>
      <c r="I732" t="s">
        <v>139</v>
      </c>
      <c r="J732" t="s">
        <v>287</v>
      </c>
      <c r="K732" s="22">
        <f t="shared" ref="K732:AW732" si="177">K1531</f>
        <v>0.39609736661915962</v>
      </c>
      <c r="L732" s="22">
        <f t="shared" si="177"/>
        <v>0.39831175345583053</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0.40855374420631202</v>
      </c>
      <c r="S732" s="22">
        <f t="shared" si="177"/>
        <v>0.39675335904637443</v>
      </c>
      <c r="T732" s="22">
        <f t="shared" si="177"/>
        <v>0.40475430836671095</v>
      </c>
      <c r="U732" s="22">
        <f t="shared" si="177"/>
        <v>0.40872605361155973</v>
      </c>
      <c r="V732" s="22">
        <f t="shared" si="177"/>
        <v>0.40976331225325113</v>
      </c>
      <c r="W732" s="22">
        <f t="shared" si="177"/>
        <v>0.41123817221629572</v>
      </c>
      <c r="X732" s="22">
        <f t="shared" si="177"/>
        <v>0.41371299835327524</v>
      </c>
      <c r="Y732" s="22">
        <f t="shared" si="177"/>
        <v>0.41698233077605895</v>
      </c>
      <c r="Z732" s="22">
        <f t="shared" si="177"/>
        <v>0.42064271286230337</v>
      </c>
      <c r="AA732" s="22">
        <f t="shared" si="177"/>
        <v>0.42480942612911948</v>
      </c>
      <c r="AB732" s="22">
        <f t="shared" si="177"/>
        <v>0.42983972534171444</v>
      </c>
      <c r="AC732" s="22">
        <f t="shared" si="177"/>
        <v>0.43570438871758699</v>
      </c>
      <c r="AD732" s="22">
        <f t="shared" si="177"/>
        <v>0.44208757106569879</v>
      </c>
      <c r="AE732" s="22">
        <f t="shared" si="177"/>
        <v>0.44898350336000287</v>
      </c>
      <c r="AF732" s="22">
        <f t="shared" si="177"/>
        <v>0.45621719419550344</v>
      </c>
      <c r="AG732" s="22">
        <f t="shared" si="177"/>
        <v>0.46386955104730232</v>
      </c>
      <c r="AH732" s="22">
        <f t="shared" si="177"/>
        <v>0.47186189087523389</v>
      </c>
      <c r="AI732" s="22">
        <f t="shared" si="177"/>
        <v>0.47988623531160551</v>
      </c>
      <c r="AJ732" s="22">
        <f t="shared" si="177"/>
        <v>0.48839393378093798</v>
      </c>
      <c r="AK732" s="22">
        <f t="shared" si="177"/>
        <v>0.49708758308730938</v>
      </c>
      <c r="AL732" s="22">
        <f t="shared" si="177"/>
        <v>0.50594507247479314</v>
      </c>
      <c r="AM732" s="22">
        <f t="shared" si="177"/>
        <v>0.51510910677271904</v>
      </c>
      <c r="AN732" s="22">
        <f t="shared" si="177"/>
        <v>0.52423757979493812</v>
      </c>
      <c r="AO732" s="22">
        <f t="shared" si="177"/>
        <v>0.53380454045789072</v>
      </c>
      <c r="AP732" s="22">
        <f t="shared" si="177"/>
        <v>0.54398662027094624</v>
      </c>
      <c r="AQ732" s="22">
        <f t="shared" si="177"/>
        <v>0.55449515288018025</v>
      </c>
      <c r="AR732" s="22">
        <f t="shared" si="177"/>
        <v>0.56534914989912133</v>
      </c>
      <c r="AS732" s="22">
        <f t="shared" si="177"/>
        <v>0.57688261473585911</v>
      </c>
      <c r="AT732" s="22">
        <f t="shared" si="177"/>
        <v>0.58899855031934889</v>
      </c>
      <c r="AU732" s="22">
        <f t="shared" si="177"/>
        <v>0.60163444677907796</v>
      </c>
      <c r="AV732" s="22">
        <f t="shared" si="177"/>
        <v>0.61501799344157537</v>
      </c>
      <c r="AW732" s="22">
        <f t="shared" si="177"/>
        <v>0.62789543257311353</v>
      </c>
      <c r="AY732" s="79"/>
      <c r="AZ732" s="79"/>
    </row>
    <row r="733" spans="1:52" x14ac:dyDescent="0.25">
      <c r="A733" s="95" t="str">
        <f t="shared" si="176"/>
        <v>NI MM Volatilisation</v>
      </c>
      <c r="B733" s="95" t="s">
        <v>968</v>
      </c>
      <c r="C733" s="95" t="s">
        <v>1331</v>
      </c>
      <c r="D733" t="s">
        <v>369</v>
      </c>
      <c r="E733" t="s">
        <v>64</v>
      </c>
      <c r="F733" t="s">
        <v>62</v>
      </c>
      <c r="G733" t="s">
        <v>1153</v>
      </c>
      <c r="H733" t="s">
        <v>1290</v>
      </c>
      <c r="I733" t="s">
        <v>139</v>
      </c>
      <c r="J733" t="s">
        <v>287</v>
      </c>
      <c r="K733" s="22">
        <f t="shared" ref="K733:AW733" si="178">K1532</f>
        <v>3.1249813656142676E-2</v>
      </c>
      <c r="L733" s="22">
        <f t="shared" si="178"/>
        <v>3.1424516095088999E-2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3.2232550506305399E-2</v>
      </c>
      <c r="S733" s="22">
        <f t="shared" si="178"/>
        <v>3.1301567701581753E-2</v>
      </c>
      <c r="T733" s="22">
        <f t="shared" si="178"/>
        <v>3.1932796779085698E-2</v>
      </c>
      <c r="U733" s="22">
        <f t="shared" si="178"/>
        <v>3.2246144731511071E-2</v>
      </c>
      <c r="V733" s="22">
        <f t="shared" si="178"/>
        <v>3.2327978497644752E-2</v>
      </c>
      <c r="W733" s="22">
        <f t="shared" si="178"/>
        <v>3.2444336501757327E-2</v>
      </c>
      <c r="X733" s="22">
        <f t="shared" si="178"/>
        <v>3.2639586109882893E-2</v>
      </c>
      <c r="Y733" s="22">
        <f t="shared" si="178"/>
        <v>3.2897517713579225E-2</v>
      </c>
      <c r="Z733" s="22">
        <f t="shared" si="178"/>
        <v>3.318630089606224E-2</v>
      </c>
      <c r="AA733" s="22">
        <f t="shared" si="178"/>
        <v>3.3515030708779675E-2</v>
      </c>
      <c r="AB733" s="22">
        <f t="shared" si="178"/>
        <v>3.3911892506599629E-2</v>
      </c>
      <c r="AC733" s="22">
        <f t="shared" si="178"/>
        <v>3.4374580858244831E-2</v>
      </c>
      <c r="AD733" s="22">
        <f t="shared" si="178"/>
        <v>3.4878177387083813E-2</v>
      </c>
      <c r="AE733" s="22">
        <f t="shared" si="178"/>
        <v>3.5422226950002453E-2</v>
      </c>
      <c r="AF733" s="22">
        <f t="shared" si="178"/>
        <v>3.5992923727375593E-2</v>
      </c>
      <c r="AG733" s="22">
        <f t="shared" si="178"/>
        <v>3.6596650855607031E-2</v>
      </c>
      <c r="AH733" s="22">
        <f t="shared" si="178"/>
        <v>3.7227200693469409E-2</v>
      </c>
      <c r="AI733" s="22">
        <f t="shared" si="178"/>
        <v>3.7860275511637599E-2</v>
      </c>
      <c r="AJ733" s="22">
        <f t="shared" si="178"/>
        <v>3.8531484194690796E-2</v>
      </c>
      <c r="AK733" s="22">
        <f t="shared" si="178"/>
        <v>3.9217363333789369E-2</v>
      </c>
      <c r="AL733" s="22">
        <f t="shared" si="178"/>
        <v>3.9916168516925726E-2</v>
      </c>
      <c r="AM733" s="22">
        <f t="shared" si="178"/>
        <v>4.0639158337820017E-2</v>
      </c>
      <c r="AN733" s="22">
        <f t="shared" si="178"/>
        <v>4.1359342577731273E-2</v>
      </c>
      <c r="AO733" s="22">
        <f t="shared" si="178"/>
        <v>4.211412098114431E-2</v>
      </c>
      <c r="AP733" s="22">
        <f t="shared" si="178"/>
        <v>4.2917428762525973E-2</v>
      </c>
      <c r="AQ733" s="22">
        <f t="shared" si="178"/>
        <v>4.3746491799831644E-2</v>
      </c>
      <c r="AR733" s="22">
        <f t="shared" si="178"/>
        <v>4.4602810000483467E-2</v>
      </c>
      <c r="AS733" s="22">
        <f t="shared" si="178"/>
        <v>4.5512734320440534E-2</v>
      </c>
      <c r="AT733" s="22">
        <f t="shared" si="178"/>
        <v>4.64686122463292E-2</v>
      </c>
      <c r="AU733" s="22">
        <f t="shared" si="178"/>
        <v>4.7465512107379045E-2</v>
      </c>
      <c r="AV733" s="22">
        <f t="shared" si="178"/>
        <v>4.8521397287407161E-2</v>
      </c>
      <c r="AW733" s="22">
        <f t="shared" si="178"/>
        <v>4.953735348187438E-2</v>
      </c>
      <c r="AY733" s="79"/>
      <c r="AZ733" s="79"/>
    </row>
    <row r="734" spans="1:52" x14ac:dyDescent="0.25">
      <c r="A734" s="95" t="str">
        <f t="shared" si="176"/>
        <v>NI MM Volatilisation</v>
      </c>
      <c r="B734" s="95" t="s">
        <v>968</v>
      </c>
      <c r="C734" s="95" t="s">
        <v>1331</v>
      </c>
      <c r="D734" t="s">
        <v>369</v>
      </c>
      <c r="E734" t="s">
        <v>64</v>
      </c>
      <c r="F734" t="s">
        <v>62</v>
      </c>
      <c r="G734" t="s">
        <v>1155</v>
      </c>
      <c r="H734" t="s">
        <v>1291</v>
      </c>
      <c r="I734" t="s">
        <v>139</v>
      </c>
      <c r="J734" t="s">
        <v>287</v>
      </c>
      <c r="K734" s="22">
        <f t="shared" ref="K734:AW734" si="179">K1533</f>
        <v>2.8967336997006343E-4</v>
      </c>
      <c r="L734" s="22">
        <f t="shared" si="179"/>
        <v>2.9129279224209421E-4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2.9878295053629658E-4</v>
      </c>
      <c r="S734" s="22">
        <f t="shared" si="179"/>
        <v>2.9015310943081291E-4</v>
      </c>
      <c r="T734" s="22">
        <f t="shared" si="179"/>
        <v>2.9600435245311237E-4</v>
      </c>
      <c r="U734" s="22">
        <f t="shared" si="179"/>
        <v>2.9890896360859154E-4</v>
      </c>
      <c r="V734" s="22">
        <f t="shared" si="179"/>
        <v>2.9966753014195159E-4</v>
      </c>
      <c r="W734" s="22">
        <f t="shared" si="179"/>
        <v>3.0074612265917932E-4</v>
      </c>
      <c r="X734" s="22">
        <f t="shared" si="179"/>
        <v>3.0255600903461219E-4</v>
      </c>
      <c r="Y734" s="22">
        <f t="shared" si="179"/>
        <v>3.0494693263136179E-4</v>
      </c>
      <c r="Z734" s="22">
        <f t="shared" si="179"/>
        <v>3.0762383811889561E-4</v>
      </c>
      <c r="AA734" s="22">
        <f t="shared" si="179"/>
        <v>3.1067103301443271E-4</v>
      </c>
      <c r="AB734" s="22">
        <f t="shared" si="179"/>
        <v>3.1434978437121989E-4</v>
      </c>
      <c r="AC734" s="22">
        <f t="shared" si="179"/>
        <v>3.1863872175631096E-4</v>
      </c>
      <c r="AD734" s="22">
        <f t="shared" si="179"/>
        <v>3.2330686170809402E-4</v>
      </c>
      <c r="AE734" s="22">
        <f t="shared" si="179"/>
        <v>3.2834998523054116E-4</v>
      </c>
      <c r="AF734" s="22">
        <f t="shared" si="179"/>
        <v>3.3364011785506768E-4</v>
      </c>
      <c r="AG734" s="22">
        <f t="shared" si="179"/>
        <v>3.3923642872275747E-4</v>
      </c>
      <c r="AH734" s="22">
        <f t="shared" si="179"/>
        <v>3.4508137546316036E-4</v>
      </c>
      <c r="AI734" s="22">
        <f t="shared" si="179"/>
        <v>3.5094972776886815E-4</v>
      </c>
      <c r="AJ734" s="22">
        <f t="shared" si="179"/>
        <v>3.5717156586725218E-4</v>
      </c>
      <c r="AK734" s="22">
        <f t="shared" si="179"/>
        <v>3.6352939327067397E-4</v>
      </c>
      <c r="AL734" s="22">
        <f t="shared" si="179"/>
        <v>3.7000703997215649E-4</v>
      </c>
      <c r="AM734" s="22">
        <f t="shared" si="179"/>
        <v>3.7670886866710392E-4</v>
      </c>
      <c r="AN734" s="22">
        <f t="shared" si="179"/>
        <v>3.8338469073983557E-4</v>
      </c>
      <c r="AO734" s="22">
        <f t="shared" si="179"/>
        <v>3.9038118697827962E-4</v>
      </c>
      <c r="AP734" s="22">
        <f t="shared" si="179"/>
        <v>3.9782753128984823E-4</v>
      </c>
      <c r="AQ734" s="22">
        <f t="shared" si="179"/>
        <v>4.0551261660192481E-4</v>
      </c>
      <c r="AR734" s="22">
        <f t="shared" si="179"/>
        <v>4.134503464610197E-4</v>
      </c>
      <c r="AS734" s="22">
        <f t="shared" si="179"/>
        <v>4.218849837705407E-4</v>
      </c>
      <c r="AT734" s="22">
        <f t="shared" si="179"/>
        <v>4.3074559276869194E-4</v>
      </c>
      <c r="AU734" s="22">
        <f t="shared" si="179"/>
        <v>4.3998645882474367E-4</v>
      </c>
      <c r="AV734" s="22">
        <f t="shared" si="179"/>
        <v>4.4977409537726024E-4</v>
      </c>
      <c r="AW734" s="22">
        <f t="shared" si="179"/>
        <v>4.5919160608089382E-4</v>
      </c>
      <c r="AY734" s="79"/>
      <c r="AZ734" s="79"/>
    </row>
    <row r="735" spans="1:52" x14ac:dyDescent="0.25">
      <c r="A735" s="95" t="str">
        <f t="shared" si="176"/>
        <v>NI MM Volatilisation</v>
      </c>
      <c r="B735" s="95" t="s">
        <v>968</v>
      </c>
      <c r="C735" s="95" t="s">
        <v>1331</v>
      </c>
      <c r="D735" t="s">
        <v>369</v>
      </c>
      <c r="E735" t="s">
        <v>64</v>
      </c>
      <c r="F735" t="s">
        <v>62</v>
      </c>
      <c r="G735" t="s">
        <v>1157</v>
      </c>
      <c r="H735" t="s">
        <v>1292</v>
      </c>
      <c r="I735" t="s">
        <v>139</v>
      </c>
      <c r="J735" t="s">
        <v>287</v>
      </c>
      <c r="K735" s="22">
        <f t="shared" ref="K735:AW735" si="180">K1534</f>
        <v>3.2323215352203869E-3</v>
      </c>
      <c r="L735" s="22">
        <f t="shared" si="180"/>
        <v>3.2042886428129448E-3</v>
      </c>
      <c r="M735" s="22">
        <f t="shared" si="180"/>
        <v>3.1936173693006072E-3</v>
      </c>
      <c r="N735" s="22">
        <f t="shared" si="180"/>
        <v>3.150970789688672E-3</v>
      </c>
      <c r="O735" s="22">
        <f t="shared" si="180"/>
        <v>3.0890682378804098E-3</v>
      </c>
      <c r="P735" s="22">
        <f t="shared" si="180"/>
        <v>3.0091897617382942E-3</v>
      </c>
      <c r="Q735" s="22">
        <f t="shared" si="180"/>
        <v>2.9461872714039495E-3</v>
      </c>
      <c r="R735" s="22">
        <f t="shared" si="180"/>
        <v>2.8865797531671877E-3</v>
      </c>
      <c r="S735" s="22">
        <f t="shared" si="180"/>
        <v>2.5775843671431266E-3</v>
      </c>
      <c r="T735" s="22">
        <f t="shared" si="180"/>
        <v>2.7008194536362932E-3</v>
      </c>
      <c r="U735" s="22">
        <f t="shared" si="180"/>
        <v>2.7434834642963983E-3</v>
      </c>
      <c r="V735" s="22">
        <f t="shared" si="180"/>
        <v>2.7249559704571515E-3</v>
      </c>
      <c r="W735" s="22">
        <f t="shared" si="180"/>
        <v>2.7098851587955765E-3</v>
      </c>
      <c r="X735" s="22">
        <f t="shared" si="180"/>
        <v>2.7108751448487677E-3</v>
      </c>
      <c r="Y735" s="22">
        <f t="shared" si="180"/>
        <v>2.7267936110374771E-3</v>
      </c>
      <c r="Z735" s="22">
        <f t="shared" si="180"/>
        <v>2.7493808220457119E-3</v>
      </c>
      <c r="AA735" s="22">
        <f t="shared" si="180"/>
        <v>2.7804561510044621E-3</v>
      </c>
      <c r="AB735" s="22">
        <f t="shared" si="180"/>
        <v>2.8259754098654112E-3</v>
      </c>
      <c r="AC735" s="22">
        <f t="shared" si="180"/>
        <v>2.8846530294108553E-3</v>
      </c>
      <c r="AD735" s="22">
        <f t="shared" si="180"/>
        <v>2.9255627766607379E-3</v>
      </c>
      <c r="AE735" s="22">
        <f t="shared" si="180"/>
        <v>2.9713051294800673E-3</v>
      </c>
      <c r="AF735" s="22">
        <f t="shared" si="180"/>
        <v>3.0184328847155249E-3</v>
      </c>
      <c r="AG735" s="22">
        <f t="shared" si="180"/>
        <v>3.0679929310084191E-3</v>
      </c>
      <c r="AH735" s="22">
        <f t="shared" si="180"/>
        <v>3.1182952843922906E-3</v>
      </c>
      <c r="AI735" s="22">
        <f t="shared" si="180"/>
        <v>3.1642302715808976E-3</v>
      </c>
      <c r="AJ735" s="22">
        <f t="shared" si="180"/>
        <v>3.2126832525729617E-3</v>
      </c>
      <c r="AK735" s="22">
        <f t="shared" si="180"/>
        <v>3.2589422884996468E-3</v>
      </c>
      <c r="AL735" s="22">
        <f t="shared" si="180"/>
        <v>3.3025617246378643E-3</v>
      </c>
      <c r="AM735" s="22">
        <f t="shared" si="180"/>
        <v>3.3454061319751881E-3</v>
      </c>
      <c r="AN735" s="22">
        <f t="shared" si="180"/>
        <v>3.3998120453296449E-3</v>
      </c>
      <c r="AO735" s="22">
        <f t="shared" si="180"/>
        <v>3.4560846217306851E-3</v>
      </c>
      <c r="AP735" s="22">
        <f t="shared" si="180"/>
        <v>3.5162688695670069E-3</v>
      </c>
      <c r="AQ735" s="22">
        <f t="shared" si="180"/>
        <v>3.576218960305765E-3</v>
      </c>
      <c r="AR735" s="22">
        <f t="shared" si="180"/>
        <v>3.6360127055851286E-3</v>
      </c>
      <c r="AS735" s="22">
        <f t="shared" si="180"/>
        <v>3.6995797552595183E-3</v>
      </c>
      <c r="AT735" s="22">
        <f t="shared" si="180"/>
        <v>3.7652741980581834E-3</v>
      </c>
      <c r="AU735" s="22">
        <f t="shared" si="180"/>
        <v>3.831953873173879E-3</v>
      </c>
      <c r="AV735" s="22">
        <f t="shared" si="180"/>
        <v>3.9018879316463188E-3</v>
      </c>
      <c r="AW735" s="22">
        <f t="shared" si="180"/>
        <v>3.9605189402422969E-3</v>
      </c>
      <c r="AY735" s="79"/>
      <c r="AZ735" s="79"/>
    </row>
    <row r="736" spans="1:52" x14ac:dyDescent="0.25">
      <c r="A736" s="95" t="str">
        <f t="shared" si="176"/>
        <v>NI MM Volatilisation</v>
      </c>
      <c r="B736" s="95" t="s">
        <v>968</v>
      </c>
      <c r="C736" s="95" t="s">
        <v>1331</v>
      </c>
      <c r="D736" t="s">
        <v>369</v>
      </c>
      <c r="E736" t="s">
        <v>64</v>
      </c>
      <c r="F736" t="s">
        <v>62</v>
      </c>
      <c r="G736" t="s">
        <v>1159</v>
      </c>
      <c r="H736" t="s">
        <v>1293</v>
      </c>
      <c r="I736" t="s">
        <v>139</v>
      </c>
      <c r="J736" t="s">
        <v>287</v>
      </c>
      <c r="K736" s="22">
        <f t="shared" ref="K736:AW736" si="181">K1535</f>
        <v>1.6090517274103568E-2</v>
      </c>
      <c r="L736" s="22">
        <f t="shared" si="181"/>
        <v>1.5950969356419605E-2</v>
      </c>
      <c r="M736" s="22">
        <f t="shared" si="181"/>
        <v>1.5897847688628834E-2</v>
      </c>
      <c r="N736" s="22">
        <f t="shared" si="181"/>
        <v>1.5685552742581484E-2</v>
      </c>
      <c r="O736" s="22">
        <f t="shared" si="181"/>
        <v>1.5377401443792453E-2</v>
      </c>
      <c r="P736" s="22">
        <f t="shared" si="181"/>
        <v>1.4979765878707444E-2</v>
      </c>
      <c r="Q736" s="22">
        <f t="shared" si="181"/>
        <v>1.4666139078901097E-2</v>
      </c>
      <c r="R736" s="22">
        <f t="shared" si="181"/>
        <v>1.4369412471908495E-2</v>
      </c>
      <c r="S736" s="22">
        <f t="shared" si="181"/>
        <v>1.283123146415196E-2</v>
      </c>
      <c r="T736" s="22">
        <f t="shared" si="181"/>
        <v>1.3444696512844507E-2</v>
      </c>
      <c r="U736" s="22">
        <f t="shared" si="181"/>
        <v>1.3657078230761113E-2</v>
      </c>
      <c r="V736" s="22">
        <f t="shared" si="181"/>
        <v>1.3564848247939834E-2</v>
      </c>
      <c r="W736" s="22">
        <f t="shared" si="181"/>
        <v>1.3489825651105632E-2</v>
      </c>
      <c r="X736" s="22">
        <f t="shared" si="181"/>
        <v>1.3494753808009711E-2</v>
      </c>
      <c r="Y736" s="22">
        <f t="shared" si="181"/>
        <v>1.3573996034501018E-2</v>
      </c>
      <c r="Z736" s="22">
        <f t="shared" si="181"/>
        <v>1.3686435315352767E-2</v>
      </c>
      <c r="AA736" s="22">
        <f t="shared" si="181"/>
        <v>1.3841128501646547E-2</v>
      </c>
      <c r="AB736" s="22">
        <f t="shared" si="181"/>
        <v>1.4067723663367223E-2</v>
      </c>
      <c r="AC736" s="22">
        <f t="shared" si="181"/>
        <v>1.4359821228727431E-2</v>
      </c>
      <c r="AD736" s="22">
        <f t="shared" si="181"/>
        <v>1.4563470212168856E-2</v>
      </c>
      <c r="AE736" s="22">
        <f t="shared" si="181"/>
        <v>1.4791175937041108E-2</v>
      </c>
      <c r="AF736" s="22">
        <f t="shared" si="181"/>
        <v>1.5025778204000962E-2</v>
      </c>
      <c r="AG736" s="22">
        <f t="shared" si="181"/>
        <v>1.5272488431400047E-2</v>
      </c>
      <c r="AH736" s="22">
        <f t="shared" si="181"/>
        <v>1.5522893868245321E-2</v>
      </c>
      <c r="AI736" s="22">
        <f t="shared" si="181"/>
        <v>1.5751558528239808E-2</v>
      </c>
      <c r="AJ736" s="22">
        <f t="shared" si="181"/>
        <v>1.5992757777491307E-2</v>
      </c>
      <c r="AK736" s="22">
        <f t="shared" si="181"/>
        <v>1.622303555417634E-2</v>
      </c>
      <c r="AL736" s="22">
        <f t="shared" si="181"/>
        <v>1.6440173386233263E-2</v>
      </c>
      <c r="AM736" s="22">
        <f t="shared" si="181"/>
        <v>1.6653453119962761E-2</v>
      </c>
      <c r="AN736" s="22">
        <f t="shared" si="181"/>
        <v>1.6924286104585243E-2</v>
      </c>
      <c r="AO736" s="22">
        <f t="shared" si="181"/>
        <v>1.7204411349791553E-2</v>
      </c>
      <c r="AP736" s="22">
        <f t="shared" si="181"/>
        <v>1.7504008920419142E-2</v>
      </c>
      <c r="AQ736" s="22">
        <f t="shared" si="181"/>
        <v>1.7802440855517548E-2</v>
      </c>
      <c r="AR736" s="22">
        <f t="shared" si="181"/>
        <v>1.8100094501919208E-2</v>
      </c>
      <c r="AS736" s="22">
        <f t="shared" si="181"/>
        <v>1.8416531681730838E-2</v>
      </c>
      <c r="AT736" s="22">
        <f t="shared" si="181"/>
        <v>1.874355903812051E-2</v>
      </c>
      <c r="AU736" s="22">
        <f t="shared" si="181"/>
        <v>1.9075490887285256E-2</v>
      </c>
      <c r="AV736" s="22">
        <f t="shared" si="181"/>
        <v>1.9423623077612737E-2</v>
      </c>
      <c r="AW736" s="22">
        <f t="shared" si="181"/>
        <v>1.9715488613368411E-2</v>
      </c>
      <c r="AY736" s="79"/>
      <c r="AZ736" s="79"/>
    </row>
    <row r="737" spans="1:52" x14ac:dyDescent="0.25">
      <c r="A737" s="95" t="str">
        <f t="shared" si="176"/>
        <v>NI MM Volatilisation</v>
      </c>
      <c r="B737" s="95" t="s">
        <v>968</v>
      </c>
      <c r="C737" s="95" t="s">
        <v>1331</v>
      </c>
      <c r="D737" t="s">
        <v>369</v>
      </c>
      <c r="E737" t="s">
        <v>64</v>
      </c>
      <c r="F737" t="s">
        <v>62</v>
      </c>
      <c r="G737" t="s">
        <v>1161</v>
      </c>
      <c r="H737" t="s">
        <v>1294</v>
      </c>
      <c r="I737" t="s">
        <v>139</v>
      </c>
      <c r="J737" t="s">
        <v>287</v>
      </c>
      <c r="K737" s="22">
        <f t="shared" ref="K737:AW737" si="182">K1536</f>
        <v>0.15836052531214867</v>
      </c>
      <c r="L737" s="22">
        <f t="shared" si="182"/>
        <v>0.16370016056893633</v>
      </c>
      <c r="M737" s="22">
        <f t="shared" si="182"/>
        <v>0.17003774892948584</v>
      </c>
      <c r="N737" s="22">
        <f t="shared" si="182"/>
        <v>0.17476418316081965</v>
      </c>
      <c r="O737" s="22">
        <f t="shared" si="182"/>
        <v>0.17840915017095652</v>
      </c>
      <c r="P737" s="22">
        <f t="shared" si="182"/>
        <v>0.18092055691117107</v>
      </c>
      <c r="Q737" s="22">
        <f t="shared" si="182"/>
        <v>0.18434967364231716</v>
      </c>
      <c r="R737" s="22">
        <f t="shared" si="182"/>
        <v>0.18794438918293385</v>
      </c>
      <c r="S737" s="22">
        <f t="shared" si="182"/>
        <v>0.17460856438309952</v>
      </c>
      <c r="T737" s="22">
        <f t="shared" si="182"/>
        <v>0.1873645711352227</v>
      </c>
      <c r="U737" s="22">
        <f t="shared" si="182"/>
        <v>0.19484677000767164</v>
      </c>
      <c r="V737" s="22">
        <f t="shared" si="182"/>
        <v>0.19807112255457257</v>
      </c>
      <c r="W737" s="22">
        <f t="shared" si="182"/>
        <v>0.20154228480865111</v>
      </c>
      <c r="X737" s="22">
        <f t="shared" si="182"/>
        <v>0.20623914667732615</v>
      </c>
      <c r="Y737" s="22">
        <f t="shared" si="182"/>
        <v>0.21215915392676254</v>
      </c>
      <c r="Z737" s="22">
        <f t="shared" si="182"/>
        <v>0.21872684602749243</v>
      </c>
      <c r="AA737" s="22">
        <f t="shared" si="182"/>
        <v>0.22612997396880463</v>
      </c>
      <c r="AB737" s="22">
        <f t="shared" si="182"/>
        <v>0.23491426249732866</v>
      </c>
      <c r="AC737" s="22">
        <f t="shared" si="182"/>
        <v>0.24505515121890351</v>
      </c>
      <c r="AD737" s="22">
        <f t="shared" si="182"/>
        <v>0.25677243358478996</v>
      </c>
      <c r="AE737" s="22">
        <f t="shared" si="182"/>
        <v>0.26945216276183381</v>
      </c>
      <c r="AF737" s="22">
        <f t="shared" si="182"/>
        <v>0.2828440567855407</v>
      </c>
      <c r="AG737" s="22">
        <f t="shared" si="182"/>
        <v>0.29709510424120422</v>
      </c>
      <c r="AH737" s="22">
        <f t="shared" si="182"/>
        <v>0.31209530848649036</v>
      </c>
      <c r="AI737" s="22">
        <f t="shared" si="182"/>
        <v>0.32736251218808471</v>
      </c>
      <c r="AJ737" s="22">
        <f t="shared" si="182"/>
        <v>0.34362947600093458</v>
      </c>
      <c r="AK737" s="22">
        <f t="shared" si="182"/>
        <v>0.36044618553686847</v>
      </c>
      <c r="AL737" s="22">
        <f t="shared" si="182"/>
        <v>0.37778487893593249</v>
      </c>
      <c r="AM737" s="22">
        <f t="shared" si="182"/>
        <v>0.3958859410797253</v>
      </c>
      <c r="AN737" s="22">
        <f t="shared" si="182"/>
        <v>0.41367585516143429</v>
      </c>
      <c r="AO737" s="22">
        <f t="shared" si="182"/>
        <v>0.43242905153599548</v>
      </c>
      <c r="AP737" s="22">
        <f t="shared" si="182"/>
        <v>0.45246435767624088</v>
      </c>
      <c r="AQ737" s="22">
        <f t="shared" si="182"/>
        <v>0.47331488964480717</v>
      </c>
      <c r="AR737" s="22">
        <f t="shared" si="182"/>
        <v>0.49503125359509215</v>
      </c>
      <c r="AS737" s="22">
        <f t="shared" si="182"/>
        <v>0.51820746125670647</v>
      </c>
      <c r="AT737" s="22">
        <f t="shared" si="182"/>
        <v>0.54270067079521189</v>
      </c>
      <c r="AU737" s="22">
        <f t="shared" si="182"/>
        <v>0.56842164327333022</v>
      </c>
      <c r="AV737" s="22">
        <f t="shared" si="182"/>
        <v>0.59578776955032364</v>
      </c>
      <c r="AW737" s="22">
        <f t="shared" si="182"/>
        <v>0.6226172294628034</v>
      </c>
      <c r="AY737" s="79"/>
      <c r="AZ737" s="79"/>
    </row>
    <row r="738" spans="1:52" x14ac:dyDescent="0.25">
      <c r="A738" s="95" t="str">
        <f t="shared" si="176"/>
        <v>NI MM Volatilisation</v>
      </c>
      <c r="B738" s="95" t="s">
        <v>968</v>
      </c>
      <c r="C738" s="95" t="s">
        <v>1331</v>
      </c>
      <c r="D738" t="s">
        <v>369</v>
      </c>
      <c r="E738" t="s">
        <v>64</v>
      </c>
      <c r="F738" t="s">
        <v>62</v>
      </c>
      <c r="G738" t="s">
        <v>1163</v>
      </c>
      <c r="H738" t="s">
        <v>1295</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1.1888884787446641E-4</v>
      </c>
      <c r="T738" s="22">
        <f t="shared" si="183"/>
        <v>1.18974421608456E-4</v>
      </c>
      <c r="U738" s="22">
        <f t="shared" si="183"/>
        <v>1.1894433570617077E-4</v>
      </c>
      <c r="V738" s="22">
        <f t="shared" si="183"/>
        <v>1.1894216976117226E-4</v>
      </c>
      <c r="W738" s="22">
        <f t="shared" si="183"/>
        <v>1.1906833284654552E-4</v>
      </c>
      <c r="X738" s="22">
        <f t="shared" si="183"/>
        <v>1.1927481036049653E-4</v>
      </c>
      <c r="Y738" s="22">
        <f t="shared" si="183"/>
        <v>1.1947292782589552E-4</v>
      </c>
      <c r="Z738" s="22">
        <f t="shared" si="183"/>
        <v>1.1966332441080059E-4</v>
      </c>
      <c r="AA738" s="22">
        <f t="shared" si="183"/>
        <v>1.198457402729256E-4</v>
      </c>
      <c r="AB738" s="22">
        <f t="shared" si="183"/>
        <v>1.2002397691702796E-4</v>
      </c>
      <c r="AC738" s="22">
        <f t="shared" si="183"/>
        <v>1.2020063791291827E-4</v>
      </c>
      <c r="AD738" s="22">
        <f t="shared" si="183"/>
        <v>1.2037395069486653E-4</v>
      </c>
      <c r="AE738" s="22">
        <f t="shared" si="183"/>
        <v>1.2054640721794917E-4</v>
      </c>
      <c r="AF738" s="22">
        <f t="shared" si="183"/>
        <v>1.2071746421078628E-4</v>
      </c>
      <c r="AG738" s="22">
        <f t="shared" si="183"/>
        <v>1.2088575105723818E-4</v>
      </c>
      <c r="AH738" s="22">
        <f t="shared" si="183"/>
        <v>1.2105200867781398E-4</v>
      </c>
      <c r="AI738" s="22">
        <f t="shared" si="183"/>
        <v>1.2121641449313381E-4</v>
      </c>
      <c r="AJ738" s="22">
        <f t="shared" si="183"/>
        <v>1.2137952665146409E-4</v>
      </c>
      <c r="AK738" s="22">
        <f t="shared" si="183"/>
        <v>1.2153635424536354E-4</v>
      </c>
      <c r="AL738" s="22">
        <f t="shared" si="183"/>
        <v>1.2168671378968904E-4</v>
      </c>
      <c r="AM738" s="22">
        <f t="shared" si="183"/>
        <v>1.2183201055728766E-4</v>
      </c>
      <c r="AN738" s="22">
        <f t="shared" si="183"/>
        <v>1.2197112574763714E-4</v>
      </c>
      <c r="AO738" s="22">
        <f t="shared" si="183"/>
        <v>1.2210431172658153E-4</v>
      </c>
      <c r="AP738" s="22">
        <f t="shared" si="183"/>
        <v>1.2223096862203452E-4</v>
      </c>
      <c r="AQ738" s="22">
        <f t="shared" si="183"/>
        <v>1.2234928396390209E-4</v>
      </c>
      <c r="AR738" s="22">
        <f t="shared" si="183"/>
        <v>1.2245757817594662E-4</v>
      </c>
      <c r="AS738" s="22">
        <f t="shared" si="183"/>
        <v>1.2255574185064525E-4</v>
      </c>
      <c r="AT738" s="22">
        <f t="shared" si="183"/>
        <v>1.2264302379658788E-4</v>
      </c>
      <c r="AU738" s="22">
        <f t="shared" si="183"/>
        <v>1.2271938191890156E-4</v>
      </c>
      <c r="AV738" s="22">
        <f t="shared" si="183"/>
        <v>1.2278627747914955E-4</v>
      </c>
      <c r="AW738" s="22">
        <f t="shared" si="183"/>
        <v>1.2283502162881773E-4</v>
      </c>
      <c r="AY738" s="79"/>
      <c r="AZ738" s="79"/>
    </row>
    <row r="739" spans="1:52" x14ac:dyDescent="0.25">
      <c r="A739" s="95" t="str">
        <f t="shared" si="176"/>
        <v>NI MM Volatilisation</v>
      </c>
      <c r="B739" s="95" t="s">
        <v>968</v>
      </c>
      <c r="C739" s="95" t="s">
        <v>1331</v>
      </c>
      <c r="D739" t="s">
        <v>369</v>
      </c>
      <c r="E739" t="s">
        <v>64</v>
      </c>
      <c r="F739" t="s">
        <v>62</v>
      </c>
      <c r="G739" t="s">
        <v>1165</v>
      </c>
      <c r="H739" t="s">
        <v>1296</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8.158765245643595E-4</v>
      </c>
      <c r="T739" s="22">
        <f t="shared" si="184"/>
        <v>8.1646377561380335E-4</v>
      </c>
      <c r="U739" s="22">
        <f t="shared" si="184"/>
        <v>8.1625731065233949E-4</v>
      </c>
      <c r="V739" s="22">
        <f t="shared" si="184"/>
        <v>8.1624244682188473E-4</v>
      </c>
      <c r="W739" s="22">
        <f t="shared" si="184"/>
        <v>8.1710824291178659E-4</v>
      </c>
      <c r="X739" s="22">
        <f t="shared" si="184"/>
        <v>8.1852519798784992E-4</v>
      </c>
      <c r="Y739" s="22">
        <f t="shared" si="184"/>
        <v>8.1988478210372824E-4</v>
      </c>
      <c r="Z739" s="22">
        <f t="shared" si="184"/>
        <v>8.2119138155993044E-4</v>
      </c>
      <c r="AA739" s="22">
        <f t="shared" si="184"/>
        <v>8.2244321318482034E-4</v>
      </c>
      <c r="AB739" s="22">
        <f t="shared" si="184"/>
        <v>8.2366636486254352E-4</v>
      </c>
      <c r="AC739" s="22">
        <f t="shared" si="184"/>
        <v>8.2487870363047661E-4</v>
      </c>
      <c r="AD739" s="22">
        <f t="shared" si="184"/>
        <v>8.2606806522936944E-4</v>
      </c>
      <c r="AE739" s="22">
        <f t="shared" si="184"/>
        <v>8.2725155073878963E-4</v>
      </c>
      <c r="AF739" s="22">
        <f t="shared" si="184"/>
        <v>8.2842543195064012E-4</v>
      </c>
      <c r="AG739" s="22">
        <f t="shared" si="184"/>
        <v>8.2958030299084108E-4</v>
      </c>
      <c r="AH739" s="22">
        <f t="shared" si="184"/>
        <v>8.3072124843764142E-4</v>
      </c>
      <c r="AI739" s="22">
        <f t="shared" si="184"/>
        <v>8.3184948584274219E-4</v>
      </c>
      <c r="AJ739" s="22">
        <f t="shared" si="184"/>
        <v>8.3296884550710043E-4</v>
      </c>
      <c r="AK739" s="22">
        <f t="shared" si="184"/>
        <v>8.3404507725258427E-4</v>
      </c>
      <c r="AL739" s="22">
        <f t="shared" si="184"/>
        <v>8.3507692190961139E-4</v>
      </c>
      <c r="AM739" s="22">
        <f t="shared" si="184"/>
        <v>8.3607402318444201E-4</v>
      </c>
      <c r="AN739" s="22">
        <f t="shared" si="184"/>
        <v>8.3702870329149695E-4</v>
      </c>
      <c r="AO739" s="22">
        <f t="shared" si="184"/>
        <v>8.3794269409521473E-4</v>
      </c>
      <c r="AP739" s="22">
        <f t="shared" si="184"/>
        <v>8.3881187896429009E-4</v>
      </c>
      <c r="AQ739" s="22">
        <f t="shared" si="184"/>
        <v>8.3962381979516996E-4</v>
      </c>
      <c r="AR739" s="22">
        <f t="shared" si="184"/>
        <v>8.4036699047040963E-4</v>
      </c>
      <c r="AS739" s="22">
        <f t="shared" si="184"/>
        <v>8.4104064017922141E-4</v>
      </c>
      <c r="AT739" s="22">
        <f t="shared" si="184"/>
        <v>8.4163961385914194E-4</v>
      </c>
      <c r="AU739" s="22">
        <f t="shared" si="184"/>
        <v>8.4216362263346621E-4</v>
      </c>
      <c r="AV739" s="22">
        <f t="shared" si="184"/>
        <v>8.4262269443187052E-4</v>
      </c>
      <c r="AW739" s="22">
        <f t="shared" si="184"/>
        <v>8.4295720189943475E-4</v>
      </c>
      <c r="AY739" s="79"/>
      <c r="AZ739" s="79"/>
    </row>
    <row r="740" spans="1:52" x14ac:dyDescent="0.25">
      <c r="A740" s="95" t="str">
        <f t="shared" si="176"/>
        <v>NI MM Volatilisation</v>
      </c>
      <c r="B740" s="95" t="s">
        <v>968</v>
      </c>
      <c r="C740" s="95" t="s">
        <v>1331</v>
      </c>
      <c r="D740" t="s">
        <v>369</v>
      </c>
      <c r="E740" t="s">
        <v>64</v>
      </c>
      <c r="F740" t="s">
        <v>62</v>
      </c>
      <c r="G740" t="s">
        <v>1167</v>
      </c>
      <c r="H740" t="s">
        <v>1297</v>
      </c>
      <c r="I740" t="s">
        <v>139</v>
      </c>
      <c r="J740" t="s">
        <v>287</v>
      </c>
      <c r="K740" s="22">
        <f t="shared" ref="K740:AW740" si="185">K1539</f>
        <v>1.4486129996083081E-5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1.4890706011157255E-5</v>
      </c>
      <c r="R740" s="22">
        <f t="shared" si="185"/>
        <v>1.4988675221399694E-5</v>
      </c>
      <c r="S740" s="22">
        <f t="shared" si="185"/>
        <v>1.4951923212530766E-5</v>
      </c>
      <c r="T740" s="22">
        <f t="shared" si="185"/>
        <v>1.4977625582861877E-5</v>
      </c>
      <c r="U740" s="22">
        <f t="shared" si="185"/>
        <v>1.4980119703065675E-5</v>
      </c>
      <c r="V740" s="22">
        <f t="shared" si="185"/>
        <v>1.4986976942692676E-5</v>
      </c>
      <c r="W740" s="22">
        <f t="shared" si="185"/>
        <v>1.5017294663736538E-5</v>
      </c>
      <c r="X740" s="22">
        <f t="shared" si="185"/>
        <v>1.5061890336193319E-5</v>
      </c>
      <c r="Y740" s="22">
        <f t="shared" si="185"/>
        <v>1.5103986297595971E-5</v>
      </c>
      <c r="Z740" s="22">
        <f t="shared" si="185"/>
        <v>1.5143780477124499E-5</v>
      </c>
      <c r="AA740" s="22">
        <f t="shared" si="185"/>
        <v>1.5181293243682811E-5</v>
      </c>
      <c r="AB740" s="22">
        <f t="shared" si="185"/>
        <v>1.5217300806744068E-5</v>
      </c>
      <c r="AC740" s="22">
        <f t="shared" si="185"/>
        <v>1.5252343422195684E-5</v>
      </c>
      <c r="AD740" s="22">
        <f t="shared" si="185"/>
        <v>1.5286134993525756E-5</v>
      </c>
      <c r="AE740" s="22">
        <f t="shared" si="185"/>
        <v>1.531918306979576E-5</v>
      </c>
      <c r="AF740" s="22">
        <f t="shared" si="185"/>
        <v>1.5351423055728344E-5</v>
      </c>
      <c r="AG740" s="22">
        <f t="shared" si="185"/>
        <v>1.5382634347686873E-5</v>
      </c>
      <c r="AH740" s="22">
        <f t="shared" si="185"/>
        <v>1.5412986814805202E-5</v>
      </c>
      <c r="AI740" s="22">
        <f t="shared" si="185"/>
        <v>1.5442542460580333E-5</v>
      </c>
      <c r="AJ740" s="22">
        <f t="shared" si="185"/>
        <v>1.5471431054826288E-5</v>
      </c>
      <c r="AK740" s="22">
        <f t="shared" si="185"/>
        <v>1.5498756892033488E-5</v>
      </c>
      <c r="AL740" s="22">
        <f t="shared" si="185"/>
        <v>1.5524513513074621E-5</v>
      </c>
      <c r="AM740" s="22">
        <f t="shared" si="185"/>
        <v>1.5548984646319332E-5</v>
      </c>
      <c r="AN740" s="22">
        <f t="shared" si="185"/>
        <v>1.5571987875403361E-5</v>
      </c>
      <c r="AO740" s="22">
        <f t="shared" si="185"/>
        <v>1.5593591673600764E-5</v>
      </c>
      <c r="AP740" s="22">
        <f t="shared" si="185"/>
        <v>1.5613707165200276E-5</v>
      </c>
      <c r="AQ740" s="22">
        <f t="shared" si="185"/>
        <v>1.5632023858239551E-5</v>
      </c>
      <c r="AR740" s="22">
        <f t="shared" si="185"/>
        <v>1.5648256533695206E-5</v>
      </c>
      <c r="AS740" s="22">
        <f t="shared" si="185"/>
        <v>1.5662406299088669E-5</v>
      </c>
      <c r="AT740" s="22">
        <f t="shared" si="185"/>
        <v>1.5674356891571193E-5</v>
      </c>
      <c r="AU740" s="22">
        <f t="shared" si="185"/>
        <v>1.5684120431636331E-5</v>
      </c>
      <c r="AV740" s="22">
        <f t="shared" si="185"/>
        <v>1.5691980107154113E-5</v>
      </c>
      <c r="AW740" s="22">
        <f t="shared" si="185"/>
        <v>1.5696383554298718E-5</v>
      </c>
      <c r="AY740" s="79"/>
      <c r="AZ740" s="79"/>
    </row>
    <row r="741" spans="1:52" x14ac:dyDescent="0.25">
      <c r="A741" s="95" t="str">
        <f t="shared" si="176"/>
        <v>NI MM Volatilisation</v>
      </c>
      <c r="B741" s="95" t="s">
        <v>968</v>
      </c>
      <c r="C741" s="95" t="s">
        <v>1331</v>
      </c>
      <c r="D741" t="s">
        <v>369</v>
      </c>
      <c r="E741" t="s">
        <v>64</v>
      </c>
      <c r="F741" t="s">
        <v>62</v>
      </c>
      <c r="G741" t="s">
        <v>1169</v>
      </c>
      <c r="H741" t="s">
        <v>1298</v>
      </c>
      <c r="I741" t="s">
        <v>139</v>
      </c>
      <c r="J741" t="s">
        <v>287</v>
      </c>
      <c r="K741" s="22">
        <f t="shared" ref="K741:AW741" si="186">K1540</f>
        <v>1.4738364076719785E-3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1.5149984613639165E-3</v>
      </c>
      <c r="R741" s="22">
        <f t="shared" si="186"/>
        <v>1.5249659674490626E-3</v>
      </c>
      <c r="S741" s="22">
        <f t="shared" si="186"/>
        <v>1.5212267735621682E-3</v>
      </c>
      <c r="T741" s="22">
        <f t="shared" si="186"/>
        <v>1.523841763843748E-3</v>
      </c>
      <c r="U741" s="22">
        <f t="shared" si="186"/>
        <v>1.5240955186535188E-3</v>
      </c>
      <c r="V741" s="22">
        <f t="shared" si="186"/>
        <v>1.5247931825168926E-3</v>
      </c>
      <c r="W741" s="22">
        <f t="shared" si="186"/>
        <v>1.5278777441689124E-3</v>
      </c>
      <c r="X741" s="22">
        <f t="shared" si="186"/>
        <v>1.53241496188746E-3</v>
      </c>
      <c r="Y741" s="22">
        <f t="shared" si="186"/>
        <v>1.536697855976355E-3</v>
      </c>
      <c r="Z741" s="22">
        <f t="shared" si="186"/>
        <v>1.5407465639900506E-3</v>
      </c>
      <c r="AA741" s="22">
        <f t="shared" si="186"/>
        <v>1.5445631582854966E-3</v>
      </c>
      <c r="AB741" s="22">
        <f t="shared" si="186"/>
        <v>1.5482266113544371E-3</v>
      </c>
      <c r="AC741" s="22">
        <f t="shared" si="186"/>
        <v>1.551791889485077E-3</v>
      </c>
      <c r="AD741" s="22">
        <f t="shared" si="186"/>
        <v>1.555229884871849E-3</v>
      </c>
      <c r="AE741" s="22">
        <f t="shared" si="186"/>
        <v>1.5585922361708792E-3</v>
      </c>
      <c r="AF741" s="22">
        <f t="shared" si="186"/>
        <v>1.561872371380429E-3</v>
      </c>
      <c r="AG741" s="22">
        <f t="shared" si="186"/>
        <v>1.5650478460193693E-3</v>
      </c>
      <c r="AH741" s="22">
        <f t="shared" si="186"/>
        <v>1.5681359427790809E-3</v>
      </c>
      <c r="AI741" s="22">
        <f t="shared" si="186"/>
        <v>1.5711429699704306E-3</v>
      </c>
      <c r="AJ741" s="22">
        <f t="shared" si="186"/>
        <v>1.5740821305314401E-3</v>
      </c>
      <c r="AK741" s="22">
        <f t="shared" si="186"/>
        <v>1.5768622942989184E-3</v>
      </c>
      <c r="AL741" s="22">
        <f t="shared" si="186"/>
        <v>1.5794828041134305E-3</v>
      </c>
      <c r="AM741" s="22">
        <f t="shared" si="186"/>
        <v>1.5819725268428828E-3</v>
      </c>
      <c r="AN741" s="22">
        <f t="shared" si="186"/>
        <v>1.5843129032254801E-3</v>
      </c>
      <c r="AO741" s="22">
        <f t="shared" si="186"/>
        <v>1.586510899815041E-3</v>
      </c>
      <c r="AP741" s="22">
        <f t="shared" si="186"/>
        <v>1.5885574742890791E-3</v>
      </c>
      <c r="AQ741" s="22">
        <f t="shared" si="186"/>
        <v>1.5904210368193567E-3</v>
      </c>
      <c r="AR741" s="22">
        <f t="shared" si="186"/>
        <v>1.592072568877052E-3</v>
      </c>
      <c r="AS741" s="22">
        <f t="shared" si="186"/>
        <v>1.5935121831427352E-3</v>
      </c>
      <c r="AT741" s="22">
        <f t="shared" si="186"/>
        <v>1.5947280508933873E-3</v>
      </c>
      <c r="AU741" s="22">
        <f t="shared" si="186"/>
        <v>1.5957214052826996E-3</v>
      </c>
      <c r="AV741" s="22">
        <f t="shared" si="186"/>
        <v>1.5965210581874944E-3</v>
      </c>
      <c r="AW741" s="22">
        <f t="shared" si="186"/>
        <v>1.596969070232308E-3</v>
      </c>
      <c r="AY741" s="79"/>
      <c r="AZ741" s="79"/>
    </row>
    <row r="742" spans="1:52" x14ac:dyDescent="0.25">
      <c r="A742" s="95" t="str">
        <f t="shared" si="176"/>
        <v>NI MM Volatilisation</v>
      </c>
      <c r="B742" s="95" t="s">
        <v>968</v>
      </c>
      <c r="C742" s="95" t="s">
        <v>1331</v>
      </c>
      <c r="D742" t="s">
        <v>369</v>
      </c>
      <c r="E742" t="s">
        <v>64</v>
      </c>
      <c r="F742" t="s">
        <v>62</v>
      </c>
      <c r="G742" t="s">
        <v>1171</v>
      </c>
      <c r="H742" t="s">
        <v>1299</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5">
      <c r="A743" s="95" t="str">
        <f t="shared" si="176"/>
        <v>NI MM Volatilisation</v>
      </c>
      <c r="B743" s="95" t="s">
        <v>968</v>
      </c>
      <c r="C743" s="95" t="s">
        <v>1331</v>
      </c>
      <c r="D743" t="s">
        <v>369</v>
      </c>
      <c r="E743" t="s">
        <v>64</v>
      </c>
      <c r="F743" t="s">
        <v>62</v>
      </c>
      <c r="G743" t="s">
        <v>1173</v>
      </c>
      <c r="H743" t="s">
        <v>1300</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5">
      <c r="A744" s="95" t="str">
        <f t="shared" si="176"/>
        <v>NI MM Volatilisation</v>
      </c>
      <c r="B744" s="95" t="s">
        <v>968</v>
      </c>
      <c r="C744" s="95" t="s">
        <v>1331</v>
      </c>
      <c r="D744" t="s">
        <v>369</v>
      </c>
      <c r="E744" t="s">
        <v>64</v>
      </c>
      <c r="F744" t="s">
        <v>62</v>
      </c>
      <c r="G744" t="s">
        <v>1175</v>
      </c>
      <c r="H744" t="s">
        <v>1301</v>
      </c>
      <c r="I744" t="s">
        <v>139</v>
      </c>
      <c r="J744" t="s">
        <v>287</v>
      </c>
      <c r="K744" s="22">
        <f t="shared" ref="K744:AW744" si="189">K1543</f>
        <v>0.13075625264316332</v>
      </c>
      <c r="L744" s="22">
        <f t="shared" si="189"/>
        <v>0.13004550543955865</v>
      </c>
      <c r="M744" s="22">
        <f t="shared" si="189"/>
        <v>0.13010384136507705</v>
      </c>
      <c r="N744" s="22">
        <f t="shared" si="189"/>
        <v>0.12890938840294827</v>
      </c>
      <c r="O744" s="22">
        <f t="shared" si="189"/>
        <v>0.12695857121838466</v>
      </c>
      <c r="P744" s="22">
        <f t="shared" si="189"/>
        <v>0.12428257569245393</v>
      </c>
      <c r="Q744" s="22">
        <f t="shared" si="189"/>
        <v>0.12233950618032063</v>
      </c>
      <c r="R744" s="22">
        <f t="shared" si="189"/>
        <v>0.12056837226162823</v>
      </c>
      <c r="S744" s="22">
        <f t="shared" si="189"/>
        <v>0.10830895289651481</v>
      </c>
      <c r="T744" s="22">
        <f t="shared" si="189"/>
        <v>0.11320330426035914</v>
      </c>
      <c r="U744" s="22">
        <f t="shared" si="189"/>
        <v>0.11468301383498544</v>
      </c>
      <c r="V744" s="22">
        <f t="shared" si="189"/>
        <v>0.11355120382559489</v>
      </c>
      <c r="W744" s="22">
        <f t="shared" si="189"/>
        <v>0.11255578294046394</v>
      </c>
      <c r="X744" s="22">
        <f t="shared" si="189"/>
        <v>0.11224814770681171</v>
      </c>
      <c r="Y744" s="22">
        <f t="shared" si="189"/>
        <v>0.11260156809388705</v>
      </c>
      <c r="Z744" s="22">
        <f t="shared" si="189"/>
        <v>0.11325984846472106</v>
      </c>
      <c r="AA744" s="22">
        <f t="shared" si="189"/>
        <v>0.11429808983181136</v>
      </c>
      <c r="AB744" s="22">
        <f t="shared" si="189"/>
        <v>0.11596592254580176</v>
      </c>
      <c r="AC744" s="22">
        <f t="shared" si="189"/>
        <v>0.11820511582305605</v>
      </c>
      <c r="AD744" s="22">
        <f t="shared" si="189"/>
        <v>0.12075365463644311</v>
      </c>
      <c r="AE744" s="22">
        <f t="shared" si="189"/>
        <v>0.12358623956337132</v>
      </c>
      <c r="AF744" s="22">
        <f t="shared" si="189"/>
        <v>0.12656118355318</v>
      </c>
      <c r="AG744" s="22">
        <f t="shared" si="189"/>
        <v>0.12972957848678721</v>
      </c>
      <c r="AH744" s="22">
        <f t="shared" si="189"/>
        <v>0.13302313311609873</v>
      </c>
      <c r="AI744" s="22">
        <f t="shared" si="189"/>
        <v>0.13621929545186015</v>
      </c>
      <c r="AJ744" s="22">
        <f t="shared" si="189"/>
        <v>0.13962684476435561</v>
      </c>
      <c r="AK744" s="22">
        <f t="shared" si="189"/>
        <v>0.14304119066791054</v>
      </c>
      <c r="AL744" s="22">
        <f t="shared" si="189"/>
        <v>0.14644440679500975</v>
      </c>
      <c r="AM744" s="22">
        <f t="shared" si="189"/>
        <v>0.14992455211372072</v>
      </c>
      <c r="AN744" s="22">
        <f t="shared" si="189"/>
        <v>0.15325657222760428</v>
      </c>
      <c r="AO744" s="22">
        <f t="shared" si="189"/>
        <v>0.15674333681767427</v>
      </c>
      <c r="AP744" s="22">
        <f t="shared" si="189"/>
        <v>0.16048535923438295</v>
      </c>
      <c r="AQ744" s="22">
        <f t="shared" si="189"/>
        <v>0.16429277839644263</v>
      </c>
      <c r="AR744" s="22">
        <f t="shared" si="189"/>
        <v>0.16817259395975112</v>
      </c>
      <c r="AS744" s="22">
        <f t="shared" si="189"/>
        <v>0.17231652203790412</v>
      </c>
      <c r="AT744" s="22">
        <f t="shared" si="189"/>
        <v>0.17665242177214358</v>
      </c>
      <c r="AU744" s="22">
        <f t="shared" si="189"/>
        <v>0.18113086971422945</v>
      </c>
      <c r="AV744" s="22">
        <f t="shared" si="189"/>
        <v>0.18586803919890985</v>
      </c>
      <c r="AW744" s="22">
        <f t="shared" si="189"/>
        <v>0.19015603509530893</v>
      </c>
      <c r="AY744" s="79"/>
      <c r="AZ744" s="79"/>
    </row>
    <row r="745" spans="1:52" x14ac:dyDescent="0.25">
      <c r="A745" s="95" t="str">
        <f t="shared" si="176"/>
        <v>NI MM Volatilisation</v>
      </c>
      <c r="B745" s="95" t="s">
        <v>968</v>
      </c>
      <c r="C745" s="95" t="s">
        <v>1331</v>
      </c>
      <c r="D745" t="s">
        <v>369</v>
      </c>
      <c r="E745" t="s">
        <v>64</v>
      </c>
      <c r="F745" t="s">
        <v>62</v>
      </c>
      <c r="G745" t="s">
        <v>1177</v>
      </c>
      <c r="H745" t="s">
        <v>1302</v>
      </c>
      <c r="I745" t="s">
        <v>139</v>
      </c>
      <c r="J745" t="s">
        <v>287</v>
      </c>
      <c r="K745" s="22">
        <f t="shared" ref="K745:AW745" si="190">K1544</f>
        <v>1.2724633182830876E-2</v>
      </c>
      <c r="L745" s="22">
        <f t="shared" si="190"/>
        <v>1.2655466337890211E-2</v>
      </c>
      <c r="M745" s="22">
        <f t="shared" si="190"/>
        <v>1.2661143337946403E-2</v>
      </c>
      <c r="N745" s="22">
        <f t="shared" si="190"/>
        <v>1.2544904339887072E-2</v>
      </c>
      <c r="O745" s="22">
        <f t="shared" si="190"/>
        <v>1.2355059245839609E-2</v>
      </c>
      <c r="P745" s="22">
        <f t="shared" si="190"/>
        <v>1.2094642930917438E-2</v>
      </c>
      <c r="Q745" s="22">
        <f t="shared" si="190"/>
        <v>1.1905551806853848E-2</v>
      </c>
      <c r="R745" s="22">
        <f t="shared" si="190"/>
        <v>1.1733192711380727E-2</v>
      </c>
      <c r="S745" s="22">
        <f t="shared" si="190"/>
        <v>1.0540159022343456E-2</v>
      </c>
      <c r="T745" s="22">
        <f t="shared" si="190"/>
        <v>1.1016456136354276E-2</v>
      </c>
      <c r="U745" s="22">
        <f t="shared" si="190"/>
        <v>1.1160455074635459E-2</v>
      </c>
      <c r="V745" s="22">
        <f t="shared" si="190"/>
        <v>1.1050312217899923E-2</v>
      </c>
      <c r="W745" s="22">
        <f t="shared" si="190"/>
        <v>1.0953442161059227E-2</v>
      </c>
      <c r="X745" s="22">
        <f t="shared" si="190"/>
        <v>1.092350443018052E-2</v>
      </c>
      <c r="Y745" s="22">
        <f t="shared" si="190"/>
        <v>1.0957897774238343E-2</v>
      </c>
      <c r="Z745" s="22">
        <f t="shared" si="190"/>
        <v>1.1021958773854017E-2</v>
      </c>
      <c r="AA745" s="22">
        <f t="shared" si="190"/>
        <v>1.1122995934864729E-2</v>
      </c>
      <c r="AB745" s="22">
        <f t="shared" si="190"/>
        <v>1.1285302203718813E-2</v>
      </c>
      <c r="AC745" s="22">
        <f t="shared" si="190"/>
        <v>1.1503210812313454E-2</v>
      </c>
      <c r="AD745" s="22">
        <f t="shared" si="190"/>
        <v>1.1751223591029727E-2</v>
      </c>
      <c r="AE745" s="22">
        <f t="shared" si="190"/>
        <v>1.2026878509443005E-2</v>
      </c>
      <c r="AF745" s="22">
        <f t="shared" si="190"/>
        <v>1.231638719636668E-2</v>
      </c>
      <c r="AG745" s="22">
        <f t="shared" si="190"/>
        <v>1.2624721692756056E-2</v>
      </c>
      <c r="AH745" s="22">
        <f t="shared" si="190"/>
        <v>1.2945236189603672E-2</v>
      </c>
      <c r="AI745" s="22">
        <f t="shared" si="190"/>
        <v>1.3256272889518386E-2</v>
      </c>
      <c r="AJ745" s="22">
        <f t="shared" si="190"/>
        <v>1.3587880856077676E-2</v>
      </c>
      <c r="AK745" s="22">
        <f t="shared" si="190"/>
        <v>1.3920150237493829E-2</v>
      </c>
      <c r="AL745" s="22">
        <f t="shared" si="190"/>
        <v>1.4251336517184878E-2</v>
      </c>
      <c r="AM745" s="22">
        <f t="shared" si="190"/>
        <v>1.459000921320037E-2</v>
      </c>
      <c r="AN745" s="22">
        <f t="shared" si="190"/>
        <v>1.4914267004701089E-2</v>
      </c>
      <c r="AO745" s="22">
        <f t="shared" si="190"/>
        <v>1.5253583859586839E-2</v>
      </c>
      <c r="AP745" s="22">
        <f t="shared" si="190"/>
        <v>1.5617741302554344E-2</v>
      </c>
      <c r="AQ745" s="22">
        <f t="shared" si="190"/>
        <v>1.5988262874036725E-2</v>
      </c>
      <c r="AR745" s="22">
        <f t="shared" si="190"/>
        <v>1.6365829750282931E-2</v>
      </c>
      <c r="AS745" s="22">
        <f t="shared" si="190"/>
        <v>1.676909891458386E-2</v>
      </c>
      <c r="AT745" s="22">
        <f t="shared" si="190"/>
        <v>1.7191049930466051E-2</v>
      </c>
      <c r="AU745" s="22">
        <f t="shared" si="190"/>
        <v>1.7626873121628955E-2</v>
      </c>
      <c r="AV745" s="22">
        <f t="shared" si="190"/>
        <v>1.8087873974735078E-2</v>
      </c>
      <c r="AW745" s="22">
        <f t="shared" si="190"/>
        <v>1.8505163196230787E-2</v>
      </c>
      <c r="AY745" s="79"/>
      <c r="AZ745" s="79"/>
    </row>
    <row r="746" spans="1:52" x14ac:dyDescent="0.25">
      <c r="A746" s="95" t="str">
        <f t="shared" si="176"/>
        <v>NI MM Volatilisation</v>
      </c>
      <c r="B746" s="95" t="s">
        <v>968</v>
      </c>
      <c r="C746" s="95" t="s">
        <v>1331</v>
      </c>
      <c r="D746" t="s">
        <v>369</v>
      </c>
      <c r="E746" t="s">
        <v>64</v>
      </c>
      <c r="F746" t="s">
        <v>62</v>
      </c>
      <c r="G746" t="s">
        <v>1179</v>
      </c>
      <c r="H746" t="s">
        <v>1303</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7.1969839340941866E-2</v>
      </c>
      <c r="S746" s="22">
        <f t="shared" si="191"/>
        <v>6.9075990112688196E-2</v>
      </c>
      <c r="T746" s="22">
        <f t="shared" si="191"/>
        <v>7.1960031651071718E-2</v>
      </c>
      <c r="U746" s="22">
        <f t="shared" si="191"/>
        <v>7.3674037695468111E-2</v>
      </c>
      <c r="V746" s="22">
        <f t="shared" si="191"/>
        <v>7.4492152680205134E-2</v>
      </c>
      <c r="W746" s="22">
        <f t="shared" si="191"/>
        <v>7.5399470920563483E-2</v>
      </c>
      <c r="X746" s="22">
        <f t="shared" si="191"/>
        <v>7.6582710746940591E-2</v>
      </c>
      <c r="Y746" s="22">
        <f t="shared" si="191"/>
        <v>7.8007027191938444E-2</v>
      </c>
      <c r="Z746" s="22">
        <f t="shared" si="191"/>
        <v>7.95518212189988E-2</v>
      </c>
      <c r="AA746" s="22">
        <f t="shared" si="191"/>
        <v>8.125501320297529E-2</v>
      </c>
      <c r="AB746" s="22">
        <f t="shared" si="191"/>
        <v>8.3229375715267798E-2</v>
      </c>
      <c r="AC746" s="22">
        <f t="shared" si="191"/>
        <v>8.5468913054205911E-2</v>
      </c>
      <c r="AD746" s="22">
        <f t="shared" si="191"/>
        <v>8.7878363840128426E-2</v>
      </c>
      <c r="AE746" s="22">
        <f t="shared" si="191"/>
        <v>9.0457350276048634E-2</v>
      </c>
      <c r="AF746" s="22">
        <f t="shared" si="191"/>
        <v>9.3152543573947852E-2</v>
      </c>
      <c r="AG746" s="22">
        <f t="shared" si="191"/>
        <v>9.5991306514799535E-2</v>
      </c>
      <c r="AH746" s="22">
        <f t="shared" si="191"/>
        <v>9.8949791609125759E-2</v>
      </c>
      <c r="AI746" s="22">
        <f t="shared" si="191"/>
        <v>0.10193029518056052</v>
      </c>
      <c r="AJ746" s="22">
        <f t="shared" si="191"/>
        <v>0.10507798344014782</v>
      </c>
      <c r="AK746" s="22">
        <f t="shared" si="191"/>
        <v>0.10829971138803891</v>
      </c>
      <c r="AL746" s="22">
        <f t="shared" si="191"/>
        <v>0.11158886411942164</v>
      </c>
      <c r="AM746" s="22">
        <f t="shared" si="191"/>
        <v>0.11499192397451925</v>
      </c>
      <c r="AN746" s="22">
        <f t="shared" si="191"/>
        <v>0.11839831966593896</v>
      </c>
      <c r="AO746" s="22">
        <f t="shared" si="191"/>
        <v>0.12196310213771001</v>
      </c>
      <c r="AP746" s="22">
        <f t="shared" si="191"/>
        <v>0.12574583816913645</v>
      </c>
      <c r="AQ746" s="22">
        <f t="shared" si="191"/>
        <v>0.12965360602860704</v>
      </c>
      <c r="AR746" s="22">
        <f t="shared" si="191"/>
        <v>0.13369403699154539</v>
      </c>
      <c r="AS746" s="22">
        <f t="shared" si="191"/>
        <v>0.1379790125366526</v>
      </c>
      <c r="AT746" s="22">
        <f t="shared" si="191"/>
        <v>0.14247835199666176</v>
      </c>
      <c r="AU746" s="22">
        <f t="shared" si="191"/>
        <v>0.14717275078625591</v>
      </c>
      <c r="AV746" s="22">
        <f t="shared" si="191"/>
        <v>0.15213947342494369</v>
      </c>
      <c r="AW746" s="22">
        <f t="shared" si="191"/>
        <v>0.15696141877860778</v>
      </c>
      <c r="AY746" s="79"/>
      <c r="AZ746" s="79"/>
    </row>
    <row r="747" spans="1:52" x14ac:dyDescent="0.25">
      <c r="A747" s="95" t="str">
        <f t="shared" si="176"/>
        <v>NI MM Volatilisation</v>
      </c>
      <c r="B747" s="95" t="s">
        <v>968</v>
      </c>
      <c r="C747" s="95" t="s">
        <v>1331</v>
      </c>
      <c r="D747" t="s">
        <v>369</v>
      </c>
      <c r="E747" t="s">
        <v>64</v>
      </c>
      <c r="F747" t="s">
        <v>62</v>
      </c>
      <c r="G747" t="s">
        <v>1181</v>
      </c>
      <c r="H747" t="s">
        <v>1304</v>
      </c>
      <c r="I747" t="s">
        <v>139</v>
      </c>
      <c r="J747" t="s">
        <v>287</v>
      </c>
      <c r="K747" s="22">
        <f t="shared" ref="K747:AW747" si="192">K1546</f>
        <v>0.31034319165291718</v>
      </c>
      <c r="L747" s="22">
        <f t="shared" si="192"/>
        <v>0.31442985679016972</v>
      </c>
      <c r="M747" s="22">
        <f t="shared" si="192"/>
        <v>0.3209942132552846</v>
      </c>
      <c r="N747" s="22">
        <f t="shared" si="192"/>
        <v>0.3228790317815291</v>
      </c>
      <c r="O747" s="22">
        <f t="shared" si="192"/>
        <v>0.3217232753588708</v>
      </c>
      <c r="P747" s="22">
        <f t="shared" si="192"/>
        <v>0.31753924052538912</v>
      </c>
      <c r="Q747" s="22">
        <f t="shared" si="192"/>
        <v>0.31577785743754239</v>
      </c>
      <c r="R747" s="22">
        <f t="shared" si="192"/>
        <v>0.31441607582114939</v>
      </c>
      <c r="S747" s="22">
        <f t="shared" si="192"/>
        <v>0.27355046715049131</v>
      </c>
      <c r="T747" s="22">
        <f t="shared" si="192"/>
        <v>0.2982999703835697</v>
      </c>
      <c r="U747" s="22">
        <f t="shared" si="192"/>
        <v>0.31020865266324016</v>
      </c>
      <c r="V747" s="22">
        <f t="shared" si="192"/>
        <v>0.31169871113596848</v>
      </c>
      <c r="W747" s="22">
        <f t="shared" si="192"/>
        <v>0.313416443296333</v>
      </c>
      <c r="X747" s="22">
        <f t="shared" si="192"/>
        <v>0.31777262865062833</v>
      </c>
      <c r="Y747" s="22">
        <f t="shared" si="192"/>
        <v>0.32494530500053975</v>
      </c>
      <c r="Z747" s="22">
        <f t="shared" si="192"/>
        <v>0.33352717212448735</v>
      </c>
      <c r="AA747" s="22">
        <f t="shared" si="192"/>
        <v>0.34389700896977449</v>
      </c>
      <c r="AB747" s="22">
        <f t="shared" si="192"/>
        <v>0.35720613223021092</v>
      </c>
      <c r="AC747" s="22">
        <f t="shared" si="192"/>
        <v>0.37330270784262232</v>
      </c>
      <c r="AD747" s="22">
        <f t="shared" si="192"/>
        <v>0.39111878330548938</v>
      </c>
      <c r="AE747" s="22">
        <f t="shared" si="192"/>
        <v>0.41059525274758124</v>
      </c>
      <c r="AF747" s="22">
        <f t="shared" si="192"/>
        <v>0.4311392832902729</v>
      </c>
      <c r="AG747" s="22">
        <f t="shared" si="192"/>
        <v>0.45302578965799745</v>
      </c>
      <c r="AH747" s="22">
        <f t="shared" si="192"/>
        <v>0.47597562229356133</v>
      </c>
      <c r="AI747" s="22">
        <f t="shared" si="192"/>
        <v>0.49895875258724764</v>
      </c>
      <c r="AJ747" s="22">
        <f t="shared" si="192"/>
        <v>0.52346175750841617</v>
      </c>
      <c r="AK747" s="22">
        <f t="shared" si="192"/>
        <v>0.54854282752031391</v>
      </c>
      <c r="AL747" s="22">
        <f t="shared" si="192"/>
        <v>0.57412757690619154</v>
      </c>
      <c r="AM747" s="22">
        <f t="shared" si="192"/>
        <v>0.60066723743034001</v>
      </c>
      <c r="AN747" s="22">
        <f t="shared" si="192"/>
        <v>0.62704755150284652</v>
      </c>
      <c r="AO747" s="22">
        <f t="shared" si="192"/>
        <v>0.65481507956811935</v>
      </c>
      <c r="AP747" s="22">
        <f t="shared" si="192"/>
        <v>0.68454150627200949</v>
      </c>
      <c r="AQ747" s="22">
        <f t="shared" si="192"/>
        <v>0.71529406948310958</v>
      </c>
      <c r="AR747" s="22">
        <f t="shared" si="192"/>
        <v>0.74714458055742761</v>
      </c>
      <c r="AS747" s="22">
        <f t="shared" si="192"/>
        <v>0.78116708322765893</v>
      </c>
      <c r="AT747" s="22">
        <f t="shared" si="192"/>
        <v>0.81704220152579388</v>
      </c>
      <c r="AU747" s="22">
        <f t="shared" si="192"/>
        <v>0.85455779039390145</v>
      </c>
      <c r="AV747" s="22">
        <f t="shared" si="192"/>
        <v>0.8944207901364416</v>
      </c>
      <c r="AW747" s="22">
        <f t="shared" si="192"/>
        <v>0.93268516809491542</v>
      </c>
      <c r="AY747" s="79"/>
      <c r="AZ747" s="79"/>
    </row>
    <row r="748" spans="1:52" x14ac:dyDescent="0.25">
      <c r="A748" s="95" t="str">
        <f t="shared" si="176"/>
        <v>NI MM Leaching</v>
      </c>
      <c r="B748" s="95" t="s">
        <v>968</v>
      </c>
      <c r="C748" s="95" t="s">
        <v>1332</v>
      </c>
      <c r="D748" t="s">
        <v>369</v>
      </c>
      <c r="E748" t="s">
        <v>64</v>
      </c>
      <c r="F748" t="s">
        <v>63</v>
      </c>
      <c r="G748" t="s">
        <v>1151</v>
      </c>
      <c r="H748" t="s">
        <v>1305</v>
      </c>
      <c r="I748" t="s">
        <v>139</v>
      </c>
      <c r="J748" t="s">
        <v>287</v>
      </c>
      <c r="K748" s="22">
        <f t="shared" ref="K748:AW748" si="193">K1547</f>
        <v>8.9211118607918846E-2</v>
      </c>
      <c r="L748" s="22">
        <f t="shared" si="193"/>
        <v>8.9709854381943815E-2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9.2016609055475665E-2</v>
      </c>
      <c r="S748" s="22">
        <f t="shared" si="193"/>
        <v>8.9358864650084344E-2</v>
      </c>
      <c r="T748" s="22">
        <f t="shared" si="193"/>
        <v>9.1160880262772734E-2</v>
      </c>
      <c r="U748" s="22">
        <f t="shared" si="193"/>
        <v>9.2055417480081031E-2</v>
      </c>
      <c r="V748" s="22">
        <f t="shared" si="193"/>
        <v>9.2289034291272776E-2</v>
      </c>
      <c r="W748" s="22">
        <f t="shared" si="193"/>
        <v>9.2621209958625161E-2</v>
      </c>
      <c r="X748" s="22">
        <f t="shared" si="193"/>
        <v>9.3178603232719648E-2</v>
      </c>
      <c r="Y748" s="22">
        <f t="shared" si="193"/>
        <v>9.3914939363977226E-2</v>
      </c>
      <c r="Z748" s="22">
        <f t="shared" si="193"/>
        <v>9.4739349743762011E-2</v>
      </c>
      <c r="AA748" s="22">
        <f t="shared" si="193"/>
        <v>9.5677798677729631E-2</v>
      </c>
      <c r="AB748" s="22">
        <f t="shared" si="193"/>
        <v>9.6810748950836578E-2</v>
      </c>
      <c r="AC748" s="22">
        <f t="shared" si="193"/>
        <v>9.8131619080537594E-2</v>
      </c>
      <c r="AD748" s="22">
        <f t="shared" si="193"/>
        <v>9.956927276254475E-2</v>
      </c>
      <c r="AE748" s="22">
        <f t="shared" si="193"/>
        <v>0.10112241066666731</v>
      </c>
      <c r="AF748" s="22">
        <f t="shared" si="193"/>
        <v>0.10275162031430257</v>
      </c>
      <c r="AG748" s="22">
        <f t="shared" si="193"/>
        <v>0.10447512410975278</v>
      </c>
      <c r="AH748" s="22">
        <f t="shared" si="193"/>
        <v>0.10627520064757517</v>
      </c>
      <c r="AI748" s="22">
        <f t="shared" si="193"/>
        <v>0.10808248543054177</v>
      </c>
      <c r="AJ748" s="22">
        <f t="shared" si="193"/>
        <v>0.10999863373444546</v>
      </c>
      <c r="AK748" s="22">
        <f t="shared" si="193"/>
        <v>0.11195666285750208</v>
      </c>
      <c r="AL748" s="22">
        <f t="shared" si="193"/>
        <v>0.11395159289972816</v>
      </c>
      <c r="AM748" s="22">
        <f t="shared" si="193"/>
        <v>0.11601556458845022</v>
      </c>
      <c r="AN748" s="22">
        <f t="shared" si="193"/>
        <v>0.1180715269808419</v>
      </c>
      <c r="AO748" s="22">
        <f t="shared" si="193"/>
        <v>0.12022624785087629</v>
      </c>
      <c r="AP748" s="22">
        <f t="shared" si="193"/>
        <v>0.12251950907003291</v>
      </c>
      <c r="AQ748" s="22">
        <f t="shared" si="193"/>
        <v>0.12488629569373427</v>
      </c>
      <c r="AR748" s="22">
        <f t="shared" si="193"/>
        <v>0.12733088961691924</v>
      </c>
      <c r="AS748" s="22">
        <f t="shared" si="193"/>
        <v>0.1299285168324007</v>
      </c>
      <c r="AT748" s="22">
        <f t="shared" si="193"/>
        <v>0.13265733115300649</v>
      </c>
      <c r="AU748" s="22">
        <f t="shared" si="193"/>
        <v>0.1355032537790716</v>
      </c>
      <c r="AV748" s="22">
        <f t="shared" si="193"/>
        <v>0.13851756609044491</v>
      </c>
      <c r="AW748" s="22">
        <f t="shared" si="193"/>
        <v>0.1414178902191697</v>
      </c>
      <c r="AY748" s="79"/>
      <c r="AZ748" s="79"/>
    </row>
    <row r="749" spans="1:52" x14ac:dyDescent="0.25">
      <c r="A749" s="95" t="str">
        <f t="shared" si="176"/>
        <v>NI MM Leaching</v>
      </c>
      <c r="B749" s="95" t="s">
        <v>968</v>
      </c>
      <c r="C749" s="95" t="s">
        <v>1332</v>
      </c>
      <c r="D749" t="s">
        <v>369</v>
      </c>
      <c r="E749" t="s">
        <v>64</v>
      </c>
      <c r="F749" t="s">
        <v>63</v>
      </c>
      <c r="G749" t="s">
        <v>1153</v>
      </c>
      <c r="H749" t="s">
        <v>1306</v>
      </c>
      <c r="I749" t="s">
        <v>139</v>
      </c>
      <c r="J749" t="s">
        <v>287</v>
      </c>
      <c r="K749" s="22">
        <f t="shared" ref="K749:AW749" si="194">K1548</f>
        <v>2.6939494531157477E-2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2.7786681470952937E-2</v>
      </c>
      <c r="S749" s="22">
        <f t="shared" si="194"/>
        <v>2.6984110087570477E-2</v>
      </c>
      <c r="T749" s="22">
        <f t="shared" si="194"/>
        <v>2.7528273085418706E-2</v>
      </c>
      <c r="U749" s="22">
        <f t="shared" si="194"/>
        <v>2.7798400630612993E-2</v>
      </c>
      <c r="V749" s="22">
        <f t="shared" si="194"/>
        <v>2.786894698072824E-2</v>
      </c>
      <c r="W749" s="22">
        <f t="shared" si="194"/>
        <v>2.7969255604963213E-2</v>
      </c>
      <c r="X749" s="22">
        <f t="shared" si="194"/>
        <v>2.8137574232657669E-2</v>
      </c>
      <c r="Y749" s="22">
        <f t="shared" si="194"/>
        <v>2.8359929063430364E-2</v>
      </c>
      <c r="Z749" s="22">
        <f t="shared" si="194"/>
        <v>2.8608880082812278E-2</v>
      </c>
      <c r="AA749" s="22">
        <f t="shared" si="194"/>
        <v>2.8892267852396274E-2</v>
      </c>
      <c r="AB749" s="22">
        <f t="shared" si="194"/>
        <v>2.9234390091896226E-2</v>
      </c>
      <c r="AC749" s="22">
        <f t="shared" si="194"/>
        <v>2.9633259360555886E-2</v>
      </c>
      <c r="AD749" s="22">
        <f t="shared" si="194"/>
        <v>3.0067394299210185E-2</v>
      </c>
      <c r="AE749" s="22">
        <f t="shared" si="194"/>
        <v>3.0536402543105565E-2</v>
      </c>
      <c r="AF749" s="22">
        <f t="shared" si="194"/>
        <v>3.102838252359965E-2</v>
      </c>
      <c r="AG749" s="22">
        <f t="shared" si="194"/>
        <v>3.1548836944488824E-2</v>
      </c>
      <c r="AH749" s="22">
        <f t="shared" si="194"/>
        <v>3.2092414390921906E-2</v>
      </c>
      <c r="AI749" s="22">
        <f t="shared" si="194"/>
        <v>3.2638168544515178E-2</v>
      </c>
      <c r="AJ749" s="22">
        <f t="shared" si="194"/>
        <v>3.3216796719561036E-2</v>
      </c>
      <c r="AK749" s="22">
        <f t="shared" si="194"/>
        <v>3.3808071839473604E-2</v>
      </c>
      <c r="AL749" s="22">
        <f t="shared" si="194"/>
        <v>3.4410490100798045E-2</v>
      </c>
      <c r="AM749" s="22">
        <f t="shared" si="194"/>
        <v>3.5033757187775863E-2</v>
      </c>
      <c r="AN749" s="22">
        <f t="shared" si="194"/>
        <v>3.5654605670458001E-2</v>
      </c>
      <c r="AO749" s="22">
        <f t="shared" si="194"/>
        <v>3.6305276707883034E-2</v>
      </c>
      <c r="AP749" s="22">
        <f t="shared" si="194"/>
        <v>3.699778341597066E-2</v>
      </c>
      <c r="AQ749" s="22">
        <f t="shared" si="194"/>
        <v>3.7712492930889352E-2</v>
      </c>
      <c r="AR749" s="22">
        <f t="shared" si="194"/>
        <v>3.8450698276278859E-2</v>
      </c>
      <c r="AS749" s="22">
        <f t="shared" si="194"/>
        <v>3.9235115793483218E-2</v>
      </c>
      <c r="AT749" s="22">
        <f t="shared" si="194"/>
        <v>4.0059148488214832E-2</v>
      </c>
      <c r="AU749" s="22">
        <f t="shared" si="194"/>
        <v>4.0918544920154343E-2</v>
      </c>
      <c r="AV749" s="22">
        <f t="shared" si="194"/>
        <v>4.1828790765006174E-2</v>
      </c>
      <c r="AW749" s="22">
        <f t="shared" si="194"/>
        <v>4.2704615070581362E-2</v>
      </c>
      <c r="AY749" s="79"/>
      <c r="AZ749" s="79"/>
    </row>
    <row r="750" spans="1:52" x14ac:dyDescent="0.25">
      <c r="A750" s="95" t="str">
        <f t="shared" si="176"/>
        <v>NI MM Leaching</v>
      </c>
      <c r="B750" s="95" t="s">
        <v>968</v>
      </c>
      <c r="C750" s="95" t="s">
        <v>1332</v>
      </c>
      <c r="D750" t="s">
        <v>369</v>
      </c>
      <c r="E750" t="s">
        <v>64</v>
      </c>
      <c r="F750" t="s">
        <v>63</v>
      </c>
      <c r="G750" t="s">
        <v>1155</v>
      </c>
      <c r="H750" t="s">
        <v>1307</v>
      </c>
      <c r="I750" t="s">
        <v>139</v>
      </c>
      <c r="J750" t="s">
        <v>287</v>
      </c>
      <c r="K750" s="22">
        <f t="shared" ref="K750:AW750" si="195">K1549</f>
        <v>1.4483668498503175E-3</v>
      </c>
      <c r="L750" s="22">
        <f t="shared" si="195"/>
        <v>1.4564639612104711E-3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1.4939147526814829E-3</v>
      </c>
      <c r="S750" s="22">
        <f t="shared" si="195"/>
        <v>1.4507655471540646E-3</v>
      </c>
      <c r="T750" s="22">
        <f t="shared" si="195"/>
        <v>1.4800217622655623E-3</v>
      </c>
      <c r="U750" s="22">
        <f t="shared" si="195"/>
        <v>1.4945448180429578E-3</v>
      </c>
      <c r="V750" s="22">
        <f t="shared" si="195"/>
        <v>1.4983376507097578E-3</v>
      </c>
      <c r="W750" s="22">
        <f t="shared" si="195"/>
        <v>1.5037306132958967E-3</v>
      </c>
      <c r="X750" s="22">
        <f t="shared" si="195"/>
        <v>1.5127800451730611E-3</v>
      </c>
      <c r="Y750" s="22">
        <f t="shared" si="195"/>
        <v>1.5247346631568088E-3</v>
      </c>
      <c r="Z750" s="22">
        <f t="shared" si="195"/>
        <v>1.5381191905944778E-3</v>
      </c>
      <c r="AA750" s="22">
        <f t="shared" si="195"/>
        <v>1.5533551650721636E-3</v>
      </c>
      <c r="AB750" s="22">
        <f t="shared" si="195"/>
        <v>1.5717489218560997E-3</v>
      </c>
      <c r="AC750" s="22">
        <f t="shared" si="195"/>
        <v>1.5931936087815548E-3</v>
      </c>
      <c r="AD750" s="22">
        <f t="shared" si="195"/>
        <v>1.6165343085404703E-3</v>
      </c>
      <c r="AE750" s="22">
        <f t="shared" si="195"/>
        <v>1.641749926152706E-3</v>
      </c>
      <c r="AF750" s="22">
        <f t="shared" si="195"/>
        <v>1.6682005892753381E-3</v>
      </c>
      <c r="AG750" s="22">
        <f t="shared" si="195"/>
        <v>1.6961821436137869E-3</v>
      </c>
      <c r="AH750" s="22">
        <f t="shared" si="195"/>
        <v>1.7254068773158021E-3</v>
      </c>
      <c r="AI750" s="22">
        <f t="shared" si="195"/>
        <v>1.7547486388443409E-3</v>
      </c>
      <c r="AJ750" s="22">
        <f t="shared" si="195"/>
        <v>1.785857829336261E-3</v>
      </c>
      <c r="AK750" s="22">
        <f t="shared" si="195"/>
        <v>1.81764696635337E-3</v>
      </c>
      <c r="AL750" s="22">
        <f t="shared" si="195"/>
        <v>1.8500351998607825E-3</v>
      </c>
      <c r="AM750" s="22">
        <f t="shared" si="195"/>
        <v>1.88354434333552E-3</v>
      </c>
      <c r="AN750" s="22">
        <f t="shared" si="195"/>
        <v>1.9169234536991781E-3</v>
      </c>
      <c r="AO750" s="22">
        <f t="shared" si="195"/>
        <v>1.9519059348913977E-3</v>
      </c>
      <c r="AP750" s="22">
        <f t="shared" si="195"/>
        <v>1.9891376564492419E-3</v>
      </c>
      <c r="AQ750" s="22">
        <f t="shared" si="195"/>
        <v>2.0275630830096244E-3</v>
      </c>
      <c r="AR750" s="22">
        <f t="shared" si="195"/>
        <v>2.0672517323050989E-3</v>
      </c>
      <c r="AS750" s="22">
        <f t="shared" si="195"/>
        <v>2.1094249188527039E-3</v>
      </c>
      <c r="AT750" s="22">
        <f t="shared" si="195"/>
        <v>2.1537279638434597E-3</v>
      </c>
      <c r="AU750" s="22">
        <f t="shared" si="195"/>
        <v>2.1999322941237188E-3</v>
      </c>
      <c r="AV750" s="22">
        <f t="shared" si="195"/>
        <v>2.2488704768863013E-3</v>
      </c>
      <c r="AW750" s="22">
        <f t="shared" si="195"/>
        <v>2.2959580304044692E-3</v>
      </c>
      <c r="AY750" s="79"/>
      <c r="AZ750" s="79"/>
    </row>
    <row r="751" spans="1:52" x14ac:dyDescent="0.25">
      <c r="A751" s="95" t="str">
        <f t="shared" si="176"/>
        <v>NI MM Leaching</v>
      </c>
      <c r="B751" s="95" t="s">
        <v>968</v>
      </c>
      <c r="C751" s="95" t="s">
        <v>1332</v>
      </c>
      <c r="D751" t="s">
        <v>369</v>
      </c>
      <c r="E751" t="s">
        <v>64</v>
      </c>
      <c r="F751" t="s">
        <v>63</v>
      </c>
      <c r="G751" t="s">
        <v>1157</v>
      </c>
      <c r="H751" t="s">
        <v>1308</v>
      </c>
      <c r="I751" t="s">
        <v>139</v>
      </c>
      <c r="J751" t="s">
        <v>287</v>
      </c>
      <c r="K751" s="22">
        <f t="shared" ref="K751:AW751" si="196">K1550</f>
        <v>3.0303014392691133E-2</v>
      </c>
      <c r="L751" s="22">
        <f t="shared" si="196"/>
        <v>3.0040206026371356E-2</v>
      </c>
      <c r="M751" s="22">
        <f t="shared" si="196"/>
        <v>2.9940162837193186E-2</v>
      </c>
      <c r="N751" s="22">
        <f t="shared" si="196"/>
        <v>2.9540351153331298E-2</v>
      </c>
      <c r="O751" s="22">
        <f t="shared" si="196"/>
        <v>2.8960014730128842E-2</v>
      </c>
      <c r="P751" s="22">
        <f t="shared" si="196"/>
        <v>2.8211154016296501E-2</v>
      </c>
      <c r="Q751" s="22">
        <f t="shared" si="196"/>
        <v>2.7620505669412022E-2</v>
      </c>
      <c r="R751" s="22">
        <f t="shared" si="196"/>
        <v>2.7061685185942385E-2</v>
      </c>
      <c r="S751" s="22">
        <f t="shared" si="196"/>
        <v>2.416485344196681E-2</v>
      </c>
      <c r="T751" s="22">
        <f t="shared" si="196"/>
        <v>2.5320182377840249E-2</v>
      </c>
      <c r="U751" s="22">
        <f t="shared" si="196"/>
        <v>2.5720157477778727E-2</v>
      </c>
      <c r="V751" s="22">
        <f t="shared" si="196"/>
        <v>2.5546462223035794E-2</v>
      </c>
      <c r="W751" s="22">
        <f t="shared" si="196"/>
        <v>2.5405173363708521E-2</v>
      </c>
      <c r="X751" s="22">
        <f t="shared" si="196"/>
        <v>2.5414454482957191E-2</v>
      </c>
      <c r="Y751" s="22">
        <f t="shared" si="196"/>
        <v>2.5563690103476349E-2</v>
      </c>
      <c r="Z751" s="22">
        <f t="shared" si="196"/>
        <v>2.5775445206678543E-2</v>
      </c>
      <c r="AA751" s="22">
        <f t="shared" si="196"/>
        <v>2.6066776415666827E-2</v>
      </c>
      <c r="AB751" s="22">
        <f t="shared" si="196"/>
        <v>2.6493519467488225E-2</v>
      </c>
      <c r="AC751" s="22">
        <f t="shared" si="196"/>
        <v>2.7043622150726768E-2</v>
      </c>
      <c r="AD751" s="22">
        <f t="shared" si="196"/>
        <v>2.7427151031194422E-2</v>
      </c>
      <c r="AE751" s="22">
        <f t="shared" si="196"/>
        <v>2.7855985588875625E-2</v>
      </c>
      <c r="AF751" s="22">
        <f t="shared" si="196"/>
        <v>2.8297808294208047E-2</v>
      </c>
      <c r="AG751" s="22">
        <f t="shared" si="196"/>
        <v>2.8762433728203925E-2</v>
      </c>
      <c r="AH751" s="22">
        <f t="shared" si="196"/>
        <v>2.9234018291177721E-2</v>
      </c>
      <c r="AI751" s="22">
        <f t="shared" si="196"/>
        <v>2.9664658796070921E-2</v>
      </c>
      <c r="AJ751" s="22">
        <f t="shared" si="196"/>
        <v>3.0118905492871519E-2</v>
      </c>
      <c r="AK751" s="22">
        <f t="shared" si="196"/>
        <v>3.0552583954684191E-2</v>
      </c>
      <c r="AL751" s="22">
        <f t="shared" si="196"/>
        <v>3.0961516168479985E-2</v>
      </c>
      <c r="AM751" s="22">
        <f t="shared" si="196"/>
        <v>3.1363182487267389E-2</v>
      </c>
      <c r="AN751" s="22">
        <f t="shared" si="196"/>
        <v>3.1873237924965422E-2</v>
      </c>
      <c r="AO751" s="22">
        <f t="shared" si="196"/>
        <v>3.2400793328725176E-2</v>
      </c>
      <c r="AP751" s="22">
        <f t="shared" si="196"/>
        <v>3.2965020652190688E-2</v>
      </c>
      <c r="AQ751" s="22">
        <f t="shared" si="196"/>
        <v>3.3527052752866549E-2</v>
      </c>
      <c r="AR751" s="22">
        <f t="shared" si="196"/>
        <v>3.4087619114860586E-2</v>
      </c>
      <c r="AS751" s="22">
        <f t="shared" si="196"/>
        <v>3.4683560205557983E-2</v>
      </c>
      <c r="AT751" s="22">
        <f t="shared" si="196"/>
        <v>3.5299445606795467E-2</v>
      </c>
      <c r="AU751" s="22">
        <f t="shared" si="196"/>
        <v>3.5924567561005115E-2</v>
      </c>
      <c r="AV751" s="22">
        <f t="shared" si="196"/>
        <v>3.6580199359184239E-2</v>
      </c>
      <c r="AW751" s="22">
        <f t="shared" si="196"/>
        <v>3.712986506477154E-2</v>
      </c>
      <c r="AY751" s="79"/>
      <c r="AZ751" s="79"/>
    </row>
    <row r="752" spans="1:52" x14ac:dyDescent="0.25">
      <c r="A752" s="95" t="str">
        <f t="shared" si="176"/>
        <v>NI MM Leaching</v>
      </c>
      <c r="B752" s="95" t="s">
        <v>968</v>
      </c>
      <c r="C752" s="95" t="s">
        <v>1332</v>
      </c>
      <c r="D752" t="s">
        <v>369</v>
      </c>
      <c r="E752" t="s">
        <v>64</v>
      </c>
      <c r="F752" t="s">
        <v>63</v>
      </c>
      <c r="G752" t="s">
        <v>1159</v>
      </c>
      <c r="H752" t="s">
        <v>1309</v>
      </c>
      <c r="I752" t="s">
        <v>139</v>
      </c>
      <c r="J752" t="s">
        <v>287</v>
      </c>
      <c r="K752" s="22">
        <f t="shared" ref="K752:AW752" si="197">K1551</f>
        <v>4.0226293185258916E-2</v>
      </c>
      <c r="L752" s="22">
        <f t="shared" si="197"/>
        <v>3.9877423391049015E-2</v>
      </c>
      <c r="M752" s="22">
        <f t="shared" si="197"/>
        <v>3.9744619221572089E-2</v>
      </c>
      <c r="N752" s="22">
        <f t="shared" si="197"/>
        <v>3.9213881856453713E-2</v>
      </c>
      <c r="O752" s="22">
        <f t="shared" si="197"/>
        <v>3.8443503609481136E-2</v>
      </c>
      <c r="P752" s="22">
        <f t="shared" si="197"/>
        <v>3.7449414696768608E-2</v>
      </c>
      <c r="Q752" s="22">
        <f t="shared" si="197"/>
        <v>3.666534769725275E-2</v>
      </c>
      <c r="R752" s="22">
        <f t="shared" si="197"/>
        <v>3.5923531179771241E-2</v>
      </c>
      <c r="S752" s="22">
        <f t="shared" si="197"/>
        <v>3.20780786603799E-2</v>
      </c>
      <c r="T752" s="22">
        <f t="shared" si="197"/>
        <v>3.3611741282111272E-2</v>
      </c>
      <c r="U752" s="22">
        <f t="shared" si="197"/>
        <v>3.414269557690279E-2</v>
      </c>
      <c r="V752" s="22">
        <f t="shared" si="197"/>
        <v>3.3912120619849585E-2</v>
      </c>
      <c r="W752" s="22">
        <f t="shared" si="197"/>
        <v>3.372456412776409E-2</v>
      </c>
      <c r="X752" s="22">
        <f t="shared" si="197"/>
        <v>3.3736884520024282E-2</v>
      </c>
      <c r="Y752" s="22">
        <f t="shared" si="197"/>
        <v>3.3934990086252545E-2</v>
      </c>
      <c r="Z752" s="22">
        <f t="shared" si="197"/>
        <v>3.4216088288381921E-2</v>
      </c>
      <c r="AA752" s="22">
        <f t="shared" si="197"/>
        <v>3.4602821254116366E-2</v>
      </c>
      <c r="AB752" s="22">
        <f t="shared" si="197"/>
        <v>3.5169309158418066E-2</v>
      </c>
      <c r="AC752" s="22">
        <f t="shared" si="197"/>
        <v>3.589955307181858E-2</v>
      </c>
      <c r="AD752" s="22">
        <f t="shared" si="197"/>
        <v>3.6408675530422145E-2</v>
      </c>
      <c r="AE752" s="22">
        <f t="shared" si="197"/>
        <v>3.6977939842602774E-2</v>
      </c>
      <c r="AF752" s="22">
        <f t="shared" si="197"/>
        <v>3.7564445510002403E-2</v>
      </c>
      <c r="AG752" s="22">
        <f t="shared" si="197"/>
        <v>3.8181221078500117E-2</v>
      </c>
      <c r="AH752" s="22">
        <f t="shared" si="197"/>
        <v>3.8807234670613311E-2</v>
      </c>
      <c r="AI752" s="22">
        <f t="shared" si="197"/>
        <v>3.9378896320599516E-2</v>
      </c>
      <c r="AJ752" s="22">
        <f t="shared" si="197"/>
        <v>3.9981894443728266E-2</v>
      </c>
      <c r="AK752" s="22">
        <f t="shared" si="197"/>
        <v>4.0557588885440844E-2</v>
      </c>
      <c r="AL752" s="22">
        <f t="shared" si="197"/>
        <v>4.1100433465583154E-2</v>
      </c>
      <c r="AM752" s="22">
        <f t="shared" si="197"/>
        <v>4.1633632799906894E-2</v>
      </c>
      <c r="AN752" s="22">
        <f t="shared" si="197"/>
        <v>4.23107152614631E-2</v>
      </c>
      <c r="AO752" s="22">
        <f t="shared" si="197"/>
        <v>4.3011028374478885E-2</v>
      </c>
      <c r="AP752" s="22">
        <f t="shared" si="197"/>
        <v>4.3760022301047856E-2</v>
      </c>
      <c r="AQ752" s="22">
        <f t="shared" si="197"/>
        <v>4.4506102138793871E-2</v>
      </c>
      <c r="AR752" s="22">
        <f t="shared" si="197"/>
        <v>4.5250236254798015E-2</v>
      </c>
      <c r="AS752" s="22">
        <f t="shared" si="197"/>
        <v>4.6041329204327096E-2</v>
      </c>
      <c r="AT752" s="22">
        <f t="shared" si="197"/>
        <v>4.6858897595301277E-2</v>
      </c>
      <c r="AU752" s="22">
        <f t="shared" si="197"/>
        <v>4.7688727218213149E-2</v>
      </c>
      <c r="AV752" s="22">
        <f t="shared" si="197"/>
        <v>4.8559057694031842E-2</v>
      </c>
      <c r="AW752" s="22">
        <f t="shared" si="197"/>
        <v>4.928872153342103E-2</v>
      </c>
      <c r="AY752" s="79"/>
      <c r="AZ752" s="79"/>
    </row>
    <row r="753" spans="1:52" x14ac:dyDescent="0.25">
      <c r="A753" s="95" t="str">
        <f t="shared" si="176"/>
        <v>NI MM Leaching</v>
      </c>
      <c r="B753" s="95" t="s">
        <v>968</v>
      </c>
      <c r="C753" s="95" t="s">
        <v>1332</v>
      </c>
      <c r="D753" t="s">
        <v>369</v>
      </c>
      <c r="E753" t="s">
        <v>64</v>
      </c>
      <c r="F753" t="s">
        <v>63</v>
      </c>
      <c r="G753" t="s">
        <v>1161</v>
      </c>
      <c r="H753" t="s">
        <v>1310</v>
      </c>
      <c r="I753" t="s">
        <v>139</v>
      </c>
      <c r="J753" t="s">
        <v>287</v>
      </c>
      <c r="K753" s="22">
        <f t="shared" ref="K753:AW753" si="198">K1552</f>
        <v>4.1968337096859189E-2</v>
      </c>
      <c r="L753" s="22">
        <f t="shared" si="198"/>
        <v>4.3383434779753448E-2</v>
      </c>
      <c r="M753" s="22">
        <f t="shared" si="198"/>
        <v>4.5063007666824861E-2</v>
      </c>
      <c r="N753" s="22">
        <f t="shared" si="198"/>
        <v>4.6315596244033488E-2</v>
      </c>
      <c r="O753" s="22">
        <f t="shared" si="198"/>
        <v>4.7281576900430174E-2</v>
      </c>
      <c r="P753" s="22">
        <f t="shared" si="198"/>
        <v>4.7947144057730852E-2</v>
      </c>
      <c r="Q753" s="22">
        <f t="shared" si="198"/>
        <v>4.8855920576585825E-2</v>
      </c>
      <c r="R753" s="22">
        <f t="shared" si="198"/>
        <v>4.9808583705724517E-2</v>
      </c>
      <c r="S753" s="22">
        <f t="shared" si="198"/>
        <v>4.6274354518489276E-2</v>
      </c>
      <c r="T753" s="22">
        <f t="shared" si="198"/>
        <v>4.9654921678945953E-2</v>
      </c>
      <c r="U753" s="22">
        <f t="shared" si="198"/>
        <v>5.1637836574471289E-2</v>
      </c>
      <c r="V753" s="22">
        <f t="shared" si="198"/>
        <v>5.2492346966759522E-2</v>
      </c>
      <c r="W753" s="22">
        <f t="shared" si="198"/>
        <v>5.3412266292045346E-2</v>
      </c>
      <c r="X753" s="22">
        <f t="shared" si="198"/>
        <v>5.4657017670669474E-2</v>
      </c>
      <c r="Y753" s="22">
        <f t="shared" si="198"/>
        <v>5.6225924185537776E-2</v>
      </c>
      <c r="Z753" s="22">
        <f t="shared" si="198"/>
        <v>5.7966478629194101E-2</v>
      </c>
      <c r="AA753" s="22">
        <f t="shared" si="198"/>
        <v>5.9928438330955298E-2</v>
      </c>
      <c r="AB753" s="22">
        <f t="shared" si="198"/>
        <v>6.2256429990458134E-2</v>
      </c>
      <c r="AC753" s="22">
        <f t="shared" si="198"/>
        <v>6.4943944669320713E-2</v>
      </c>
      <c r="AD753" s="22">
        <f t="shared" si="198"/>
        <v>6.8049231515403694E-2</v>
      </c>
      <c r="AE753" s="22">
        <f t="shared" si="198"/>
        <v>7.140958377080403E-2</v>
      </c>
      <c r="AF753" s="22">
        <f t="shared" si="198"/>
        <v>7.4958672292987819E-2</v>
      </c>
      <c r="AG753" s="22">
        <f t="shared" si="198"/>
        <v>7.8735451654029412E-2</v>
      </c>
      <c r="AH753" s="22">
        <f t="shared" si="198"/>
        <v>8.2710770800306643E-2</v>
      </c>
      <c r="AI753" s="22">
        <f t="shared" si="198"/>
        <v>8.6756849519810442E-2</v>
      </c>
      <c r="AJ753" s="22">
        <f t="shared" si="198"/>
        <v>9.1067882332403163E-2</v>
      </c>
      <c r="AK753" s="22">
        <f t="shared" si="198"/>
        <v>9.5524607474435114E-2</v>
      </c>
      <c r="AL753" s="22">
        <f t="shared" si="198"/>
        <v>0.10011966756252628</v>
      </c>
      <c r="AM753" s="22">
        <f t="shared" si="198"/>
        <v>0.10491676883738305</v>
      </c>
      <c r="AN753" s="22">
        <f t="shared" si="198"/>
        <v>0.10963141037847199</v>
      </c>
      <c r="AO753" s="22">
        <f t="shared" si="198"/>
        <v>0.11460133874628856</v>
      </c>
      <c r="AP753" s="22">
        <f t="shared" si="198"/>
        <v>0.11991104885412743</v>
      </c>
      <c r="AQ753" s="22">
        <f t="shared" si="198"/>
        <v>0.12543680820975456</v>
      </c>
      <c r="AR753" s="22">
        <f t="shared" si="198"/>
        <v>0.13119202833792193</v>
      </c>
      <c r="AS753" s="22">
        <f t="shared" si="198"/>
        <v>0.13733413284188337</v>
      </c>
      <c r="AT753" s="22">
        <f t="shared" si="198"/>
        <v>0.14382526611180527</v>
      </c>
      <c r="AU753" s="22">
        <f t="shared" si="198"/>
        <v>0.15064177825264938</v>
      </c>
      <c r="AV753" s="22">
        <f t="shared" si="198"/>
        <v>0.15789428521651691</v>
      </c>
      <c r="AW753" s="22">
        <f t="shared" si="198"/>
        <v>0.16500456611205044</v>
      </c>
      <c r="AY753" s="79"/>
      <c r="AZ753" s="79"/>
    </row>
    <row r="754" spans="1:52" x14ac:dyDescent="0.25">
      <c r="A754" s="95" t="str">
        <f t="shared" si="176"/>
        <v>NI MM Leaching</v>
      </c>
      <c r="B754" s="95" t="s">
        <v>968</v>
      </c>
      <c r="C754" s="95" t="s">
        <v>1332</v>
      </c>
      <c r="D754" t="s">
        <v>369</v>
      </c>
      <c r="E754" t="s">
        <v>64</v>
      </c>
      <c r="F754" t="s">
        <v>63</v>
      </c>
      <c r="G754" t="s">
        <v>1163</v>
      </c>
      <c r="H754" t="s">
        <v>1311</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4.4583317952924901E-3</v>
      </c>
      <c r="T754" s="22">
        <f t="shared" si="199"/>
        <v>4.461540810317099E-3</v>
      </c>
      <c r="U754" s="22">
        <f t="shared" si="199"/>
        <v>4.460412588981404E-3</v>
      </c>
      <c r="V754" s="22">
        <f t="shared" si="199"/>
        <v>4.4603313660439596E-3</v>
      </c>
      <c r="W754" s="22">
        <f t="shared" si="199"/>
        <v>4.4650624817454574E-3</v>
      </c>
      <c r="X754" s="22">
        <f t="shared" si="199"/>
        <v>4.472805388518619E-3</v>
      </c>
      <c r="Y754" s="22">
        <f t="shared" si="199"/>
        <v>4.480234793471081E-3</v>
      </c>
      <c r="Z754" s="22">
        <f t="shared" si="199"/>
        <v>4.4873746654050216E-3</v>
      </c>
      <c r="AA754" s="22">
        <f t="shared" si="199"/>
        <v>4.494215260234709E-3</v>
      </c>
      <c r="AB754" s="22">
        <f t="shared" si="199"/>
        <v>4.5008991343885481E-3</v>
      </c>
      <c r="AC754" s="22">
        <f t="shared" si="199"/>
        <v>4.5075239217344356E-3</v>
      </c>
      <c r="AD754" s="22">
        <f t="shared" si="199"/>
        <v>4.5140231510574953E-3</v>
      </c>
      <c r="AE754" s="22">
        <f t="shared" si="199"/>
        <v>4.5204902706730936E-3</v>
      </c>
      <c r="AF754" s="22">
        <f t="shared" si="199"/>
        <v>4.5269049079044851E-3</v>
      </c>
      <c r="AG754" s="22">
        <f t="shared" si="199"/>
        <v>4.5332156646464309E-3</v>
      </c>
      <c r="AH754" s="22">
        <f t="shared" si="199"/>
        <v>4.5394503254180246E-3</v>
      </c>
      <c r="AI754" s="22">
        <f t="shared" si="199"/>
        <v>4.5456155434925177E-3</v>
      </c>
      <c r="AJ754" s="22">
        <f t="shared" si="199"/>
        <v>4.5517322494299031E-3</v>
      </c>
      <c r="AK754" s="22">
        <f t="shared" si="199"/>
        <v>4.5576132842011325E-3</v>
      </c>
      <c r="AL754" s="22">
        <f t="shared" si="199"/>
        <v>4.5632517671133398E-3</v>
      </c>
      <c r="AM754" s="22">
        <f t="shared" si="199"/>
        <v>4.5687003958982874E-3</v>
      </c>
      <c r="AN754" s="22">
        <f t="shared" si="199"/>
        <v>4.5739172155363928E-3</v>
      </c>
      <c r="AO754" s="22">
        <f t="shared" si="199"/>
        <v>4.5789116897468072E-3</v>
      </c>
      <c r="AP754" s="22">
        <f t="shared" si="199"/>
        <v>4.5836613233262938E-3</v>
      </c>
      <c r="AQ754" s="22">
        <f t="shared" si="199"/>
        <v>4.5880981486463275E-3</v>
      </c>
      <c r="AR754" s="22">
        <f t="shared" si="199"/>
        <v>4.592159181597999E-3</v>
      </c>
      <c r="AS754" s="22">
        <f t="shared" si="199"/>
        <v>4.5958403193991975E-3</v>
      </c>
      <c r="AT754" s="22">
        <f t="shared" si="199"/>
        <v>4.5991133923720465E-3</v>
      </c>
      <c r="AU754" s="22">
        <f t="shared" si="199"/>
        <v>4.6019768219588081E-3</v>
      </c>
      <c r="AV754" s="22">
        <f t="shared" si="199"/>
        <v>4.6044854054681089E-3</v>
      </c>
      <c r="AW754" s="22">
        <f t="shared" si="199"/>
        <v>4.6063133110806655E-3</v>
      </c>
      <c r="AY754" s="79"/>
      <c r="AZ754" s="79"/>
    </row>
    <row r="755" spans="1:52" x14ac:dyDescent="0.25">
      <c r="A755" s="95" t="str">
        <f t="shared" si="176"/>
        <v>NI MM Leaching</v>
      </c>
      <c r="B755" s="95" t="s">
        <v>968</v>
      </c>
      <c r="C755" s="95" t="s">
        <v>1332</v>
      </c>
      <c r="D755" t="s">
        <v>369</v>
      </c>
      <c r="E755" t="s">
        <v>64</v>
      </c>
      <c r="F755" t="s">
        <v>63</v>
      </c>
      <c r="G755" t="s">
        <v>1165</v>
      </c>
      <c r="H755" t="s">
        <v>1312</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3.7085296571107255E-3</v>
      </c>
      <c r="T755" s="22">
        <f t="shared" si="200"/>
        <v>3.7111989800627421E-3</v>
      </c>
      <c r="U755" s="22">
        <f t="shared" si="200"/>
        <v>3.7102605029651799E-3</v>
      </c>
      <c r="V755" s="22">
        <f t="shared" si="200"/>
        <v>3.7101929400994759E-3</v>
      </c>
      <c r="W755" s="22">
        <f t="shared" si="200"/>
        <v>3.7141283768717579E-3</v>
      </c>
      <c r="X755" s="22">
        <f t="shared" si="200"/>
        <v>3.7205690817629544E-3</v>
      </c>
      <c r="Y755" s="22">
        <f t="shared" si="200"/>
        <v>3.7267490095624013E-3</v>
      </c>
      <c r="Z755" s="22">
        <f t="shared" si="200"/>
        <v>3.732688097999684E-3</v>
      </c>
      <c r="AA755" s="22">
        <f t="shared" si="200"/>
        <v>3.7383782417491837E-3</v>
      </c>
      <c r="AB755" s="22">
        <f t="shared" si="200"/>
        <v>3.7439380221024701E-3</v>
      </c>
      <c r="AC755" s="22">
        <f t="shared" si="200"/>
        <v>3.7494486528658025E-3</v>
      </c>
      <c r="AD755" s="22">
        <f t="shared" si="200"/>
        <v>3.7548548419516796E-3</v>
      </c>
      <c r="AE755" s="22">
        <f t="shared" si="200"/>
        <v>3.7602343215399525E-3</v>
      </c>
      <c r="AF755" s="22">
        <f t="shared" si="200"/>
        <v>3.7655701452301818E-3</v>
      </c>
      <c r="AG755" s="22">
        <f t="shared" si="200"/>
        <v>3.7708195590492773E-3</v>
      </c>
      <c r="AH755" s="22">
        <f t="shared" si="200"/>
        <v>3.7760056747165515E-3</v>
      </c>
      <c r="AI755" s="22">
        <f t="shared" si="200"/>
        <v>3.7811340265579189E-3</v>
      </c>
      <c r="AJ755" s="22">
        <f t="shared" si="200"/>
        <v>3.7862220250322745E-3</v>
      </c>
      <c r="AK755" s="22">
        <f t="shared" si="200"/>
        <v>3.791113987511746E-3</v>
      </c>
      <c r="AL755" s="22">
        <f t="shared" si="200"/>
        <v>3.7958041904982334E-3</v>
      </c>
      <c r="AM755" s="22">
        <f t="shared" si="200"/>
        <v>3.8003364690201913E-3</v>
      </c>
      <c r="AN755" s="22">
        <f t="shared" si="200"/>
        <v>3.8046759240522587E-3</v>
      </c>
      <c r="AO755" s="22">
        <f t="shared" si="200"/>
        <v>3.8088304277055216E-3</v>
      </c>
      <c r="AP755" s="22">
        <f t="shared" si="200"/>
        <v>3.8127812680195002E-3</v>
      </c>
      <c r="AQ755" s="22">
        <f t="shared" si="200"/>
        <v>3.8164719081598638E-3</v>
      </c>
      <c r="AR755" s="22">
        <f t="shared" si="200"/>
        <v>3.8198499566836808E-3</v>
      </c>
      <c r="AS755" s="22">
        <f t="shared" si="200"/>
        <v>3.822912000814643E-3</v>
      </c>
      <c r="AT755" s="22">
        <f t="shared" si="200"/>
        <v>3.8256346084506454E-3</v>
      </c>
      <c r="AU755" s="22">
        <f t="shared" si="200"/>
        <v>3.8280164665157558E-3</v>
      </c>
      <c r="AV755" s="22">
        <f t="shared" si="200"/>
        <v>3.830103156508502E-3</v>
      </c>
      <c r="AW755" s="22">
        <f t="shared" si="200"/>
        <v>3.831623644997431E-3</v>
      </c>
      <c r="AY755" s="79"/>
      <c r="AZ755" s="79"/>
    </row>
    <row r="756" spans="1:52" x14ac:dyDescent="0.25">
      <c r="A756" s="95" t="str">
        <f t="shared" si="176"/>
        <v>NI MM Leaching</v>
      </c>
      <c r="B756" s="95" t="s">
        <v>968</v>
      </c>
      <c r="C756" s="95" t="s">
        <v>1332</v>
      </c>
      <c r="D756" t="s">
        <v>369</v>
      </c>
      <c r="E756" t="s">
        <v>64</v>
      </c>
      <c r="F756" t="s">
        <v>63</v>
      </c>
      <c r="G756" t="s">
        <v>1167</v>
      </c>
      <c r="H756" t="s">
        <v>1313</v>
      </c>
      <c r="I756" t="s">
        <v>139</v>
      </c>
      <c r="J756" t="s">
        <v>287</v>
      </c>
      <c r="K756" s="22">
        <f t="shared" ref="K756:AW756" si="201">K1555</f>
        <v>5.4322987485311551E-4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5.5840147541839707E-4</v>
      </c>
      <c r="R756" s="22">
        <f t="shared" si="201"/>
        <v>5.620753208024884E-4</v>
      </c>
      <c r="S756" s="22">
        <f t="shared" si="201"/>
        <v>5.6069712046990367E-4</v>
      </c>
      <c r="T756" s="22">
        <f t="shared" si="201"/>
        <v>5.6166095935732032E-4</v>
      </c>
      <c r="U756" s="22">
        <f t="shared" si="201"/>
        <v>5.6175448886496286E-4</v>
      </c>
      <c r="V756" s="22">
        <f t="shared" si="201"/>
        <v>5.6201163535097535E-4</v>
      </c>
      <c r="W756" s="22">
        <f t="shared" si="201"/>
        <v>5.6314854989012028E-4</v>
      </c>
      <c r="X756" s="22">
        <f t="shared" si="201"/>
        <v>5.6482088760724937E-4</v>
      </c>
      <c r="Y756" s="22">
        <f t="shared" si="201"/>
        <v>5.6639948615984891E-4</v>
      </c>
      <c r="Z756" s="22">
        <f t="shared" si="201"/>
        <v>5.6789176789216864E-4</v>
      </c>
      <c r="AA756" s="22">
        <f t="shared" si="201"/>
        <v>5.692984966381053E-4</v>
      </c>
      <c r="AB756" s="22">
        <f t="shared" si="201"/>
        <v>5.7064878025290242E-4</v>
      </c>
      <c r="AC756" s="22">
        <f t="shared" si="201"/>
        <v>5.7196287833233815E-4</v>
      </c>
      <c r="AD756" s="22">
        <f t="shared" si="201"/>
        <v>5.7323006225721597E-4</v>
      </c>
      <c r="AE756" s="22">
        <f t="shared" si="201"/>
        <v>5.7446936511734096E-4</v>
      </c>
      <c r="AF756" s="22">
        <f t="shared" si="201"/>
        <v>5.7567836458981281E-4</v>
      </c>
      <c r="AG756" s="22">
        <f t="shared" si="201"/>
        <v>5.7684878803825762E-4</v>
      </c>
      <c r="AH756" s="22">
        <f t="shared" si="201"/>
        <v>5.7798700555519505E-4</v>
      </c>
      <c r="AI756" s="22">
        <f t="shared" si="201"/>
        <v>5.7909534227176243E-4</v>
      </c>
      <c r="AJ756" s="22">
        <f t="shared" si="201"/>
        <v>5.8017866455598575E-4</v>
      </c>
      <c r="AK756" s="22">
        <f t="shared" si="201"/>
        <v>5.8120338345125585E-4</v>
      </c>
      <c r="AL756" s="22">
        <f t="shared" si="201"/>
        <v>5.8216925674029819E-4</v>
      </c>
      <c r="AM756" s="22">
        <f t="shared" si="201"/>
        <v>5.8308692423697495E-4</v>
      </c>
      <c r="AN756" s="22">
        <f t="shared" si="201"/>
        <v>5.839495453276261E-4</v>
      </c>
      <c r="AO756" s="22">
        <f t="shared" si="201"/>
        <v>5.8475968776002874E-4</v>
      </c>
      <c r="AP756" s="22">
        <f t="shared" si="201"/>
        <v>5.8551401869501036E-4</v>
      </c>
      <c r="AQ756" s="22">
        <f t="shared" si="201"/>
        <v>5.8620089468398309E-4</v>
      </c>
      <c r="AR756" s="22">
        <f t="shared" si="201"/>
        <v>5.868096200135702E-4</v>
      </c>
      <c r="AS756" s="22">
        <f t="shared" si="201"/>
        <v>5.87340236215825E-4</v>
      </c>
      <c r="AT756" s="22">
        <f t="shared" si="201"/>
        <v>5.8778838343391971E-4</v>
      </c>
      <c r="AU756" s="22">
        <f t="shared" si="201"/>
        <v>5.8815451618636234E-4</v>
      </c>
      <c r="AV756" s="22">
        <f t="shared" si="201"/>
        <v>5.8844925401827929E-4</v>
      </c>
      <c r="AW756" s="22">
        <f t="shared" si="201"/>
        <v>5.8861438328620193E-4</v>
      </c>
      <c r="AY756" s="79"/>
      <c r="AZ756" s="79"/>
    </row>
    <row r="757" spans="1:52" x14ac:dyDescent="0.25">
      <c r="A757" s="95" t="str">
        <f t="shared" si="176"/>
        <v>NI MM Leaching</v>
      </c>
      <c r="B757" s="95" t="s">
        <v>968</v>
      </c>
      <c r="C757" s="95" t="s">
        <v>1332</v>
      </c>
      <c r="D757" t="s">
        <v>369</v>
      </c>
      <c r="E757" t="s">
        <v>64</v>
      </c>
      <c r="F757" t="s">
        <v>63</v>
      </c>
      <c r="G757" t="s">
        <v>1169</v>
      </c>
      <c r="H757" t="s">
        <v>1314</v>
      </c>
      <c r="I757" t="s">
        <v>139</v>
      </c>
      <c r="J757" t="s">
        <v>287</v>
      </c>
      <c r="K757" s="22">
        <f t="shared" ref="K757:AW757" si="202">K1556</f>
        <v>6.6992563985089938E-3</v>
      </c>
      <c r="L757" s="22">
        <f t="shared" si="202"/>
        <v>6.716671231449923E-3</v>
      </c>
      <c r="M757" s="22">
        <f t="shared" si="202"/>
        <v>6.7406943780734313E-3</v>
      </c>
      <c r="N757" s="22">
        <f t="shared" si="202"/>
        <v>6.769960915195136E-3</v>
      </c>
      <c r="O757" s="22">
        <f t="shared" si="202"/>
        <v>6.8044291009834836E-3</v>
      </c>
      <c r="P757" s="22">
        <f t="shared" si="202"/>
        <v>6.8438891439814974E-3</v>
      </c>
      <c r="Q757" s="22">
        <f t="shared" si="202"/>
        <v>6.8863566425632549E-3</v>
      </c>
      <c r="R757" s="22">
        <f t="shared" si="202"/>
        <v>6.9316634884048298E-3</v>
      </c>
      <c r="S757" s="22">
        <f t="shared" si="202"/>
        <v>6.9146671525553097E-3</v>
      </c>
      <c r="T757" s="22">
        <f t="shared" si="202"/>
        <v>6.9265534720170359E-3</v>
      </c>
      <c r="U757" s="22">
        <f t="shared" si="202"/>
        <v>6.92770690297054E-3</v>
      </c>
      <c r="V757" s="22">
        <f t="shared" si="202"/>
        <v>6.9308781023495105E-3</v>
      </c>
      <c r="W757" s="22">
        <f t="shared" si="202"/>
        <v>6.9448988371314212E-3</v>
      </c>
      <c r="X757" s="22">
        <f t="shared" si="202"/>
        <v>6.9655225540339091E-3</v>
      </c>
      <c r="Y757" s="22">
        <f t="shared" si="202"/>
        <v>6.9849902544379758E-3</v>
      </c>
      <c r="Z757" s="22">
        <f t="shared" si="202"/>
        <v>7.0033934726820464E-3</v>
      </c>
      <c r="AA757" s="22">
        <f t="shared" si="202"/>
        <v>7.0207416285704375E-3</v>
      </c>
      <c r="AB757" s="22">
        <f t="shared" si="202"/>
        <v>7.0373936879747148E-3</v>
      </c>
      <c r="AC757" s="22">
        <f t="shared" si="202"/>
        <v>7.0535994976594404E-3</v>
      </c>
      <c r="AD757" s="22">
        <f t="shared" si="202"/>
        <v>7.0692267494174947E-3</v>
      </c>
      <c r="AE757" s="22">
        <f t="shared" si="202"/>
        <v>7.0845101644130852E-3</v>
      </c>
      <c r="AF757" s="22">
        <f t="shared" si="202"/>
        <v>7.0994198699110417E-3</v>
      </c>
      <c r="AG757" s="22">
        <f t="shared" si="202"/>
        <v>7.113853845542588E-3</v>
      </c>
      <c r="AH757" s="22">
        <f t="shared" si="202"/>
        <v>7.1278906489958219E-3</v>
      </c>
      <c r="AI757" s="22">
        <f t="shared" si="202"/>
        <v>7.1415589544110468E-3</v>
      </c>
      <c r="AJ757" s="22">
        <f t="shared" si="202"/>
        <v>7.1549187751429096E-3</v>
      </c>
      <c r="AK757" s="22">
        <f t="shared" si="202"/>
        <v>7.1675558831769013E-3</v>
      </c>
      <c r="AL757" s="22">
        <f t="shared" si="202"/>
        <v>7.179467291424684E-3</v>
      </c>
      <c r="AM757" s="22">
        <f t="shared" si="202"/>
        <v>7.1907842129221942E-3</v>
      </c>
      <c r="AN757" s="22">
        <f t="shared" si="202"/>
        <v>7.2014222873885451E-3</v>
      </c>
      <c r="AO757" s="22">
        <f t="shared" si="202"/>
        <v>7.2114131809774594E-3</v>
      </c>
      <c r="AP757" s="22">
        <f t="shared" si="202"/>
        <v>7.2207157922230866E-3</v>
      </c>
      <c r="AQ757" s="22">
        <f t="shared" si="202"/>
        <v>7.2291865309970747E-3</v>
      </c>
      <c r="AR757" s="22">
        <f t="shared" si="202"/>
        <v>7.2366934948956893E-3</v>
      </c>
      <c r="AS757" s="22">
        <f t="shared" si="202"/>
        <v>7.2432371961033398E-3</v>
      </c>
      <c r="AT757" s="22">
        <f t="shared" si="202"/>
        <v>7.2487638676972145E-3</v>
      </c>
      <c r="AU757" s="22">
        <f t="shared" si="202"/>
        <v>7.2532791149213611E-3</v>
      </c>
      <c r="AV757" s="22">
        <f t="shared" si="202"/>
        <v>7.2569139008522455E-3</v>
      </c>
      <c r="AW757" s="22">
        <f t="shared" si="202"/>
        <v>7.258950319237764E-3</v>
      </c>
      <c r="AY757" s="79"/>
      <c r="AZ757" s="79"/>
    </row>
    <row r="758" spans="1:52" x14ac:dyDescent="0.25">
      <c r="A758" s="95" t="str">
        <f t="shared" si="176"/>
        <v>NI MM Leaching</v>
      </c>
      <c r="B758" s="95" t="s">
        <v>968</v>
      </c>
      <c r="C758" s="95" t="s">
        <v>1332</v>
      </c>
      <c r="D758" t="s">
        <v>369</v>
      </c>
      <c r="E758" t="s">
        <v>64</v>
      </c>
      <c r="F758" t="s">
        <v>63</v>
      </c>
      <c r="G758" t="s">
        <v>1171</v>
      </c>
      <c r="H758" t="s">
        <v>1315</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5">
      <c r="A759" s="95" t="str">
        <f t="shared" si="176"/>
        <v>NI MM Leaching</v>
      </c>
      <c r="B759" s="95" t="s">
        <v>968</v>
      </c>
      <c r="C759" s="95" t="s">
        <v>1332</v>
      </c>
      <c r="D759" t="s">
        <v>369</v>
      </c>
      <c r="E759" t="s">
        <v>64</v>
      </c>
      <c r="F759" t="s">
        <v>63</v>
      </c>
      <c r="G759" t="s">
        <v>1173</v>
      </c>
      <c r="H759" t="s">
        <v>1316</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5">
      <c r="A760" s="95" t="str">
        <f t="shared" si="176"/>
        <v>NI MM Leaching</v>
      </c>
      <c r="B760" s="95" t="s">
        <v>968</v>
      </c>
      <c r="C760" s="95" t="s">
        <v>1332</v>
      </c>
      <c r="D760" t="s">
        <v>369</v>
      </c>
      <c r="E760" t="s">
        <v>64</v>
      </c>
      <c r="F760" t="s">
        <v>63</v>
      </c>
      <c r="G760" t="s">
        <v>1175</v>
      </c>
      <c r="H760" t="s">
        <v>1317</v>
      </c>
      <c r="I760" t="s">
        <v>139</v>
      </c>
      <c r="J760" t="s">
        <v>287</v>
      </c>
      <c r="K760" s="22">
        <f t="shared" ref="K760:AW760" si="205">K1559</f>
        <v>2.6875086183165937E-2</v>
      </c>
      <c r="L760" s="22">
        <f t="shared" si="205"/>
        <v>2.6729002214214575E-2</v>
      </c>
      <c r="M760" s="22">
        <f t="shared" si="205"/>
        <v>2.6740992333189311E-2</v>
      </c>
      <c r="N760" s="22">
        <f t="shared" si="205"/>
        <v>2.6495489531984436E-2</v>
      </c>
      <c r="O760" s="22">
        <f t="shared" si="205"/>
        <v>2.6094526833046999E-2</v>
      </c>
      <c r="P760" s="22">
        <f t="shared" si="205"/>
        <v>2.5544514050244028E-2</v>
      </c>
      <c r="Q760" s="22">
        <f t="shared" si="205"/>
        <v>2.5145143775072754E-2</v>
      </c>
      <c r="R760" s="22">
        <f t="shared" si="205"/>
        <v>2.4781112413324518E-2</v>
      </c>
      <c r="S760" s="22">
        <f t="shared" si="205"/>
        <v>2.2261363297447542E-2</v>
      </c>
      <c r="T760" s="22">
        <f t="shared" si="205"/>
        <v>2.326732754049585E-2</v>
      </c>
      <c r="U760" s="22">
        <f t="shared" si="205"/>
        <v>2.3571460777264748E-2</v>
      </c>
      <c r="V760" s="22">
        <f t="shared" si="205"/>
        <v>2.3338833343161457E-2</v>
      </c>
      <c r="W760" s="22">
        <f t="shared" si="205"/>
        <v>2.3134238751808155E-2</v>
      </c>
      <c r="X760" s="22">
        <f t="shared" si="205"/>
        <v>2.3071008709265216E-2</v>
      </c>
      <c r="Y760" s="22">
        <f t="shared" si="205"/>
        <v>2.3143649238261243E-2</v>
      </c>
      <c r="Z760" s="22">
        <f t="shared" si="205"/>
        <v>2.3278949396695201E-2</v>
      </c>
      <c r="AA760" s="22">
        <f t="shared" si="205"/>
        <v>2.3492345128489588E-2</v>
      </c>
      <c r="AB760" s="22">
        <f t="shared" si="205"/>
        <v>2.3835144398287569E-2</v>
      </c>
      <c r="AC760" s="22">
        <f t="shared" si="205"/>
        <v>2.4295378697531386E-2</v>
      </c>
      <c r="AD760" s="22">
        <f t="shared" si="205"/>
        <v>2.4819194567643824E-2</v>
      </c>
      <c r="AE760" s="22">
        <f t="shared" si="205"/>
        <v>2.5401392072493423E-2</v>
      </c>
      <c r="AF760" s="22">
        <f t="shared" si="205"/>
        <v>2.6012849455983828E-2</v>
      </c>
      <c r="AG760" s="22">
        <f t="shared" si="205"/>
        <v>2.6664067926854041E-2</v>
      </c>
      <c r="AH760" s="22">
        <f t="shared" si="205"/>
        <v>2.734101119130557E-2</v>
      </c>
      <c r="AI760" s="22">
        <f t="shared" si="205"/>
        <v>2.7997936856370267E-2</v>
      </c>
      <c r="AJ760" s="22">
        <f t="shared" si="205"/>
        <v>2.8698310105033351E-2</v>
      </c>
      <c r="AK760" s="22">
        <f t="shared" si="205"/>
        <v>2.9400080296227163E-2</v>
      </c>
      <c r="AL760" s="22">
        <f t="shared" si="205"/>
        <v>3.0099562920322648E-2</v>
      </c>
      <c r="AM760" s="22">
        <f t="shared" si="205"/>
        <v>3.0814857244530154E-2</v>
      </c>
      <c r="AN760" s="22">
        <f t="shared" si="205"/>
        <v>3.1499706541710935E-2</v>
      </c>
      <c r="AO760" s="22">
        <f t="shared" si="205"/>
        <v>3.2216361362909209E-2</v>
      </c>
      <c r="AP760" s="22">
        <f t="shared" si="205"/>
        <v>3.2985480796324254E-2</v>
      </c>
      <c r="AQ760" s="22">
        <f t="shared" si="205"/>
        <v>3.376804159970731E-2</v>
      </c>
      <c r="AR760" s="22">
        <f t="shared" si="205"/>
        <v>3.4565482452675621E-2</v>
      </c>
      <c r="AS760" s="22">
        <f t="shared" si="205"/>
        <v>3.5417207872959197E-2</v>
      </c>
      <c r="AT760" s="22">
        <f t="shared" si="205"/>
        <v>3.6308390334093638E-2</v>
      </c>
      <c r="AU760" s="22">
        <f t="shared" si="205"/>
        <v>3.7228871549923839E-2</v>
      </c>
      <c r="AV760" s="22">
        <f t="shared" si="205"/>
        <v>3.8202529295473395E-2</v>
      </c>
      <c r="AW760" s="22">
        <f t="shared" si="205"/>
        <v>3.9083865804736009E-2</v>
      </c>
      <c r="AY760" s="79"/>
      <c r="AZ760" s="79"/>
    </row>
    <row r="761" spans="1:52" x14ac:dyDescent="0.25">
      <c r="A761" s="95" t="str">
        <f t="shared" si="176"/>
        <v>NI MM Leaching</v>
      </c>
      <c r="B761" s="95" t="s">
        <v>968</v>
      </c>
      <c r="C761" s="95" t="s">
        <v>1332</v>
      </c>
      <c r="D761" t="s">
        <v>369</v>
      </c>
      <c r="E761" t="s">
        <v>64</v>
      </c>
      <c r="F761" t="s">
        <v>63</v>
      </c>
      <c r="G761" t="s">
        <v>1177</v>
      </c>
      <c r="H761" t="s">
        <v>1318</v>
      </c>
      <c r="I761" t="s">
        <v>139</v>
      </c>
      <c r="J761" t="s">
        <v>287</v>
      </c>
      <c r="K761" s="22">
        <f t="shared" ref="K761:AW761" si="206">K1560</f>
        <v>4.0166140097319695E-3</v>
      </c>
      <c r="L761" s="22">
        <f t="shared" si="206"/>
        <v>3.9947810410006978E-3</v>
      </c>
      <c r="M761" s="22">
        <f t="shared" si="206"/>
        <v>3.9965730233416669E-3</v>
      </c>
      <c r="N761" s="22">
        <f t="shared" si="206"/>
        <v>3.9598814204188986E-3</v>
      </c>
      <c r="O761" s="22">
        <f t="shared" si="206"/>
        <v>3.8999555700251287E-3</v>
      </c>
      <c r="P761" s="22">
        <f t="shared" si="206"/>
        <v>3.8177534504158584E-3</v>
      </c>
      <c r="Q761" s="22">
        <f t="shared" si="206"/>
        <v>3.7580655955978051E-3</v>
      </c>
      <c r="R761" s="22">
        <f t="shared" si="206"/>
        <v>3.7036593154610876E-3</v>
      </c>
      <c r="S761" s="22">
        <f t="shared" si="206"/>
        <v>3.3270703984670008E-3</v>
      </c>
      <c r="T761" s="22">
        <f t="shared" si="206"/>
        <v>3.4774167097077883E-3</v>
      </c>
      <c r="U761" s="22">
        <f t="shared" si="206"/>
        <v>3.5228709200238193E-3</v>
      </c>
      <c r="V761" s="22">
        <f t="shared" si="206"/>
        <v>3.4881036041350764E-3</v>
      </c>
      <c r="W761" s="22">
        <f t="shared" si="206"/>
        <v>3.4575259346777865E-3</v>
      </c>
      <c r="X761" s="22">
        <f t="shared" si="206"/>
        <v>3.448075893365063E-3</v>
      </c>
      <c r="Y761" s="22">
        <f t="shared" si="206"/>
        <v>3.4589323782318001E-3</v>
      </c>
      <c r="Z761" s="22">
        <f t="shared" si="206"/>
        <v>3.4791536533630104E-3</v>
      </c>
      <c r="AA761" s="22">
        <f t="shared" si="206"/>
        <v>3.5110466966113414E-3</v>
      </c>
      <c r="AB761" s="22">
        <f t="shared" si="206"/>
        <v>3.5622797360223518E-3</v>
      </c>
      <c r="AC761" s="22">
        <f t="shared" si="206"/>
        <v>3.6310640190383376E-3</v>
      </c>
      <c r="AD761" s="22">
        <f t="shared" si="206"/>
        <v>3.7093508810068579E-3</v>
      </c>
      <c r="AE761" s="22">
        <f t="shared" si="206"/>
        <v>3.7963631658595345E-3</v>
      </c>
      <c r="AF761" s="22">
        <f t="shared" si="206"/>
        <v>3.8877484837016034E-3</v>
      </c>
      <c r="AG761" s="22">
        <f t="shared" si="206"/>
        <v>3.98507629190532E-3</v>
      </c>
      <c r="AH761" s="22">
        <f t="shared" si="206"/>
        <v>4.0862487972233809E-3</v>
      </c>
      <c r="AI761" s="22">
        <f t="shared" si="206"/>
        <v>4.1844295737116129E-3</v>
      </c>
      <c r="AJ761" s="22">
        <f t="shared" si="206"/>
        <v>4.2891038055800747E-3</v>
      </c>
      <c r="AK761" s="22">
        <f t="shared" si="206"/>
        <v>4.3939868173907288E-3</v>
      </c>
      <c r="AL761" s="22">
        <f t="shared" si="206"/>
        <v>4.4985279410305803E-3</v>
      </c>
      <c r="AM761" s="22">
        <f t="shared" si="206"/>
        <v>4.6054322011364794E-3</v>
      </c>
      <c r="AN761" s="22">
        <f t="shared" si="206"/>
        <v>4.707786301988981E-3</v>
      </c>
      <c r="AO761" s="22">
        <f t="shared" si="206"/>
        <v>4.8148938950716034E-3</v>
      </c>
      <c r="AP761" s="22">
        <f t="shared" si="206"/>
        <v>4.929842582877003E-3</v>
      </c>
      <c r="AQ761" s="22">
        <f t="shared" si="206"/>
        <v>5.046800149632805E-3</v>
      </c>
      <c r="AR761" s="22">
        <f t="shared" si="206"/>
        <v>5.1659816130943592E-3</v>
      </c>
      <c r="AS761" s="22">
        <f t="shared" si="206"/>
        <v>5.2932761725327836E-3</v>
      </c>
      <c r="AT761" s="22">
        <f t="shared" si="206"/>
        <v>5.4264677810814564E-3</v>
      </c>
      <c r="AU761" s="22">
        <f t="shared" si="206"/>
        <v>5.5640382328374224E-3</v>
      </c>
      <c r="AV761" s="22">
        <f t="shared" si="206"/>
        <v>5.7095561788936492E-3</v>
      </c>
      <c r="AW761" s="22">
        <f t="shared" si="206"/>
        <v>5.8412762614364865E-3</v>
      </c>
      <c r="AY761" s="79"/>
      <c r="AZ761" s="79"/>
    </row>
    <row r="762" spans="1:52" x14ac:dyDescent="0.25">
      <c r="A762" s="95" t="str">
        <f t="shared" si="176"/>
        <v>NI MM Leaching</v>
      </c>
      <c r="B762" s="95" t="s">
        <v>968</v>
      </c>
      <c r="C762" s="95" t="s">
        <v>1332</v>
      </c>
      <c r="D762" t="s">
        <v>369</v>
      </c>
      <c r="E762" t="s">
        <v>64</v>
      </c>
      <c r="F762" t="s">
        <v>63</v>
      </c>
      <c r="G762" t="s">
        <v>1179</v>
      </c>
      <c r="H762" t="s">
        <v>1319</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1.8677293946611211E-2</v>
      </c>
      <c r="S762" s="22">
        <f t="shared" si="207"/>
        <v>1.7926295011943302E-2</v>
      </c>
      <c r="T762" s="22">
        <f t="shared" si="207"/>
        <v>1.8674748698375012E-2</v>
      </c>
      <c r="U762" s="22">
        <f t="shared" si="207"/>
        <v>1.9119559955571311E-2</v>
      </c>
      <c r="V762" s="22">
        <f t="shared" si="207"/>
        <v>1.933187353292521E-2</v>
      </c>
      <c r="W762" s="22">
        <f t="shared" si="207"/>
        <v>1.9567336744090873E-2</v>
      </c>
      <c r="X762" s="22">
        <f t="shared" si="207"/>
        <v>1.9874405903185278E-2</v>
      </c>
      <c r="Y762" s="22">
        <f t="shared" si="207"/>
        <v>2.0244038198599948E-2</v>
      </c>
      <c r="Z762" s="22">
        <f t="shared" si="207"/>
        <v>2.064493630250834E-2</v>
      </c>
      <c r="AA762" s="22">
        <f t="shared" si="207"/>
        <v>2.1086941142640651E-2</v>
      </c>
      <c r="AB762" s="22">
        <f t="shared" si="207"/>
        <v>2.1599318957249428E-2</v>
      </c>
      <c r="AC762" s="22">
        <f t="shared" si="207"/>
        <v>2.2180513768392543E-2</v>
      </c>
      <c r="AD762" s="22">
        <f t="shared" si="207"/>
        <v>2.2805803764739216E-2</v>
      </c>
      <c r="AE762" s="22">
        <f t="shared" si="207"/>
        <v>2.3475090902088748E-2</v>
      </c>
      <c r="AF762" s="22">
        <f t="shared" si="207"/>
        <v>2.4174535529571241E-2</v>
      </c>
      <c r="AG762" s="22">
        <f t="shared" si="207"/>
        <v>2.4911238714913377E-2</v>
      </c>
      <c r="AH762" s="22">
        <f t="shared" si="207"/>
        <v>2.5679011663267932E-2</v>
      </c>
      <c r="AI762" s="22">
        <f t="shared" si="207"/>
        <v>2.645249874928041E-2</v>
      </c>
      <c r="AJ762" s="22">
        <f t="shared" si="207"/>
        <v>2.7269372865090267E-2</v>
      </c>
      <c r="AK762" s="22">
        <f t="shared" si="207"/>
        <v>2.8105461432882069E-2</v>
      </c>
      <c r="AL762" s="22">
        <f t="shared" si="207"/>
        <v>2.8959047781856831E-2</v>
      </c>
      <c r="AM762" s="22">
        <f t="shared" si="207"/>
        <v>2.9842194803075938E-2</v>
      </c>
      <c r="AN762" s="22">
        <f t="shared" si="207"/>
        <v>3.0726207525762706E-2</v>
      </c>
      <c r="AO762" s="22">
        <f t="shared" si="207"/>
        <v>3.1651324084180803E-2</v>
      </c>
      <c r="AP762" s="22">
        <f t="shared" si="207"/>
        <v>3.263300298507002E-2</v>
      </c>
      <c r="AQ762" s="22">
        <f t="shared" si="207"/>
        <v>3.3647129592199072E-2</v>
      </c>
      <c r="AR762" s="22">
        <f t="shared" si="207"/>
        <v>3.4695684340366462E-2</v>
      </c>
      <c r="AS762" s="22">
        <f t="shared" si="207"/>
        <v>3.5807702215394269E-2</v>
      </c>
      <c r="AT762" s="22">
        <f t="shared" si="207"/>
        <v>3.6975350864185588E-2</v>
      </c>
      <c r="AU762" s="22">
        <f t="shared" si="207"/>
        <v>3.8193620446260186E-2</v>
      </c>
      <c r="AV762" s="22">
        <f t="shared" si="207"/>
        <v>3.9482562307511335E-2</v>
      </c>
      <c r="AW762" s="22">
        <f t="shared" si="207"/>
        <v>4.0733932208981263E-2</v>
      </c>
      <c r="AY762" s="79"/>
      <c r="AZ762" s="79"/>
    </row>
    <row r="763" spans="1:52" x14ac:dyDescent="0.25">
      <c r="A763" s="95" t="str">
        <f t="shared" si="176"/>
        <v>NI MM Leaching</v>
      </c>
      <c r="B763" s="95" t="s">
        <v>968</v>
      </c>
      <c r="C763" s="95" t="s">
        <v>1332</v>
      </c>
      <c r="D763" t="s">
        <v>369</v>
      </c>
      <c r="E763" t="s">
        <v>64</v>
      </c>
      <c r="F763" t="s">
        <v>63</v>
      </c>
      <c r="G763" t="s">
        <v>1181</v>
      </c>
      <c r="H763" t="s">
        <v>1320</v>
      </c>
      <c r="I763" t="s">
        <v>139</v>
      </c>
      <c r="J763" t="s">
        <v>287</v>
      </c>
      <c r="K763" s="22">
        <f t="shared" ref="K763:AW763" si="208">K1562</f>
        <v>7.758579791322931E-2</v>
      </c>
      <c r="L763" s="22">
        <f t="shared" si="208"/>
        <v>7.8607464197542429E-2</v>
      </c>
      <c r="M763" s="22">
        <f t="shared" si="208"/>
        <v>8.024855331382115E-2</v>
      </c>
      <c r="N763" s="22">
        <f t="shared" si="208"/>
        <v>8.0719757945382262E-2</v>
      </c>
      <c r="O763" s="22">
        <f t="shared" si="208"/>
        <v>8.0430818839717685E-2</v>
      </c>
      <c r="P763" s="22">
        <f t="shared" si="208"/>
        <v>7.938481013134728E-2</v>
      </c>
      <c r="Q763" s="22">
        <f t="shared" si="208"/>
        <v>7.8944464359385597E-2</v>
      </c>
      <c r="R763" s="22">
        <f t="shared" si="208"/>
        <v>7.8604018955287347E-2</v>
      </c>
      <c r="S763" s="22">
        <f t="shared" si="208"/>
        <v>6.838761678762284E-2</v>
      </c>
      <c r="T763" s="22">
        <f t="shared" si="208"/>
        <v>7.4574992595892425E-2</v>
      </c>
      <c r="U763" s="22">
        <f t="shared" si="208"/>
        <v>7.755216316581004E-2</v>
      </c>
      <c r="V763" s="22">
        <f t="shared" si="208"/>
        <v>7.7924677783992133E-2</v>
      </c>
      <c r="W763" s="22">
        <f t="shared" si="208"/>
        <v>7.8354110824083251E-2</v>
      </c>
      <c r="X763" s="22">
        <f t="shared" si="208"/>
        <v>7.9443157162657083E-2</v>
      </c>
      <c r="Y763" s="22">
        <f t="shared" si="208"/>
        <v>8.1236326250134938E-2</v>
      </c>
      <c r="Z763" s="22">
        <f t="shared" si="208"/>
        <v>8.3381793031121837E-2</v>
      </c>
      <c r="AA763" s="22">
        <f t="shared" si="208"/>
        <v>8.5974252242443622E-2</v>
      </c>
      <c r="AB763" s="22">
        <f t="shared" si="208"/>
        <v>8.9301533057552729E-2</v>
      </c>
      <c r="AC763" s="22">
        <f t="shared" si="208"/>
        <v>9.3325676960655579E-2</v>
      </c>
      <c r="AD763" s="22">
        <f t="shared" si="208"/>
        <v>9.7779695826372345E-2</v>
      </c>
      <c r="AE763" s="22">
        <f t="shared" si="208"/>
        <v>0.10264881318689535</v>
      </c>
      <c r="AF763" s="22">
        <f t="shared" si="208"/>
        <v>0.1077848208225682</v>
      </c>
      <c r="AG763" s="22">
        <f t="shared" si="208"/>
        <v>0.11325644741449936</v>
      </c>
      <c r="AH763" s="22">
        <f t="shared" si="208"/>
        <v>0.11899390557339033</v>
      </c>
      <c r="AI763" s="22">
        <f t="shared" si="208"/>
        <v>0.12473968814681194</v>
      </c>
      <c r="AJ763" s="22">
        <f t="shared" si="208"/>
        <v>0.13086543937710404</v>
      </c>
      <c r="AK763" s="22">
        <f t="shared" si="208"/>
        <v>0.13713570688007848</v>
      </c>
      <c r="AL763" s="22">
        <f t="shared" si="208"/>
        <v>0.14353189422654788</v>
      </c>
      <c r="AM763" s="22">
        <f t="shared" si="208"/>
        <v>0.15016680935758497</v>
      </c>
      <c r="AN763" s="22">
        <f t="shared" si="208"/>
        <v>0.15676188787571166</v>
      </c>
      <c r="AO763" s="22">
        <f t="shared" si="208"/>
        <v>0.16370376989202984</v>
      </c>
      <c r="AP763" s="22">
        <f t="shared" si="208"/>
        <v>0.17113537656800237</v>
      </c>
      <c r="AQ763" s="22">
        <f t="shared" si="208"/>
        <v>0.17882351737077742</v>
      </c>
      <c r="AR763" s="22">
        <f t="shared" si="208"/>
        <v>0.18678614513935693</v>
      </c>
      <c r="AS763" s="22">
        <f t="shared" si="208"/>
        <v>0.19529177080691471</v>
      </c>
      <c r="AT763" s="22">
        <f t="shared" si="208"/>
        <v>0.20426055038144844</v>
      </c>
      <c r="AU763" s="22">
        <f t="shared" si="208"/>
        <v>0.21363944759847542</v>
      </c>
      <c r="AV763" s="22">
        <f t="shared" si="208"/>
        <v>0.2236051975341104</v>
      </c>
      <c r="AW763" s="22">
        <f t="shared" si="208"/>
        <v>0.23317129202372885</v>
      </c>
      <c r="AY763" s="79"/>
      <c r="AZ763" s="79"/>
    </row>
    <row r="764" spans="1:52" x14ac:dyDescent="0.25">
      <c r="A764" s="95"/>
      <c r="B764" s="95"/>
      <c r="C764" s="95"/>
    </row>
    <row r="765" spans="1:52" x14ac:dyDescent="0.25">
      <c r="A765" s="95" t="str">
        <f t="shared" si="176"/>
        <v>BD Cattle</v>
      </c>
      <c r="B765" s="95" t="s">
        <v>1227</v>
      </c>
      <c r="C765" s="95" t="s">
        <v>1107</v>
      </c>
      <c r="D765" t="s">
        <v>15</v>
      </c>
      <c r="E765" t="s">
        <v>16</v>
      </c>
      <c r="F765" t="s">
        <v>6</v>
      </c>
      <c r="G765" t="s">
        <v>136</v>
      </c>
      <c r="H765" t="s">
        <v>1019</v>
      </c>
      <c r="I765" t="s">
        <v>121</v>
      </c>
      <c r="J765" t="s">
        <v>286</v>
      </c>
      <c r="K765" s="27">
        <f>K1379</f>
        <v>72.246065125367707</v>
      </c>
      <c r="L765" s="27">
        <f t="shared" ref="L765:AW772" si="209">L1379</f>
        <v>72.649957574793405</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74.518042528471327</v>
      </c>
      <c r="S765" s="27">
        <f t="shared" si="209"/>
        <v>72.365714675231743</v>
      </c>
      <c r="T765" s="27">
        <f t="shared" si="209"/>
        <v>73.825045522582627</v>
      </c>
      <c r="U765" s="27">
        <f t="shared" si="209"/>
        <v>74.549470852823731</v>
      </c>
      <c r="V765" s="27">
        <f t="shared" si="209"/>
        <v>74.73866134408884</v>
      </c>
      <c r="W765" s="27">
        <f t="shared" si="209"/>
        <v>75.00766800235165</v>
      </c>
      <c r="X765" s="27">
        <f t="shared" si="209"/>
        <v>75.45906320296173</v>
      </c>
      <c r="Y765" s="27">
        <f t="shared" si="209"/>
        <v>76.055372148787171</v>
      </c>
      <c r="Z765" s="27">
        <f t="shared" si="209"/>
        <v>76.723006485373944</v>
      </c>
      <c r="AA765" s="27">
        <f t="shared" si="209"/>
        <v>77.482992951839307</v>
      </c>
      <c r="AB765" s="27">
        <f t="shared" si="209"/>
        <v>78.40049292820909</v>
      </c>
      <c r="AC765" s="27">
        <f t="shared" si="209"/>
        <v>79.470176515878649</v>
      </c>
      <c r="AD765" s="27">
        <f t="shared" si="209"/>
        <v>80.634435222178453</v>
      </c>
      <c r="AE765" s="27">
        <f t="shared" si="209"/>
        <v>81.892216807263921</v>
      </c>
      <c r="AF765" s="27">
        <f t="shared" si="209"/>
        <v>83.211603764210864</v>
      </c>
      <c r="AG765" s="27">
        <f t="shared" si="209"/>
        <v>84.607353188642591</v>
      </c>
      <c r="AH765" s="27">
        <f t="shared" si="209"/>
        <v>86.06511371010545</v>
      </c>
      <c r="AI765" s="27">
        <f t="shared" si="209"/>
        <v>87.52871170290878</v>
      </c>
      <c r="AJ765" s="27">
        <f t="shared" si="209"/>
        <v>89.080470915368679</v>
      </c>
      <c r="AK765" s="27">
        <f t="shared" si="209"/>
        <v>90.666146577204373</v>
      </c>
      <c r="AL765" s="27">
        <f t="shared" si="209"/>
        <v>92.281705803455623</v>
      </c>
      <c r="AM765" s="27">
        <f t="shared" si="209"/>
        <v>93.953177200375109</v>
      </c>
      <c r="AN765" s="27">
        <f t="shared" si="209"/>
        <v>95.618162408652182</v>
      </c>
      <c r="AO765" s="27">
        <f t="shared" si="209"/>
        <v>97.363125443895129</v>
      </c>
      <c r="AP765" s="27">
        <f t="shared" si="209"/>
        <v>99.220282959393018</v>
      </c>
      <c r="AQ765" s="27">
        <f t="shared" si="209"/>
        <v>101.13698373864543</v>
      </c>
      <c r="AR765" s="27">
        <f t="shared" si="209"/>
        <v>103.1166953994274</v>
      </c>
      <c r="AS765" s="27">
        <f t="shared" si="209"/>
        <v>105.22033839717858</v>
      </c>
      <c r="AT765" s="27">
        <f t="shared" si="209"/>
        <v>107.43022097905694</v>
      </c>
      <c r="AU765" s="27">
        <f t="shared" si="209"/>
        <v>109.73494167523042</v>
      </c>
      <c r="AV765" s="27">
        <f t="shared" si="209"/>
        <v>112.1760298148465</v>
      </c>
      <c r="AW765" s="27">
        <f t="shared" si="209"/>
        <v>114.52480661709059</v>
      </c>
      <c r="AY765" s="79"/>
      <c r="AZ765" s="79"/>
    </row>
    <row r="766" spans="1:52" x14ac:dyDescent="0.25">
      <c r="A766" s="95" t="str">
        <f t="shared" si="176"/>
        <v>BD Cattle</v>
      </c>
      <c r="B766" s="95" t="s">
        <v>1227</v>
      </c>
      <c r="C766" s="95" t="s">
        <v>1107</v>
      </c>
      <c r="D766" t="s">
        <v>15</v>
      </c>
      <c r="E766" t="s">
        <v>16</v>
      </c>
      <c r="F766" t="s">
        <v>6</v>
      </c>
      <c r="G766" t="s">
        <v>137</v>
      </c>
      <c r="H766" t="s">
        <v>1019</v>
      </c>
      <c r="I766" t="s">
        <v>121</v>
      </c>
      <c r="J766" t="s">
        <v>286</v>
      </c>
      <c r="K766" s="27">
        <f t="shared" ref="K766:Z778" si="210">K1380</f>
        <v>57.783598896292567</v>
      </c>
      <c r="L766" s="27">
        <f t="shared" si="210"/>
        <v>58.1066387636453</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59.600764035107616</v>
      </c>
      <c r="S766" s="27">
        <f t="shared" si="210"/>
        <v>57.879296587031398</v>
      </c>
      <c r="T766" s="27">
        <f t="shared" si="210"/>
        <v>59.046493557468224</v>
      </c>
      <c r="U766" s="27">
        <f t="shared" si="210"/>
        <v>59.625900929209891</v>
      </c>
      <c r="V766" s="27">
        <f t="shared" si="210"/>
        <v>59.777218616107909</v>
      </c>
      <c r="W766" s="27">
        <f t="shared" si="210"/>
        <v>59.992374594700195</v>
      </c>
      <c r="X766" s="27">
        <f t="shared" si="210"/>
        <v>60.353407948842083</v>
      </c>
      <c r="Y766" s="27">
        <f t="shared" si="210"/>
        <v>60.830345715404938</v>
      </c>
      <c r="Z766" s="27">
        <f t="shared" si="210"/>
        <v>61.364330710266294</v>
      </c>
      <c r="AA766" s="27">
        <f t="shared" si="209"/>
        <v>61.97218046746265</v>
      </c>
      <c r="AB766" s="27">
        <f t="shared" si="209"/>
        <v>62.706012137463084</v>
      </c>
      <c r="AC766" s="27">
        <f t="shared" si="209"/>
        <v>63.561562779128991</v>
      </c>
      <c r="AD766" s="27">
        <f t="shared" si="209"/>
        <v>64.49275616633426</v>
      </c>
      <c r="AE766" s="27">
        <f t="shared" si="209"/>
        <v>65.498750700231739</v>
      </c>
      <c r="AF766" s="27">
        <f t="shared" si="209"/>
        <v>66.554018230400004</v>
      </c>
      <c r="AG766" s="27">
        <f t="shared" si="209"/>
        <v>67.670361726217266</v>
      </c>
      <c r="AH766" s="27">
        <f t="shared" si="209"/>
        <v>68.836302724012626</v>
      </c>
      <c r="AI766" s="27">
        <f t="shared" si="209"/>
        <v>70.006912628023471</v>
      </c>
      <c r="AJ766" s="27">
        <f t="shared" si="209"/>
        <v>71.248035334994583</v>
      </c>
      <c r="AK766" s="27">
        <f t="shared" si="209"/>
        <v>72.516284979651772</v>
      </c>
      <c r="AL766" s="27">
        <f t="shared" si="209"/>
        <v>73.808435993840746</v>
      </c>
      <c r="AM766" s="27">
        <f t="shared" si="209"/>
        <v>75.145306487737145</v>
      </c>
      <c r="AN766" s="27">
        <f t="shared" si="209"/>
        <v>76.476989220580691</v>
      </c>
      <c r="AO766" s="27">
        <f t="shared" si="209"/>
        <v>77.872639543437259</v>
      </c>
      <c r="AP766" s="27">
        <f t="shared" si="209"/>
        <v>79.358024868943161</v>
      </c>
      <c r="AQ766" s="27">
        <f t="shared" si="209"/>
        <v>80.891033882518414</v>
      </c>
      <c r="AR766" s="27">
        <f t="shared" si="209"/>
        <v>82.474440042264703</v>
      </c>
      <c r="AS766" s="27">
        <f t="shared" si="209"/>
        <v>84.156968536960065</v>
      </c>
      <c r="AT766" s="27">
        <f t="shared" si="209"/>
        <v>85.924469209800506</v>
      </c>
      <c r="AU766" s="27">
        <f t="shared" si="209"/>
        <v>87.767822976466917</v>
      </c>
      <c r="AV766" s="27">
        <f t="shared" si="209"/>
        <v>89.72024568191533</v>
      </c>
      <c r="AW766" s="27">
        <f t="shared" si="209"/>
        <v>91.59883625155085</v>
      </c>
      <c r="AY766" s="79"/>
      <c r="AZ766" s="79"/>
    </row>
    <row r="767" spans="1:52" x14ac:dyDescent="0.25">
      <c r="A767" s="95" t="str">
        <f t="shared" si="176"/>
        <v>BD Cattle</v>
      </c>
      <c r="B767" s="95" t="s">
        <v>1227</v>
      </c>
      <c r="C767" s="95" t="s">
        <v>1107</v>
      </c>
      <c r="D767" t="s">
        <v>15</v>
      </c>
      <c r="E767" t="s">
        <v>16</v>
      </c>
      <c r="F767" t="s">
        <v>67</v>
      </c>
      <c r="G767" t="s">
        <v>307</v>
      </c>
      <c r="H767" t="s">
        <v>1019</v>
      </c>
      <c r="I767" t="s">
        <v>121</v>
      </c>
      <c r="J767" t="s">
        <v>286</v>
      </c>
      <c r="K767" s="27">
        <f t="shared" si="210"/>
        <v>26.126191807126649</v>
      </c>
      <c r="L767" s="27">
        <f t="shared" si="209"/>
        <v>26.272250579806308</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26.947802192577253</v>
      </c>
      <c r="S767" s="27">
        <f t="shared" si="209"/>
        <v>26.169460420911491</v>
      </c>
      <c r="T767" s="27">
        <f t="shared" si="209"/>
        <v>26.697195150294817</v>
      </c>
      <c r="U767" s="27">
        <f t="shared" si="209"/>
        <v>26.959167551075083</v>
      </c>
      <c r="V767" s="27">
        <f t="shared" si="209"/>
        <v>27.027584108493112</v>
      </c>
      <c r="W767" s="27">
        <f t="shared" si="209"/>
        <v>27.124864417655591</v>
      </c>
      <c r="X767" s="27">
        <f t="shared" si="209"/>
        <v>27.288101509827889</v>
      </c>
      <c r="Y767" s="27">
        <f t="shared" si="209"/>
        <v>27.503743453342821</v>
      </c>
      <c r="Z767" s="27">
        <f t="shared" si="209"/>
        <v>27.745178647140875</v>
      </c>
      <c r="AA767" s="27">
        <f t="shared" si="209"/>
        <v>28.020010946439662</v>
      </c>
      <c r="AB767" s="27">
        <f t="shared" si="209"/>
        <v>28.351804523350385</v>
      </c>
      <c r="AC767" s="27">
        <f t="shared" si="209"/>
        <v>28.738631937907769</v>
      </c>
      <c r="AD767" s="27">
        <f t="shared" si="209"/>
        <v>29.159660352688871</v>
      </c>
      <c r="AE767" s="27">
        <f t="shared" si="209"/>
        <v>29.614509248423072</v>
      </c>
      <c r="AF767" s="27">
        <f t="shared" si="209"/>
        <v>30.09163636455321</v>
      </c>
      <c r="AG767" s="27">
        <f t="shared" si="209"/>
        <v>30.596378278373869</v>
      </c>
      <c r="AH767" s="27">
        <f t="shared" si="209"/>
        <v>31.123545134125884</v>
      </c>
      <c r="AI767" s="27">
        <f t="shared" si="209"/>
        <v>31.652822982298673</v>
      </c>
      <c r="AJ767" s="27">
        <f t="shared" si="209"/>
        <v>32.213982385967945</v>
      </c>
      <c r="AK767" s="27">
        <f t="shared" si="209"/>
        <v>32.787406923527513</v>
      </c>
      <c r="AL767" s="27">
        <f t="shared" si="209"/>
        <v>33.371638191314474</v>
      </c>
      <c r="AM767" s="27">
        <f t="shared" si="209"/>
        <v>33.976088859184969</v>
      </c>
      <c r="AN767" s="27">
        <f t="shared" si="209"/>
        <v>34.578193940368166</v>
      </c>
      <c r="AO767" s="27">
        <f t="shared" si="209"/>
        <v>35.209221234048357</v>
      </c>
      <c r="AP767" s="27">
        <f t="shared" si="209"/>
        <v>35.880821180450241</v>
      </c>
      <c r="AQ767" s="27">
        <f t="shared" si="209"/>
        <v>36.573953631452547</v>
      </c>
      <c r="AR767" s="27">
        <f t="shared" si="209"/>
        <v>37.289872574340869</v>
      </c>
      <c r="AS767" s="27">
        <f t="shared" si="209"/>
        <v>38.050608544633441</v>
      </c>
      <c r="AT767" s="27">
        <f t="shared" si="209"/>
        <v>38.849763711149343</v>
      </c>
      <c r="AU767" s="27">
        <f t="shared" si="209"/>
        <v>39.683214984455297</v>
      </c>
      <c r="AV767" s="27">
        <f t="shared" si="209"/>
        <v>40.565980528060209</v>
      </c>
      <c r="AW767" s="27">
        <f t="shared" si="209"/>
        <v>41.415363717872332</v>
      </c>
      <c r="AY767" s="79"/>
      <c r="AZ767" s="79"/>
    </row>
    <row r="768" spans="1:52" x14ac:dyDescent="0.25">
      <c r="A768" s="95" t="str">
        <f t="shared" si="176"/>
        <v>BD Cattle</v>
      </c>
      <c r="B768" s="95" t="s">
        <v>1227</v>
      </c>
      <c r="C768" s="95" t="s">
        <v>1107</v>
      </c>
      <c r="D768" t="s">
        <v>15</v>
      </c>
      <c r="E768" t="s">
        <v>16</v>
      </c>
      <c r="F768" t="s">
        <v>67</v>
      </c>
      <c r="G768" t="s">
        <v>122</v>
      </c>
      <c r="H768" t="s">
        <v>1019</v>
      </c>
      <c r="I768" t="s">
        <v>121</v>
      </c>
      <c r="J768" t="s">
        <v>286</v>
      </c>
      <c r="K768" s="27">
        <f t="shared" si="210"/>
        <v>463.23498593143171</v>
      </c>
      <c r="L768" s="27">
        <f t="shared" si="209"/>
        <v>459.2174968362159</v>
      </c>
      <c r="M768" s="27">
        <f t="shared" si="209"/>
        <v>457.68816035731231</v>
      </c>
      <c r="N768" s="27">
        <f t="shared" si="209"/>
        <v>451.57633407663525</v>
      </c>
      <c r="O768" s="27">
        <f t="shared" si="209"/>
        <v>442.704868969107</v>
      </c>
      <c r="P768" s="27">
        <f t="shared" si="209"/>
        <v>431.25721304480408</v>
      </c>
      <c r="Q768" s="27">
        <f t="shared" si="209"/>
        <v>422.22811200839215</v>
      </c>
      <c r="R768" s="27">
        <f t="shared" si="209"/>
        <v>413.68555596285586</v>
      </c>
      <c r="S768" s="27">
        <f t="shared" si="209"/>
        <v>369.40237691087651</v>
      </c>
      <c r="T768" s="27">
        <f t="shared" si="209"/>
        <v>387.06361603448636</v>
      </c>
      <c r="U768" s="27">
        <f t="shared" si="209"/>
        <v>393.17794041792496</v>
      </c>
      <c r="V768" s="27">
        <f t="shared" si="209"/>
        <v>390.52270230053807</v>
      </c>
      <c r="W768" s="27">
        <f t="shared" si="209"/>
        <v>388.36285305535796</v>
      </c>
      <c r="X768" s="27">
        <f t="shared" si="209"/>
        <v>388.50473132162119</v>
      </c>
      <c r="Y768" s="27">
        <f t="shared" si="209"/>
        <v>390.78606081827786</v>
      </c>
      <c r="Z768" s="27">
        <f t="shared" si="209"/>
        <v>394.02311080220409</v>
      </c>
      <c r="AA768" s="27">
        <f t="shared" si="209"/>
        <v>398.47662182088436</v>
      </c>
      <c r="AB768" s="27">
        <f t="shared" si="209"/>
        <v>405.00014152902594</v>
      </c>
      <c r="AC768" s="27">
        <f t="shared" si="209"/>
        <v>413.40943063236716</v>
      </c>
      <c r="AD768" s="27">
        <f t="shared" si="209"/>
        <v>419.27234556371411</v>
      </c>
      <c r="AE768" s="27">
        <f t="shared" si="209"/>
        <v>425.8278376253316</v>
      </c>
      <c r="AF768" s="27">
        <f t="shared" si="209"/>
        <v>432.58187641621225</v>
      </c>
      <c r="AG768" s="27">
        <f t="shared" si="209"/>
        <v>439.68449510593507</v>
      </c>
      <c r="AH768" s="27">
        <f t="shared" si="209"/>
        <v>446.893496347981</v>
      </c>
      <c r="AI768" s="27">
        <f t="shared" si="209"/>
        <v>453.4765954958275</v>
      </c>
      <c r="AJ768" s="27">
        <f t="shared" si="209"/>
        <v>460.42055689435347</v>
      </c>
      <c r="AK768" s="27">
        <f t="shared" si="209"/>
        <v>467.05009656830129</v>
      </c>
      <c r="AL768" s="27">
        <f t="shared" si="209"/>
        <v>473.30134622451675</v>
      </c>
      <c r="AM768" s="27">
        <f t="shared" si="209"/>
        <v>479.44152386893921</v>
      </c>
      <c r="AN768" s="27">
        <f t="shared" si="209"/>
        <v>487.2386202384439</v>
      </c>
      <c r="AO768" s="27">
        <f t="shared" si="209"/>
        <v>495.30323443397566</v>
      </c>
      <c r="AP768" s="27">
        <f t="shared" si="209"/>
        <v>503.92844355873905</v>
      </c>
      <c r="AQ768" s="27">
        <f t="shared" si="209"/>
        <v>512.52009483394647</v>
      </c>
      <c r="AR768" s="27">
        <f t="shared" si="209"/>
        <v>521.08933970994713</v>
      </c>
      <c r="AS768" s="27">
        <f t="shared" si="209"/>
        <v>530.19934966432822</v>
      </c>
      <c r="AT768" s="27">
        <f t="shared" si="209"/>
        <v>539.61424355839688</v>
      </c>
      <c r="AU768" s="27">
        <f t="shared" si="209"/>
        <v>549.17033444464153</v>
      </c>
      <c r="AV768" s="27">
        <f t="shared" si="209"/>
        <v>559.19282207144863</v>
      </c>
      <c r="AW768" s="27">
        <f t="shared" si="209"/>
        <v>567.59543120119042</v>
      </c>
      <c r="AY768" s="79"/>
      <c r="AZ768" s="79"/>
    </row>
    <row r="769" spans="1:52" x14ac:dyDescent="0.25">
      <c r="A769" s="95" t="str">
        <f t="shared" si="176"/>
        <v>BD Cattle</v>
      </c>
      <c r="B769" s="95" t="s">
        <v>1227</v>
      </c>
      <c r="C769" s="95" t="s">
        <v>1107</v>
      </c>
      <c r="D769" t="s">
        <v>15</v>
      </c>
      <c r="E769" t="s">
        <v>16</v>
      </c>
      <c r="F769" t="s">
        <v>67</v>
      </c>
      <c r="G769" t="s">
        <v>123</v>
      </c>
      <c r="H769" t="s">
        <v>1019</v>
      </c>
      <c r="I769" t="s">
        <v>121</v>
      </c>
      <c r="J769" t="s">
        <v>286</v>
      </c>
      <c r="K769" s="27">
        <f t="shared" si="210"/>
        <v>326.20040935577725</v>
      </c>
      <c r="L769" s="27">
        <f t="shared" si="209"/>
        <v>323.37137738012308</v>
      </c>
      <c r="M769" s="27">
        <f t="shared" si="209"/>
        <v>322.29445054900742</v>
      </c>
      <c r="N769" s="27">
        <f t="shared" si="209"/>
        <v>317.99063003627219</v>
      </c>
      <c r="O769" s="27">
        <f t="shared" si="209"/>
        <v>311.74352945546775</v>
      </c>
      <c r="P769" s="27">
        <f t="shared" si="209"/>
        <v>303.68232906672063</v>
      </c>
      <c r="Q769" s="27">
        <f t="shared" si="209"/>
        <v>297.32422455466599</v>
      </c>
      <c r="R769" s="27">
        <f t="shared" si="209"/>
        <v>291.30873487096773</v>
      </c>
      <c r="S769" s="27">
        <f t="shared" si="209"/>
        <v>260.12544437470751</v>
      </c>
      <c r="T769" s="27">
        <f t="shared" si="209"/>
        <v>272.56212037461688</v>
      </c>
      <c r="U769" s="27">
        <f t="shared" si="209"/>
        <v>276.86769999918118</v>
      </c>
      <c r="V769" s="27">
        <f t="shared" si="209"/>
        <v>274.99793673186855</v>
      </c>
      <c r="W769" s="27">
        <f t="shared" si="209"/>
        <v>273.47701596957364</v>
      </c>
      <c r="X769" s="27">
        <f t="shared" si="209"/>
        <v>273.5769236836698</v>
      </c>
      <c r="Y769" s="27">
        <f t="shared" si="209"/>
        <v>275.18338830375563</v>
      </c>
      <c r="Z769" s="27">
        <f t="shared" si="209"/>
        <v>277.46285134504268</v>
      </c>
      <c r="AA769" s="27">
        <f t="shared" si="209"/>
        <v>280.59892085940152</v>
      </c>
      <c r="AB769" s="27">
        <f t="shared" si="209"/>
        <v>285.19264729169487</v>
      </c>
      <c r="AC769" s="27">
        <f t="shared" si="209"/>
        <v>291.11429317598692</v>
      </c>
      <c r="AD769" s="27">
        <f t="shared" si="209"/>
        <v>295.24283551131606</v>
      </c>
      <c r="AE769" s="27">
        <f t="shared" si="209"/>
        <v>299.85907620766255</v>
      </c>
      <c r="AF769" s="27">
        <f t="shared" si="209"/>
        <v>304.61512936707601</v>
      </c>
      <c r="AG769" s="27">
        <f t="shared" si="209"/>
        <v>309.61664521637437</v>
      </c>
      <c r="AH769" s="27">
        <f t="shared" si="209"/>
        <v>314.69307343880962</v>
      </c>
      <c r="AI769" s="27">
        <f t="shared" si="209"/>
        <v>319.32875446911731</v>
      </c>
      <c r="AJ769" s="27">
        <f t="shared" si="209"/>
        <v>324.21854716514042</v>
      </c>
      <c r="AK769" s="27">
        <f t="shared" si="209"/>
        <v>328.88693064471261</v>
      </c>
      <c r="AL769" s="27">
        <f t="shared" si="209"/>
        <v>333.28893018872913</v>
      </c>
      <c r="AM769" s="27">
        <f t="shared" si="209"/>
        <v>337.61271514011941</v>
      </c>
      <c r="AN769" s="27">
        <f t="shared" si="209"/>
        <v>343.10326767773648</v>
      </c>
      <c r="AO769" s="27">
        <f t="shared" si="209"/>
        <v>348.78220068533165</v>
      </c>
      <c r="AP769" s="27">
        <f t="shared" si="209"/>
        <v>354.85589294244767</v>
      </c>
      <c r="AQ769" s="27">
        <f t="shared" si="209"/>
        <v>360.90595446226047</v>
      </c>
      <c r="AR769" s="27">
        <f t="shared" si="209"/>
        <v>366.94023786337442</v>
      </c>
      <c r="AS769" s="27">
        <f t="shared" si="209"/>
        <v>373.35531674688991</v>
      </c>
      <c r="AT769" s="27">
        <f t="shared" si="209"/>
        <v>379.98508853779043</v>
      </c>
      <c r="AU769" s="27">
        <f t="shared" si="209"/>
        <v>386.71428830379313</v>
      </c>
      <c r="AV769" s="27">
        <f t="shared" si="209"/>
        <v>393.77191492077668</v>
      </c>
      <c r="AW769" s="27">
        <f t="shared" si="209"/>
        <v>399.6888569070714</v>
      </c>
      <c r="AY769" s="79"/>
      <c r="AZ769" s="79"/>
    </row>
    <row r="770" spans="1:52" x14ac:dyDescent="0.25">
      <c r="A770" s="95" t="str">
        <f t="shared" si="176"/>
        <v>BD Cattle</v>
      </c>
      <c r="B770" s="95" t="s">
        <v>1227</v>
      </c>
      <c r="C770" s="95" t="s">
        <v>1107</v>
      </c>
      <c r="D770" t="s">
        <v>15</v>
      </c>
      <c r="E770" t="s">
        <v>16</v>
      </c>
      <c r="F770" t="s">
        <v>67</v>
      </c>
      <c r="G770" t="s">
        <v>135</v>
      </c>
      <c r="H770" t="s">
        <v>1019</v>
      </c>
      <c r="I770" t="s">
        <v>121</v>
      </c>
      <c r="J770" t="s">
        <v>286</v>
      </c>
      <c r="K770" s="27">
        <f t="shared" si="210"/>
        <v>31.891995988947254</v>
      </c>
      <c r="L770" s="27">
        <f t="shared" si="209"/>
        <v>32.967337371253521</v>
      </c>
      <c r="M770" s="27">
        <f t="shared" si="209"/>
        <v>34.243655078433662</v>
      </c>
      <c r="N770" s="27">
        <f t="shared" si="209"/>
        <v>35.195504797614646</v>
      </c>
      <c r="O770" s="27">
        <f t="shared" si="209"/>
        <v>35.929559405213325</v>
      </c>
      <c r="P770" s="27">
        <f t="shared" si="209"/>
        <v>36.435327957872907</v>
      </c>
      <c r="Q770" s="27">
        <f t="shared" si="209"/>
        <v>37.125912791560339</v>
      </c>
      <c r="R770" s="27">
        <f t="shared" si="209"/>
        <v>37.849847328761314</v>
      </c>
      <c r="S770" s="27">
        <f t="shared" si="209"/>
        <v>35.164164958187662</v>
      </c>
      <c r="T770" s="27">
        <f t="shared" si="209"/>
        <v>37.733078614995847</v>
      </c>
      <c r="U770" s="27">
        <f t="shared" si="209"/>
        <v>39.239907769283455</v>
      </c>
      <c r="V770" s="27">
        <f t="shared" si="209"/>
        <v>39.889255441564949</v>
      </c>
      <c r="W770" s="27">
        <f t="shared" si="209"/>
        <v>40.588307761995488</v>
      </c>
      <c r="X770" s="27">
        <f t="shared" si="209"/>
        <v>41.534201946049016</v>
      </c>
      <c r="Y770" s="27">
        <f t="shared" si="209"/>
        <v>42.726423600286481</v>
      </c>
      <c r="Z770" s="27">
        <f t="shared" si="209"/>
        <v>44.049081565207047</v>
      </c>
      <c r="AA770" s="27">
        <f t="shared" si="209"/>
        <v>45.539986739615941</v>
      </c>
      <c r="AB770" s="27">
        <f t="shared" si="209"/>
        <v>47.309041836934135</v>
      </c>
      <c r="AC770" s="27">
        <f t="shared" si="209"/>
        <v>49.351300675084218</v>
      </c>
      <c r="AD770" s="27">
        <f t="shared" si="209"/>
        <v>51.711027137708825</v>
      </c>
      <c r="AE770" s="27">
        <f t="shared" si="209"/>
        <v>54.264579364554088</v>
      </c>
      <c r="AF770" s="27">
        <f t="shared" si="209"/>
        <v>56.961553434617372</v>
      </c>
      <c r="AG770" s="27">
        <f t="shared" si="209"/>
        <v>59.831551165418354</v>
      </c>
      <c r="AH770" s="27">
        <f t="shared" si="209"/>
        <v>62.852420493056009</v>
      </c>
      <c r="AI770" s="27">
        <f t="shared" si="209"/>
        <v>65.927060453070922</v>
      </c>
      <c r="AJ770" s="27">
        <f t="shared" si="209"/>
        <v>69.203040648572085</v>
      </c>
      <c r="AK770" s="27">
        <f t="shared" si="209"/>
        <v>72.58973333609724</v>
      </c>
      <c r="AL770" s="27">
        <f t="shared" si="209"/>
        <v>76.081547595026791</v>
      </c>
      <c r="AM770" s="27">
        <f t="shared" si="209"/>
        <v>79.726894187226051</v>
      </c>
      <c r="AN770" s="27">
        <f t="shared" si="209"/>
        <v>83.3095791235083</v>
      </c>
      <c r="AO770" s="27">
        <f t="shared" si="209"/>
        <v>87.086258080455181</v>
      </c>
      <c r="AP770" s="27">
        <f t="shared" si="209"/>
        <v>91.121139259350954</v>
      </c>
      <c r="AQ770" s="27">
        <f t="shared" si="209"/>
        <v>95.32019758274437</v>
      </c>
      <c r="AR770" s="27">
        <f t="shared" si="209"/>
        <v>99.693624550303667</v>
      </c>
      <c r="AS770" s="27">
        <f t="shared" si="209"/>
        <v>104.36104732075913</v>
      </c>
      <c r="AT770" s="27">
        <f t="shared" si="209"/>
        <v>109.29369918471791</v>
      </c>
      <c r="AU770" s="27">
        <f t="shared" si="209"/>
        <v>114.47360844232533</v>
      </c>
      <c r="AV770" s="27">
        <f t="shared" si="209"/>
        <v>119.9848328319804</v>
      </c>
      <c r="AW770" s="27">
        <f t="shared" si="209"/>
        <v>125.38797876262088</v>
      </c>
      <c r="AY770" s="79"/>
      <c r="AZ770" s="79"/>
    </row>
    <row r="771" spans="1:52" x14ac:dyDescent="0.25">
      <c r="A771" s="95" t="str">
        <f t="shared" si="176"/>
        <v>BD Sheep</v>
      </c>
      <c r="B771" s="95" t="s">
        <v>1227</v>
      </c>
      <c r="C771" s="95" t="s">
        <v>152</v>
      </c>
      <c r="D771" t="s">
        <v>15</v>
      </c>
      <c r="E771" t="s">
        <v>16</v>
      </c>
      <c r="F771" t="s">
        <v>18</v>
      </c>
      <c r="G771" t="s">
        <v>122</v>
      </c>
      <c r="H771" t="s">
        <v>1019</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134.514372062219</v>
      </c>
      <c r="T771" s="27">
        <f t="shared" si="209"/>
        <v>134.61119272537138</v>
      </c>
      <c r="U771" s="27">
        <f t="shared" si="209"/>
        <v>134.57715264233437</v>
      </c>
      <c r="V771" s="27">
        <f t="shared" si="209"/>
        <v>134.57470202786035</v>
      </c>
      <c r="W771" s="27">
        <f t="shared" si="209"/>
        <v>134.71744668818661</v>
      </c>
      <c r="X771" s="27">
        <f t="shared" si="209"/>
        <v>134.95106147738375</v>
      </c>
      <c r="Y771" s="27">
        <f t="shared" si="209"/>
        <v>135.17521745945572</v>
      </c>
      <c r="Z771" s="27">
        <f t="shared" si="209"/>
        <v>135.39063780811901</v>
      </c>
      <c r="AA771" s="27">
        <f t="shared" si="209"/>
        <v>135.59702853009694</v>
      </c>
      <c r="AB771" s="27">
        <f t="shared" si="209"/>
        <v>135.7986907607312</v>
      </c>
      <c r="AC771" s="27">
        <f t="shared" si="209"/>
        <v>135.99857025620054</v>
      </c>
      <c r="AD771" s="27">
        <f t="shared" si="209"/>
        <v>136.19466148301387</v>
      </c>
      <c r="AE771" s="27">
        <f t="shared" si="209"/>
        <v>136.38978391312594</v>
      </c>
      <c r="AF771" s="27">
        <f t="shared" si="209"/>
        <v>136.58332287316895</v>
      </c>
      <c r="AG771" s="27">
        <f t="shared" si="209"/>
        <v>136.77372760735147</v>
      </c>
      <c r="AH771" s="27">
        <f t="shared" si="209"/>
        <v>136.96183641513412</v>
      </c>
      <c r="AI771" s="27">
        <f t="shared" si="209"/>
        <v>137.1478500354736</v>
      </c>
      <c r="AJ771" s="27">
        <f t="shared" si="209"/>
        <v>137.33239997388901</v>
      </c>
      <c r="AK771" s="27">
        <f t="shared" si="209"/>
        <v>137.50983936953097</v>
      </c>
      <c r="AL771" s="27">
        <f t="shared" si="209"/>
        <v>137.67996062186128</v>
      </c>
      <c r="AM771" s="27">
        <f t="shared" si="209"/>
        <v>137.84435369829882</v>
      </c>
      <c r="AN771" s="27">
        <f t="shared" si="209"/>
        <v>138.00175275471773</v>
      </c>
      <c r="AO771" s="27">
        <f t="shared" si="209"/>
        <v>138.15244332532626</v>
      </c>
      <c r="AP771" s="27">
        <f t="shared" si="209"/>
        <v>138.29574669703695</v>
      </c>
      <c r="AQ771" s="27">
        <f t="shared" si="209"/>
        <v>138.4296121873767</v>
      </c>
      <c r="AR771" s="27">
        <f t="shared" si="209"/>
        <v>138.55213947392693</v>
      </c>
      <c r="AS771" s="27">
        <f t="shared" si="209"/>
        <v>138.66320476976824</v>
      </c>
      <c r="AT771" s="27">
        <f t="shared" si="209"/>
        <v>138.76195815463774</v>
      </c>
      <c r="AU771" s="27">
        <f t="shared" si="209"/>
        <v>138.84835200114654</v>
      </c>
      <c r="AV771" s="27">
        <f t="shared" si="209"/>
        <v>138.92403962400931</v>
      </c>
      <c r="AW771" s="27">
        <f t="shared" si="209"/>
        <v>138.97919020206226</v>
      </c>
      <c r="AY771" s="79"/>
      <c r="AZ771" s="79"/>
    </row>
    <row r="772" spans="1:52" x14ac:dyDescent="0.25">
      <c r="A772" s="95" t="str">
        <f t="shared" si="176"/>
        <v>BD Sheep</v>
      </c>
      <c r="B772" s="95" t="s">
        <v>1227</v>
      </c>
      <c r="C772" s="95" t="s">
        <v>152</v>
      </c>
      <c r="D772" t="s">
        <v>15</v>
      </c>
      <c r="E772" t="s">
        <v>16</v>
      </c>
      <c r="F772" t="s">
        <v>18</v>
      </c>
      <c r="G772" t="s">
        <v>123</v>
      </c>
      <c r="H772" t="s">
        <v>1019</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14.577835829783805</v>
      </c>
      <c r="T772" s="27">
        <f t="shared" si="211"/>
        <v>14.588328654533516</v>
      </c>
      <c r="U772" s="27">
        <f t="shared" si="211"/>
        <v>14.584639600832128</v>
      </c>
      <c r="V772" s="27">
        <f t="shared" si="211"/>
        <v>14.584374018389626</v>
      </c>
      <c r="W772" s="27">
        <f t="shared" si="211"/>
        <v>14.599843801966744</v>
      </c>
      <c r="X772" s="27">
        <f t="shared" si="211"/>
        <v>14.625161528185249</v>
      </c>
      <c r="Y772" s="27">
        <f t="shared" si="211"/>
        <v>14.649454167379202</v>
      </c>
      <c r="Z772" s="27">
        <f t="shared" si="211"/>
        <v>14.672800092644023</v>
      </c>
      <c r="AA772" s="27">
        <f t="shared" si="211"/>
        <v>14.695167442806378</v>
      </c>
      <c r="AB772" s="27">
        <f t="shared" si="211"/>
        <v>14.717022348317101</v>
      </c>
      <c r="AC772" s="27">
        <f t="shared" si="211"/>
        <v>14.738684052014786</v>
      </c>
      <c r="AD772" s="27">
        <f t="shared" si="211"/>
        <v>14.759935206581549</v>
      </c>
      <c r="AE772" s="27">
        <f t="shared" si="211"/>
        <v>14.781081368952709</v>
      </c>
      <c r="AF772" s="27">
        <f t="shared" si="211"/>
        <v>14.802055924629695</v>
      </c>
      <c r="AG772" s="27">
        <f t="shared" si="211"/>
        <v>14.822690812289457</v>
      </c>
      <c r="AH772" s="27">
        <f t="shared" si="211"/>
        <v>14.843076881643613</v>
      </c>
      <c r="AI772" s="27">
        <f t="shared" si="211"/>
        <v>14.863235887538975</v>
      </c>
      <c r="AJ772" s="27">
        <f t="shared" si="211"/>
        <v>14.883236268638564</v>
      </c>
      <c r="AK772" s="27">
        <f t="shared" si="211"/>
        <v>14.902466053082772</v>
      </c>
      <c r="AL772" s="27">
        <f t="shared" si="211"/>
        <v>14.920902742409034</v>
      </c>
      <c r="AM772" s="27">
        <f t="shared" si="211"/>
        <v>14.938718647454118</v>
      </c>
      <c r="AN772" s="27">
        <f t="shared" si="211"/>
        <v>14.95577658385943</v>
      </c>
      <c r="AO772" s="27">
        <f t="shared" si="211"/>
        <v>14.972107496056765</v>
      </c>
      <c r="AP772" s="27">
        <f t="shared" si="211"/>
        <v>14.98763782931875</v>
      </c>
      <c r="AQ772" s="27">
        <f t="shared" si="211"/>
        <v>15.002145343360027</v>
      </c>
      <c r="AR772" s="27">
        <f t="shared" si="211"/>
        <v>15.015424092988152</v>
      </c>
      <c r="AS772" s="27">
        <f t="shared" si="211"/>
        <v>15.027460662942268</v>
      </c>
      <c r="AT772" s="27">
        <f t="shared" si="211"/>
        <v>15.038162944120053</v>
      </c>
      <c r="AU772" s="27">
        <f t="shared" si="211"/>
        <v>15.047525774959613</v>
      </c>
      <c r="AV772" s="27">
        <f t="shared" si="211"/>
        <v>15.055728331485913</v>
      </c>
      <c r="AW772" s="27">
        <f t="shared" si="211"/>
        <v>15.061705210093363</v>
      </c>
      <c r="AY772" s="79"/>
      <c r="AZ772" s="79"/>
    </row>
    <row r="773" spans="1:52" x14ac:dyDescent="0.25">
      <c r="A773" s="95" t="str">
        <f t="shared" si="176"/>
        <v>BD Goats</v>
      </c>
      <c r="B773" s="95" t="s">
        <v>1227</v>
      </c>
      <c r="C773" s="95" t="s">
        <v>153</v>
      </c>
      <c r="D773" t="s">
        <v>15</v>
      </c>
      <c r="E773" t="s">
        <v>16</v>
      </c>
      <c r="F773" t="s">
        <v>19</v>
      </c>
      <c r="G773" t="s">
        <v>122</v>
      </c>
      <c r="H773" t="s">
        <v>1019</v>
      </c>
      <c r="I773" t="s">
        <v>121</v>
      </c>
      <c r="J773" t="s">
        <v>286</v>
      </c>
      <c r="K773" s="27">
        <f t="shared" si="210"/>
        <v>15.123414197798356</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15.545788610572219</v>
      </c>
      <c r="R773" s="27">
        <f t="shared" si="211"/>
        <v>15.648067752449878</v>
      </c>
      <c r="S773" s="27">
        <f t="shared" si="211"/>
        <v>15.609698922895241</v>
      </c>
      <c r="T773" s="27">
        <f t="shared" si="211"/>
        <v>15.636532010302831</v>
      </c>
      <c r="U773" s="27">
        <f t="shared" si="211"/>
        <v>15.639135853628233</v>
      </c>
      <c r="V773" s="27">
        <f t="shared" si="211"/>
        <v>15.646294761850147</v>
      </c>
      <c r="W773" s="27">
        <f t="shared" si="211"/>
        <v>15.677946241783271</v>
      </c>
      <c r="X773" s="27">
        <f t="shared" si="211"/>
        <v>15.724503798989753</v>
      </c>
      <c r="Y773" s="27">
        <f t="shared" si="211"/>
        <v>15.768451676063824</v>
      </c>
      <c r="Z773" s="27">
        <f t="shared" si="211"/>
        <v>15.809996509627668</v>
      </c>
      <c r="AA773" s="27">
        <f t="shared" si="211"/>
        <v>15.849159564668597</v>
      </c>
      <c r="AB773" s="27">
        <f t="shared" si="211"/>
        <v>15.886751198222623</v>
      </c>
      <c r="AC773" s="27">
        <f t="shared" si="211"/>
        <v>15.923335433500936</v>
      </c>
      <c r="AD773" s="27">
        <f t="shared" si="211"/>
        <v>15.958613587829067</v>
      </c>
      <c r="AE773" s="27">
        <f t="shared" si="211"/>
        <v>15.993115538730159</v>
      </c>
      <c r="AF773" s="27">
        <f t="shared" si="211"/>
        <v>16.026773849205178</v>
      </c>
      <c r="AG773" s="27">
        <f t="shared" si="211"/>
        <v>16.059358210664367</v>
      </c>
      <c r="AH773" s="27">
        <f t="shared" si="211"/>
        <v>16.091045965246145</v>
      </c>
      <c r="AI773" s="27">
        <f t="shared" si="211"/>
        <v>16.121901844149729</v>
      </c>
      <c r="AJ773" s="27">
        <f t="shared" si="211"/>
        <v>16.152061326115707</v>
      </c>
      <c r="AK773" s="27">
        <f t="shared" si="211"/>
        <v>16.180589301116473</v>
      </c>
      <c r="AL773" s="27">
        <f t="shared" si="211"/>
        <v>16.207479025870157</v>
      </c>
      <c r="AM773" s="27">
        <f t="shared" si="211"/>
        <v>16.233026710727977</v>
      </c>
      <c r="AN773" s="27">
        <f t="shared" si="211"/>
        <v>16.257041914334369</v>
      </c>
      <c r="AO773" s="27">
        <f t="shared" si="211"/>
        <v>16.279596122288691</v>
      </c>
      <c r="AP773" s="27">
        <f t="shared" si="211"/>
        <v>16.300596548995752</v>
      </c>
      <c r="AQ773" s="27">
        <f t="shared" si="211"/>
        <v>16.31971904310852</v>
      </c>
      <c r="AR773" s="27">
        <f t="shared" si="211"/>
        <v>16.336665838044137</v>
      </c>
      <c r="AS773" s="27">
        <f t="shared" si="211"/>
        <v>16.351438090046905</v>
      </c>
      <c r="AT773" s="27">
        <f t="shared" si="211"/>
        <v>16.363914421549605</v>
      </c>
      <c r="AU773" s="27">
        <f t="shared" si="211"/>
        <v>16.374107486259209</v>
      </c>
      <c r="AV773" s="27">
        <f t="shared" si="211"/>
        <v>16.382312930249284</v>
      </c>
      <c r="AW773" s="27">
        <f t="shared" si="211"/>
        <v>16.386910096993194</v>
      </c>
      <c r="AY773" s="79"/>
      <c r="AZ773" s="79"/>
    </row>
    <row r="774" spans="1:52" x14ac:dyDescent="0.25">
      <c r="A774" s="95" t="str">
        <f t="shared" si="176"/>
        <v>BD Goats</v>
      </c>
      <c r="B774" s="95" t="s">
        <v>1227</v>
      </c>
      <c r="C774" s="95" t="s">
        <v>153</v>
      </c>
      <c r="D774" t="s">
        <v>15</v>
      </c>
      <c r="E774" t="s">
        <v>16</v>
      </c>
      <c r="F774" t="s">
        <v>19</v>
      </c>
      <c r="G774" t="s">
        <v>123</v>
      </c>
      <c r="H774" t="s">
        <v>1019</v>
      </c>
      <c r="I774" t="s">
        <v>121</v>
      </c>
      <c r="J774" t="s">
        <v>286</v>
      </c>
      <c r="K774" s="27">
        <f t="shared" si="210"/>
        <v>22.381101687842737</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23.100753199022172</v>
      </c>
      <c r="T774" s="27">
        <f t="shared" si="211"/>
        <v>23.140463415909274</v>
      </c>
      <c r="U774" s="27">
        <f t="shared" si="211"/>
        <v>23.144316836934628</v>
      </c>
      <c r="V774" s="27">
        <f t="shared" si="211"/>
        <v>23.154911286758789</v>
      </c>
      <c r="W774" s="27">
        <f t="shared" si="211"/>
        <v>23.201752230324114</v>
      </c>
      <c r="X774" s="27">
        <f t="shared" si="211"/>
        <v>23.270652639223016</v>
      </c>
      <c r="Y774" s="27">
        <f t="shared" si="211"/>
        <v>23.335690989220911</v>
      </c>
      <c r="Z774" s="27">
        <f t="shared" si="211"/>
        <v>23.397173081322329</v>
      </c>
      <c r="AA774" s="27">
        <f t="shared" si="211"/>
        <v>23.455130385527173</v>
      </c>
      <c r="AB774" s="27">
        <f t="shared" si="211"/>
        <v>23.510762147124183</v>
      </c>
      <c r="AC774" s="27">
        <f t="shared" si="211"/>
        <v>23.564903062609726</v>
      </c>
      <c r="AD774" s="27">
        <f t="shared" si="211"/>
        <v>23.617111112263775</v>
      </c>
      <c r="AE774" s="27">
        <f t="shared" si="211"/>
        <v>23.668170460466953</v>
      </c>
      <c r="AF774" s="27">
        <f t="shared" si="211"/>
        <v>23.717981307378224</v>
      </c>
      <c r="AG774" s="27">
        <f t="shared" si="211"/>
        <v>23.766202819909285</v>
      </c>
      <c r="AH774" s="27">
        <f t="shared" si="211"/>
        <v>23.813097446233641</v>
      </c>
      <c r="AI774" s="27">
        <f t="shared" si="211"/>
        <v>23.858760981886149</v>
      </c>
      <c r="AJ774" s="27">
        <f t="shared" si="211"/>
        <v>23.903393921505796</v>
      </c>
      <c r="AK774" s="27">
        <f t="shared" si="211"/>
        <v>23.94561239817315</v>
      </c>
      <c r="AL774" s="27">
        <f t="shared" si="211"/>
        <v>23.985406432522741</v>
      </c>
      <c r="AM774" s="27">
        <f t="shared" si="211"/>
        <v>24.023214385489801</v>
      </c>
      <c r="AN774" s="27">
        <f t="shared" si="211"/>
        <v>24.058754423403148</v>
      </c>
      <c r="AO774" s="27">
        <f t="shared" si="211"/>
        <v>24.092132337616977</v>
      </c>
      <c r="AP774" s="27">
        <f t="shared" si="211"/>
        <v>24.123210814968164</v>
      </c>
      <c r="AQ774" s="27">
        <f t="shared" si="211"/>
        <v>24.151510144713775</v>
      </c>
      <c r="AR774" s="27">
        <f t="shared" si="211"/>
        <v>24.176589662855413</v>
      </c>
      <c r="AS774" s="27">
        <f t="shared" si="211"/>
        <v>24.198451080516016</v>
      </c>
      <c r="AT774" s="27">
        <f t="shared" si="211"/>
        <v>24.21691477134674</v>
      </c>
      <c r="AU774" s="27">
        <f t="shared" si="211"/>
        <v>24.231999461535917</v>
      </c>
      <c r="AV774" s="27">
        <f t="shared" si="211"/>
        <v>24.244142676945735</v>
      </c>
      <c r="AW774" s="27">
        <f t="shared" si="211"/>
        <v>24.250946012159979</v>
      </c>
      <c r="AY774" s="79"/>
      <c r="AZ774" s="79"/>
    </row>
    <row r="775" spans="1:52" x14ac:dyDescent="0.25">
      <c r="A775" s="95" t="str">
        <f t="shared" si="176"/>
        <v>BD Horses</v>
      </c>
      <c r="B775" s="95" t="s">
        <v>1227</v>
      </c>
      <c r="C775" s="95" t="s">
        <v>3</v>
      </c>
      <c r="D775" t="s">
        <v>15</v>
      </c>
      <c r="E775" t="s">
        <v>16</v>
      </c>
      <c r="F775" t="s">
        <v>20</v>
      </c>
      <c r="G775" t="s">
        <v>3</v>
      </c>
      <c r="H775" t="s">
        <v>1019</v>
      </c>
      <c r="I775" t="s">
        <v>121</v>
      </c>
      <c r="J775" t="s">
        <v>286</v>
      </c>
      <c r="K775" s="27">
        <f t="shared" si="210"/>
        <v>5.5526214800767892</v>
      </c>
      <c r="L775" s="27">
        <f t="shared" si="211"/>
        <v>5.579523571019652</v>
      </c>
      <c r="M775" s="27">
        <f t="shared" si="211"/>
        <v>5.6203482259438013</v>
      </c>
      <c r="N775" s="27">
        <f t="shared" si="211"/>
        <v>5.629075655008374</v>
      </c>
      <c r="O775" s="27">
        <f t="shared" si="211"/>
        <v>5.6165815405282276</v>
      </c>
      <c r="P775" s="27">
        <f t="shared" si="211"/>
        <v>5.5833231296706103</v>
      </c>
      <c r="Q775" s="27">
        <f t="shared" si="211"/>
        <v>5.5648827699457346</v>
      </c>
      <c r="R775" s="27">
        <f t="shared" si="211"/>
        <v>5.5483103177944031</v>
      </c>
      <c r="S775" s="27">
        <f t="shared" si="211"/>
        <v>5.2971852508905934</v>
      </c>
      <c r="T775" s="27">
        <f t="shared" si="211"/>
        <v>5.4545032105207021</v>
      </c>
      <c r="U775" s="27">
        <f t="shared" si="211"/>
        <v>5.5329638064801401</v>
      </c>
      <c r="V775" s="27">
        <f t="shared" si="211"/>
        <v>5.544813640469159</v>
      </c>
      <c r="W775" s="27">
        <f t="shared" si="211"/>
        <v>5.5552394312209037</v>
      </c>
      <c r="X775" s="27">
        <f t="shared" si="211"/>
        <v>5.5805371243140618</v>
      </c>
      <c r="Y775" s="27">
        <f t="shared" si="211"/>
        <v>5.6237182797404808</v>
      </c>
      <c r="Z775" s="27">
        <f t="shared" si="211"/>
        <v>5.6758191216830927</v>
      </c>
      <c r="AA775" s="27">
        <f t="shared" si="211"/>
        <v>5.7392036522982304</v>
      </c>
      <c r="AB775" s="27">
        <f t="shared" si="211"/>
        <v>5.8209863133515896</v>
      </c>
      <c r="AC775" s="27">
        <f t="shared" si="211"/>
        <v>5.9200988769206573</v>
      </c>
      <c r="AD775" s="27">
        <f t="shared" si="211"/>
        <v>6.0298529321871719</v>
      </c>
      <c r="AE775" s="27">
        <f t="shared" si="211"/>
        <v>6.1497995952254207</v>
      </c>
      <c r="AF775" s="27">
        <f t="shared" si="211"/>
        <v>6.2762315807434783</v>
      </c>
      <c r="AG775" s="27">
        <f t="shared" si="211"/>
        <v>6.4109152413607369</v>
      </c>
      <c r="AH775" s="27">
        <f t="shared" si="211"/>
        <v>6.552086974601302</v>
      </c>
      <c r="AI775" s="27">
        <f t="shared" si="211"/>
        <v>6.6933077398392395</v>
      </c>
      <c r="AJ775" s="27">
        <f t="shared" si="211"/>
        <v>6.8438679121481307</v>
      </c>
      <c r="AK775" s="27">
        <f t="shared" si="211"/>
        <v>6.9980784680830306</v>
      </c>
      <c r="AL775" s="27">
        <f t="shared" si="211"/>
        <v>7.1555200224058177</v>
      </c>
      <c r="AM775" s="27">
        <f t="shared" si="211"/>
        <v>7.3189945558292679</v>
      </c>
      <c r="AN775" s="27">
        <f t="shared" si="211"/>
        <v>7.4816205294730294</v>
      </c>
      <c r="AO775" s="27">
        <f t="shared" si="211"/>
        <v>7.6530966093944661</v>
      </c>
      <c r="AP775" s="27">
        <f t="shared" si="211"/>
        <v>7.8370750081366163</v>
      </c>
      <c r="AQ775" s="27">
        <f t="shared" si="211"/>
        <v>8.0278701064246079</v>
      </c>
      <c r="AR775" s="27">
        <f t="shared" si="211"/>
        <v>8.2260903165664789</v>
      </c>
      <c r="AS775" s="27">
        <f t="shared" si="211"/>
        <v>8.4385648916420113</v>
      </c>
      <c r="AT775" s="27">
        <f t="shared" si="211"/>
        <v>8.6634503637197486</v>
      </c>
      <c r="AU775" s="27">
        <f t="shared" si="211"/>
        <v>8.8995458740132776</v>
      </c>
      <c r="AV775" s="27">
        <f t="shared" si="211"/>
        <v>9.151348341874078</v>
      </c>
      <c r="AW775" s="27">
        <f t="shared" si="211"/>
        <v>9.3946927055732683</v>
      </c>
      <c r="AY775" s="79"/>
      <c r="AZ775" s="79"/>
    </row>
    <row r="776" spans="1:52" x14ac:dyDescent="0.25">
      <c r="A776" s="95" t="str">
        <f t="shared" si="176"/>
        <v>BD Mules&amp;Asses</v>
      </c>
      <c r="B776" s="95" t="s">
        <v>1227</v>
      </c>
      <c r="C776" s="95" t="s">
        <v>1322</v>
      </c>
      <c r="D776" t="s">
        <v>15</v>
      </c>
      <c r="E776" t="s">
        <v>16</v>
      </c>
      <c r="F776" t="s">
        <v>140</v>
      </c>
      <c r="G776" t="s">
        <v>124</v>
      </c>
      <c r="H776" t="s">
        <v>1019</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5">
      <c r="A777" s="95" t="str">
        <f t="shared" si="176"/>
        <v>BD Swine</v>
      </c>
      <c r="B777" s="95" t="s">
        <v>1227</v>
      </c>
      <c r="C777" s="95" t="s">
        <v>155</v>
      </c>
      <c r="D777" t="s">
        <v>15</v>
      </c>
      <c r="E777" t="s">
        <v>16</v>
      </c>
      <c r="F777" t="s">
        <v>21</v>
      </c>
      <c r="G777" t="s">
        <v>122</v>
      </c>
      <c r="H777" t="s">
        <v>1019</v>
      </c>
      <c r="I777" t="s">
        <v>121</v>
      </c>
      <c r="J777" t="s">
        <v>286</v>
      </c>
      <c r="K777" s="27">
        <f t="shared" si="210"/>
        <v>1.8400999552016302</v>
      </c>
      <c r="L777" s="27">
        <f t="shared" si="211"/>
        <v>1.8300977880312248</v>
      </c>
      <c r="M777" s="27">
        <f t="shared" si="211"/>
        <v>1.8309187348828144</v>
      </c>
      <c r="N777" s="27">
        <f t="shared" si="211"/>
        <v>1.8141094978660446</v>
      </c>
      <c r="O777" s="27">
        <f t="shared" si="211"/>
        <v>1.7866561368117291</v>
      </c>
      <c r="P777" s="27">
        <f t="shared" si="211"/>
        <v>1.7489975228040082</v>
      </c>
      <c r="Q777" s="27">
        <f t="shared" si="211"/>
        <v>1.7216531928010093</v>
      </c>
      <c r="R777" s="27">
        <f t="shared" si="211"/>
        <v>1.6967284692901876</v>
      </c>
      <c r="S777" s="27">
        <f t="shared" si="211"/>
        <v>1.524204734718916</v>
      </c>
      <c r="T777" s="27">
        <f t="shared" si="211"/>
        <v>1.593081714161948</v>
      </c>
      <c r="U777" s="27">
        <f t="shared" si="211"/>
        <v>1.6139052959558671</v>
      </c>
      <c r="V777" s="27">
        <f t="shared" si="211"/>
        <v>1.5979776175047269</v>
      </c>
      <c r="W777" s="27">
        <f t="shared" si="211"/>
        <v>1.5839693089985563</v>
      </c>
      <c r="X777" s="27">
        <f t="shared" si="211"/>
        <v>1.5796400354975273</v>
      </c>
      <c r="Y777" s="27">
        <f t="shared" si="211"/>
        <v>1.5846136319816619</v>
      </c>
      <c r="Z777" s="27">
        <f t="shared" si="211"/>
        <v>1.5938774465709915</v>
      </c>
      <c r="AA777" s="27">
        <f t="shared" si="211"/>
        <v>1.6084883569821753</v>
      </c>
      <c r="AB777" s="27">
        <f t="shared" si="211"/>
        <v>1.6319593485428836</v>
      </c>
      <c r="AC777" s="27">
        <f t="shared" si="211"/>
        <v>1.6634709540368702</v>
      </c>
      <c r="AD777" s="27">
        <f t="shared" si="211"/>
        <v>1.6993359016898217</v>
      </c>
      <c r="AE777" s="27">
        <f t="shared" si="211"/>
        <v>1.7391981590716521</v>
      </c>
      <c r="AF777" s="27">
        <f t="shared" si="211"/>
        <v>1.7810637998476497</v>
      </c>
      <c r="AG777" s="27">
        <f t="shared" si="211"/>
        <v>1.8256518272462501</v>
      </c>
      <c r="AH777" s="27">
        <f t="shared" si="211"/>
        <v>1.8720011956576361</v>
      </c>
      <c r="AI777" s="27">
        <f t="shared" si="211"/>
        <v>1.9169799867438404</v>
      </c>
      <c r="AJ777" s="27">
        <f t="shared" si="211"/>
        <v>1.9649335737465348</v>
      </c>
      <c r="AK777" s="27">
        <f t="shared" si="211"/>
        <v>2.0129828074709066</v>
      </c>
      <c r="AL777" s="27">
        <f t="shared" si="211"/>
        <v>2.0608754146421031</v>
      </c>
      <c r="AM777" s="27">
        <f t="shared" si="211"/>
        <v>2.1098506270361996</v>
      </c>
      <c r="AN777" s="27">
        <f t="shared" si="211"/>
        <v>2.1567413105664199</v>
      </c>
      <c r="AO777" s="27">
        <f t="shared" si="211"/>
        <v>2.2058096743065145</v>
      </c>
      <c r="AP777" s="27">
        <f t="shared" si="211"/>
        <v>2.258470217432818</v>
      </c>
      <c r="AQ777" s="27">
        <f t="shared" si="211"/>
        <v>2.3120510725576544</v>
      </c>
      <c r="AR777" s="27">
        <f t="shared" si="211"/>
        <v>2.3666507440832505</v>
      </c>
      <c r="AS777" s="27">
        <f t="shared" si="211"/>
        <v>2.4249672048017872</v>
      </c>
      <c r="AT777" s="27">
        <f t="shared" si="211"/>
        <v>2.4859852344978988</v>
      </c>
      <c r="AU777" s="27">
        <f t="shared" si="211"/>
        <v>2.5490093093778539</v>
      </c>
      <c r="AV777" s="27">
        <f t="shared" si="211"/>
        <v>2.6156743076501083</v>
      </c>
      <c r="AW777" s="27">
        <f t="shared" si="211"/>
        <v>2.6760181986485878</v>
      </c>
      <c r="AY777" s="79"/>
      <c r="AZ777" s="79"/>
    </row>
    <row r="778" spans="1:52" x14ac:dyDescent="0.25">
      <c r="A778" s="95" t="str">
        <f t="shared" si="176"/>
        <v>BD Swine</v>
      </c>
      <c r="B778" s="95" t="s">
        <v>1227</v>
      </c>
      <c r="C778" s="95" t="s">
        <v>155</v>
      </c>
      <c r="D778" t="s">
        <v>15</v>
      </c>
      <c r="E778" t="s">
        <v>16</v>
      </c>
      <c r="F778" t="s">
        <v>21</v>
      </c>
      <c r="G778" t="s">
        <v>123</v>
      </c>
      <c r="H778" t="s">
        <v>1019</v>
      </c>
      <c r="I778" t="s">
        <v>121</v>
      </c>
      <c r="J778" t="s">
        <v>286</v>
      </c>
      <c r="K778" s="27">
        <f t="shared" si="210"/>
        <v>0.25496723934882604</v>
      </c>
      <c r="L778" s="27">
        <f t="shared" si="211"/>
        <v>0.25358132281546891</v>
      </c>
      <c r="M778" s="27">
        <f t="shared" si="211"/>
        <v>0.25369507454499329</v>
      </c>
      <c r="N778" s="27">
        <f t="shared" si="211"/>
        <v>0.25136595935447836</v>
      </c>
      <c r="O778" s="27">
        <f t="shared" si="211"/>
        <v>0.24756197704412694</v>
      </c>
      <c r="P778" s="27">
        <f t="shared" si="211"/>
        <v>0.24234393830437845</v>
      </c>
      <c r="Q778" s="27">
        <f t="shared" si="211"/>
        <v>0.23855506351363698</v>
      </c>
      <c r="R778" s="27">
        <f t="shared" si="211"/>
        <v>0.2351014533295149</v>
      </c>
      <c r="S778" s="27">
        <f t="shared" si="211"/>
        <v>0.21119628437309981</v>
      </c>
      <c r="T778" s="27">
        <f t="shared" si="211"/>
        <v>0.22073999054712201</v>
      </c>
      <c r="U778" s="27">
        <f t="shared" si="211"/>
        <v>0.22362533987194619</v>
      </c>
      <c r="V778" s="27">
        <f t="shared" si="211"/>
        <v>0.22141837486852711</v>
      </c>
      <c r="W778" s="27">
        <f t="shared" si="211"/>
        <v>0.21947736088302675</v>
      </c>
      <c r="X778" s="27">
        <f t="shared" si="211"/>
        <v>0.2188774897130813</v>
      </c>
      <c r="Y778" s="27">
        <f t="shared" si="211"/>
        <v>0.21956663932237841</v>
      </c>
      <c r="Z778" s="27">
        <f t="shared" si="211"/>
        <v>0.22085024852252202</v>
      </c>
      <c r="AA778" s="27">
        <f t="shared" si="211"/>
        <v>0.22287476000701054</v>
      </c>
      <c r="AB778" s="27">
        <f t="shared" si="211"/>
        <v>0.22612693873028961</v>
      </c>
      <c r="AC778" s="27">
        <f t="shared" si="211"/>
        <v>0.23049323798351176</v>
      </c>
      <c r="AD778" s="27">
        <f t="shared" si="211"/>
        <v>0.23546274339902665</v>
      </c>
      <c r="AE778" s="27">
        <f t="shared" si="211"/>
        <v>0.24098612254488616</v>
      </c>
      <c r="AF778" s="27">
        <f t="shared" si="211"/>
        <v>0.24678709374867933</v>
      </c>
      <c r="AG778" s="27">
        <f t="shared" si="211"/>
        <v>0.25296528326588152</v>
      </c>
      <c r="AH778" s="27">
        <f t="shared" si="211"/>
        <v>0.25938752705541407</v>
      </c>
      <c r="AI778" s="27">
        <f t="shared" si="211"/>
        <v>0.26561986142403288</v>
      </c>
      <c r="AJ778" s="27">
        <f t="shared" si="211"/>
        <v>0.27226438834790373</v>
      </c>
      <c r="AK778" s="27">
        <f t="shared" si="211"/>
        <v>0.27892216823692451</v>
      </c>
      <c r="AL778" s="27">
        <f t="shared" si="211"/>
        <v>0.28555824569627086</v>
      </c>
      <c r="AM778" s="27">
        <f t="shared" si="211"/>
        <v>0.29234433069417909</v>
      </c>
      <c r="AN778" s="27">
        <f t="shared" si="211"/>
        <v>0.298841579986036</v>
      </c>
      <c r="AO778" s="27">
        <f t="shared" si="211"/>
        <v>0.30564057218578583</v>
      </c>
      <c r="AP778" s="27">
        <f t="shared" si="211"/>
        <v>0.3129373025973966</v>
      </c>
      <c r="AQ778" s="27">
        <f t="shared" ref="AQ778:AW778" si="212">AQ1392</f>
        <v>0.32036155293472796</v>
      </c>
      <c r="AR778" s="27">
        <f t="shared" si="212"/>
        <v>0.32792697212778937</v>
      </c>
      <c r="AS778" s="27">
        <f t="shared" si="212"/>
        <v>0.33600739566998233</v>
      </c>
      <c r="AT778" s="27">
        <f t="shared" si="212"/>
        <v>0.34446215299886757</v>
      </c>
      <c r="AU778" s="27">
        <f t="shared" si="212"/>
        <v>0.35319487120758841</v>
      </c>
      <c r="AV778" s="27">
        <f t="shared" si="212"/>
        <v>0.3624320816768471</v>
      </c>
      <c r="AW778" s="27">
        <f t="shared" si="212"/>
        <v>0.37079342925253511</v>
      </c>
      <c r="AY778" s="79"/>
      <c r="AZ778" s="79"/>
    </row>
    <row r="779" spans="1:52" x14ac:dyDescent="0.25">
      <c r="A779" s="95" t="str">
        <f t="shared" si="176"/>
        <v>BD Cattle MMCH4</v>
      </c>
      <c r="B779" s="95" t="s">
        <v>1227</v>
      </c>
      <c r="C779" s="95" t="s">
        <v>1228</v>
      </c>
      <c r="D779" t="s">
        <v>15</v>
      </c>
      <c r="E779" t="s">
        <v>22</v>
      </c>
      <c r="F779" t="s">
        <v>6</v>
      </c>
      <c r="G779" t="s">
        <v>136</v>
      </c>
      <c r="H779" t="s">
        <v>1226</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7.3635054789242087</v>
      </c>
      <c r="T779" s="93">
        <f>IF('Net zero activities &amp; levers'!$C$10="Off",'Activity data'!AM5*EF!$H18*kgtoGg,IF('Net zero activities &amp; levers'!$C$10="On",'Net zero Activity data'!AM5*'Net zero supporting data'!K190*kgtoGg,"ERROR"))</f>
        <v>7.5119983216779529</v>
      </c>
      <c r="U779" s="93">
        <f>IF('Net zero activities &amp; levers'!$C$10="Off",'Activity data'!AN5*EF!$H18*kgtoGg,IF('Net zero activities &amp; levers'!$C$10="On",'Net zero Activity data'!AN5*'Net zero supporting data'!L190*kgtoGg,"ERROR"))</f>
        <v>7.5857115422581893</v>
      </c>
      <c r="V779" s="93">
        <f>IF('Net zero activities &amp; levers'!$C$10="Off",'Activity data'!AO5*EF!$H18*kgtoGg,IF('Net zero activities &amp; levers'!$C$10="On",'Net zero Activity data'!AO5*'Net zero supporting data'!M190*kgtoGg,"ERROR"))</f>
        <v>7.6049624433961522</v>
      </c>
      <c r="W779" s="93">
        <f>IF('Net zero activities &amp; levers'!$C$10="Off",'Activity data'!AP5*EF!$H18*kgtoGg,IF('Net zero activities &amp; levers'!$C$10="On",'Net zero Activity data'!AP5*'Net zero supporting data'!N190*kgtoGg,"ERROR"))</f>
        <v>7.6323349638068887</v>
      </c>
      <c r="X779" s="93">
        <f>IF('Net zero activities &amp; levers'!$C$10="Off",'Activity data'!AQ5*EF!$H18*kgtoGg,IF('Net zero activities &amp; levers'!$C$10="On",'Net zero Activity data'!AQ5*'Net zero supporting data'!O190*kgtoGg,"ERROR"))</f>
        <v>7.6782662594179314</v>
      </c>
      <c r="Y779" s="93">
        <f>IF('Net zero activities &amp; levers'!$C$10="Off",'Activity data'!AR5*EF!$H18*kgtoGg,IF('Net zero activities &amp; levers'!$C$10="On",'Net zero Activity data'!AR5*'Net zero supporting data'!P190*kgtoGg,"ERROR"))</f>
        <v>7.7389431173667962</v>
      </c>
      <c r="Z779" s="93">
        <f>IF('Net zero activities &amp; levers'!$C$10="Off",'Activity data'!AS5*EF!$H18*kgtoGg,IF('Net zero activities &amp; levers'!$C$10="On",'Net zero Activity data'!AS5*'Net zero supporting data'!Q190*kgtoGg,"ERROR"))</f>
        <v>7.8068776236096697</v>
      </c>
      <c r="AA779" s="93">
        <f>IF('Net zero activities &amp; levers'!$C$10="Off",'Activity data'!AT5*EF!$H18*kgtoGg,IF('Net zero activities &amp; levers'!$C$10="On",'Net zero Activity data'!AT5*'Net zero supporting data'!R190*kgtoGg,"ERROR"))</f>
        <v>7.88420933428013</v>
      </c>
      <c r="AB779" s="93">
        <f>IF('Net zero activities &amp; levers'!$C$10="Off",'Activity data'!AU5*EF!$H18*kgtoGg,IF('Net zero activities &amp; levers'!$C$10="On",'Net zero Activity data'!AU5*'Net zero supporting data'!S190*kgtoGg,"ERROR"))</f>
        <v>7.9775686845364202</v>
      </c>
      <c r="AC779" s="93">
        <f>IF('Net zero activities &amp; levers'!$C$10="Off",'Activity data'!AV5*EF!$H18*kgtoGg,IF('Net zero activities &amp; levers'!$C$10="On",'Net zero Activity data'!AV5*'Net zero supporting data'!T190*kgtoGg,"ERROR"))</f>
        <v>8.0864133355409642</v>
      </c>
      <c r="AD779" s="93">
        <f>IF('Net zero activities &amp; levers'!$C$10="Off",'Activity data'!AW5*EF!$H18*kgtoGg,IF('Net zero activities &amp; levers'!$C$10="On",'Net zero Activity data'!AW5*'Net zero supporting data'!U190*kgtoGg,"ERROR"))</f>
        <v>8.2048813891102359</v>
      </c>
      <c r="AE779" s="93">
        <f>IF('Net zero activities &amp; levers'!$C$10="Off",'Activity data'!AX5*EF!$H18*kgtoGg,IF('Net zero activities &amp; levers'!$C$10="On",'Net zero Activity data'!AX5*'Net zero supporting data'!V190*kgtoGg,"ERROR"))</f>
        <v>8.3328657755649527</v>
      </c>
      <c r="AF779" s="93">
        <f>IF('Net zero activities &amp; levers'!$C$10="Off",'Activity data'!AY5*EF!$H18*kgtoGg,IF('Net zero activities &amp; levers'!$C$10="On",'Net zero Activity data'!AY5*'Net zero supporting data'!W190*kgtoGg,"ERROR"))</f>
        <v>8.4671187588996872</v>
      </c>
      <c r="AG779" s="93">
        <f>IF('Net zero activities &amp; levers'!$C$10="Off",'Activity data'!AZ5*EF!$H18*kgtoGg,IF('Net zero activities &amp; levers'!$C$10="On",'Net zero Activity data'!AZ5*'Net zero supporting data'!X190*kgtoGg,"ERROR"))</f>
        <v>8.6091419335499069</v>
      </c>
      <c r="AH779" s="93">
        <f>IF('Net zero activities &amp; levers'!$C$10="Off",'Activity data'!BA5*EF!$H18*kgtoGg,IF('Net zero activities &amp; levers'!$C$10="On",'Net zero Activity data'!BA5*'Net zero supporting data'!Y190*kgtoGg,"ERROR"))</f>
        <v>8.7574749892645496</v>
      </c>
      <c r="AI779" s="93">
        <f>IF('Net zero activities &amp; levers'!$C$10="Off",'Activity data'!BB5*EF!$H18*kgtoGg,IF('Net zero activities &amp; levers'!$C$10="On",'Net zero Activity data'!BB5*'Net zero supporting data'!Z190*kgtoGg,"ERROR"))</f>
        <v>8.9064020314048324</v>
      </c>
      <c r="AJ779" s="93">
        <f>IF('Net zero activities &amp; levers'!$C$10="Off",'Activity data'!BC5*EF!$H18*kgtoGg,IF('Net zero activities &amp; levers'!$C$10="On",'Net zero Activity data'!BC5*'Net zero supporting data'!AA190*kgtoGg,"ERROR"))</f>
        <v>9.0642998358305835</v>
      </c>
      <c r="AK779" s="93">
        <f>IF('Net zero activities &amp; levers'!$C$10="Off",'Activity data'!BD5*EF!$H18*kgtoGg,IF('Net zero activities &amp; levers'!$C$10="On",'Net zero Activity data'!BD5*'Net zero supporting data'!AB190*kgtoGg,"ERROR"))</f>
        <v>9.2256487767776196</v>
      </c>
      <c r="AL779" s="93">
        <f>IF('Net zero activities &amp; levers'!$C$10="Off",'Activity data'!BE5*EF!$H18*kgtoGg,IF('Net zero activities &amp; levers'!$C$10="On",'Net zero Activity data'!BE5*'Net zero supporting data'!AC190*kgtoGg,"ERROR"))</f>
        <v>9.3900384918162416</v>
      </c>
      <c r="AM779" s="93">
        <f>IF('Net zero activities &amp; levers'!$C$10="Off",'Activity data'!BF5*EF!$H18*kgtoGg,IF('Net zero activities &amp; levers'!$C$10="On",'Net zero Activity data'!BF5*'Net zero supporting data'!AD190*kgtoGg,"ERROR"))</f>
        <v>9.5601174973828691</v>
      </c>
      <c r="AN779" s="93">
        <f>IF('Net zero activities &amp; levers'!$C$10="Off",'Activity data'!BG5*EF!$H18*kgtoGg,IF('Net zero activities &amp; levers'!$C$10="On",'Net zero Activity data'!BG5*'Net zero supporting data'!AE190*kgtoGg,"ERROR"))</f>
        <v>9.7295365069027504</v>
      </c>
      <c r="AO779" s="93">
        <f>IF('Net zero activities &amp; levers'!$C$10="Off",'Activity data'!BH5*EF!$H18*kgtoGg,IF('Net zero activities &amp; levers'!$C$10="On",'Net zero Activity data'!BH5*'Net zero supporting data'!AF190*kgtoGg,"ERROR"))</f>
        <v>9.9070935852539623</v>
      </c>
      <c r="AP779" s="93">
        <f>IF('Net zero activities &amp; levers'!$C$10="Off",'Activity data'!BI5*EF!$H18*kgtoGg,IF('Net zero activities &amp; levers'!$C$10="On",'Net zero Activity data'!BI5*'Net zero supporting data'!AG190*kgtoGg,"ERROR"))</f>
        <v>10.096066907799957</v>
      </c>
      <c r="AQ779" s="93">
        <f>IF('Net zero activities &amp; levers'!$C$10="Off",'Activity data'!BJ5*EF!$H18*kgtoGg,IF('Net zero activities &amp; levers'!$C$10="On",'Net zero Activity data'!BJ5*'Net zero supporting data'!AH190*kgtoGg,"ERROR"))</f>
        <v>10.291098999348057</v>
      </c>
      <c r="AR779" s="93">
        <f>IF('Net zero activities &amp; levers'!$C$10="Off",'Activity data'!BK5*EF!$H18*kgtoGg,IF('Net zero activities &amp; levers'!$C$10="On",'Net zero Activity data'!BK5*'Net zero supporting data'!AI190*kgtoGg,"ERROR"))</f>
        <v>10.492542704095264</v>
      </c>
      <c r="AS779" s="93">
        <f>IF('Net zero activities &amp; levers'!$C$10="Off",'Activity data'!BL5*EF!$H18*kgtoGg,IF('Net zero activities &amp; levers'!$C$10="On",'Net zero Activity data'!BL5*'Net zero supporting data'!AJ190*kgtoGg,"ERROR"))</f>
        <v>10.706596925892969</v>
      </c>
      <c r="AT779" s="93">
        <f>IF('Net zero activities &amp; levers'!$C$10="Off",'Activity data'!BM5*EF!$H18*kgtoGg,IF('Net zero activities &amp; levers'!$C$10="On",'Net zero Activity data'!BM5*'Net zero supporting data'!AK190*kgtoGg,"ERROR"))</f>
        <v>10.931461457010631</v>
      </c>
      <c r="AU779" s="93">
        <f>IF('Net zero activities &amp; levers'!$C$10="Off",'Activity data'!BN5*EF!$H18*kgtoGg,IF('Net zero activities &amp; levers'!$C$10="On",'Net zero Activity data'!BN5*'Net zero supporting data'!AL190*kgtoGg,"ERROR"))</f>
        <v>11.165976151570428</v>
      </c>
      <c r="AV779" s="93">
        <f>IF('Net zero activities &amp; levers'!$C$10="Off",'Activity data'!BO5*EF!$H18*kgtoGg,IF('Net zero activities &amp; levers'!$C$10="On",'Net zero Activity data'!BO5*'Net zero supporting data'!AM190*kgtoGg,"ERROR"))</f>
        <v>11.414366787540366</v>
      </c>
      <c r="AW779" s="93">
        <f>IF('Net zero activities &amp; levers'!$C$10="Off",'Activity data'!BP5*EF!$H18*kgtoGg,IF('Net zero activities &amp; levers'!$C$10="On",'Net zero Activity data'!BP5*'Net zero supporting data'!AN190*kgtoGg,"ERROR"))</f>
        <v>11.653364369886001</v>
      </c>
      <c r="AY779" s="79"/>
      <c r="AZ779" s="79"/>
    </row>
    <row r="780" spans="1:52" x14ac:dyDescent="0.25">
      <c r="A780" s="95" t="str">
        <f t="shared" si="176"/>
        <v>BD Cattle MMCH4</v>
      </c>
      <c r="B780" s="95" t="s">
        <v>1227</v>
      </c>
      <c r="C780" s="95" t="s">
        <v>1228</v>
      </c>
      <c r="D780" t="s">
        <v>15</v>
      </c>
      <c r="E780" t="s">
        <v>22</v>
      </c>
      <c r="F780" t="s">
        <v>6</v>
      </c>
      <c r="G780" t="s">
        <v>137</v>
      </c>
      <c r="H780" t="s">
        <v>1226</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2.0979177880086217</v>
      </c>
      <c r="T780" s="93">
        <f>IF('Net zero activities &amp; levers'!$C$10="Off",'Activity data'!AM6*EF!$H19*kgtoGg,IF('Net zero activities &amp; levers'!$C$10="On",'Net zero Activity data'!AM6*'Net zero supporting data'!K191*kgtoGg,"ERROR"))</f>
        <v>2.1402245095961443</v>
      </c>
      <c r="U780" s="93">
        <f>IF('Net zero activities &amp; levers'!$C$10="Off",'Activity data'!AN6*EF!$H19*kgtoGg,IF('Net zero activities &amp; levers'!$C$10="On",'Net zero Activity data'!AN6*'Net zero supporting data'!L191*kgtoGg,"ERROR"))</f>
        <v>2.1612259574947443</v>
      </c>
      <c r="V780" s="93">
        <f>IF('Net zero activities &amp; levers'!$C$10="Off",'Activity data'!AO6*EF!$H19*kgtoGg,IF('Net zero activities &amp; levers'!$C$10="On",'Net zero Activity data'!AO6*'Net zero supporting data'!M191*kgtoGg,"ERROR"))</f>
        <v>2.1667106832205718</v>
      </c>
      <c r="W780" s="93">
        <f>IF('Net zero activities &amp; levers'!$C$10="Off",'Activity data'!AP6*EF!$H19*kgtoGg,IF('Net zero activities &amp; levers'!$C$10="On",'Net zero Activity data'!AP6*'Net zero supporting data'!N191*kgtoGg,"ERROR"))</f>
        <v>2.1745093190247649</v>
      </c>
      <c r="X780" s="93">
        <f>IF('Net zero activities &amp; levers'!$C$10="Off",'Activity data'!AQ6*EF!$H19*kgtoGg,IF('Net zero activities &amp; levers'!$C$10="On",'Net zero Activity data'!AQ6*'Net zero supporting data'!O191*kgtoGg,"ERROR"))</f>
        <v>2.1875954886982294</v>
      </c>
      <c r="Y780" s="93">
        <f>IF('Net zero activities &amp; levers'!$C$10="Off",'Activity data'!AR6*EF!$H19*kgtoGg,IF('Net zero activities &amp; levers'!$C$10="On",'Net zero Activity data'!AR6*'Net zero supporting data'!P191*kgtoGg,"ERROR"))</f>
        <v>2.2048827793746253</v>
      </c>
      <c r="Z780" s="93">
        <f>IF('Net zero activities &amp; levers'!$C$10="Off",'Activity data'!AS6*EF!$H19*kgtoGg,IF('Net zero activities &amp; levers'!$C$10="On",'Net zero Activity data'!AS6*'Net zero supporting data'!Q191*kgtoGg,"ERROR"))</f>
        <v>2.224237828335264</v>
      </c>
      <c r="AA780" s="93">
        <f>IF('Net zero activities &amp; levers'!$C$10="Off",'Activity data'!AT6*EF!$H19*kgtoGg,IF('Net zero activities &amp; levers'!$C$10="On",'Net zero Activity data'!AT6*'Net zero supporting data'!R191*kgtoGg,"ERROR"))</f>
        <v>2.2462702111259123</v>
      </c>
      <c r="AB780" s="93">
        <f>IF('Net zero activities &amp; levers'!$C$10="Off",'Activity data'!AU6*EF!$H19*kgtoGg,IF('Net zero activities &amp; levers'!$C$10="On",'Net zero Activity data'!AU6*'Net zero supporting data'!S191*kgtoGg,"ERROR"))</f>
        <v>2.2728689883170463</v>
      </c>
      <c r="AC780" s="93">
        <f>IF('Net zero activities &amp; levers'!$C$10="Off",'Activity data'!AV6*EF!$H19*kgtoGg,IF('Net zero activities &amp; levers'!$C$10="On",'Net zero Activity data'!AV6*'Net zero supporting data'!T191*kgtoGg,"ERROR"))</f>
        <v>2.3038796435172904</v>
      </c>
      <c r="AD780" s="93">
        <f>IF('Net zero activities &amp; levers'!$C$10="Off",'Activity data'!AW6*EF!$H19*kgtoGg,IF('Net zero activities &amp; levers'!$C$10="On",'Net zero Activity data'!AW6*'Net zero supporting data'!U191*kgtoGg,"ERROR"))</f>
        <v>2.3376320780887165</v>
      </c>
      <c r="AE780" s="93">
        <f>IF('Net zero activities &amp; levers'!$C$10="Off",'Activity data'!AX6*EF!$H19*kgtoGg,IF('Net zero activities &amp; levers'!$C$10="On",'Net zero Activity data'!AX6*'Net zero supporting data'!V191*kgtoGg,"ERROR"))</f>
        <v>2.3740957870788466</v>
      </c>
      <c r="AF780" s="93">
        <f>IF('Net zero activities &amp; levers'!$C$10="Off",'Activity data'!AY6*EF!$H19*kgtoGg,IF('Net zero activities &amp; levers'!$C$10="On",'Net zero Activity data'!AY6*'Net zero supporting data'!W191*kgtoGg,"ERROR"))</f>
        <v>2.4123454662075314</v>
      </c>
      <c r="AG780" s="93">
        <f>IF('Net zero activities &amp; levers'!$C$10="Off",'Activity data'!AZ6*EF!$H19*kgtoGg,IF('Net zero activities &amp; levers'!$C$10="On",'Net zero Activity data'!AZ6*'Net zero supporting data'!X191*kgtoGg,"ERROR"))</f>
        <v>2.4528089309609635</v>
      </c>
      <c r="AH780" s="93">
        <f>IF('Net zero activities &amp; levers'!$C$10="Off",'Activity data'!BA6*EF!$H19*kgtoGg,IF('Net zero activities &amp; levers'!$C$10="On",'Net zero Activity data'!BA6*'Net zero supporting data'!Y191*kgtoGg,"ERROR"))</f>
        <v>2.495070128025882</v>
      </c>
      <c r="AI780" s="93">
        <f>IF('Net zero activities &amp; levers'!$C$10="Off",'Activity data'!BB6*EF!$H19*kgtoGg,IF('Net zero activities &amp; levers'!$C$10="On",'Net zero Activity data'!BB6*'Net zero supporting data'!Z191*kgtoGg,"ERROR"))</f>
        <v>2.537500556266326</v>
      </c>
      <c r="AJ780" s="93">
        <f>IF('Net zero activities &amp; levers'!$C$10="Off",'Activity data'!BC6*EF!$H19*kgtoGg,IF('Net zero activities &amp; levers'!$C$10="On",'Net zero Activity data'!BC6*'Net zero supporting data'!AA191*kgtoGg,"ERROR"))</f>
        <v>2.5824868217808161</v>
      </c>
      <c r="AK780" s="93">
        <f>IF('Net zero activities &amp; levers'!$C$10="Off",'Activity data'!BD6*EF!$H19*kgtoGg,IF('Net zero activities &amp; levers'!$C$10="On",'Net zero Activity data'!BD6*'Net zero supporting data'!AB191*kgtoGg,"ERROR"))</f>
        <v>2.6284563419038043</v>
      </c>
      <c r="AL780" s="93">
        <f>IF('Net zero activities &amp; levers'!$C$10="Off",'Activity data'!BE6*EF!$H19*kgtoGg,IF('Net zero activities &amp; levers'!$C$10="On",'Net zero Activity data'!BE6*'Net zero supporting data'!AC191*kgtoGg,"ERROR"))</f>
        <v>2.6752922013096669</v>
      </c>
      <c r="AM780" s="93">
        <f>IF('Net zero activities &amp; levers'!$C$10="Off",'Activity data'!BF6*EF!$H19*kgtoGg,IF('Net zero activities &amp; levers'!$C$10="On",'Net zero Activity data'!BF6*'Net zero supporting data'!AD191*kgtoGg,"ERROR"))</f>
        <v>2.7237489821413385</v>
      </c>
      <c r="AN780" s="93">
        <f>IF('Net zero activities &amp; levers'!$C$10="Off",'Activity data'!BG6*EF!$H19*kgtoGg,IF('Net zero activities &amp; levers'!$C$10="On",'Net zero Activity data'!BG6*'Net zero supporting data'!AE191*kgtoGg,"ERROR"))</f>
        <v>2.772017725162697</v>
      </c>
      <c r="AO780" s="93">
        <f>IF('Net zero activities &amp; levers'!$C$10="Off",'Activity data'!BH6*EF!$H19*kgtoGg,IF('Net zero activities &amp; levers'!$C$10="On",'Net zero Activity data'!BH6*'Net zero supporting data'!AF191*kgtoGg,"ERROR"))</f>
        <v>2.8226050648646934</v>
      </c>
      <c r="AP780" s="93">
        <f>IF('Net zero activities &amp; levers'!$C$10="Off",'Activity data'!BI6*EF!$H19*kgtoGg,IF('Net zero activities &amp; levers'!$C$10="On",'Net zero Activity data'!BI6*'Net zero supporting data'!AG191*kgtoGg,"ERROR"))</f>
        <v>2.8764449779282546</v>
      </c>
      <c r="AQ780" s="93">
        <f>IF('Net zero activities &amp; levers'!$C$10="Off",'Activity data'!BJ6*EF!$H19*kgtoGg,IF('Net zero activities &amp; levers'!$C$10="On",'Net zero Activity data'!BJ6*'Net zero supporting data'!AH191*kgtoGg,"ERROR"))</f>
        <v>2.9320110795984959</v>
      </c>
      <c r="AR780" s="93">
        <f>IF('Net zero activities &amp; levers'!$C$10="Off",'Activity data'!BK6*EF!$H19*kgtoGg,IF('Net zero activities &amp; levers'!$C$10="On",'Net zero Activity data'!BK6*'Net zero supporting data'!AI191*kgtoGg,"ERROR"))</f>
        <v>2.989403897826326</v>
      </c>
      <c r="AS780" s="93">
        <f>IF('Net zero activities &amp; levers'!$C$10="Off",'Activity data'!BL6*EF!$H19*kgtoGg,IF('Net zero activities &amp; levers'!$C$10="On",'Net zero Activity data'!BL6*'Net zero supporting data'!AJ191*kgtoGg,"ERROR"))</f>
        <v>3.0503895466851563</v>
      </c>
      <c r="AT780" s="93">
        <f>IF('Net zero activities &amp; levers'!$C$10="Off",'Activity data'!BM6*EF!$H19*kgtoGg,IF('Net zero activities &amp; levers'!$C$10="On",'Net zero Activity data'!BM6*'Net zero supporting data'!AK191*kgtoGg,"ERROR"))</f>
        <v>3.1144551335274819</v>
      </c>
      <c r="AU780" s="93">
        <f>IF('Net zero activities &amp; levers'!$C$10="Off",'Activity data'!BN6*EF!$H19*kgtoGg,IF('Net zero activities &amp; levers'!$C$10="On",'Net zero Activity data'!BN6*'Net zero supporting data'!AL191*kgtoGg,"ERROR"))</f>
        <v>3.1812701241151289</v>
      </c>
      <c r="AV780" s="93">
        <f>IF('Net zero activities &amp; levers'!$C$10="Off",'Activity data'!BO6*EF!$H19*kgtoGg,IF('Net zero activities &amp; levers'!$C$10="On",'Net zero Activity data'!BO6*'Net zero supporting data'!AM191*kgtoGg,"ERROR"))</f>
        <v>3.2520384741988773</v>
      </c>
      <c r="AW780" s="93">
        <f>IF('Net zero activities &amp; levers'!$C$10="Off",'Activity data'!BP6*EF!$H19*kgtoGg,IF('Net zero activities &amp; levers'!$C$10="On",'Net zero Activity data'!BP6*'Net zero supporting data'!AN191*kgtoGg,"ERROR"))</f>
        <v>3.3201306730475184</v>
      </c>
      <c r="AY780" s="79"/>
      <c r="AZ780" s="79"/>
    </row>
    <row r="781" spans="1:52" x14ac:dyDescent="0.25">
      <c r="A781" s="95" t="str">
        <f t="shared" si="176"/>
        <v>BD Cattle MMCH4</v>
      </c>
      <c r="B781" s="95" t="s">
        <v>1227</v>
      </c>
      <c r="C781" s="95" t="s">
        <v>1228</v>
      </c>
      <c r="D781" t="s">
        <v>15</v>
      </c>
      <c r="E781" t="s">
        <v>22</v>
      </c>
      <c r="F781" t="s">
        <v>67</v>
      </c>
      <c r="G781" t="s">
        <v>307</v>
      </c>
      <c r="H781" t="s">
        <v>1226</v>
      </c>
      <c r="I781" t="s">
        <v>121</v>
      </c>
      <c r="J781" t="s">
        <v>286</v>
      </c>
      <c r="K781" s="27">
        <f t="shared" ref="K781:AW781" si="213">K1395</f>
        <v>0.43258377187145641</v>
      </c>
      <c r="L781" s="27">
        <f t="shared" si="213"/>
        <v>0.43500213637199753</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0.44618756541973903</v>
      </c>
      <c r="S781" s="27">
        <f t="shared" si="213"/>
        <v>0.4333001908694058</v>
      </c>
      <c r="T781" s="27">
        <f t="shared" si="213"/>
        <v>0.44203814554223075</v>
      </c>
      <c r="U781" s="27">
        <f t="shared" si="213"/>
        <v>0.44637574706075117</v>
      </c>
      <c r="V781" s="27">
        <f t="shared" si="213"/>
        <v>0.44750855251073168</v>
      </c>
      <c r="W781" s="27">
        <f t="shared" si="213"/>
        <v>0.44911926881324493</v>
      </c>
      <c r="X781" s="27">
        <f t="shared" si="213"/>
        <v>0.45182206291207566</v>
      </c>
      <c r="Y781" s="27">
        <f t="shared" si="213"/>
        <v>0.45539254903527465</v>
      </c>
      <c r="Z781" s="27">
        <f t="shared" si="213"/>
        <v>0.45939010625933163</v>
      </c>
      <c r="AA781" s="27">
        <f t="shared" si="213"/>
        <v>0.46394063522813239</v>
      </c>
      <c r="AB781" s="27">
        <f t="shared" si="213"/>
        <v>0.46943429913607365</v>
      </c>
      <c r="AC781" s="27">
        <f t="shared" si="213"/>
        <v>0.47583918444380807</v>
      </c>
      <c r="AD781" s="27">
        <f t="shared" si="213"/>
        <v>0.48281035196319333</v>
      </c>
      <c r="AE781" s="27">
        <f t="shared" si="213"/>
        <v>0.49034150125585807</v>
      </c>
      <c r="AF781" s="27">
        <f t="shared" si="213"/>
        <v>0.49824152162933733</v>
      </c>
      <c r="AG781" s="27">
        <f t="shared" si="213"/>
        <v>0.50659877332962533</v>
      </c>
      <c r="AH781" s="27">
        <f t="shared" si="213"/>
        <v>0.51532732544890569</v>
      </c>
      <c r="AI781" s="27">
        <f t="shared" si="213"/>
        <v>0.52409083027275605</v>
      </c>
      <c r="AJ781" s="27">
        <f t="shared" si="213"/>
        <v>0.53338221315980094</v>
      </c>
      <c r="AK781" s="27">
        <f t="shared" si="213"/>
        <v>0.54287667569656828</v>
      </c>
      <c r="AL781" s="27">
        <f t="shared" si="213"/>
        <v>0.55255007040063653</v>
      </c>
      <c r="AM781" s="27">
        <f t="shared" si="213"/>
        <v>0.56255824731933757</v>
      </c>
      <c r="AN781" s="27">
        <f t="shared" si="213"/>
        <v>0.57252758724472796</v>
      </c>
      <c r="AO781" s="27">
        <f t="shared" si="213"/>
        <v>0.58297580598510912</v>
      </c>
      <c r="AP781" s="27">
        <f t="shared" si="213"/>
        <v>0.59409580541510443</v>
      </c>
      <c r="AQ781" s="27">
        <f t="shared" si="213"/>
        <v>0.60557232875515321</v>
      </c>
      <c r="AR781" s="27">
        <f t="shared" si="213"/>
        <v>0.61742613886858821</v>
      </c>
      <c r="AS781" s="27">
        <f t="shared" si="213"/>
        <v>0.63002200580001311</v>
      </c>
      <c r="AT781" s="27">
        <f t="shared" si="213"/>
        <v>0.64325399761857238</v>
      </c>
      <c r="AU781" s="27">
        <f t="shared" si="213"/>
        <v>0.65705384637339226</v>
      </c>
      <c r="AV781" s="27">
        <f t="shared" si="213"/>
        <v>0.6716702149337197</v>
      </c>
      <c r="AW781" s="27">
        <f t="shared" si="213"/>
        <v>0.6857338560003412</v>
      </c>
      <c r="AY781" s="79"/>
      <c r="AZ781" s="79"/>
    </row>
    <row r="782" spans="1:52" x14ac:dyDescent="0.25">
      <c r="A782" s="95" t="str">
        <f t="shared" si="176"/>
        <v>BD Cattle MMCH4</v>
      </c>
      <c r="B782" s="95" t="s">
        <v>1227</v>
      </c>
      <c r="C782" s="95" t="s">
        <v>1228</v>
      </c>
      <c r="D782" t="s">
        <v>15</v>
      </c>
      <c r="E782" t="s">
        <v>22</v>
      </c>
      <c r="F782" t="s">
        <v>67</v>
      </c>
      <c r="G782" t="s">
        <v>122</v>
      </c>
      <c r="H782" t="s">
        <v>1226</v>
      </c>
      <c r="I782" t="s">
        <v>121</v>
      </c>
      <c r="J782" t="s">
        <v>286</v>
      </c>
      <c r="K782" s="27">
        <f t="shared" ref="K782:AW782" si="214">K1396</f>
        <v>9.4871637196006511E-2</v>
      </c>
      <c r="L782" s="27">
        <f t="shared" si="214"/>
        <v>9.404884578461549E-2</v>
      </c>
      <c r="M782" s="27">
        <f t="shared" si="214"/>
        <v>9.3735634002294205E-2</v>
      </c>
      <c r="N782" s="27">
        <f t="shared" si="214"/>
        <v>9.2483917307495084E-2</v>
      </c>
      <c r="O782" s="27">
        <f t="shared" si="214"/>
        <v>9.0667019955957301E-2</v>
      </c>
      <c r="P782" s="27">
        <f t="shared" si="214"/>
        <v>8.8322512540543865E-2</v>
      </c>
      <c r="Q782" s="27">
        <f t="shared" si="214"/>
        <v>8.6473330972337892E-2</v>
      </c>
      <c r="R782" s="27">
        <f t="shared" si="214"/>
        <v>8.4723794986300283E-2</v>
      </c>
      <c r="S782" s="27">
        <f t="shared" si="214"/>
        <v>7.5654493606876719E-2</v>
      </c>
      <c r="T782" s="27">
        <f t="shared" si="214"/>
        <v>7.9271557778310117E-2</v>
      </c>
      <c r="U782" s="27">
        <f t="shared" si="214"/>
        <v>8.0523786090551941E-2</v>
      </c>
      <c r="V782" s="27">
        <f t="shared" si="214"/>
        <v>7.9979986949743884E-2</v>
      </c>
      <c r="W782" s="27">
        <f t="shared" si="214"/>
        <v>7.953764463923213E-2</v>
      </c>
      <c r="X782" s="27">
        <f t="shared" si="214"/>
        <v>7.9566701648766641E-2</v>
      </c>
      <c r="Y782" s="27">
        <f t="shared" si="214"/>
        <v>8.0033923406415561E-2</v>
      </c>
      <c r="Z782" s="27">
        <f t="shared" si="214"/>
        <v>8.0696879014232822E-2</v>
      </c>
      <c r="AA782" s="27">
        <f t="shared" si="214"/>
        <v>8.1608968762296855E-2</v>
      </c>
      <c r="AB782" s="27">
        <f t="shared" si="214"/>
        <v>8.294500125938338E-2</v>
      </c>
      <c r="AC782" s="27">
        <f t="shared" si="214"/>
        <v>8.4667243855728658E-2</v>
      </c>
      <c r="AD782" s="27">
        <f t="shared" si="214"/>
        <v>8.5867982908629403E-2</v>
      </c>
      <c r="AE782" s="27">
        <f t="shared" si="214"/>
        <v>8.7210563420463058E-2</v>
      </c>
      <c r="AF782" s="27">
        <f t="shared" si="214"/>
        <v>8.8593806779096215E-2</v>
      </c>
      <c r="AG782" s="27">
        <f t="shared" si="214"/>
        <v>9.0048440137839775E-2</v>
      </c>
      <c r="AH782" s="27">
        <f t="shared" si="214"/>
        <v>9.1524860898689164E-2</v>
      </c>
      <c r="AI782" s="27">
        <f t="shared" si="214"/>
        <v>9.2873095408058187E-2</v>
      </c>
      <c r="AJ782" s="27">
        <f t="shared" si="214"/>
        <v>9.4295235372679823E-2</v>
      </c>
      <c r="AK782" s="27">
        <f t="shared" si="214"/>
        <v>9.5652981013283067E-2</v>
      </c>
      <c r="AL782" s="27">
        <f t="shared" si="214"/>
        <v>9.6933251950102856E-2</v>
      </c>
      <c r="AM782" s="27">
        <f t="shared" si="214"/>
        <v>9.8190775072259484E-2</v>
      </c>
      <c r="AN782" s="27">
        <f t="shared" si="214"/>
        <v>9.9787639127038461E-2</v>
      </c>
      <c r="AO782" s="27">
        <f t="shared" si="214"/>
        <v>0.1014392914748115</v>
      </c>
      <c r="AP782" s="27">
        <f t="shared" si="214"/>
        <v>0.10320575500989811</v>
      </c>
      <c r="AQ782" s="27">
        <f t="shared" si="214"/>
        <v>0.10496534581683413</v>
      </c>
      <c r="AR782" s="27">
        <f t="shared" si="214"/>
        <v>0.10672034773942209</v>
      </c>
      <c r="AS782" s="27">
        <f t="shared" si="214"/>
        <v>0.10858609964826429</v>
      </c>
      <c r="AT782" s="27">
        <f t="shared" si="214"/>
        <v>0.11051429251988212</v>
      </c>
      <c r="AU782" s="27">
        <f t="shared" si="214"/>
        <v>0.11247140287446589</v>
      </c>
      <c r="AV782" s="27">
        <f t="shared" si="214"/>
        <v>0.11452403240118444</v>
      </c>
      <c r="AW782" s="27">
        <f t="shared" si="214"/>
        <v>0.1162449069229001</v>
      </c>
      <c r="AY782" s="79"/>
      <c r="AZ782" s="79"/>
    </row>
    <row r="783" spans="1:52" x14ac:dyDescent="0.25">
      <c r="A783" s="95" t="str">
        <f t="shared" si="176"/>
        <v>BD Cattle MMCH4</v>
      </c>
      <c r="B783" s="95" t="s">
        <v>1227</v>
      </c>
      <c r="C783" s="95" t="s">
        <v>1228</v>
      </c>
      <c r="D783" t="s">
        <v>15</v>
      </c>
      <c r="E783" t="s">
        <v>22</v>
      </c>
      <c r="F783" t="s">
        <v>67</v>
      </c>
      <c r="G783" t="s">
        <v>123</v>
      </c>
      <c r="H783" t="s">
        <v>1226</v>
      </c>
      <c r="I783" t="s">
        <v>121</v>
      </c>
      <c r="J783" t="s">
        <v>286</v>
      </c>
      <c r="K783" s="27">
        <f t="shared" ref="K783:AW783" si="215">K1397</f>
        <v>6.9689449734106276E-2</v>
      </c>
      <c r="L783" s="27">
        <f t="shared" si="215"/>
        <v>6.9085055392440989E-2</v>
      </c>
      <c r="M783" s="27">
        <f t="shared" si="215"/>
        <v>6.8854980763127779E-2</v>
      </c>
      <c r="N783" s="27">
        <f t="shared" si="215"/>
        <v>6.7935512624264269E-2</v>
      </c>
      <c r="O783" s="27">
        <f t="shared" si="215"/>
        <v>6.6600882165738229E-2</v>
      </c>
      <c r="P783" s="27">
        <f t="shared" si="215"/>
        <v>6.4878687456057696E-2</v>
      </c>
      <c r="Q783" s="27">
        <f t="shared" si="215"/>
        <v>6.3520342119606069E-2</v>
      </c>
      <c r="R783" s="27">
        <f t="shared" si="215"/>
        <v>6.2235193009075998E-2</v>
      </c>
      <c r="S783" s="27">
        <f t="shared" si="215"/>
        <v>5.5573195374324494E-2</v>
      </c>
      <c r="T783" s="27">
        <f t="shared" si="215"/>
        <v>5.8230166616839892E-2</v>
      </c>
      <c r="U783" s="27">
        <f t="shared" si="215"/>
        <v>5.9150010572323733E-2</v>
      </c>
      <c r="V783" s="27">
        <f t="shared" si="215"/>
        <v>5.8750554380685591E-2</v>
      </c>
      <c r="W783" s="27">
        <f t="shared" si="215"/>
        <v>5.8425624895701689E-2</v>
      </c>
      <c r="X783" s="27">
        <f t="shared" si="215"/>
        <v>5.8446969177989083E-2</v>
      </c>
      <c r="Y783" s="27">
        <f t="shared" si="215"/>
        <v>5.8790174251251236E-2</v>
      </c>
      <c r="Z783" s="27">
        <f t="shared" si="215"/>
        <v>5.9277158695416256E-2</v>
      </c>
      <c r="AA783" s="27">
        <f t="shared" si="215"/>
        <v>5.9947148531465801E-2</v>
      </c>
      <c r="AB783" s="27">
        <f t="shared" si="215"/>
        <v>6.0928552165899576E-2</v>
      </c>
      <c r="AC783" s="27">
        <f t="shared" si="215"/>
        <v>6.2193652488770283E-2</v>
      </c>
      <c r="AD783" s="27">
        <f t="shared" si="215"/>
        <v>6.3075674200886653E-2</v>
      </c>
      <c r="AE783" s="27">
        <f t="shared" si="215"/>
        <v>6.4061887782297905E-2</v>
      </c>
      <c r="AF783" s="27">
        <f t="shared" si="215"/>
        <v>6.5077970895866852E-2</v>
      </c>
      <c r="AG783" s="27">
        <f t="shared" si="215"/>
        <v>6.6146494654198057E-2</v>
      </c>
      <c r="AH783" s="27">
        <f t="shared" si="215"/>
        <v>6.7231022690612471E-2</v>
      </c>
      <c r="AI783" s="27">
        <f t="shared" si="215"/>
        <v>6.8221389504630262E-2</v>
      </c>
      <c r="AJ783" s="27">
        <f t="shared" si="215"/>
        <v>6.9266044730455056E-2</v>
      </c>
      <c r="AK783" s="27">
        <f t="shared" si="215"/>
        <v>7.026339809516019E-2</v>
      </c>
      <c r="AL783" s="27">
        <f t="shared" si="215"/>
        <v>7.1203841200544876E-2</v>
      </c>
      <c r="AM783" s="27">
        <f t="shared" si="215"/>
        <v>7.2127574541732534E-2</v>
      </c>
      <c r="AN783" s="27">
        <f t="shared" si="215"/>
        <v>7.3300576089579794E-2</v>
      </c>
      <c r="AO783" s="27">
        <f t="shared" si="215"/>
        <v>7.4513823237729482E-2</v>
      </c>
      <c r="AP783" s="27">
        <f t="shared" si="215"/>
        <v>7.5811406745023818E-2</v>
      </c>
      <c r="AQ783" s="27">
        <f t="shared" si="215"/>
        <v>7.7103941782015115E-2</v>
      </c>
      <c r="AR783" s="27">
        <f t="shared" si="215"/>
        <v>7.8393105982004302E-2</v>
      </c>
      <c r="AS783" s="27">
        <f t="shared" si="215"/>
        <v>7.9763623322175625E-2</v>
      </c>
      <c r="AT783" s="27">
        <f t="shared" si="215"/>
        <v>8.1180007651315583E-2</v>
      </c>
      <c r="AU783" s="27">
        <f t="shared" si="215"/>
        <v>8.2617633771312649E-2</v>
      </c>
      <c r="AV783" s="27">
        <f t="shared" si="215"/>
        <v>8.4125424997993567E-2</v>
      </c>
      <c r="AW783" s="27">
        <f t="shared" si="215"/>
        <v>8.5389520380178607E-2</v>
      </c>
      <c r="AY783" s="79"/>
      <c r="AZ783" s="79"/>
    </row>
    <row r="784" spans="1:52" x14ac:dyDescent="0.25">
      <c r="A784" s="95" t="str">
        <f t="shared" si="176"/>
        <v>BD Cattle MMCH4</v>
      </c>
      <c r="B784" s="95" t="s">
        <v>1227</v>
      </c>
      <c r="C784" s="95" t="s">
        <v>1228</v>
      </c>
      <c r="D784" t="s">
        <v>15</v>
      </c>
      <c r="E784" t="s">
        <v>22</v>
      </c>
      <c r="F784" t="s">
        <v>67</v>
      </c>
      <c r="G784" t="s">
        <v>135</v>
      </c>
      <c r="H784" t="s">
        <v>1226</v>
      </c>
      <c r="I784" t="s">
        <v>121</v>
      </c>
      <c r="J784" t="s">
        <v>286</v>
      </c>
      <c r="K784" s="93">
        <f>IF('Net zero activities &amp; levers'!$C$10="Off",'Activity data'!AD10*EF!$H23*kgtoGg,IF('Net zero activities &amp; levers'!$C$10="On",'Net zero Activity data'!AD10*'Net zero supporting data'!B192*kgtoGg,"ERROR"))</f>
        <v>0.47107022937833815</v>
      </c>
      <c r="L784" s="93">
        <f>IF('Net zero activities &amp; levers'!$C$10="Off",'Activity data'!AE10*EF!$H23*kgtoGg,IF('Net zero activities &amp; levers'!$C$10="On",'Net zero Activity data'!AE10*'Net zero supporting data'!C192*kgtoGg,"ERROR"))</f>
        <v>0.48695387967725917</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0.5198656905589939</v>
      </c>
      <c r="O784" s="93">
        <f>IF('Net zero activities &amp; levers'!$C$10="Off",'Activity data'!AH10*EF!$H23*kgtoGg,IF('Net zero activities &amp; levers'!$C$10="On",'Net zero Activity data'!AH10*'Net zero supporting data'!F192*kgtoGg,"ERROR"))</f>
        <v>0.53070826286138517</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0.51940277612263608</v>
      </c>
      <c r="T784" s="93">
        <f>IF('Net zero activities &amp; levers'!$C$10="Off",'Activity data'!AM10*EF!$H23*kgtoGg,IF('Net zero activities &amp; levers'!$C$10="On",'Net zero Activity data'!AM10*'Net zero supporting data'!K192*kgtoGg,"ERROR"))</f>
        <v>0.55734768073083851</v>
      </c>
      <c r="U784" s="93">
        <f>IF('Net zero activities &amp; levers'!$C$10="Off",'Activity data'!AN10*EF!$H23*kgtoGg,IF('Net zero activities &amp; levers'!$C$10="On",'Net zero Activity data'!AN10*'Net zero supporting data'!L192*kgtoGg,"ERROR"))</f>
        <v>0.57960474973304943</v>
      </c>
      <c r="V784" s="93">
        <f>IF('Net zero activities &amp; levers'!$C$10="Off",'Activity data'!AO10*EF!$H23*kgtoGg,IF('Net zero activities &amp; levers'!$C$10="On",'Net zero Activity data'!AO10*'Net zero supporting data'!M192*kgtoGg,"ERROR"))</f>
        <v>0.58919613300783547</v>
      </c>
      <c r="W784" s="93">
        <f>IF('Net zero activities &amp; levers'!$C$10="Off",'Activity data'!AP10*EF!$H23*kgtoGg,IF('Net zero activities &amp; levers'!$C$10="On",'Net zero Activity data'!AP10*'Net zero supporting data'!N192*kgtoGg,"ERROR"))</f>
        <v>0.59952169359823548</v>
      </c>
      <c r="X784" s="93">
        <f>IF('Net zero activities &amp; levers'!$C$10="Off",'Activity data'!AQ10*EF!$H23*kgtoGg,IF('Net zero activities &amp; levers'!$C$10="On",'Net zero Activity data'!AQ10*'Net zero supporting data'!O192*kgtoGg,"ERROR"))</f>
        <v>0.61349330548493453</v>
      </c>
      <c r="Y784" s="93">
        <f>IF('Net zero activities &amp; levers'!$C$10="Off",'Activity data'!AR10*EF!$H23*kgtoGg,IF('Net zero activities &amp; levers'!$C$10="On",'Net zero Activity data'!AR10*'Net zero supporting data'!P192*kgtoGg,"ERROR"))</f>
        <v>0.63110337066637079</v>
      </c>
      <c r="Z784" s="93">
        <f>IF('Net zero activities &amp; levers'!$C$10="Off",'Activity data'!AS10*EF!$H23*kgtoGg,IF('Net zero activities &amp; levers'!$C$10="On",'Net zero Activity data'!AS10*'Net zero supporting data'!Q192*kgtoGg,"ERROR"))</f>
        <v>0.65064008423990027</v>
      </c>
      <c r="AA784" s="93">
        <f>IF('Net zero activities &amp; levers'!$C$10="Off",'Activity data'!AT10*EF!$H23*kgtoGg,IF('Net zero activities &amp; levers'!$C$10="On",'Net zero Activity data'!AT10*'Net zero supporting data'!R192*kgtoGg,"ERROR"))</f>
        <v>0.67266194335256146</v>
      </c>
      <c r="AB784" s="93">
        <f>IF('Net zero activities &amp; levers'!$C$10="Off",'Activity data'!AU10*EF!$H23*kgtoGg,IF('Net zero activities &amp; levers'!$C$10="On",'Net zero Activity data'!AU10*'Net zero supporting data'!S192*kgtoGg,"ERROR"))</f>
        <v>0.69879229877984206</v>
      </c>
      <c r="AC784" s="93">
        <f>IF('Net zero activities &amp; levers'!$C$10="Off",'Activity data'!AV10*EF!$H23*kgtoGg,IF('Net zero activities &amp; levers'!$C$10="On",'Net zero Activity data'!AV10*'Net zero supporting data'!T192*kgtoGg,"ERROR"))</f>
        <v>0.72895809146559021</v>
      </c>
      <c r="AD784" s="93">
        <f>IF('Net zero activities &amp; levers'!$C$10="Off",'Activity data'!AW10*EF!$H23*kgtoGg,IF('Net zero activities &amp; levers'!$C$10="On",'Net zero Activity data'!AW10*'Net zero supporting data'!U192*kgtoGg,"ERROR"))</f>
        <v>0.76381313429213382</v>
      </c>
      <c r="AE784" s="93">
        <f>IF('Net zero activities &amp; levers'!$C$10="Off",'Activity data'!AX10*EF!$H23*kgtoGg,IF('Net zero activities &amp; levers'!$C$10="On",'Net zero Activity data'!AX10*'Net zero supporting data'!V192*kgtoGg,"ERROR"))</f>
        <v>0.80153113832193645</v>
      </c>
      <c r="AF784" s="93">
        <f>IF('Net zero activities &amp; levers'!$C$10="Off",'Activity data'!AY10*EF!$H23*kgtoGg,IF('Net zero activities &amp; levers'!$C$10="On",'Net zero Activity data'!AY10*'Net zero supporting data'!W192*kgtoGg,"ERROR"))</f>
        <v>0.84136759742134326</v>
      </c>
      <c r="AG784" s="93">
        <f>IF('Net zero activities &amp; levers'!$C$10="Off",'Activity data'!AZ10*EF!$H23*kgtoGg,IF('Net zero activities &amp; levers'!$C$10="On",'Net zero Activity data'!AZ10*'Net zero supporting data'!X192*kgtoGg,"ERROR"))</f>
        <v>0.88375975405626439</v>
      </c>
      <c r="AH784" s="93">
        <f>IF('Net zero activities &amp; levers'!$C$10="Off",'Activity data'!BA10*EF!$H23*kgtoGg,IF('Net zero activities &amp; levers'!$C$10="On",'Net zero Activity data'!BA10*'Net zero supporting data'!Y192*kgtoGg,"ERROR"))</f>
        <v>0.92838040456636217</v>
      </c>
      <c r="AI784" s="93">
        <f>IF('Net zero activities &amp; levers'!$C$10="Off",'Activity data'!BB10*EF!$H23*kgtoGg,IF('Net zero activities &amp; levers'!$C$10="On",'Net zero Activity data'!BB10*'Net zero supporting data'!Z192*kgtoGg,"ERROR"))</f>
        <v>0.97379529022362832</v>
      </c>
      <c r="AJ784" s="93">
        <f>IF('Net zero activities &amp; levers'!$C$10="Off",'Activity data'!BC10*EF!$H23*kgtoGg,IF('Net zero activities &amp; levers'!$C$10="On",'Net zero Activity data'!BC10*'Net zero supporting data'!AA192*kgtoGg,"ERROR"))</f>
        <v>1.0221841318210139</v>
      </c>
      <c r="AK784" s="93">
        <f>IF('Net zero activities &amp; levers'!$C$10="Off",'Activity data'!BD10*EF!$H23*kgtoGg,IF('Net zero activities &amp; levers'!$C$10="On",'Net zero Activity data'!BD10*'Net zero supporting data'!AB192*kgtoGg,"ERROR"))</f>
        <v>1.072208285270027</v>
      </c>
      <c r="AL784" s="93">
        <f>IF('Net zero activities &amp; levers'!$C$10="Off",'Activity data'!BE10*EF!$H23*kgtoGg,IF('Net zero activities &amp; levers'!$C$10="On",'Net zero Activity data'!BE10*'Net zero supporting data'!AC192*kgtoGg,"ERROR"))</f>
        <v>1.123785168211771</v>
      </c>
      <c r="AM784" s="93">
        <f>IF('Net zero activities &amp; levers'!$C$10="Off",'Activity data'!BF10*EF!$H23*kgtoGg,IF('Net zero activities &amp; levers'!$C$10="On",'Net zero Activity data'!BF10*'Net zero supporting data'!AD192*kgtoGg,"ERROR"))</f>
        <v>1.1776298462289758</v>
      </c>
      <c r="AN784" s="93">
        <f>IF('Net zero activities &amp; levers'!$C$10="Off",'Activity data'!BG10*EF!$H23*kgtoGg,IF('Net zero activities &amp; levers'!$C$10="On",'Net zero Activity data'!BG10*'Net zero supporting data'!AE192*kgtoGg,"ERROR"))</f>
        <v>1.2305489615866252</v>
      </c>
      <c r="AO784" s="93">
        <f>IF('Net zero activities &amp; levers'!$C$10="Off",'Activity data'!BH10*EF!$H23*kgtoGg,IF('Net zero activities &amp; levers'!$C$10="On",'Net zero Activity data'!BH10*'Net zero supporting data'!AF192*kgtoGg,"ERROR"))</f>
        <v>1.2863335234294737</v>
      </c>
      <c r="AP784" s="93">
        <f>IF('Net zero activities &amp; levers'!$C$10="Off",'Activity data'!BI10*EF!$H23*kgtoGg,IF('Net zero activities &amp; levers'!$C$10="On",'Net zero Activity data'!BI10*'Net zero supporting data'!AG192*kgtoGg,"ERROR"))</f>
        <v>1.3459319381262367</v>
      </c>
      <c r="AQ784" s="93">
        <f>IF('Net zero activities &amp; levers'!$C$10="Off",'Activity data'!BJ10*EF!$H23*kgtoGg,IF('Net zero activities &amp; levers'!$C$10="On",'Net zero Activity data'!BJ10*'Net zero supporting data'!AH192*kgtoGg,"ERROR"))</f>
        <v>1.4079553802544587</v>
      </c>
      <c r="AR784" s="93">
        <f>IF('Net zero activities &amp; levers'!$C$10="Off",'Activity data'!BK10*EF!$H23*kgtoGg,IF('Net zero activities &amp; levers'!$C$10="On",'Net zero Activity data'!BK10*'Net zero supporting data'!AI192*kgtoGg,"ERROR"))</f>
        <v>1.4725543863966755</v>
      </c>
      <c r="AS784" s="93">
        <f>IF('Net zero activities &amp; levers'!$C$10="Off",'Activity data'!BL10*EF!$H23*kgtoGg,IF('Net zero activities &amp; levers'!$C$10="On",'Net zero Activity data'!BL10*'Net zero supporting data'!AJ192*kgtoGg,"ERROR"))</f>
        <v>1.5414959451453387</v>
      </c>
      <c r="AT784" s="93">
        <f>IF('Net zero activities &amp; levers'!$C$10="Off",'Activity data'!BM10*EF!$H23*kgtoGg,IF('Net zero activities &amp; levers'!$C$10="On",'Net zero Activity data'!BM10*'Net zero supporting data'!AK192*kgtoGg,"ERROR"))</f>
        <v>1.6143551492479555</v>
      </c>
      <c r="AU784" s="93">
        <f>IF('Net zero activities &amp; levers'!$C$10="Off",'Activity data'!BN10*EF!$H23*kgtoGg,IF('Net zero activities &amp; levers'!$C$10="On",'Net zero Activity data'!BN10*'Net zero supporting data'!AL192*kgtoGg,"ERROR"))</f>
        <v>1.6908665423569276</v>
      </c>
      <c r="AV784" s="93">
        <f>IF('Net zero activities &amp; levers'!$C$10="Off",'Activity data'!BO10*EF!$H23*kgtoGg,IF('Net zero activities &amp; levers'!$C$10="On",'Net zero Activity data'!BO10*'Net zero supporting data'!AM192*kgtoGg,"ERROR"))</f>
        <v>1.7722717243433437</v>
      </c>
      <c r="AW784" s="93">
        <f>IF('Net zero activities &amp; levers'!$C$10="Off",'Activity data'!BP10*EF!$H23*kgtoGg,IF('Net zero activities &amp; levers'!$C$10="On",'Net zero Activity data'!BP10*'Net zero supporting data'!AN192*kgtoGg,"ERROR"))</f>
        <v>1.852080501247541</v>
      </c>
      <c r="AY784" s="79"/>
      <c r="AZ784" s="79"/>
    </row>
    <row r="785" spans="1:52" x14ac:dyDescent="0.25">
      <c r="A785" s="95" t="str">
        <f t="shared" si="176"/>
        <v>BD Sheep MMCH4</v>
      </c>
      <c r="B785" s="95" t="s">
        <v>1227</v>
      </c>
      <c r="C785" s="95" t="s">
        <v>1323</v>
      </c>
      <c r="D785" t="s">
        <v>15</v>
      </c>
      <c r="E785" t="s">
        <v>22</v>
      </c>
      <c r="F785" t="s">
        <v>18</v>
      </c>
      <c r="G785" t="s">
        <v>122</v>
      </c>
      <c r="H785" t="s">
        <v>1226</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3.6577867645106926E-2</v>
      </c>
      <c r="T785" s="27">
        <f t="shared" si="216"/>
        <v>3.6604195637780168E-2</v>
      </c>
      <c r="U785" s="27">
        <f t="shared" si="216"/>
        <v>3.6594939276300961E-2</v>
      </c>
      <c r="V785" s="27">
        <f t="shared" si="216"/>
        <v>3.6594272892103465E-2</v>
      </c>
      <c r="W785" s="27">
        <f t="shared" si="216"/>
        <v>3.663308878376182E-2</v>
      </c>
      <c r="X785" s="27">
        <f t="shared" si="216"/>
        <v>3.66966145669788E-2</v>
      </c>
      <c r="Y785" s="27">
        <f t="shared" si="216"/>
        <v>3.6757568260761757E-2</v>
      </c>
      <c r="Z785" s="27">
        <f t="shared" si="216"/>
        <v>3.6816146514376355E-2</v>
      </c>
      <c r="AA785" s="27">
        <f t="shared" si="216"/>
        <v>3.6872269383598041E-2</v>
      </c>
      <c r="AB785" s="27">
        <f t="shared" si="216"/>
        <v>3.6927106456158189E-2</v>
      </c>
      <c r="AC785" s="27">
        <f t="shared" si="216"/>
        <v>3.6981458757835407E-2</v>
      </c>
      <c r="AD785" s="27">
        <f t="shared" si="216"/>
        <v>3.7034780933234084E-2</v>
      </c>
      <c r="AE785" s="27">
        <f t="shared" si="216"/>
        <v>3.7087839668251105E-2</v>
      </c>
      <c r="AF785" s="27">
        <f t="shared" si="216"/>
        <v>3.7140467817616069E-2</v>
      </c>
      <c r="AG785" s="27">
        <f t="shared" si="216"/>
        <v>3.7192243691518308E-2</v>
      </c>
      <c r="AH785" s="27">
        <f t="shared" si="216"/>
        <v>3.7243395244831647E-2</v>
      </c>
      <c r="AI785" s="27">
        <f t="shared" si="216"/>
        <v>3.7293977063567109E-2</v>
      </c>
      <c r="AJ785" s="27">
        <f t="shared" si="216"/>
        <v>3.7344160870083701E-2</v>
      </c>
      <c r="AK785" s="27">
        <f t="shared" si="216"/>
        <v>3.7392411139770994E-2</v>
      </c>
      <c r="AL785" s="27">
        <f t="shared" si="216"/>
        <v>3.743867142078007E-2</v>
      </c>
      <c r="AM785" s="27">
        <f t="shared" si="216"/>
        <v>3.7483374065557115E-2</v>
      </c>
      <c r="AN785" s="27">
        <f t="shared" si="216"/>
        <v>3.7526174858995696E-2</v>
      </c>
      <c r="AO785" s="27">
        <f t="shared" si="216"/>
        <v>3.7567151445085212E-2</v>
      </c>
      <c r="AP785" s="27">
        <f t="shared" si="216"/>
        <v>3.7606119264532091E-2</v>
      </c>
      <c r="AQ785" s="27">
        <f t="shared" si="216"/>
        <v>3.7642520684787982E-2</v>
      </c>
      <c r="AR785" s="27">
        <f t="shared" si="216"/>
        <v>3.7675838960014932E-2</v>
      </c>
      <c r="AS785" s="27">
        <f t="shared" si="216"/>
        <v>3.7706040429411586E-2</v>
      </c>
      <c r="AT785" s="27">
        <f t="shared" si="216"/>
        <v>3.7732893978113372E-2</v>
      </c>
      <c r="AU785" s="27">
        <f t="shared" si="216"/>
        <v>3.7756386655025911E-2</v>
      </c>
      <c r="AV785" s="27">
        <f t="shared" si="216"/>
        <v>3.7776968038330937E-2</v>
      </c>
      <c r="AW785" s="27">
        <f t="shared" si="216"/>
        <v>3.7791964878546927E-2</v>
      </c>
      <c r="AY785" s="79"/>
      <c r="AZ785" s="79"/>
    </row>
    <row r="786" spans="1:52" x14ac:dyDescent="0.25">
      <c r="A786" s="95" t="str">
        <f t="shared" si="176"/>
        <v>BD Sheep MMCH4</v>
      </c>
      <c r="B786" s="95" t="s">
        <v>1227</v>
      </c>
      <c r="C786" s="95" t="s">
        <v>1323</v>
      </c>
      <c r="D786" t="s">
        <v>15</v>
      </c>
      <c r="E786" t="s">
        <v>22</v>
      </c>
      <c r="F786" t="s">
        <v>18</v>
      </c>
      <c r="G786" t="s">
        <v>123</v>
      </c>
      <c r="H786" t="s">
        <v>1226</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4.1773668344855536E-3</v>
      </c>
      <c r="T786" s="27">
        <f t="shared" si="217"/>
        <v>4.1803736167419408E-3</v>
      </c>
      <c r="U786" s="27">
        <f t="shared" si="217"/>
        <v>4.1793164961403135E-3</v>
      </c>
      <c r="V786" s="27">
        <f t="shared" si="217"/>
        <v>4.1792403918886204E-3</v>
      </c>
      <c r="W786" s="27">
        <f t="shared" si="217"/>
        <v>4.1836733517330218E-3</v>
      </c>
      <c r="X786" s="27">
        <f t="shared" si="217"/>
        <v>4.190928298973798E-3</v>
      </c>
      <c r="Y786" s="27">
        <f t="shared" si="217"/>
        <v>4.197889501341273E-3</v>
      </c>
      <c r="Z786" s="27">
        <f t="shared" si="217"/>
        <v>4.204579417118921E-3</v>
      </c>
      <c r="AA786" s="27">
        <f t="shared" si="217"/>
        <v>4.2109889162952416E-3</v>
      </c>
      <c r="AB786" s="27">
        <f t="shared" si="217"/>
        <v>4.2172515713640264E-3</v>
      </c>
      <c r="AC786" s="27">
        <f t="shared" si="217"/>
        <v>4.2234588632873099E-3</v>
      </c>
      <c r="AD786" s="27">
        <f t="shared" si="217"/>
        <v>4.2295485098794577E-3</v>
      </c>
      <c r="AE786" s="27">
        <f t="shared" si="217"/>
        <v>4.2356080703243246E-3</v>
      </c>
      <c r="AF786" s="27">
        <f t="shared" si="217"/>
        <v>4.2416184558353278E-3</v>
      </c>
      <c r="AG786" s="27">
        <f t="shared" si="217"/>
        <v>4.247531507426093E-3</v>
      </c>
      <c r="AH786" s="27">
        <f t="shared" si="217"/>
        <v>4.2533732586297656E-3</v>
      </c>
      <c r="AI786" s="27">
        <f t="shared" si="217"/>
        <v>4.2591499434289888E-3</v>
      </c>
      <c r="AJ786" s="27">
        <f t="shared" si="217"/>
        <v>4.2648811733356808E-3</v>
      </c>
      <c r="AK786" s="27">
        <f t="shared" si="217"/>
        <v>4.2703915841202098E-3</v>
      </c>
      <c r="AL786" s="27">
        <f t="shared" si="217"/>
        <v>4.2756747287123493E-3</v>
      </c>
      <c r="AM786" s="27">
        <f t="shared" si="217"/>
        <v>4.2807799838222773E-3</v>
      </c>
      <c r="AN786" s="27">
        <f t="shared" si="217"/>
        <v>4.2856680384441249E-3</v>
      </c>
      <c r="AO786" s="27">
        <f t="shared" si="217"/>
        <v>4.2903477598915749E-3</v>
      </c>
      <c r="AP786" s="27">
        <f t="shared" si="217"/>
        <v>4.2947980706135938E-3</v>
      </c>
      <c r="AQ786" s="27">
        <f t="shared" si="217"/>
        <v>4.2989552863151904E-3</v>
      </c>
      <c r="AR786" s="27">
        <f t="shared" si="217"/>
        <v>4.3027603921585852E-3</v>
      </c>
      <c r="AS786" s="27">
        <f t="shared" si="217"/>
        <v>4.3062095439198199E-3</v>
      </c>
      <c r="AT786" s="27">
        <f t="shared" si="217"/>
        <v>4.3092763471797441E-3</v>
      </c>
      <c r="AU786" s="27">
        <f t="shared" si="217"/>
        <v>4.3119593228616469E-3</v>
      </c>
      <c r="AV786" s="27">
        <f t="shared" si="217"/>
        <v>4.3143098149368113E-3</v>
      </c>
      <c r="AW786" s="27">
        <f t="shared" si="217"/>
        <v>4.3160225255723297E-3</v>
      </c>
      <c r="AY786" s="79"/>
      <c r="AZ786" s="79"/>
    </row>
    <row r="787" spans="1:52" x14ac:dyDescent="0.25">
      <c r="A787" s="95" t="str">
        <f t="shared" si="176"/>
        <v>BD Goats MMCH4</v>
      </c>
      <c r="B787" s="95" t="s">
        <v>1227</v>
      </c>
      <c r="C787" s="95" t="s">
        <v>1324</v>
      </c>
      <c r="D787" t="s">
        <v>15</v>
      </c>
      <c r="E787" t="s">
        <v>22</v>
      </c>
      <c r="F787" t="s">
        <v>19</v>
      </c>
      <c r="G787" t="s">
        <v>122</v>
      </c>
      <c r="H787" t="s">
        <v>1226</v>
      </c>
      <c r="I787" t="s">
        <v>121</v>
      </c>
      <c r="J787" t="s">
        <v>286</v>
      </c>
      <c r="K787" s="27">
        <f t="shared" ref="K787:AW787" si="218">K1401</f>
        <v>1.5789672763163298E-2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1.623065478441902E-2</v>
      </c>
      <c r="R787" s="27">
        <f t="shared" si="218"/>
        <v>1.6337439810579345E-2</v>
      </c>
      <c r="S787" s="27">
        <f t="shared" si="218"/>
        <v>1.6297380650984187E-2</v>
      </c>
      <c r="T787" s="27">
        <f t="shared" si="218"/>
        <v>1.6325395863941383E-2</v>
      </c>
      <c r="U787" s="27">
        <f t="shared" si="218"/>
        <v>1.6328114418990985E-2</v>
      </c>
      <c r="V787" s="27">
        <f t="shared" si="218"/>
        <v>1.6335588711282864E-2</v>
      </c>
      <c r="W787" s="27">
        <f t="shared" si="218"/>
        <v>1.6368634589950044E-2</v>
      </c>
      <c r="X787" s="27">
        <f t="shared" si="218"/>
        <v>1.641724322972727E-2</v>
      </c>
      <c r="Y787" s="27">
        <f t="shared" si="218"/>
        <v>1.6463127220508685E-2</v>
      </c>
      <c r="Z787" s="27">
        <f t="shared" si="218"/>
        <v>1.6506502302245762E-2</v>
      </c>
      <c r="AA787" s="27">
        <f t="shared" si="218"/>
        <v>1.6547390676749981E-2</v>
      </c>
      <c r="AB787" s="27">
        <f t="shared" si="218"/>
        <v>1.6586638401151873E-2</v>
      </c>
      <c r="AC787" s="27">
        <f t="shared" si="218"/>
        <v>1.6624834346576634E-2</v>
      </c>
      <c r="AD787" s="27">
        <f t="shared" si="218"/>
        <v>1.6661666671952648E-2</v>
      </c>
      <c r="AE787" s="27">
        <f t="shared" si="218"/>
        <v>1.669768859843657E-2</v>
      </c>
      <c r="AF787" s="27">
        <f t="shared" si="218"/>
        <v>1.6732829718107738E-2</v>
      </c>
      <c r="AG787" s="27">
        <f t="shared" si="218"/>
        <v>1.6766849576183976E-2</v>
      </c>
      <c r="AH787" s="27">
        <f t="shared" si="218"/>
        <v>1.6799933327571178E-2</v>
      </c>
      <c r="AI787" s="27">
        <f t="shared" si="218"/>
        <v>1.6832148555186801E-2</v>
      </c>
      <c r="AJ787" s="27">
        <f t="shared" si="218"/>
        <v>1.6863636706256461E-2</v>
      </c>
      <c r="AK787" s="27">
        <f t="shared" si="218"/>
        <v>1.6893421474693429E-2</v>
      </c>
      <c r="AL787" s="27">
        <f t="shared" si="218"/>
        <v>1.6921495820142095E-2</v>
      </c>
      <c r="AM787" s="27">
        <f t="shared" si="218"/>
        <v>1.6948169002433171E-2</v>
      </c>
      <c r="AN787" s="27">
        <f t="shared" si="218"/>
        <v>1.6973242190360595E-2</v>
      </c>
      <c r="AO787" s="27">
        <f t="shared" si="218"/>
        <v>1.699679001880551E-2</v>
      </c>
      <c r="AP787" s="27">
        <f t="shared" si="218"/>
        <v>1.701871561452447E-2</v>
      </c>
      <c r="AQ787" s="27">
        <f t="shared" si="218"/>
        <v>1.7038680545756732E-2</v>
      </c>
      <c r="AR787" s="27">
        <f t="shared" si="218"/>
        <v>1.7056373927880512E-2</v>
      </c>
      <c r="AS787" s="27">
        <f t="shared" si="218"/>
        <v>1.7071796968078184E-2</v>
      </c>
      <c r="AT787" s="27">
        <f t="shared" si="218"/>
        <v>1.7084822941521471E-2</v>
      </c>
      <c r="AU787" s="27">
        <f t="shared" si="218"/>
        <v>1.7095465059373528E-2</v>
      </c>
      <c r="AV787" s="27">
        <f t="shared" si="218"/>
        <v>1.7104031992328298E-2</v>
      </c>
      <c r="AW787" s="27">
        <f t="shared" si="218"/>
        <v>1.7108831686205268E-2</v>
      </c>
      <c r="AY787" s="79"/>
      <c r="AZ787" s="79"/>
    </row>
    <row r="788" spans="1:52" x14ac:dyDescent="0.25">
      <c r="A788" s="95" t="str">
        <f t="shared" si="176"/>
        <v>BD Goats MMCH4</v>
      </c>
      <c r="B788" s="95" t="s">
        <v>1227</v>
      </c>
      <c r="C788" s="95" t="s">
        <v>1324</v>
      </c>
      <c r="D788" t="s">
        <v>15</v>
      </c>
      <c r="E788" t="s">
        <v>22</v>
      </c>
      <c r="F788" t="s">
        <v>19</v>
      </c>
      <c r="G788" t="s">
        <v>123</v>
      </c>
      <c r="H788" t="s">
        <v>1226</v>
      </c>
      <c r="I788" t="s">
        <v>121</v>
      </c>
      <c r="J788" t="s">
        <v>286</v>
      </c>
      <c r="K788" s="27">
        <f t="shared" ref="K788:AW788" si="219">K1402</f>
        <v>2.6592218800664796E-2</v>
      </c>
      <c r="L788" s="27">
        <f t="shared" si="219"/>
        <v>2.6661345733624896E-2</v>
      </c>
      <c r="M788" s="27">
        <f t="shared" si="219"/>
        <v>2.6756703894783639E-2</v>
      </c>
      <c r="N788" s="27">
        <f t="shared" si="219"/>
        <v>2.6872875319249701E-2</v>
      </c>
      <c r="O788" s="27">
        <f t="shared" si="219"/>
        <v>2.7009694315810229E-2</v>
      </c>
      <c r="P788" s="27">
        <f t="shared" si="219"/>
        <v>2.7166328132291764E-2</v>
      </c>
      <c r="Q788" s="27">
        <f t="shared" si="219"/>
        <v>2.7334899828466049E-2</v>
      </c>
      <c r="R788" s="27">
        <f t="shared" si="219"/>
        <v>2.7514742110372921E-2</v>
      </c>
      <c r="S788" s="27">
        <f t="shared" si="219"/>
        <v>2.7447276371664872E-2</v>
      </c>
      <c r="T788" s="27">
        <f t="shared" si="219"/>
        <v>2.7494458266051122E-2</v>
      </c>
      <c r="U788" s="27">
        <f t="shared" si="219"/>
        <v>2.7499036727668718E-2</v>
      </c>
      <c r="V788" s="27">
        <f t="shared" si="219"/>
        <v>2.7511624576637288E-2</v>
      </c>
      <c r="W788" s="27">
        <f t="shared" si="219"/>
        <v>2.7567278879874528E-2</v>
      </c>
      <c r="X788" s="27">
        <f t="shared" si="219"/>
        <v>2.7649143248056639E-2</v>
      </c>
      <c r="Y788" s="27">
        <f t="shared" si="219"/>
        <v>2.7726418891485655E-2</v>
      </c>
      <c r="Z788" s="27">
        <f t="shared" si="219"/>
        <v>2.7799469149166745E-2</v>
      </c>
      <c r="AA788" s="27">
        <f t="shared" si="219"/>
        <v>2.7868331412338937E-2</v>
      </c>
      <c r="AB788" s="27">
        <f t="shared" si="219"/>
        <v>2.7934430570337832E-2</v>
      </c>
      <c r="AC788" s="27">
        <f t="shared" si="219"/>
        <v>2.7998758372013564E-2</v>
      </c>
      <c r="AD788" s="27">
        <f t="shared" si="219"/>
        <v>2.8060789629407407E-2</v>
      </c>
      <c r="AE788" s="27">
        <f t="shared" si="219"/>
        <v>2.8121456051381433E-2</v>
      </c>
      <c r="AF788" s="27">
        <f t="shared" si="219"/>
        <v>2.8180639060251388E-2</v>
      </c>
      <c r="AG788" s="27">
        <f t="shared" si="219"/>
        <v>2.8237933693465157E-2</v>
      </c>
      <c r="AH788" s="27">
        <f t="shared" si="219"/>
        <v>2.8293651780143172E-2</v>
      </c>
      <c r="AI788" s="27">
        <f t="shared" si="219"/>
        <v>2.8347907140233115E-2</v>
      </c>
      <c r="AJ788" s="27">
        <f t="shared" si="219"/>
        <v>2.8400937992451046E-2</v>
      </c>
      <c r="AK788" s="27">
        <f t="shared" si="219"/>
        <v>2.845110008834013E-2</v>
      </c>
      <c r="AL788" s="27">
        <f t="shared" si="219"/>
        <v>2.8498381570866985E-2</v>
      </c>
      <c r="AM788" s="27">
        <f t="shared" si="219"/>
        <v>2.8543303280786723E-2</v>
      </c>
      <c r="AN788" s="27">
        <f t="shared" si="219"/>
        <v>2.8585530356002101E-2</v>
      </c>
      <c r="AO788" s="27">
        <f t="shared" si="219"/>
        <v>2.8625188493043956E-2</v>
      </c>
      <c r="AP788" s="27">
        <f t="shared" si="219"/>
        <v>2.8662114542585253E-2</v>
      </c>
      <c r="AQ788" s="27">
        <f t="shared" si="219"/>
        <v>2.8695738533888428E-2</v>
      </c>
      <c r="AR788" s="27">
        <f t="shared" si="219"/>
        <v>2.8725536889802242E-2</v>
      </c>
      <c r="AS788" s="27">
        <f t="shared" si="219"/>
        <v>2.8751511643406051E-2</v>
      </c>
      <c r="AT788" s="27">
        <f t="shared" si="219"/>
        <v>2.8773449370747915E-2</v>
      </c>
      <c r="AU788" s="27">
        <f t="shared" si="219"/>
        <v>2.8791372321442913E-2</v>
      </c>
      <c r="AV788" s="27">
        <f t="shared" si="219"/>
        <v>2.8805800344049892E-2</v>
      </c>
      <c r="AW788" s="27">
        <f t="shared" si="219"/>
        <v>2.8813883761082477E-2</v>
      </c>
      <c r="AY788" s="79"/>
      <c r="AZ788" s="79"/>
    </row>
    <row r="789" spans="1:52" x14ac:dyDescent="0.25">
      <c r="A789" s="95" t="str">
        <f t="shared" si="176"/>
        <v>BD Horses MMCH4</v>
      </c>
      <c r="B789" s="95" t="s">
        <v>1227</v>
      </c>
      <c r="C789" s="95" t="s">
        <v>1325</v>
      </c>
      <c r="D789" t="s">
        <v>15</v>
      </c>
      <c r="E789" t="s">
        <v>22</v>
      </c>
      <c r="F789" t="s">
        <v>20</v>
      </c>
      <c r="G789" t="s">
        <v>3</v>
      </c>
      <c r="H789" t="s">
        <v>1226</v>
      </c>
      <c r="I789" t="s">
        <v>121</v>
      </c>
      <c r="J789" t="s">
        <v>286</v>
      </c>
      <c r="K789" s="27">
        <f t="shared" ref="K789:AW789" si="220">K1403</f>
        <v>4.1336182129460544E-3</v>
      </c>
      <c r="L789" s="27">
        <f t="shared" si="220"/>
        <v>4.1536453250924079E-3</v>
      </c>
      <c r="M789" s="27">
        <f t="shared" si="220"/>
        <v>4.1840370126470525E-3</v>
      </c>
      <c r="N789" s="27">
        <f t="shared" si="220"/>
        <v>4.1905340987284569E-3</v>
      </c>
      <c r="O789" s="27">
        <f t="shared" si="220"/>
        <v>4.1812329246154589E-3</v>
      </c>
      <c r="P789" s="27">
        <f t="shared" si="220"/>
        <v>4.1564738854214548E-3</v>
      </c>
      <c r="Q789" s="27">
        <f t="shared" si="220"/>
        <v>4.1427460620707141E-3</v>
      </c>
      <c r="R789" s="27">
        <f t="shared" si="220"/>
        <v>4.130408792135833E-3</v>
      </c>
      <c r="S789" s="27">
        <f t="shared" si="220"/>
        <v>3.9434601312185527E-3</v>
      </c>
      <c r="T789" s="27">
        <f t="shared" si="220"/>
        <v>4.0605746122765228E-3</v>
      </c>
      <c r="U789" s="27">
        <f t="shared" si="220"/>
        <v>4.1189841670463273E-3</v>
      </c>
      <c r="V789" s="27">
        <f t="shared" si="220"/>
        <v>4.1278057101270405E-3</v>
      </c>
      <c r="W789" s="27">
        <f t="shared" si="220"/>
        <v>4.1355671321311174E-3</v>
      </c>
      <c r="X789" s="27">
        <f t="shared" si="220"/>
        <v>4.1543998592115791E-3</v>
      </c>
      <c r="Y789" s="27">
        <f t="shared" si="220"/>
        <v>4.1865458304734694E-3</v>
      </c>
      <c r="Z789" s="27">
        <f t="shared" si="220"/>
        <v>4.2253320128085251E-3</v>
      </c>
      <c r="AA789" s="27">
        <f t="shared" si="220"/>
        <v>4.272518274488683E-3</v>
      </c>
      <c r="AB789" s="27">
        <f t="shared" si="220"/>
        <v>4.3334009221617396E-3</v>
      </c>
      <c r="AC789" s="27">
        <f t="shared" si="220"/>
        <v>4.4071847194853781E-3</v>
      </c>
      <c r="AD789" s="27">
        <f t="shared" si="220"/>
        <v>4.4888905161837847E-3</v>
      </c>
      <c r="AE789" s="27">
        <f t="shared" si="220"/>
        <v>4.5781841431122572E-3</v>
      </c>
      <c r="AF789" s="27">
        <f t="shared" si="220"/>
        <v>4.6723057323312554E-3</v>
      </c>
      <c r="AG789" s="27">
        <f t="shared" si="220"/>
        <v>4.7725702352352153E-3</v>
      </c>
      <c r="AH789" s="27">
        <f t="shared" si="220"/>
        <v>4.8776647477587476E-3</v>
      </c>
      <c r="AI789" s="27">
        <f t="shared" si="220"/>
        <v>4.9827957618803235E-3</v>
      </c>
      <c r="AJ789" s="27">
        <f t="shared" si="220"/>
        <v>5.0948794457102743E-3</v>
      </c>
      <c r="AK789" s="27">
        <f t="shared" si="220"/>
        <v>5.2096806373507004E-3</v>
      </c>
      <c r="AL789" s="27">
        <f t="shared" si="220"/>
        <v>5.326887127790998E-3</v>
      </c>
      <c r="AM789" s="27">
        <f t="shared" si="220"/>
        <v>5.4485848360062324E-3</v>
      </c>
      <c r="AN789" s="27">
        <f t="shared" si="220"/>
        <v>5.5696508386077004E-3</v>
      </c>
      <c r="AO789" s="27">
        <f t="shared" si="220"/>
        <v>5.6973052536603251E-3</v>
      </c>
      <c r="AP789" s="27">
        <f t="shared" si="220"/>
        <v>5.8342669505017037E-3</v>
      </c>
      <c r="AQ789" s="27">
        <f t="shared" si="220"/>
        <v>5.9763033014494302E-3</v>
      </c>
      <c r="AR789" s="27">
        <f t="shared" si="220"/>
        <v>6.1238672356661557E-3</v>
      </c>
      <c r="AS789" s="27">
        <f t="shared" si="220"/>
        <v>6.2820427526668306E-3</v>
      </c>
      <c r="AT789" s="27">
        <f t="shared" si="220"/>
        <v>6.4494574929913678E-3</v>
      </c>
      <c r="AU789" s="27">
        <f t="shared" si="220"/>
        <v>6.6252174839876625E-3</v>
      </c>
      <c r="AV789" s="27">
        <f t="shared" si="220"/>
        <v>6.8126704322840365E-3</v>
      </c>
      <c r="AW789" s="27">
        <f t="shared" si="220"/>
        <v>6.9938267919267671E-3</v>
      </c>
      <c r="AY789" s="79"/>
      <c r="AZ789" s="79"/>
    </row>
    <row r="790" spans="1:52" x14ac:dyDescent="0.25">
      <c r="A790" s="95" t="str">
        <f t="shared" si="176"/>
        <v>BD Mules MMCH4</v>
      </c>
      <c r="B790" s="95" t="s">
        <v>1227</v>
      </c>
      <c r="C790" s="95" t="s">
        <v>1326</v>
      </c>
      <c r="D790" t="s">
        <v>15</v>
      </c>
      <c r="E790" t="s">
        <v>22</v>
      </c>
      <c r="F790" t="s">
        <v>140</v>
      </c>
      <c r="G790" t="s">
        <v>124</v>
      </c>
      <c r="H790" t="s">
        <v>1226</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5">
      <c r="A791" s="95" t="str">
        <f t="shared" si="176"/>
        <v>BD Swine MMCH4</v>
      </c>
      <c r="B791" s="95" t="s">
        <v>1227</v>
      </c>
      <c r="C791" s="95" t="s">
        <v>1229</v>
      </c>
      <c r="D791" t="s">
        <v>15</v>
      </c>
      <c r="E791" t="s">
        <v>22</v>
      </c>
      <c r="F791" t="s">
        <v>21</v>
      </c>
      <c r="G791" t="s">
        <v>122</v>
      </c>
      <c r="H791" t="s">
        <v>1226</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22.60295118682059</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21.780600237355966</v>
      </c>
      <c r="R791" s="93">
        <f>IF('Net zero activities &amp; levers'!$C$10="Off",'Activity data'!AK17*EF!$H30*kgtoGg,IF('Net zero activities &amp; levers'!$C$10="On",'Net zero Activity data'!AK17*'Net zero supporting data'!I193*kgtoGg,"ERROR"))</f>
        <v>21.465278056857684</v>
      </c>
      <c r="S791" s="93">
        <f>IF('Net zero activities &amp; levers'!$C$10="Off",'Activity data'!AL17*EF!$H30*kgtoGg,IF('Net zero activities &amp; levers'!$C$10="On",'Net zero Activity data'!AL17*'Net zero supporting data'!J193*kgtoGg,"ERROR"))</f>
        <v>19.28268372841509</v>
      </c>
      <c r="T791" s="93">
        <f>IF('Net zero activities &amp; levers'!$C$10="Off",'Activity data'!AM17*EF!$H30*kgtoGg,IF('Net zero activities &amp; levers'!$C$10="On",'Net zero Activity data'!AM17*'Net zero supporting data'!K193*kgtoGg,"ERROR"))</f>
        <v>20.154045022941879</v>
      </c>
      <c r="U791" s="93">
        <f>IF('Net zero activities &amp; levers'!$C$10="Off",'Activity data'!AN17*EF!$H30*kgtoGg,IF('Net zero activities &amp; levers'!$C$10="On",'Net zero Activity data'!AN17*'Net zero supporting data'!L193*kgtoGg,"ERROR"))</f>
        <v>20.417483741296842</v>
      </c>
      <c r="V791" s="93">
        <f>IF('Net zero activities &amp; levers'!$C$10="Off",'Activity data'!AO17*EF!$H30*kgtoGg,IF('Net zero activities &amp; levers'!$C$10="On",'Net zero Activity data'!AO17*'Net zero supporting data'!M193*kgtoGg,"ERROR"))</f>
        <v>20.215982998578138</v>
      </c>
      <c r="W791" s="93">
        <f>IF('Net zero activities &amp; levers'!$C$10="Off",'Activity data'!AP17*EF!$H30*kgtoGg,IF('Net zero activities &amp; levers'!$C$10="On",'Net zero Activity data'!AP17*'Net zero supporting data'!N193*kgtoGg,"ERROR"))</f>
        <v>20.038764166788877</v>
      </c>
      <c r="X791" s="93">
        <f>IF('Net zero activities &amp; levers'!$C$10="Off",'Activity data'!AQ17*EF!$H30*kgtoGg,IF('Net zero activities &amp; levers'!$C$10="On",'Net zero Activity data'!AQ17*'Net zero supporting data'!O193*kgtoGg,"ERROR"))</f>
        <v>19.983994613990216</v>
      </c>
      <c r="Y791" s="93">
        <f>IF('Net zero activities &amp; levers'!$C$10="Off",'Activity data'!AR17*EF!$H30*kgtoGg,IF('Net zero activities &amp; levers'!$C$10="On",'Net zero Activity data'!AR17*'Net zero supporting data'!P193*kgtoGg,"ERROR"))</f>
        <v>20.046915484009698</v>
      </c>
      <c r="Z791" s="93">
        <f>IF('Net zero activities &amp; levers'!$C$10="Off",'Activity data'!AS17*EF!$H30*kgtoGg,IF('Net zero activities &amp; levers'!$C$10="On",'Net zero Activity data'!AS17*'Net zero supporting data'!Q193*kgtoGg,"ERROR"))</f>
        <v>20.164111817793334</v>
      </c>
      <c r="AA791" s="93">
        <f>IF('Net zero activities &amp; levers'!$C$10="Off",'Activity data'!AT17*EF!$H30*kgtoGg,IF('Net zero activities &amp; levers'!$C$10="On",'Net zero Activity data'!AT17*'Net zero supporting data'!R193*kgtoGg,"ERROR"))</f>
        <v>20.348954154275784</v>
      </c>
      <c r="AB791" s="93">
        <f>IF('Net zero activities &amp; levers'!$C$10="Off",'Activity data'!AU17*EF!$H30*kgtoGg,IF('Net zero activities &amp; levers'!$C$10="On",'Net zero Activity data'!AU17*'Net zero supporting data'!S193*kgtoGg,"ERROR"))</f>
        <v>20.645885200839494</v>
      </c>
      <c r="AC791" s="93">
        <f>IF('Net zero activities &amp; levers'!$C$10="Off",'Activity data'!AV17*EF!$H30*kgtoGg,IF('Net zero activities &amp; levers'!$C$10="On",'Net zero Activity data'!AV17*'Net zero supporting data'!T193*kgtoGg,"ERROR"))</f>
        <v>21.044537894059989</v>
      </c>
      <c r="AD791" s="93">
        <f>IF('Net zero activities &amp; levers'!$C$10="Off",'Activity data'!AW17*EF!$H30*kgtoGg,IF('Net zero activities &amp; levers'!$C$10="On",'Net zero Activity data'!AW17*'Net zero supporting data'!U193*kgtoGg,"ERROR"))</f>
        <v>21.498264632191113</v>
      </c>
      <c r="AE791" s="93">
        <f>IF('Net zero activities &amp; levers'!$C$10="Off",'Activity data'!AX17*EF!$H30*kgtoGg,IF('Net zero activities &amp; levers'!$C$10="On",'Net zero Activity data'!AX17*'Net zero supporting data'!V193*kgtoGg,"ERROR"))</f>
        <v>22.002561256053959</v>
      </c>
      <c r="AF791" s="93">
        <f>IF('Net zero activities &amp; levers'!$C$10="Off",'Activity data'!AY17*EF!$H30*kgtoGg,IF('Net zero activities &amp; levers'!$C$10="On",'Net zero Activity data'!AY17*'Net zero supporting data'!W193*kgtoGg,"ERROR"))</f>
        <v>22.532202643318037</v>
      </c>
      <c r="AG791" s="93">
        <f>IF('Net zero activities &amp; levers'!$C$10="Off",'Activity data'!AZ17*EF!$H30*kgtoGg,IF('Net zero activities &amp; levers'!$C$10="On",'Net zero Activity data'!AZ17*'Net zero supporting data'!X193*kgtoGg,"ERROR"))</f>
        <v>23.096284889499795</v>
      </c>
      <c r="AH791" s="93">
        <f>IF('Net zero activities &amp; levers'!$C$10="Off",'Activity data'!BA17*EF!$H30*kgtoGg,IF('Net zero activities &amp; levers'!$C$10="On",'Net zero Activity data'!BA17*'Net zero supporting data'!Y193*kgtoGg,"ERROR"))</f>
        <v>23.682649825738739</v>
      </c>
      <c r="AI791" s="93">
        <f>IF('Net zero activities &amp; levers'!$C$10="Off",'Activity data'!BB17*EF!$H30*kgtoGg,IF('Net zero activities &amp; levers'!$C$10="On",'Net zero Activity data'!BB17*'Net zero supporting data'!Z193*kgtoGg,"ERROR"))</f>
        <v>24.251675615546215</v>
      </c>
      <c r="AJ791" s="93">
        <f>IF('Net zero activities &amp; levers'!$C$10="Off",'Activity data'!BC17*EF!$H30*kgtoGg,IF('Net zero activities &amp; levers'!$C$10="On",'Net zero Activity data'!BC17*'Net zero supporting data'!AA193*kgtoGg,"ERROR"))</f>
        <v>24.858335489218973</v>
      </c>
      <c r="AK791" s="93">
        <f>IF('Net zero activities &amp; levers'!$C$10="Off",'Activity data'!BD17*EF!$H30*kgtoGg,IF('Net zero activities &amp; levers'!$C$10="On",'Net zero Activity data'!BD17*'Net zero supporting data'!AB193*kgtoGg,"ERROR"))</f>
        <v>25.466205387661859</v>
      </c>
      <c r="AL791" s="93">
        <f>IF('Net zero activities &amp; levers'!$C$10="Off",'Activity data'!BE17*EF!$H30*kgtoGg,IF('Net zero activities &amp; levers'!$C$10="On",'Net zero Activity data'!BE17*'Net zero supporting data'!AC193*kgtoGg,"ERROR"))</f>
        <v>26.072093806701385</v>
      </c>
      <c r="AM791" s="93">
        <f>IF('Net zero activities &amp; levers'!$C$10="Off",'Activity data'!BF17*EF!$H30*kgtoGg,IF('Net zero activities &amp; levers'!$C$10="On",'Net zero Activity data'!BF17*'Net zero supporting data'!AD193*kgtoGg,"ERROR"))</f>
        <v>26.691678242844393</v>
      </c>
      <c r="AN791" s="93">
        <f>IF('Net zero activities &amp; levers'!$C$10="Off",'Activity data'!BG17*EF!$H30*kgtoGg,IF('Net zero activities &amp; levers'!$C$10="On",'Net zero Activity data'!BG17*'Net zero supporting data'!AE193*kgtoGg,"ERROR"))</f>
        <v>27.284891345865745</v>
      </c>
      <c r="AO791" s="93">
        <f>IF('Net zero activities &amp; levers'!$C$10="Off",'Activity data'!BH17*EF!$H30*kgtoGg,IF('Net zero activities &amp; levers'!$C$10="On",'Net zero Activity data'!BH17*'Net zero supporting data'!AF193*kgtoGg,"ERROR"))</f>
        <v>27.905654237830884</v>
      </c>
      <c r="AP791" s="93">
        <f>IF('Net zero activities &amp; levers'!$C$10="Off",'Activity data'!BI17*EF!$H30*kgtoGg,IF('Net zero activities &amp; levers'!$C$10="On",'Net zero Activity data'!BI17*'Net zero supporting data'!AG193*kgtoGg,"ERROR"))</f>
        <v>28.571861719635045</v>
      </c>
      <c r="AQ791" s="93">
        <f>IF('Net zero activities &amp; levers'!$C$10="Off",'Activity data'!BJ17*EF!$H30*kgtoGg,IF('Net zero activities &amp; levers'!$C$10="On",'Net zero Activity data'!BJ17*'Net zero supporting data'!AH193*kgtoGg,"ERROR"))</f>
        <v>29.249712050194997</v>
      </c>
      <c r="AR791" s="93">
        <f>IF('Net zero activities &amp; levers'!$C$10="Off",'Activity data'!BK17*EF!$H30*kgtoGg,IF('Net zero activities &amp; levers'!$C$10="On",'Net zero Activity data'!BK17*'Net zero supporting data'!AI193*kgtoGg,"ERROR"))</f>
        <v>29.940451406740536</v>
      </c>
      <c r="AS791" s="93">
        <f>IF('Net zero activities &amp; levers'!$C$10="Off",'Activity data'!BL17*EF!$H30*kgtoGg,IF('Net zero activities &amp; levers'!$C$10="On",'Net zero Activity data'!BL17*'Net zero supporting data'!AJ193*kgtoGg,"ERROR"))</f>
        <v>30.678211789307159</v>
      </c>
      <c r="AT791" s="93">
        <f>IF('Net zero activities &amp; levers'!$C$10="Off",'Activity data'!BM17*EF!$H30*kgtoGg,IF('Net zero activities &amp; levers'!$C$10="On",'Net zero Activity data'!BM17*'Net zero supporting data'!AK193*kgtoGg,"ERROR"))</f>
        <v>31.450149667179016</v>
      </c>
      <c r="AU791" s="93">
        <f>IF('Net zero activities &amp; levers'!$C$10="Off",'Activity data'!BN17*EF!$H30*kgtoGg,IF('Net zero activities &amp; levers'!$C$10="On",'Net zero Activity data'!BN17*'Net zero supporting data'!AL193*kgtoGg,"ERROR"))</f>
        <v>32.247465982700263</v>
      </c>
      <c r="AV791" s="93">
        <f>IF('Net zero activities &amp; levers'!$C$10="Off",'Activity data'!BO17*EF!$H30*kgtoGg,IF('Net zero activities &amp; levers'!$C$10="On",'Net zero Activity data'!BO17*'Net zero supporting data'!AM193*kgtoGg,"ERROR"))</f>
        <v>33.090843547510339</v>
      </c>
      <c r="AW791" s="93">
        <f>IF('Net zero activities &amp; levers'!$C$10="Off",'Activity data'!BP17*EF!$H30*kgtoGg,IF('Net zero activities &amp; levers'!$C$10="On",'Net zero Activity data'!BP17*'Net zero supporting data'!AN193*kgtoGg,"ERROR"))</f>
        <v>33.85425291015099</v>
      </c>
      <c r="AY791" s="79"/>
      <c r="AZ791" s="79"/>
    </row>
    <row r="792" spans="1:52" x14ac:dyDescent="0.25">
      <c r="A792" s="95" t="str">
        <f t="shared" si="176"/>
        <v>BD Swine MMCH4</v>
      </c>
      <c r="B792" s="95" t="s">
        <v>1227</v>
      </c>
      <c r="C792" s="95" t="s">
        <v>1229</v>
      </c>
      <c r="D792" t="s">
        <v>15</v>
      </c>
      <c r="E792" t="s">
        <v>22</v>
      </c>
      <c r="F792" t="s">
        <v>21</v>
      </c>
      <c r="G792" t="s">
        <v>123</v>
      </c>
      <c r="H792" t="s">
        <v>1226</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7.6831311787104603E-2</v>
      </c>
      <c r="O792" s="93">
        <f>IF('Net zero activities &amp; levers'!$C$10="Off",'Activity data'!AH18*EF!$H31*kgtoGg,IF('Net zero activities &amp; levers'!$C$10="On",'Net zero Activity data'!AH18*'Net zero supporting data'!F194*kgtoGg,"ERROR"))</f>
        <v>7.5668604825231994E-2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7.291559489708703E-2</v>
      </c>
      <c r="R792" s="93">
        <f>IF('Net zero activities &amp; levers'!$C$10="Off",'Activity data'!AK18*EF!$H31*kgtoGg,IF('Net zero activities &amp; levers'!$C$10="On",'Net zero Activity data'!AK18*'Net zero supporting data'!I194*kgtoGg,"ERROR"))</f>
        <v>7.1859980996426709E-2</v>
      </c>
      <c r="S792" s="93">
        <f>IF('Net zero activities &amp; levers'!$C$10="Off",'Activity data'!AL18*EF!$H31*kgtoGg,IF('Net zero activities &amp; levers'!$C$10="On",'Net zero Activity data'!AL18*'Net zero supporting data'!J194*kgtoGg,"ERROR"))</f>
        <v>6.455324187339509E-2</v>
      </c>
      <c r="T792" s="93">
        <f>IF('Net zero activities &amp; levers'!$C$10="Off",'Activity data'!AM18*EF!$H31*kgtoGg,IF('Net zero activities &amp; levers'!$C$10="On",'Net zero Activity data'!AM18*'Net zero supporting data'!K194*kgtoGg,"ERROR"))</f>
        <v>6.7470325262664888E-2</v>
      </c>
      <c r="U792" s="93">
        <f>IF('Net zero activities &amp; levers'!$C$10="Off",'Activity data'!AN18*EF!$H31*kgtoGg,IF('Net zero activities &amp; levers'!$C$10="On",'Net zero Activity data'!AN18*'Net zero supporting data'!L194*kgtoGg,"ERROR"))</f>
        <v>6.8352247278516104E-2</v>
      </c>
      <c r="V792" s="93">
        <f>IF('Net zero activities &amp; levers'!$C$10="Off",'Activity data'!AO18*EF!$H31*kgtoGg,IF('Net zero activities &amp; levers'!$C$10="On",'Net zero Activity data'!AO18*'Net zero supporting data'!M194*kgtoGg,"ERROR"))</f>
        <v>6.767767695596183E-2</v>
      </c>
      <c r="W792" s="93">
        <f>IF('Net zero activities &amp; levers'!$C$10="Off",'Activity data'!AP18*EF!$H31*kgtoGg,IF('Net zero activities &amp; levers'!$C$10="On",'Net zero Activity data'!AP18*'Net zero supporting data'!N194*kgtoGg,"ERROR"))</f>
        <v>6.7084395944141104E-2</v>
      </c>
      <c r="X792" s="93">
        <f>IF('Net zero activities &amp; levers'!$C$10="Off",'Activity data'!AQ18*EF!$H31*kgtoGg,IF('Net zero activities &amp; levers'!$C$10="On",'Net zero Activity data'!AQ18*'Net zero supporting data'!O194*kgtoGg,"ERROR"))</f>
        <v>6.6901042203608638E-2</v>
      </c>
      <c r="Y792" s="93">
        <f>IF('Net zero activities &amp; levers'!$C$10="Off",'Activity data'!AR18*EF!$H31*kgtoGg,IF('Net zero activities &amp; levers'!$C$10="On",'Net zero Activity data'!AR18*'Net zero supporting data'!P194*kgtoGg,"ERROR"))</f>
        <v>6.7111684363095322E-2</v>
      </c>
      <c r="Z792" s="93">
        <f>IF('Net zero activities &amp; levers'!$C$10="Off",'Activity data'!AS18*EF!$H31*kgtoGg,IF('Net zero activities &amp; levers'!$C$10="On",'Net zero Activity data'!AS18*'Net zero supporting data'!Q194*kgtoGg,"ERROR"))</f>
        <v>6.7504026185839727E-2</v>
      </c>
      <c r="AA792" s="93">
        <f>IF('Net zero activities &amp; levers'!$C$10="Off",'Activity data'!AT18*EF!$H31*kgtoGg,IF('Net zero activities &amp; levers'!$C$10="On",'Net zero Activity data'!AT18*'Net zero supporting data'!R194*kgtoGg,"ERROR"))</f>
        <v>6.8122828642149871E-2</v>
      </c>
      <c r="AB792" s="93">
        <f>IF('Net zero activities &amp; levers'!$C$10="Off",'Activity data'!AU18*EF!$H31*kgtoGg,IF('Net zero activities &amp; levers'!$C$10="On",'Net zero Activity data'!AU18*'Net zero supporting data'!S194*kgtoGg,"ERROR"))</f>
        <v>6.9116873969995066E-2</v>
      </c>
      <c r="AC792" s="93">
        <f>IF('Net zero activities &amp; levers'!$C$10="Off",'Activity data'!AV18*EF!$H31*kgtoGg,IF('Net zero activities &amp; levers'!$C$10="On",'Net zero Activity data'!AV18*'Net zero supporting data'!T194*kgtoGg,"ERROR"))</f>
        <v>7.0451456027731174E-2</v>
      </c>
      <c r="AD792" s="93">
        <f>IF('Net zero activities &amp; levers'!$C$10="Off",'Activity data'!AW18*EF!$H31*kgtoGg,IF('Net zero activities &amp; levers'!$C$10="On",'Net zero Activity data'!AW18*'Net zero supporting data'!U194*kgtoGg,"ERROR"))</f>
        <v>7.1970411183742145E-2</v>
      </c>
      <c r="AE792" s="93">
        <f>IF('Net zero activities &amp; levers'!$C$10="Off",'Activity data'!AX18*EF!$H31*kgtoGg,IF('Net zero activities &amp; levers'!$C$10="On",'Net zero Activity data'!AX18*'Net zero supporting data'!V194*kgtoGg,"ERROR"))</f>
        <v>7.3658660723829941E-2</v>
      </c>
      <c r="AF792" s="93">
        <f>IF('Net zero activities &amp; levers'!$C$10="Off",'Activity data'!AY18*EF!$H31*kgtoGg,IF('Net zero activities &amp; levers'!$C$10="On",'Net zero Activity data'!AY18*'Net zero supporting data'!W194*kgtoGg,"ERROR"))</f>
        <v>7.5431757719028575E-2</v>
      </c>
      <c r="AG792" s="93">
        <f>IF('Net zero activities &amp; levers'!$C$10="Off",'Activity data'!AZ18*EF!$H31*kgtoGg,IF('Net zero activities &amp; levers'!$C$10="On",'Net zero Activity data'!AZ18*'Net zero supporting data'!X194*kgtoGg,"ERROR"))</f>
        <v>7.7320153452066526E-2</v>
      </c>
      <c r="AH792" s="93">
        <f>IF('Net zero activities &amp; levers'!$C$10="Off",'Activity data'!BA18*EF!$H31*kgtoGg,IF('Net zero activities &amp; levers'!$C$10="On",'Net zero Activity data'!BA18*'Net zero supporting data'!Y194*kgtoGg,"ERROR"))</f>
        <v>7.9283145641754912E-2</v>
      </c>
      <c r="AI792" s="93">
        <f>IF('Net zero activities &amp; levers'!$C$10="Off",'Activity data'!BB18*EF!$H31*kgtoGg,IF('Net zero activities &amp; levers'!$C$10="On",'Net zero Activity data'!BB18*'Net zero supporting data'!Z194*kgtoGg,"ERROR"))</f>
        <v>8.1188091030010831E-2</v>
      </c>
      <c r="AJ792" s="93">
        <f>IF('Net zero activities &amp; levers'!$C$10="Off",'Activity data'!BC18*EF!$H31*kgtoGg,IF('Net zero activities &amp; levers'!$C$10="On",'Net zero Activity data'!BC18*'Net zero supporting data'!AA194*kgtoGg,"ERROR"))</f>
        <v>8.3219025214881143E-2</v>
      </c>
      <c r="AK792" s="93">
        <f>IF('Net zero activities &amp; levers'!$C$10="Off",'Activity data'!BD18*EF!$H31*kgtoGg,IF('Net zero activities &amp; levers'!$C$10="On",'Net zero Activity data'!BD18*'Net zero supporting data'!AB194*kgtoGg,"ERROR"))</f>
        <v>8.525401023742317E-2</v>
      </c>
      <c r="AL792" s="93">
        <f>IF('Net zero activities &amp; levers'!$C$10="Off",'Activity data'!BE18*EF!$H31*kgtoGg,IF('Net zero activities &amp; levers'!$C$10="On",'Net zero Activity data'!BE18*'Net zero supporting data'!AC194*kgtoGg,"ERROR"))</f>
        <v>8.7282361799551011E-2</v>
      </c>
      <c r="AM792" s="93">
        <f>IF('Net zero activities &amp; levers'!$C$10="Off",'Activity data'!BF18*EF!$H31*kgtoGg,IF('Net zero activities &amp; levers'!$C$10="On",'Net zero Activity data'!BF18*'Net zero supporting data'!AD194*kgtoGg,"ERROR"))</f>
        <v>8.9356563945406475E-2</v>
      </c>
      <c r="AN792" s="93">
        <f>IF('Net zero activities &amp; levers'!$C$10="Off",'Activity data'!BG18*EF!$H31*kgtoGg,IF('Net zero activities &amp; levers'!$C$10="On",'Net zero Activity data'!BG18*'Net zero supporting data'!AE194*kgtoGg,"ERROR"))</f>
        <v>9.1342481956672425E-2</v>
      </c>
      <c r="AO792" s="93">
        <f>IF('Net zero activities &amp; levers'!$C$10="Off",'Activity data'!BH18*EF!$H31*kgtoGg,IF('Net zero activities &amp; levers'!$C$10="On",'Net zero Activity data'!BH18*'Net zero supporting data'!AF194*kgtoGg,"ERROR"))</f>
        <v>9.3420629255847557E-2</v>
      </c>
      <c r="AP792" s="93">
        <f>IF('Net zero activities &amp; levers'!$C$10="Off",'Activity data'!BI18*EF!$H31*kgtoGg,IF('Net zero activities &amp; levers'!$C$10="On",'Net zero Activity data'!BI18*'Net zero supporting data'!AG194*kgtoGg,"ERROR"))</f>
        <v>9.5650912826147239E-2</v>
      </c>
      <c r="AQ792" s="93">
        <f>IF('Net zero activities &amp; levers'!$C$10="Off",'Activity data'!BJ18*EF!$H31*kgtoGg,IF('Net zero activities &amp; levers'!$C$10="On",'Net zero Activity data'!BJ18*'Net zero supporting data'!AH194*kgtoGg,"ERROR"))</f>
        <v>9.7920173524444973E-2</v>
      </c>
      <c r="AR792" s="93">
        <f>IF('Net zero activities &amp; levers'!$C$10="Off",'Activity data'!BK18*EF!$H31*kgtoGg,IF('Net zero activities &amp; levers'!$C$10="On",'Net zero Activity data'!BK18*'Net zero supporting data'!AI194*kgtoGg,"ERROR"))</f>
        <v>0.10023258321712952</v>
      </c>
      <c r="AS792" s="93">
        <f>IF('Net zero activities &amp; levers'!$C$10="Off",'Activity data'!BL18*EF!$H31*kgtoGg,IF('Net zero activities &amp; levers'!$C$10="On",'Net zero Activity data'!BL18*'Net zero supporting data'!AJ194*kgtoGg,"ERROR"))</f>
        <v>0.1027024066655249</v>
      </c>
      <c r="AT792" s="93">
        <f>IF('Net zero activities &amp; levers'!$C$10="Off",'Activity data'!BM18*EF!$H31*kgtoGg,IF('Net zero activities &amp; levers'!$C$10="On",'Net zero Activity data'!BM18*'Net zero supporting data'!AK194*kgtoGg,"ERROR"))</f>
        <v>0.10528664718117813</v>
      </c>
      <c r="AU792" s="93">
        <f>IF('Net zero activities &amp; levers'!$C$10="Off",'Activity data'!BN18*EF!$H31*kgtoGg,IF('Net zero activities &amp; levers'!$C$10="On",'Net zero Activity data'!BN18*'Net zero supporting data'!AL194*kgtoGg,"ERROR"))</f>
        <v>0.10795584788427327</v>
      </c>
      <c r="AV792" s="93">
        <f>IF('Net zero activities &amp; levers'!$C$10="Off",'Activity data'!BO18*EF!$H31*kgtoGg,IF('Net zero activities &amp; levers'!$C$10="On",'Net zero Activity data'!BO18*'Net zero supporting data'!AM194*kgtoGg,"ERROR"))</f>
        <v>0.11077924926857086</v>
      </c>
      <c r="AW792" s="93">
        <f>IF('Net zero activities &amp; levers'!$C$10="Off",'Activity data'!BP18*EF!$H31*kgtoGg,IF('Net zero activities &amp; levers'!$C$10="On",'Net zero Activity data'!BP18*'Net zero supporting data'!AN194*kgtoGg,"ERROR"))</f>
        <v>0.11333493860772317</v>
      </c>
      <c r="AY792" s="79"/>
      <c r="AZ792" s="79"/>
    </row>
    <row r="793" spans="1:52" x14ac:dyDescent="0.25">
      <c r="A793" s="95" t="str">
        <f t="shared" si="176"/>
        <v>BD Poultry MMCH4</v>
      </c>
      <c r="B793" s="95" t="s">
        <v>1227</v>
      </c>
      <c r="C793" s="95" t="s">
        <v>1230</v>
      </c>
      <c r="D793" t="s">
        <v>15</v>
      </c>
      <c r="E793" t="s">
        <v>22</v>
      </c>
      <c r="F793" t="s">
        <v>28</v>
      </c>
      <c r="G793" t="s">
        <v>131</v>
      </c>
      <c r="H793" t="s">
        <v>1226</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0.59573243019488353</v>
      </c>
      <c r="T793" s="93">
        <f>IF('Net zero activities &amp; levers'!$C$10="Off",'Activity data'!AM19*EF!$H32*kgtoGg,IF('Net zero activities &amp; levers'!$C$10="On",'Net zero Activity data'!AM19*'Net zero supporting data'!K195*kgtoGg,"ERROR"))</f>
        <v>0.62060528502680601</v>
      </c>
      <c r="U793" s="93">
        <f>IF('Net zero activities &amp; levers'!$C$10="Off",'Activity data'!AN19*EF!$H32*kgtoGg,IF('Net zero activities &amp; levers'!$C$10="On",'Net zero Activity data'!AN19*'Net zero supporting data'!L195*kgtoGg,"ERROR"))</f>
        <v>0.63538739650332932</v>
      </c>
      <c r="V793" s="93">
        <f>IF('Net zero activities &amp; levers'!$C$10="Off",'Activity data'!AO19*EF!$H32*kgtoGg,IF('Net zero activities &amp; levers'!$C$10="On",'Net zero Activity data'!AO19*'Net zero supporting data'!M195*kgtoGg,"ERROR"))</f>
        <v>0.64244306993256506</v>
      </c>
      <c r="W793" s="93">
        <f>IF('Net zero activities &amp; levers'!$C$10="Off",'Activity data'!AP19*EF!$H32*kgtoGg,IF('Net zero activities &amp; levers'!$C$10="On",'Net zero Activity data'!AP19*'Net zero supporting data'!N195*kgtoGg,"ERROR"))</f>
        <v>0.65026805947534316</v>
      </c>
      <c r="X793" s="93">
        <f>IF('Net zero activities &amp; levers'!$C$10="Off",'Activity data'!AQ19*EF!$H32*kgtoGg,IF('Net zero activities &amp; levers'!$C$10="On",'Net zero Activity data'!AQ19*'Net zero supporting data'!O195*kgtoGg,"ERROR"))</f>
        <v>0.66047268102504608</v>
      </c>
      <c r="Y793" s="93">
        <f>IF('Net zero activities &amp; levers'!$C$10="Off",'Activity data'!AR19*EF!$H32*kgtoGg,IF('Net zero activities &amp; levers'!$C$10="On",'Net zero Activity data'!AR19*'Net zero supporting data'!P195*kgtoGg,"ERROR"))</f>
        <v>0.67275642094337218</v>
      </c>
      <c r="Z793" s="93">
        <f>IF('Net zero activities &amp; levers'!$C$10="Off",'Activity data'!AS19*EF!$H32*kgtoGg,IF('Net zero activities &amp; levers'!$C$10="On",'Net zero Activity data'!AS19*'Net zero supporting data'!Q195*kgtoGg,"ERROR"))</f>
        <v>0.68607919631568115</v>
      </c>
      <c r="AA793" s="93">
        <f>IF('Net zero activities &amp; levers'!$C$10="Off",'Activity data'!AT19*EF!$H32*kgtoGg,IF('Net zero activities &amp; levers'!$C$10="On",'Net zero Activity data'!AT19*'Net zero supporting data'!R195*kgtoGg,"ERROR"))</f>
        <v>0.70076804403320936</v>
      </c>
      <c r="AB793" s="93">
        <f>IF('Net zero activities &amp; levers'!$C$10="Off",'Activity data'!AU19*EF!$H32*kgtoGg,IF('Net zero activities &amp; levers'!$C$10="On",'Net zero Activity data'!AU19*'Net zero supporting data'!S195*kgtoGg,"ERROR"))</f>
        <v>0.71779554918535993</v>
      </c>
      <c r="AC793" s="93">
        <f>IF('Net zero activities &amp; levers'!$C$10="Off",'Activity data'!AV19*EF!$H32*kgtoGg,IF('Net zero activities &amp; levers'!$C$10="On",'Net zero Activity data'!AV19*'Net zero supporting data'!T195*kgtoGg,"ERROR"))</f>
        <v>0.73711000301021679</v>
      </c>
      <c r="AD793" s="93">
        <f>IF('Net zero activities &amp; levers'!$C$10="Off",'Activity data'!AW19*EF!$H32*kgtoGg,IF('Net zero activities &amp; levers'!$C$10="On",'Net zero Activity data'!AW19*'Net zero supporting data'!U195*kgtoGg,"ERROR"))</f>
        <v>0.75788984228274747</v>
      </c>
      <c r="AE793" s="93">
        <f>IF('Net zero activities &amp; levers'!$C$10="Off",'Activity data'!AX19*EF!$H32*kgtoGg,IF('Net zero activities &amp; levers'!$C$10="On",'Net zero Activity data'!AX19*'Net zero supporting data'!V195*kgtoGg,"ERROR"))</f>
        <v>0.78013180876638377</v>
      </c>
      <c r="AF793" s="93">
        <f>IF('Net zero activities &amp; levers'!$C$10="Off",'Activity data'!AY19*EF!$H32*kgtoGg,IF('Net zero activities &amp; levers'!$C$10="On",'Net zero Activity data'!AY19*'Net zero supporting data'!W195*kgtoGg,"ERROR"))</f>
        <v>0.80337597870999389</v>
      </c>
      <c r="AG793" s="93">
        <f>IF('Net zero activities &amp; levers'!$C$10="Off",'Activity data'!AZ19*EF!$H32*kgtoGg,IF('Net zero activities &amp; levers'!$C$10="On",'Net zero Activity data'!AZ19*'Net zero supporting data'!X195*kgtoGg,"ERROR"))</f>
        <v>0.82785833709156575</v>
      </c>
      <c r="AH793" s="93">
        <f>IF('Net zero activities &amp; levers'!$C$10="Off",'Activity data'!BA19*EF!$H32*kgtoGg,IF('Net zero activities &amp; levers'!$C$10="On",'Net zero Activity data'!BA19*'Net zero supporting data'!Y195*kgtoGg,"ERROR"))</f>
        <v>0.85337321588031811</v>
      </c>
      <c r="AI793" s="93">
        <f>IF('Net zero activities &amp; levers'!$C$10="Off",'Activity data'!BB19*EF!$H32*kgtoGg,IF('Net zero activities &amp; levers'!$C$10="On",'Net zero Activity data'!BB19*'Net zero supporting data'!Z195*kgtoGg,"ERROR"))</f>
        <v>0.87907798873871268</v>
      </c>
      <c r="AJ793" s="93">
        <f>IF('Net zero activities &amp; levers'!$C$10="Off",'Activity data'!BC19*EF!$H32*kgtoGg,IF('Net zero activities &amp; levers'!$C$10="On",'Net zero Activity data'!BC19*'Net zero supporting data'!AA195*kgtoGg,"ERROR"))</f>
        <v>0.90622461339542404</v>
      </c>
      <c r="AK793" s="93">
        <f>IF('Net zero activities &amp; levers'!$C$10="Off",'Activity data'!BD19*EF!$H32*kgtoGg,IF('Net zero activities &amp; levers'!$C$10="On",'Net zero Activity data'!BD19*'Net zero supporting data'!AB195*kgtoGg,"ERROR"))</f>
        <v>0.93400977893113157</v>
      </c>
      <c r="AL793" s="93">
        <f>IF('Net zero activities &amp; levers'!$C$10="Off",'Activity data'!BE19*EF!$H32*kgtoGg,IF('Net zero activities &amp; levers'!$C$10="On",'Net zero Activity data'!BE19*'Net zero supporting data'!AC195*kgtoGg,"ERROR"))</f>
        <v>0.96237643638695936</v>
      </c>
      <c r="AM793" s="93">
        <f>IF('Net zero activities &amp; levers'!$C$10="Off",'Activity data'!BF19*EF!$H32*kgtoGg,IF('Net zero activities &amp; levers'!$C$10="On",'Net zero Activity data'!BF19*'Net zero supporting data'!AD195*kgtoGg,"ERROR"))</f>
        <v>0.99172546365777581</v>
      </c>
      <c r="AN793" s="93">
        <f>IF('Net zero activities &amp; levers'!$C$10="Off",'Activity data'!BG19*EF!$H32*kgtoGg,IF('Net zero activities &amp; levers'!$C$10="On",'Net zero Activity data'!BG19*'Net zero supporting data'!AE195*kgtoGg,"ERROR"))</f>
        <v>1.0211032601995891</v>
      </c>
      <c r="AO793" s="93">
        <f>IF('Net zero activities &amp; levers'!$C$10="Off",'Activity data'!BH19*EF!$H32*kgtoGg,IF('Net zero activities &amp; levers'!$C$10="On",'Net zero Activity data'!BH19*'Net zero supporting data'!AF195*kgtoGg,"ERROR"))</f>
        <v>1.0518470326965137</v>
      </c>
      <c r="AP793" s="93">
        <f>IF('Net zero activities &amp; levers'!$C$10="Off",'Activity data'!BI19*EF!$H32*kgtoGg,IF('Net zero activities &amp; levers'!$C$10="On",'Net zero Activity data'!BI19*'Net zero supporting data'!AG195*kgtoGg,"ERROR"))</f>
        <v>1.0844705032412159</v>
      </c>
      <c r="AQ793" s="93">
        <f>IF('Net zero activities &amp; levers'!$C$10="Off",'Activity data'!BJ19*EF!$H32*kgtoGg,IF('Net zero activities &amp; levers'!$C$10="On",'Net zero Activity data'!BJ19*'Net zero supporting data'!AH195*kgtoGg,"ERROR"))</f>
        <v>1.1181722864478278</v>
      </c>
      <c r="AR793" s="93">
        <f>IF('Net zero activities &amp; levers'!$C$10="Off",'Activity data'!BK19*EF!$H32*kgtoGg,IF('Net zero activities &amp; levers'!$C$10="On",'Net zero Activity data'!BK19*'Net zero supporting data'!AI195*kgtoGg,"ERROR"))</f>
        <v>1.1530181967657136</v>
      </c>
      <c r="AS793" s="93">
        <f>IF('Net zero activities &amp; levers'!$C$10="Off",'Activity data'!BL19*EF!$H32*kgtoGg,IF('Net zero activities &amp; levers'!$C$10="On",'Net zero Activity data'!BL19*'Net zero supporting data'!AJ195*kgtoGg,"ERROR"))</f>
        <v>1.1899731342287589</v>
      </c>
      <c r="AT793" s="93">
        <f>IF('Net zero activities &amp; levers'!$C$10="Off",'Activity data'!BM19*EF!$H32*kgtoGg,IF('Net zero activities &amp; levers'!$C$10="On",'Net zero Activity data'!BM19*'Net zero supporting data'!AK195*kgtoGg,"ERROR"))</f>
        <v>1.2287768115471775</v>
      </c>
      <c r="AU793" s="93">
        <f>IF('Net zero activities &amp; levers'!$C$10="Off",'Activity data'!BN19*EF!$H32*kgtoGg,IF('Net zero activities &amp; levers'!$C$10="On",'Net zero Activity data'!BN19*'Net zero supporting data'!AL195*kgtoGg,"ERROR"))</f>
        <v>1.2692627400827883</v>
      </c>
      <c r="AV793" s="93">
        <f>IF('Net zero activities &amp; levers'!$C$10="Off",'Activity data'!BO19*EF!$H32*kgtoGg,IF('Net zero activities &amp; levers'!$C$10="On",'Net zero Activity data'!BO19*'Net zero supporting data'!AM195*kgtoGg,"ERROR"))</f>
        <v>1.3120972726435587</v>
      </c>
      <c r="AW793" s="93">
        <f>IF('Net zero activities &amp; levers'!$C$10="Off",'Activity data'!BP19*EF!$H32*kgtoGg,IF('Net zero activities &amp; levers'!$C$10="On",'Net zero Activity data'!BP19*'Net zero supporting data'!AN195*kgtoGg,"ERROR"))</f>
        <v>1.3536832016924076</v>
      </c>
      <c r="AY793" s="79"/>
      <c r="AZ793" s="79"/>
    </row>
    <row r="794" spans="1:52" x14ac:dyDescent="0.25">
      <c r="A794" s="95" t="str">
        <f t="shared" si="176"/>
        <v>BD Poultry MMCH4</v>
      </c>
      <c r="B794" s="95" t="s">
        <v>1227</v>
      </c>
      <c r="C794" s="95" t="s">
        <v>1230</v>
      </c>
      <c r="D794" t="s">
        <v>15</v>
      </c>
      <c r="E794" t="s">
        <v>22</v>
      </c>
      <c r="F794" t="s">
        <v>28</v>
      </c>
      <c r="G794" t="s">
        <v>132</v>
      </c>
      <c r="H794" t="s">
        <v>1226</v>
      </c>
      <c r="I794" t="s">
        <v>121</v>
      </c>
      <c r="J794" t="s">
        <v>286</v>
      </c>
      <c r="K794" s="27">
        <f t="shared" ref="K794:AW794" si="222">K1408</f>
        <v>2.2100196981344111</v>
      </c>
      <c r="L794" s="27">
        <f t="shared" si="222"/>
        <v>2.2391217074451477</v>
      </c>
      <c r="M794" s="27">
        <f t="shared" si="222"/>
        <v>2.2858678822724814</v>
      </c>
      <c r="N794" s="27">
        <f t="shared" si="222"/>
        <v>2.2992900748078591</v>
      </c>
      <c r="O794" s="27">
        <f t="shared" si="222"/>
        <v>2.2910596881616558</v>
      </c>
      <c r="P794" s="27">
        <f t="shared" si="222"/>
        <v>2.2612642885898917</v>
      </c>
      <c r="Q794" s="27">
        <f t="shared" si="222"/>
        <v>2.2487211059946204</v>
      </c>
      <c r="R794" s="27">
        <f t="shared" si="222"/>
        <v>2.2390235702415184</v>
      </c>
      <c r="S794" s="27">
        <f t="shared" si="222"/>
        <v>1.9480109024353172</v>
      </c>
      <c r="T794" s="27">
        <f t="shared" si="222"/>
        <v>2.1242573648526935</v>
      </c>
      <c r="U794" s="27">
        <f t="shared" si="222"/>
        <v>2.2090616174503466</v>
      </c>
      <c r="V794" s="27">
        <f t="shared" si="222"/>
        <v>2.219672639907655</v>
      </c>
      <c r="W794" s="27">
        <f t="shared" si="222"/>
        <v>2.2319049749890385</v>
      </c>
      <c r="X794" s="27">
        <f t="shared" si="222"/>
        <v>2.2629262949362925</v>
      </c>
      <c r="Y794" s="27">
        <f t="shared" si="222"/>
        <v>2.3140044447008137</v>
      </c>
      <c r="Z794" s="27">
        <f t="shared" si="222"/>
        <v>2.3751177408865005</v>
      </c>
      <c r="AA794" s="27">
        <f t="shared" si="222"/>
        <v>2.4489635487241519</v>
      </c>
      <c r="AB794" s="27">
        <f t="shared" si="222"/>
        <v>2.5437406386090786</v>
      </c>
      <c r="AC794" s="27">
        <f t="shared" si="222"/>
        <v>2.6583677679701894</v>
      </c>
      <c r="AD794" s="27">
        <f t="shared" si="222"/>
        <v>2.7852398205087883</v>
      </c>
      <c r="AE794" s="27">
        <f t="shared" si="222"/>
        <v>2.9239358907782309</v>
      </c>
      <c r="AF794" s="27">
        <f t="shared" si="222"/>
        <v>3.0702342900973978</v>
      </c>
      <c r="AG794" s="27">
        <f t="shared" si="222"/>
        <v>3.2260927445342245</v>
      </c>
      <c r="AH794" s="27">
        <f t="shared" si="222"/>
        <v>3.3895233708783912</v>
      </c>
      <c r="AI794" s="27">
        <f t="shared" si="222"/>
        <v>3.5531911169091885</v>
      </c>
      <c r="AJ794" s="27">
        <f t="shared" si="222"/>
        <v>3.7276822125599338</v>
      </c>
      <c r="AK794" s="27">
        <f t="shared" si="222"/>
        <v>3.9062898323416295</v>
      </c>
      <c r="AL794" s="27">
        <f t="shared" si="222"/>
        <v>4.0884842597865152</v>
      </c>
      <c r="AM794" s="27">
        <f t="shared" si="222"/>
        <v>4.2774788120039364</v>
      </c>
      <c r="AN794" s="27">
        <f t="shared" si="222"/>
        <v>4.4653386243384539</v>
      </c>
      <c r="AO794" s="27">
        <f t="shared" si="222"/>
        <v>4.6630770817729719</v>
      </c>
      <c r="AP794" s="27">
        <f t="shared" si="222"/>
        <v>4.8747652719370373</v>
      </c>
      <c r="AQ794" s="27">
        <f t="shared" si="222"/>
        <v>5.0937607978342658</v>
      </c>
      <c r="AR794" s="27">
        <f t="shared" si="222"/>
        <v>5.3205750433635002</v>
      </c>
      <c r="AS794" s="27">
        <f t="shared" si="222"/>
        <v>5.5628565017727221</v>
      </c>
      <c r="AT794" s="27">
        <f t="shared" si="222"/>
        <v>5.8183308290473201</v>
      </c>
      <c r="AU794" s="27">
        <f t="shared" si="222"/>
        <v>6.0854872952292993</v>
      </c>
      <c r="AV794" s="27">
        <f t="shared" si="222"/>
        <v>6.3693601721837521</v>
      </c>
      <c r="AW794" s="27">
        <f t="shared" si="222"/>
        <v>6.641848924312276</v>
      </c>
      <c r="AY794" s="79"/>
      <c r="AZ794" s="79"/>
    </row>
    <row r="795" spans="1:52" x14ac:dyDescent="0.25">
      <c r="A795" s="95" t="str">
        <f t="shared" si="176"/>
        <v>BD Poultry MMCH4</v>
      </c>
      <c r="B795" s="95" t="s">
        <v>1227</v>
      </c>
      <c r="C795" s="95" t="s">
        <v>1230</v>
      </c>
      <c r="D795" t="s">
        <v>15</v>
      </c>
      <c r="E795" t="s">
        <v>22</v>
      </c>
      <c r="F795" t="s">
        <v>28</v>
      </c>
      <c r="G795" t="s">
        <v>134</v>
      </c>
      <c r="H795" t="s">
        <v>1226</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2.4944242822745922E-2</v>
      </c>
      <c r="P795" s="27">
        <f t="shared" si="223"/>
        <v>2.5198104828966561E-2</v>
      </c>
      <c r="Q795" s="27">
        <f t="shared" si="223"/>
        <v>2.5523625995077459E-2</v>
      </c>
      <c r="R795" s="27">
        <f t="shared" si="223"/>
        <v>2.5862077897454101E-2</v>
      </c>
      <c r="S795" s="27">
        <f t="shared" si="223"/>
        <v>2.4822184591453505E-2</v>
      </c>
      <c r="T795" s="27">
        <f t="shared" si="223"/>
        <v>2.5858553542783609E-2</v>
      </c>
      <c r="U795" s="27">
        <f t="shared" si="223"/>
        <v>2.6474474854305419E-2</v>
      </c>
      <c r="V795" s="27">
        <f t="shared" si="223"/>
        <v>2.6768461247190234E-2</v>
      </c>
      <c r="W795" s="27">
        <f t="shared" si="223"/>
        <v>2.709450247813933E-2</v>
      </c>
      <c r="X795" s="27">
        <f t="shared" si="223"/>
        <v>2.751969504271028E-2</v>
      </c>
      <c r="Y795" s="27">
        <f t="shared" si="223"/>
        <v>2.8031517539307202E-2</v>
      </c>
      <c r="Z795" s="27">
        <f t="shared" si="223"/>
        <v>2.8586633179820076E-2</v>
      </c>
      <c r="AA795" s="27">
        <f t="shared" si="223"/>
        <v>2.9198668501383751E-2</v>
      </c>
      <c r="AB795" s="27">
        <f t="shared" si="223"/>
        <v>2.9908147882723356E-2</v>
      </c>
      <c r="AC795" s="27">
        <f t="shared" si="223"/>
        <v>3.0712916792092395E-2</v>
      </c>
      <c r="AD795" s="27">
        <f t="shared" si="223"/>
        <v>3.1578743428447839E-2</v>
      </c>
      <c r="AE795" s="27">
        <f t="shared" si="223"/>
        <v>3.250549203193269E-2</v>
      </c>
      <c r="AF795" s="27">
        <f t="shared" si="223"/>
        <v>3.3473999112916437E-2</v>
      </c>
      <c r="AG795" s="27">
        <f t="shared" si="223"/>
        <v>3.4494097378815265E-2</v>
      </c>
      <c r="AH795" s="27">
        <f t="shared" si="223"/>
        <v>3.5557217328346623E-2</v>
      </c>
      <c r="AI795" s="27">
        <f t="shared" si="223"/>
        <v>3.6628249530779734E-2</v>
      </c>
      <c r="AJ795" s="27">
        <f t="shared" si="223"/>
        <v>3.7759358891476039E-2</v>
      </c>
      <c r="AK795" s="27">
        <f t="shared" si="223"/>
        <v>3.8917074122130517E-2</v>
      </c>
      <c r="AL795" s="27">
        <f t="shared" si="223"/>
        <v>4.0099018182790006E-2</v>
      </c>
      <c r="AM795" s="27">
        <f t="shared" si="223"/>
        <v>4.1321894319074036E-2</v>
      </c>
      <c r="AN795" s="27">
        <f t="shared" si="223"/>
        <v>4.2545969174982913E-2</v>
      </c>
      <c r="AO795" s="27">
        <f t="shared" si="223"/>
        <v>4.382695969568811E-2</v>
      </c>
      <c r="AP795" s="27">
        <f t="shared" si="223"/>
        <v>4.5186270968384026E-2</v>
      </c>
      <c r="AQ795" s="27">
        <f t="shared" si="223"/>
        <v>4.6590511935326193E-2</v>
      </c>
      <c r="AR795" s="27">
        <f t="shared" si="223"/>
        <v>4.8042424865238111E-2</v>
      </c>
      <c r="AS795" s="27">
        <f t="shared" si="223"/>
        <v>4.958221392619834E-2</v>
      </c>
      <c r="AT795" s="27">
        <f t="shared" si="223"/>
        <v>5.1199033814465784E-2</v>
      </c>
      <c r="AU795" s="27">
        <f t="shared" si="223"/>
        <v>5.2885947503449555E-2</v>
      </c>
      <c r="AV795" s="27">
        <f t="shared" si="223"/>
        <v>5.4670719693481661E-2</v>
      </c>
      <c r="AW795" s="27">
        <f t="shared" si="223"/>
        <v>5.6403466737183702E-2</v>
      </c>
      <c r="AY795" s="79"/>
      <c r="AZ795" s="79"/>
    </row>
    <row r="796" spans="1:52" x14ac:dyDescent="0.25">
      <c r="A796" s="95" t="str">
        <f t="shared" ref="A796:A859" si="224">B796&amp;" "&amp;C796</f>
        <v>BD Poultry MMCH4</v>
      </c>
      <c r="B796" s="95" t="s">
        <v>1227</v>
      </c>
      <c r="C796" s="95" t="s">
        <v>1230</v>
      </c>
      <c r="D796" t="s">
        <v>15</v>
      </c>
      <c r="E796" t="s">
        <v>22</v>
      </c>
      <c r="F796" t="s">
        <v>28</v>
      </c>
      <c r="G796" t="s">
        <v>133</v>
      </c>
      <c r="H796" t="s">
        <v>1226</v>
      </c>
      <c r="I796" t="s">
        <v>121</v>
      </c>
      <c r="J796" t="s">
        <v>286</v>
      </c>
      <c r="K796" s="27">
        <f t="shared" ref="K796:AW796" si="225">K1410</f>
        <v>9.2084154088933862E-2</v>
      </c>
      <c r="L796" s="27">
        <f t="shared" si="225"/>
        <v>9.3296737810214581E-2</v>
      </c>
      <c r="M796" s="27">
        <f t="shared" si="225"/>
        <v>9.5244495094686812E-2</v>
      </c>
      <c r="N796" s="27">
        <f t="shared" si="225"/>
        <v>9.5803753116994184E-2</v>
      </c>
      <c r="O796" s="27">
        <f t="shared" si="225"/>
        <v>9.5460820340069058E-2</v>
      </c>
      <c r="P796" s="27">
        <f t="shared" si="225"/>
        <v>9.4219345357912251E-2</v>
      </c>
      <c r="Q796" s="27">
        <f t="shared" si="225"/>
        <v>9.3696712749775937E-2</v>
      </c>
      <c r="R796" s="27">
        <f t="shared" si="225"/>
        <v>9.3292648760063338E-2</v>
      </c>
      <c r="S796" s="27">
        <f t="shared" si="225"/>
        <v>8.1167120934804951E-2</v>
      </c>
      <c r="T796" s="27">
        <f t="shared" si="225"/>
        <v>8.8510723535528968E-2</v>
      </c>
      <c r="U796" s="27">
        <f t="shared" si="225"/>
        <v>9.2044234060431204E-2</v>
      </c>
      <c r="V796" s="27">
        <f t="shared" si="225"/>
        <v>9.2486359996152387E-2</v>
      </c>
      <c r="W796" s="27">
        <f t="shared" si="225"/>
        <v>9.299604062454335E-2</v>
      </c>
      <c r="X796" s="27">
        <f t="shared" si="225"/>
        <v>9.4288595622345608E-2</v>
      </c>
      <c r="Y796" s="27">
        <f t="shared" si="225"/>
        <v>9.6416851862533987E-2</v>
      </c>
      <c r="Z796" s="27">
        <f t="shared" si="225"/>
        <v>9.8963239203604281E-2</v>
      </c>
      <c r="AA796" s="27">
        <f t="shared" si="225"/>
        <v>0.1020401478635064</v>
      </c>
      <c r="AB796" s="27">
        <f t="shared" si="225"/>
        <v>0.10598919327537835</v>
      </c>
      <c r="AC796" s="27">
        <f t="shared" si="225"/>
        <v>0.11076532366542467</v>
      </c>
      <c r="AD796" s="27">
        <f t="shared" si="225"/>
        <v>0.11605165918786628</v>
      </c>
      <c r="AE796" s="27">
        <f t="shared" si="225"/>
        <v>0.12183066211575974</v>
      </c>
      <c r="AF796" s="27">
        <f t="shared" si="225"/>
        <v>0.12792642875405835</v>
      </c>
      <c r="AG796" s="27">
        <f t="shared" si="225"/>
        <v>0.13442053102225948</v>
      </c>
      <c r="AH796" s="27">
        <f t="shared" si="225"/>
        <v>0.1412301404532664</v>
      </c>
      <c r="AI796" s="27">
        <f t="shared" si="225"/>
        <v>0.14804962987121634</v>
      </c>
      <c r="AJ796" s="27">
        <f t="shared" si="225"/>
        <v>0.15532009218999737</v>
      </c>
      <c r="AK796" s="27">
        <f t="shared" si="225"/>
        <v>0.16276207634756804</v>
      </c>
      <c r="AL796" s="27">
        <f t="shared" si="225"/>
        <v>0.17035351082443828</v>
      </c>
      <c r="AM796" s="27">
        <f t="shared" si="225"/>
        <v>0.17822828383349751</v>
      </c>
      <c r="AN796" s="27">
        <f t="shared" si="225"/>
        <v>0.18605577601410239</v>
      </c>
      <c r="AO796" s="27">
        <f t="shared" si="225"/>
        <v>0.19429487840720733</v>
      </c>
      <c r="AP796" s="27">
        <f t="shared" si="225"/>
        <v>0.20311521966404342</v>
      </c>
      <c r="AQ796" s="27">
        <f t="shared" si="225"/>
        <v>0.21224003324309459</v>
      </c>
      <c r="AR796" s="27">
        <f t="shared" si="225"/>
        <v>0.22169062680681273</v>
      </c>
      <c r="AS796" s="27">
        <f t="shared" si="225"/>
        <v>0.23178568757386364</v>
      </c>
      <c r="AT796" s="27">
        <f t="shared" si="225"/>
        <v>0.24243045121030524</v>
      </c>
      <c r="AU796" s="27">
        <f t="shared" si="225"/>
        <v>0.25356197063455443</v>
      </c>
      <c r="AV796" s="27">
        <f t="shared" si="225"/>
        <v>0.26539000717432326</v>
      </c>
      <c r="AW796" s="27">
        <f t="shared" si="225"/>
        <v>0.27674370517967845</v>
      </c>
      <c r="AY796" s="79"/>
      <c r="AZ796" s="79"/>
    </row>
    <row r="797" spans="1:52" x14ac:dyDescent="0.25">
      <c r="A797" s="95" t="str">
        <f t="shared" si="224"/>
        <v>BD Cattle MMN2O</v>
      </c>
      <c r="B797" s="95" t="s">
        <v>1227</v>
      </c>
      <c r="C797" s="95" t="s">
        <v>1231</v>
      </c>
      <c r="D797" t="s">
        <v>15</v>
      </c>
      <c r="E797" t="s">
        <v>657</v>
      </c>
      <c r="F797" t="s">
        <v>6</v>
      </c>
      <c r="G797" t="s">
        <v>136</v>
      </c>
      <c r="H797" t="s">
        <v>1226</v>
      </c>
      <c r="I797" t="s">
        <v>139</v>
      </c>
      <c r="J797" t="s">
        <v>287</v>
      </c>
      <c r="K797" s="27">
        <f t="shared" ref="K797:AW797" si="226">K1411</f>
        <v>5.9474079071945893E-2</v>
      </c>
      <c r="L797" s="27">
        <f t="shared" si="226"/>
        <v>5.9806569587962537E-2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6.1344406036983781E-2</v>
      </c>
      <c r="S797" s="27">
        <f t="shared" si="226"/>
        <v>5.9572576433389555E-2</v>
      </c>
      <c r="T797" s="27">
        <f t="shared" si="226"/>
        <v>6.0773920175181823E-2</v>
      </c>
      <c r="U797" s="27">
        <f t="shared" si="226"/>
        <v>6.1370278320054004E-2</v>
      </c>
      <c r="V797" s="27">
        <f t="shared" si="226"/>
        <v>6.1526022860848524E-2</v>
      </c>
      <c r="W797" s="27">
        <f t="shared" si="226"/>
        <v>6.174747330575011E-2</v>
      </c>
      <c r="X797" s="27">
        <f t="shared" si="226"/>
        <v>6.2119068821813103E-2</v>
      </c>
      <c r="Y797" s="27">
        <f t="shared" si="226"/>
        <v>6.2609959575984822E-2</v>
      </c>
      <c r="Z797" s="27">
        <f t="shared" si="226"/>
        <v>6.3159566495841341E-2</v>
      </c>
      <c r="AA797" s="27">
        <f t="shared" si="226"/>
        <v>6.3785199118486416E-2</v>
      </c>
      <c r="AB797" s="27">
        <f t="shared" si="226"/>
        <v>6.4540499300557705E-2</v>
      </c>
      <c r="AC797" s="27">
        <f t="shared" si="226"/>
        <v>6.5421079387025072E-2</v>
      </c>
      <c r="AD797" s="27">
        <f t="shared" si="226"/>
        <v>6.6379515175029838E-2</v>
      </c>
      <c r="AE797" s="27">
        <f t="shared" si="226"/>
        <v>6.7414940444444876E-2</v>
      </c>
      <c r="AF797" s="27">
        <f t="shared" si="226"/>
        <v>6.8501080209535048E-2</v>
      </c>
      <c r="AG797" s="27">
        <f t="shared" si="226"/>
        <v>6.9650082739835181E-2</v>
      </c>
      <c r="AH797" s="27">
        <f t="shared" si="226"/>
        <v>7.085013376505013E-2</v>
      </c>
      <c r="AI797" s="27">
        <f t="shared" si="226"/>
        <v>7.2054990287027845E-2</v>
      </c>
      <c r="AJ797" s="27">
        <f t="shared" si="226"/>
        <v>7.3332422489630317E-2</v>
      </c>
      <c r="AK797" s="27">
        <f t="shared" si="226"/>
        <v>7.4637775238334716E-2</v>
      </c>
      <c r="AL797" s="27">
        <f t="shared" si="226"/>
        <v>7.596772859981879E-2</v>
      </c>
      <c r="AM797" s="27">
        <f t="shared" si="226"/>
        <v>7.734370972563348E-2</v>
      </c>
      <c r="AN797" s="27">
        <f t="shared" si="226"/>
        <v>7.871435132056126E-2</v>
      </c>
      <c r="AO797" s="27">
        <f t="shared" si="226"/>
        <v>8.0150831900584182E-2</v>
      </c>
      <c r="AP797" s="27">
        <f t="shared" si="226"/>
        <v>8.1679672713355286E-2</v>
      </c>
      <c r="AQ797" s="27">
        <f t="shared" si="226"/>
        <v>8.3257530462489515E-2</v>
      </c>
      <c r="AR797" s="27">
        <f t="shared" si="226"/>
        <v>8.4887259744612836E-2</v>
      </c>
      <c r="AS797" s="27">
        <f t="shared" si="226"/>
        <v>8.6619011221600456E-2</v>
      </c>
      <c r="AT797" s="27">
        <f t="shared" si="226"/>
        <v>8.8438220768671E-2</v>
      </c>
      <c r="AU797" s="27">
        <f t="shared" si="226"/>
        <v>9.0335502519381064E-2</v>
      </c>
      <c r="AV797" s="27">
        <f t="shared" si="226"/>
        <v>9.2345044060296602E-2</v>
      </c>
      <c r="AW797" s="27">
        <f t="shared" si="226"/>
        <v>9.4278593479446449E-2</v>
      </c>
      <c r="AY797" s="79"/>
      <c r="AZ797" s="79"/>
    </row>
    <row r="798" spans="1:52" x14ac:dyDescent="0.25">
      <c r="A798" s="95" t="str">
        <f t="shared" si="224"/>
        <v>BD Cattle MMN2O</v>
      </c>
      <c r="B798" s="95" t="s">
        <v>1227</v>
      </c>
      <c r="C798" s="95" t="s">
        <v>1231</v>
      </c>
      <c r="D798" t="s">
        <v>15</v>
      </c>
      <c r="E798" t="s">
        <v>657</v>
      </c>
      <c r="F798" t="s">
        <v>6</v>
      </c>
      <c r="G798" t="s">
        <v>137</v>
      </c>
      <c r="H798" t="s">
        <v>1226</v>
      </c>
      <c r="I798" t="s">
        <v>139</v>
      </c>
      <c r="J798" t="s">
        <v>287</v>
      </c>
      <c r="K798" s="27">
        <f t="shared" ref="K798:AW798" si="227">K1412</f>
        <v>0.26041511380118898</v>
      </c>
      <c r="L798" s="27">
        <f t="shared" si="227"/>
        <v>0.26187096745907495</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0.26860458755254507</v>
      </c>
      <c r="S798" s="27">
        <f t="shared" si="227"/>
        <v>0.26084639751318123</v>
      </c>
      <c r="T798" s="27">
        <f t="shared" si="227"/>
        <v>0.26610663982571414</v>
      </c>
      <c r="U798" s="27">
        <f t="shared" si="227"/>
        <v>0.26871787276259229</v>
      </c>
      <c r="V798" s="27">
        <f t="shared" si="227"/>
        <v>0.26939982081370628</v>
      </c>
      <c r="W798" s="27">
        <f t="shared" si="227"/>
        <v>0.27036947084797774</v>
      </c>
      <c r="X798" s="27">
        <f t="shared" si="227"/>
        <v>0.27199655091569075</v>
      </c>
      <c r="Y798" s="27">
        <f t="shared" si="227"/>
        <v>0.27414598094649351</v>
      </c>
      <c r="Z798" s="27">
        <f t="shared" si="227"/>
        <v>0.27655250746718535</v>
      </c>
      <c r="AA798" s="27">
        <f t="shared" si="227"/>
        <v>0.27929192257316399</v>
      </c>
      <c r="AB798" s="27">
        <f t="shared" si="227"/>
        <v>0.28259910422166357</v>
      </c>
      <c r="AC798" s="27">
        <f t="shared" si="227"/>
        <v>0.28645484048537356</v>
      </c>
      <c r="AD798" s="27">
        <f t="shared" si="227"/>
        <v>0.29065147822569842</v>
      </c>
      <c r="AE798" s="27">
        <f t="shared" si="227"/>
        <v>0.29518522458335378</v>
      </c>
      <c r="AF798" s="27">
        <f t="shared" si="227"/>
        <v>0.2999410310614633</v>
      </c>
      <c r="AG798" s="27">
        <f t="shared" si="227"/>
        <v>0.30497209046339202</v>
      </c>
      <c r="AH798" s="27">
        <f t="shared" si="227"/>
        <v>0.31022667244557844</v>
      </c>
      <c r="AI798" s="27">
        <f t="shared" si="227"/>
        <v>0.31550229593031343</v>
      </c>
      <c r="AJ798" s="27">
        <f t="shared" si="227"/>
        <v>0.32109570162242335</v>
      </c>
      <c r="AK798" s="27">
        <f t="shared" si="227"/>
        <v>0.32681136111491149</v>
      </c>
      <c r="AL798" s="27">
        <f t="shared" si="227"/>
        <v>0.33263473764104773</v>
      </c>
      <c r="AM798" s="27">
        <f t="shared" si="227"/>
        <v>0.33865965281516675</v>
      </c>
      <c r="AN798" s="27">
        <f t="shared" si="227"/>
        <v>0.34466118814776064</v>
      </c>
      <c r="AO798" s="27">
        <f t="shared" si="227"/>
        <v>0.35095100817620256</v>
      </c>
      <c r="AP798" s="27">
        <f t="shared" si="227"/>
        <v>0.35764523968771644</v>
      </c>
      <c r="AQ798" s="27">
        <f t="shared" si="227"/>
        <v>0.36455409833193048</v>
      </c>
      <c r="AR798" s="27">
        <f t="shared" si="227"/>
        <v>0.37169008333736225</v>
      </c>
      <c r="AS798" s="27">
        <f t="shared" si="227"/>
        <v>0.37927278600367109</v>
      </c>
      <c r="AT798" s="27">
        <f t="shared" si="227"/>
        <v>0.38723843538607666</v>
      </c>
      <c r="AU798" s="27">
        <f t="shared" si="227"/>
        <v>0.39554593422815865</v>
      </c>
      <c r="AV798" s="27">
        <f t="shared" si="227"/>
        <v>0.4043449773950597</v>
      </c>
      <c r="AW798" s="27">
        <f t="shared" si="227"/>
        <v>0.41281127901561981</v>
      </c>
      <c r="AY798" s="79"/>
      <c r="AZ798" s="79"/>
    </row>
    <row r="799" spans="1:52" x14ac:dyDescent="0.25">
      <c r="A799" s="95" t="str">
        <f t="shared" si="224"/>
        <v>BD Cattle MMN2O</v>
      </c>
      <c r="B799" s="95" t="s">
        <v>1227</v>
      </c>
      <c r="C799" s="95" t="s">
        <v>1231</v>
      </c>
      <c r="D799" t="s">
        <v>15</v>
      </c>
      <c r="E799" t="s">
        <v>657</v>
      </c>
      <c r="F799" t="s">
        <v>67</v>
      </c>
      <c r="G799" t="s">
        <v>307</v>
      </c>
      <c r="H799" t="s">
        <v>1226</v>
      </c>
      <c r="I799" t="s">
        <v>139</v>
      </c>
      <c r="J799" t="s">
        <v>287</v>
      </c>
      <c r="K799" s="27">
        <f t="shared" ref="K799:AW799" si="228">K1413</f>
        <v>1.1586934798802538E-2</v>
      </c>
      <c r="L799" s="27">
        <f t="shared" si="228"/>
        <v>1.1651711689683767E-2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1.1951318021451862E-2</v>
      </c>
      <c r="S799" s="27">
        <f t="shared" si="228"/>
        <v>1.1606124377232515E-2</v>
      </c>
      <c r="T799" s="27">
        <f t="shared" si="228"/>
        <v>1.1840174098124497E-2</v>
      </c>
      <c r="U799" s="27">
        <f t="shared" si="228"/>
        <v>1.1956358544343662E-2</v>
      </c>
      <c r="V799" s="27">
        <f t="shared" si="228"/>
        <v>1.198670120567806E-2</v>
      </c>
      <c r="W799" s="27">
        <f t="shared" si="228"/>
        <v>1.2029844906367174E-2</v>
      </c>
      <c r="X799" s="27">
        <f t="shared" si="228"/>
        <v>1.2102240361384485E-2</v>
      </c>
      <c r="Y799" s="27">
        <f t="shared" si="228"/>
        <v>1.2197877305254469E-2</v>
      </c>
      <c r="Z799" s="27">
        <f t="shared" si="228"/>
        <v>1.2304953524755821E-2</v>
      </c>
      <c r="AA799" s="27">
        <f t="shared" si="228"/>
        <v>1.2426841320577307E-2</v>
      </c>
      <c r="AB799" s="27">
        <f t="shared" si="228"/>
        <v>1.2573991374848796E-2</v>
      </c>
      <c r="AC799" s="27">
        <f t="shared" si="228"/>
        <v>1.2745548870252437E-2</v>
      </c>
      <c r="AD799" s="27">
        <f t="shared" si="228"/>
        <v>1.2932274468323759E-2</v>
      </c>
      <c r="AE799" s="27">
        <f t="shared" si="228"/>
        <v>1.3133999409221648E-2</v>
      </c>
      <c r="AF799" s="27">
        <f t="shared" si="228"/>
        <v>1.3345604714202703E-2</v>
      </c>
      <c r="AG799" s="27">
        <f t="shared" si="228"/>
        <v>1.3569457148910296E-2</v>
      </c>
      <c r="AH799" s="27">
        <f t="shared" si="228"/>
        <v>1.3803255018526413E-2</v>
      </c>
      <c r="AI799" s="27">
        <f t="shared" si="228"/>
        <v>1.4037989110754724E-2</v>
      </c>
      <c r="AJ799" s="27">
        <f t="shared" si="228"/>
        <v>1.4286862634690086E-2</v>
      </c>
      <c r="AK799" s="27">
        <f t="shared" si="228"/>
        <v>1.4541175730826956E-2</v>
      </c>
      <c r="AL799" s="27">
        <f t="shared" si="228"/>
        <v>1.4800281598886257E-2</v>
      </c>
      <c r="AM799" s="27">
        <f t="shared" si="228"/>
        <v>1.5068354746684156E-2</v>
      </c>
      <c r="AN799" s="27">
        <f t="shared" si="228"/>
        <v>1.533538762959342E-2</v>
      </c>
      <c r="AO799" s="27">
        <f t="shared" si="228"/>
        <v>1.5615247479131181E-2</v>
      </c>
      <c r="AP799" s="27">
        <f t="shared" si="228"/>
        <v>1.5913101251593929E-2</v>
      </c>
      <c r="AQ799" s="27">
        <f t="shared" si="228"/>
        <v>1.6220504664076991E-2</v>
      </c>
      <c r="AR799" s="27">
        <f t="shared" si="228"/>
        <v>1.6538013858440784E-2</v>
      </c>
      <c r="AS799" s="27">
        <f t="shared" si="228"/>
        <v>1.6875399350821628E-2</v>
      </c>
      <c r="AT799" s="27">
        <f t="shared" si="228"/>
        <v>1.7229823710747674E-2</v>
      </c>
      <c r="AU799" s="27">
        <f t="shared" si="228"/>
        <v>1.7599458352989747E-2</v>
      </c>
      <c r="AV799" s="27">
        <f t="shared" si="228"/>
        <v>1.7990963815090407E-2</v>
      </c>
      <c r="AW799" s="27">
        <f t="shared" si="228"/>
        <v>1.836766424323575E-2</v>
      </c>
      <c r="AY799" s="79"/>
      <c r="AZ799" s="79"/>
    </row>
    <row r="800" spans="1:52" x14ac:dyDescent="0.25">
      <c r="A800" s="95" t="str">
        <f t="shared" si="224"/>
        <v>BD Cattle MMN2O</v>
      </c>
      <c r="B800" s="95" t="s">
        <v>1227</v>
      </c>
      <c r="C800" s="95" t="s">
        <v>1231</v>
      </c>
      <c r="D800" t="s">
        <v>15</v>
      </c>
      <c r="E800" t="s">
        <v>657</v>
      </c>
      <c r="F800" t="s">
        <v>67</v>
      </c>
      <c r="G800" t="s">
        <v>122</v>
      </c>
      <c r="H800" t="s">
        <v>1226</v>
      </c>
      <c r="I800" t="s">
        <v>139</v>
      </c>
      <c r="J800" t="s">
        <v>287</v>
      </c>
      <c r="K800" s="27">
        <f t="shared" ref="K800:AW800" si="229">K1414</f>
        <v>0.52525224947331295</v>
      </c>
      <c r="L800" s="27">
        <f t="shared" si="229"/>
        <v>0.52069690445710348</v>
      </c>
      <c r="M800" s="27">
        <f t="shared" si="229"/>
        <v>0.51896282251134851</v>
      </c>
      <c r="N800" s="27">
        <f t="shared" si="229"/>
        <v>0.51203275332440912</v>
      </c>
      <c r="O800" s="27">
        <f t="shared" si="229"/>
        <v>0.50197358865556663</v>
      </c>
      <c r="P800" s="27">
        <f t="shared" si="229"/>
        <v>0.48899333628247271</v>
      </c>
      <c r="Q800" s="27">
        <f t="shared" si="229"/>
        <v>0.47875543160314177</v>
      </c>
      <c r="R800" s="27">
        <f t="shared" si="229"/>
        <v>0.46906920988966794</v>
      </c>
      <c r="S800" s="27">
        <f t="shared" si="229"/>
        <v>0.41885745966075799</v>
      </c>
      <c r="T800" s="27">
        <f t="shared" si="229"/>
        <v>0.43888316121589754</v>
      </c>
      <c r="U800" s="27">
        <f t="shared" si="229"/>
        <v>0.44581606294816456</v>
      </c>
      <c r="V800" s="27">
        <f t="shared" si="229"/>
        <v>0.4428053451992871</v>
      </c>
      <c r="W800" s="27">
        <f t="shared" si="229"/>
        <v>0.44035633830428106</v>
      </c>
      <c r="X800" s="27">
        <f t="shared" si="229"/>
        <v>0.44051721103792468</v>
      </c>
      <c r="Y800" s="27">
        <f t="shared" si="229"/>
        <v>0.44310396179359002</v>
      </c>
      <c r="Z800" s="27">
        <f t="shared" si="229"/>
        <v>0.4467743835824281</v>
      </c>
      <c r="AA800" s="27">
        <f t="shared" si="229"/>
        <v>0.45182412453822507</v>
      </c>
      <c r="AB800" s="27">
        <f t="shared" si="229"/>
        <v>0.4592210041031291</v>
      </c>
      <c r="AC800" s="27">
        <f t="shared" si="229"/>
        <v>0.46875611727926397</v>
      </c>
      <c r="AD800" s="27">
        <f t="shared" si="229"/>
        <v>0.47540395120736983</v>
      </c>
      <c r="AE800" s="27">
        <f t="shared" si="229"/>
        <v>0.48283708354051091</v>
      </c>
      <c r="AF800" s="27">
        <f t="shared" si="229"/>
        <v>0.49049534376627268</v>
      </c>
      <c r="AG800" s="27">
        <f t="shared" si="229"/>
        <v>0.49854885128886806</v>
      </c>
      <c r="AH800" s="27">
        <f t="shared" si="229"/>
        <v>0.50672298371374713</v>
      </c>
      <c r="AI800" s="27">
        <f t="shared" si="229"/>
        <v>0.51418741913189581</v>
      </c>
      <c r="AJ800" s="27">
        <f t="shared" si="229"/>
        <v>0.52206102854310632</v>
      </c>
      <c r="AK800" s="27">
        <f t="shared" si="229"/>
        <v>0.52957812188119258</v>
      </c>
      <c r="AL800" s="27">
        <f t="shared" si="229"/>
        <v>0.53666628025365293</v>
      </c>
      <c r="AM800" s="27">
        <f t="shared" si="229"/>
        <v>0.543628496445968</v>
      </c>
      <c r="AN800" s="27">
        <f t="shared" si="229"/>
        <v>0.55246945736606723</v>
      </c>
      <c r="AO800" s="27">
        <f t="shared" si="229"/>
        <v>0.56161375103123634</v>
      </c>
      <c r="AP800" s="27">
        <f t="shared" si="229"/>
        <v>0.57139369130463846</v>
      </c>
      <c r="AQ800" s="27">
        <f t="shared" si="229"/>
        <v>0.58113558104968666</v>
      </c>
      <c r="AR800" s="27">
        <f t="shared" si="229"/>
        <v>0.59085206465758344</v>
      </c>
      <c r="AS800" s="27">
        <f t="shared" si="229"/>
        <v>0.6011817102296716</v>
      </c>
      <c r="AT800" s="27">
        <f t="shared" si="229"/>
        <v>0.61185705718445471</v>
      </c>
      <c r="AU800" s="27">
        <f t="shared" si="229"/>
        <v>0.6226925043907553</v>
      </c>
      <c r="AV800" s="27">
        <f t="shared" si="229"/>
        <v>0.63405678889252681</v>
      </c>
      <c r="AW800" s="27">
        <f t="shared" si="229"/>
        <v>0.64358432778937325</v>
      </c>
      <c r="AY800" s="79"/>
      <c r="AZ800" s="79"/>
    </row>
    <row r="801" spans="1:52" x14ac:dyDescent="0.25">
      <c r="A801" s="95" t="str">
        <f t="shared" si="224"/>
        <v>BD Cattle MMN2O</v>
      </c>
      <c r="B801" s="95" t="s">
        <v>1227</v>
      </c>
      <c r="C801" s="95" t="s">
        <v>1231</v>
      </c>
      <c r="D801" t="s">
        <v>15</v>
      </c>
      <c r="E801" t="s">
        <v>657</v>
      </c>
      <c r="F801" t="s">
        <v>67</v>
      </c>
      <c r="G801" t="s">
        <v>123</v>
      </c>
      <c r="H801" t="s">
        <v>1226</v>
      </c>
      <c r="I801" t="s">
        <v>139</v>
      </c>
      <c r="J801" t="s">
        <v>287</v>
      </c>
      <c r="K801" s="27">
        <f t="shared" ref="K801:AW801" si="230">K1415</f>
        <v>0.80452586370517842</v>
      </c>
      <c r="L801" s="27">
        <f t="shared" si="230"/>
        <v>0.79754846782098032</v>
      </c>
      <c r="M801" s="27">
        <f t="shared" si="230"/>
        <v>0.79489238443144161</v>
      </c>
      <c r="N801" s="27">
        <f t="shared" si="230"/>
        <v>0.78427763712907439</v>
      </c>
      <c r="O801" s="27">
        <f t="shared" si="230"/>
        <v>0.76887007218962278</v>
      </c>
      <c r="P801" s="27">
        <f t="shared" si="230"/>
        <v>0.74898829393537225</v>
      </c>
      <c r="Q801" s="27">
        <f t="shared" si="230"/>
        <v>0.73330695394505496</v>
      </c>
      <c r="R801" s="27">
        <f t="shared" si="230"/>
        <v>0.71847062359542491</v>
      </c>
      <c r="S801" s="27">
        <f t="shared" si="230"/>
        <v>0.64156157320759799</v>
      </c>
      <c r="T801" s="27">
        <f t="shared" si="230"/>
        <v>0.67223482564222559</v>
      </c>
      <c r="U801" s="27">
        <f t="shared" si="230"/>
        <v>0.68285391153805586</v>
      </c>
      <c r="V801" s="27">
        <f t="shared" si="230"/>
        <v>0.67824241239699168</v>
      </c>
      <c r="W801" s="27">
        <f t="shared" si="230"/>
        <v>0.67449128255528179</v>
      </c>
      <c r="X801" s="27">
        <f t="shared" si="230"/>
        <v>0.67473769040048559</v>
      </c>
      <c r="Y801" s="27">
        <f t="shared" si="230"/>
        <v>0.67869980172505096</v>
      </c>
      <c r="Z801" s="27">
        <f t="shared" si="230"/>
        <v>0.68432176576763859</v>
      </c>
      <c r="AA801" s="27">
        <f t="shared" si="230"/>
        <v>0.69205642508232745</v>
      </c>
      <c r="AB801" s="27">
        <f t="shared" si="230"/>
        <v>0.70338618316836132</v>
      </c>
      <c r="AC801" s="27">
        <f t="shared" si="230"/>
        <v>0.71799106143637159</v>
      </c>
      <c r="AD801" s="27">
        <f t="shared" si="230"/>
        <v>0.72817351060844282</v>
      </c>
      <c r="AE801" s="27">
        <f t="shared" si="230"/>
        <v>0.7395587968520555</v>
      </c>
      <c r="AF801" s="27">
        <f t="shared" si="230"/>
        <v>0.75128891020004818</v>
      </c>
      <c r="AG801" s="27">
        <f t="shared" si="230"/>
        <v>0.76362442157000243</v>
      </c>
      <c r="AH801" s="27">
        <f t="shared" si="230"/>
        <v>0.77614469341226622</v>
      </c>
      <c r="AI801" s="27">
        <f t="shared" si="230"/>
        <v>0.78757792641199043</v>
      </c>
      <c r="AJ801" s="27">
        <f t="shared" si="230"/>
        <v>0.79963788887456544</v>
      </c>
      <c r="AK801" s="27">
        <f t="shared" si="230"/>
        <v>0.81115177770881697</v>
      </c>
      <c r="AL801" s="27">
        <f t="shared" si="230"/>
        <v>0.82200866931166305</v>
      </c>
      <c r="AM801" s="27">
        <f t="shared" si="230"/>
        <v>0.83267265599813822</v>
      </c>
      <c r="AN801" s="27">
        <f t="shared" si="230"/>
        <v>0.84621430522926222</v>
      </c>
      <c r="AO801" s="27">
        <f t="shared" si="230"/>
        <v>0.86022056748957776</v>
      </c>
      <c r="AP801" s="27">
        <f t="shared" si="230"/>
        <v>0.87520044602095726</v>
      </c>
      <c r="AQ801" s="27">
        <f t="shared" si="230"/>
        <v>0.89012204277587748</v>
      </c>
      <c r="AR801" s="27">
        <f t="shared" si="230"/>
        <v>0.90500472509596042</v>
      </c>
      <c r="AS801" s="27">
        <f t="shared" si="230"/>
        <v>0.92082658408654217</v>
      </c>
      <c r="AT801" s="27">
        <f t="shared" si="230"/>
        <v>0.93717795190602593</v>
      </c>
      <c r="AU801" s="27">
        <f t="shared" si="230"/>
        <v>0.95377454436426301</v>
      </c>
      <c r="AV801" s="27">
        <f t="shared" si="230"/>
        <v>0.97118115388063697</v>
      </c>
      <c r="AW801" s="27">
        <f t="shared" si="230"/>
        <v>0.98577443066842085</v>
      </c>
      <c r="AY801" s="79"/>
      <c r="AZ801" s="79"/>
    </row>
    <row r="802" spans="1:52" x14ac:dyDescent="0.25">
      <c r="A802" s="95" t="str">
        <f t="shared" si="224"/>
        <v>BD Cattle MMN2O</v>
      </c>
      <c r="B802" s="95" t="s">
        <v>1227</v>
      </c>
      <c r="C802" s="95" t="s">
        <v>1231</v>
      </c>
      <c r="D802" t="s">
        <v>15</v>
      </c>
      <c r="E802" t="s">
        <v>657</v>
      </c>
      <c r="F802" t="s">
        <v>67</v>
      </c>
      <c r="G802" t="s">
        <v>135</v>
      </c>
      <c r="H802" t="s">
        <v>1226</v>
      </c>
      <c r="I802" t="s">
        <v>139</v>
      </c>
      <c r="J802" t="s">
        <v>287</v>
      </c>
      <c r="K802" s="27">
        <f t="shared" ref="K802:AW802" si="231">K1416</f>
        <v>0.97926119892671459</v>
      </c>
      <c r="L802" s="27">
        <f t="shared" si="231"/>
        <v>1.0122801448609138</v>
      </c>
      <c r="M802" s="27">
        <f t="shared" si="231"/>
        <v>1.0514701788925804</v>
      </c>
      <c r="N802" s="27">
        <f t="shared" si="231"/>
        <v>1.0806972456941148</v>
      </c>
      <c r="O802" s="27">
        <f t="shared" si="231"/>
        <v>1.103236794343371</v>
      </c>
      <c r="P802" s="27">
        <f t="shared" si="231"/>
        <v>1.1187666946803865</v>
      </c>
      <c r="Q802" s="27">
        <f t="shared" si="231"/>
        <v>1.1399714801203362</v>
      </c>
      <c r="R802" s="27">
        <f t="shared" si="231"/>
        <v>1.1622002864669057</v>
      </c>
      <c r="S802" s="27">
        <f t="shared" si="231"/>
        <v>1.0797349387647497</v>
      </c>
      <c r="T802" s="27">
        <f t="shared" si="231"/>
        <v>1.1586148391754056</v>
      </c>
      <c r="U802" s="27">
        <f t="shared" si="231"/>
        <v>1.2048828534043301</v>
      </c>
      <c r="V802" s="27">
        <f t="shared" si="231"/>
        <v>1.2248214292243891</v>
      </c>
      <c r="W802" s="27">
        <f t="shared" si="231"/>
        <v>1.2462862134810584</v>
      </c>
      <c r="X802" s="27">
        <f t="shared" si="231"/>
        <v>1.2753304123156213</v>
      </c>
      <c r="Y802" s="27">
        <f t="shared" si="231"/>
        <v>1.3119382309958816</v>
      </c>
      <c r="Z802" s="27">
        <f t="shared" si="231"/>
        <v>1.352551168014529</v>
      </c>
      <c r="AA802" s="27">
        <f t="shared" si="231"/>
        <v>1.3983302277222904</v>
      </c>
      <c r="AB802" s="27">
        <f t="shared" si="231"/>
        <v>1.45265003311069</v>
      </c>
      <c r="AC802" s="27">
        <f t="shared" si="231"/>
        <v>1.5153587089508171</v>
      </c>
      <c r="AD802" s="27">
        <f t="shared" si="231"/>
        <v>1.5878154020260862</v>
      </c>
      <c r="AE802" s="27">
        <f t="shared" si="231"/>
        <v>1.6662236213187609</v>
      </c>
      <c r="AF802" s="27">
        <f t="shared" si="231"/>
        <v>1.7490356868363826</v>
      </c>
      <c r="AG802" s="27">
        <f t="shared" si="231"/>
        <v>1.8371605385940195</v>
      </c>
      <c r="AH802" s="27">
        <f t="shared" si="231"/>
        <v>1.9299179853404884</v>
      </c>
      <c r="AI802" s="27">
        <f t="shared" si="231"/>
        <v>2.0243264887955772</v>
      </c>
      <c r="AJ802" s="27">
        <f t="shared" si="231"/>
        <v>2.1249172544227406</v>
      </c>
      <c r="AK802" s="27">
        <f t="shared" si="231"/>
        <v>2.2289075077368197</v>
      </c>
      <c r="AL802" s="27">
        <f t="shared" si="231"/>
        <v>2.3361255764589468</v>
      </c>
      <c r="AM802" s="27">
        <f t="shared" si="231"/>
        <v>2.4480579395389377</v>
      </c>
      <c r="AN802" s="27">
        <f t="shared" si="231"/>
        <v>2.5580662421643461</v>
      </c>
      <c r="AO802" s="27">
        <f t="shared" si="231"/>
        <v>2.6740312374133999</v>
      </c>
      <c r="AP802" s="27">
        <f t="shared" si="231"/>
        <v>2.7979244732629738</v>
      </c>
      <c r="AQ802" s="27">
        <f t="shared" si="231"/>
        <v>2.9268588582276069</v>
      </c>
      <c r="AR802" s="27">
        <f t="shared" si="231"/>
        <v>3.0611473278848456</v>
      </c>
      <c r="AS802" s="27">
        <f t="shared" si="231"/>
        <v>3.2044630996439452</v>
      </c>
      <c r="AT802" s="27">
        <f t="shared" si="231"/>
        <v>3.3559228759421229</v>
      </c>
      <c r="AU802" s="27">
        <f t="shared" si="231"/>
        <v>3.5149748258951519</v>
      </c>
      <c r="AV802" s="27">
        <f t="shared" si="231"/>
        <v>3.6841999883853953</v>
      </c>
      <c r="AW802" s="27">
        <f t="shared" si="231"/>
        <v>3.8501065426145096</v>
      </c>
      <c r="AY802" s="79"/>
      <c r="AZ802" s="79"/>
    </row>
    <row r="803" spans="1:52" x14ac:dyDescent="0.25">
      <c r="A803" s="95" t="str">
        <f t="shared" si="224"/>
        <v>BD Sheep MMN2O</v>
      </c>
      <c r="B803" s="95" t="s">
        <v>1227</v>
      </c>
      <c r="C803" s="95" t="s">
        <v>1327</v>
      </c>
      <c r="D803" t="s">
        <v>15</v>
      </c>
      <c r="E803" t="s">
        <v>657</v>
      </c>
      <c r="F803" t="s">
        <v>18</v>
      </c>
      <c r="G803" t="s">
        <v>122</v>
      </c>
      <c r="H803" t="s">
        <v>1226</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0.11888884787446641</v>
      </c>
      <c r="T803" s="27">
        <f t="shared" si="232"/>
        <v>0.11897442160845599</v>
      </c>
      <c r="U803" s="27">
        <f t="shared" si="232"/>
        <v>0.11894433570617077</v>
      </c>
      <c r="V803" s="27">
        <f t="shared" si="232"/>
        <v>0.11894216976117228</v>
      </c>
      <c r="W803" s="27">
        <f t="shared" si="232"/>
        <v>0.11906833284654554</v>
      </c>
      <c r="X803" s="27">
        <f t="shared" si="232"/>
        <v>0.1192748103604965</v>
      </c>
      <c r="Y803" s="27">
        <f t="shared" si="232"/>
        <v>0.11947292782589553</v>
      </c>
      <c r="Z803" s="27">
        <f t="shared" si="232"/>
        <v>0.11966332441080059</v>
      </c>
      <c r="AA803" s="27">
        <f t="shared" si="232"/>
        <v>0.11984574027292559</v>
      </c>
      <c r="AB803" s="27">
        <f t="shared" si="232"/>
        <v>0.12002397691702794</v>
      </c>
      <c r="AC803" s="27">
        <f t="shared" si="232"/>
        <v>0.12020063791291828</v>
      </c>
      <c r="AD803" s="27">
        <f t="shared" si="232"/>
        <v>0.12037395069486655</v>
      </c>
      <c r="AE803" s="27">
        <f t="shared" si="232"/>
        <v>0.12054640721794915</v>
      </c>
      <c r="AF803" s="27">
        <f t="shared" si="232"/>
        <v>0.12071746421078627</v>
      </c>
      <c r="AG803" s="27">
        <f t="shared" si="232"/>
        <v>0.12088575105723816</v>
      </c>
      <c r="AH803" s="27">
        <f t="shared" si="232"/>
        <v>0.12105200867781399</v>
      </c>
      <c r="AI803" s="27">
        <f t="shared" si="232"/>
        <v>0.12121641449313381</v>
      </c>
      <c r="AJ803" s="27">
        <f t="shared" si="232"/>
        <v>0.12137952665146406</v>
      </c>
      <c r="AK803" s="27">
        <f t="shared" si="232"/>
        <v>0.12153635424536353</v>
      </c>
      <c r="AL803" s="27">
        <f t="shared" si="232"/>
        <v>0.12168671378968904</v>
      </c>
      <c r="AM803" s="27">
        <f t="shared" si="232"/>
        <v>0.12183201055728769</v>
      </c>
      <c r="AN803" s="27">
        <f t="shared" si="232"/>
        <v>0.12197112574763715</v>
      </c>
      <c r="AO803" s="27">
        <f t="shared" si="232"/>
        <v>0.12210431172658152</v>
      </c>
      <c r="AP803" s="27">
        <f t="shared" si="232"/>
        <v>0.12223096862203452</v>
      </c>
      <c r="AQ803" s="27">
        <f t="shared" si="232"/>
        <v>0.12234928396390207</v>
      </c>
      <c r="AR803" s="27">
        <f t="shared" si="232"/>
        <v>0.12245757817594662</v>
      </c>
      <c r="AS803" s="27">
        <f t="shared" si="232"/>
        <v>0.12255574185064526</v>
      </c>
      <c r="AT803" s="27">
        <f t="shared" si="232"/>
        <v>0.12264302379658787</v>
      </c>
      <c r="AU803" s="27">
        <f t="shared" si="232"/>
        <v>0.12271938191890155</v>
      </c>
      <c r="AV803" s="27">
        <f t="shared" si="232"/>
        <v>0.12278627747914957</v>
      </c>
      <c r="AW803" s="27">
        <f t="shared" si="232"/>
        <v>0.12283502162881774</v>
      </c>
      <c r="AY803" s="79"/>
      <c r="AZ803" s="79"/>
    </row>
    <row r="804" spans="1:52" x14ac:dyDescent="0.25">
      <c r="A804" s="95" t="str">
        <f t="shared" si="224"/>
        <v>BD Sheep MMN2O</v>
      </c>
      <c r="B804" s="95" t="s">
        <v>1227</v>
      </c>
      <c r="C804" s="95" t="s">
        <v>1327</v>
      </c>
      <c r="D804" t="s">
        <v>15</v>
      </c>
      <c r="E804" t="s">
        <v>657</v>
      </c>
      <c r="F804" t="s">
        <v>18</v>
      </c>
      <c r="G804" t="s">
        <v>123</v>
      </c>
      <c r="H804" t="s">
        <v>1226</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6.3574794121898134E-2</v>
      </c>
      <c r="T804" s="27">
        <f t="shared" si="233"/>
        <v>6.362055394393272E-2</v>
      </c>
      <c r="U804" s="27">
        <f t="shared" si="233"/>
        <v>6.3604465765117371E-2</v>
      </c>
      <c r="V804" s="27">
        <f t="shared" si="233"/>
        <v>6.3603307544562435E-2</v>
      </c>
      <c r="W804" s="27">
        <f t="shared" si="233"/>
        <v>6.3670772174944407E-2</v>
      </c>
      <c r="X804" s="27">
        <f t="shared" si="233"/>
        <v>6.3781184258793491E-2</v>
      </c>
      <c r="Y804" s="27">
        <f t="shared" si="233"/>
        <v>6.3887125878212575E-2</v>
      </c>
      <c r="Z804" s="27">
        <f t="shared" si="233"/>
        <v>6.3988938822851713E-2</v>
      </c>
      <c r="AA804" s="27">
        <f t="shared" si="233"/>
        <v>6.4086484144271705E-2</v>
      </c>
      <c r="AB804" s="27">
        <f t="shared" si="233"/>
        <v>6.4181794664613767E-2</v>
      </c>
      <c r="AC804" s="27">
        <f t="shared" si="233"/>
        <v>6.4276262620556607E-2</v>
      </c>
      <c r="AD804" s="27">
        <f t="shared" si="233"/>
        <v>6.4368940147743067E-2</v>
      </c>
      <c r="AE804" s="27">
        <f t="shared" si="233"/>
        <v>6.4461159797827752E-2</v>
      </c>
      <c r="AF804" s="27">
        <f t="shared" si="233"/>
        <v>6.4552631061088828E-2</v>
      </c>
      <c r="AG804" s="27">
        <f t="shared" si="233"/>
        <v>6.4642621012273305E-2</v>
      </c>
      <c r="AH804" s="27">
        <f t="shared" si="233"/>
        <v>6.4731525852283742E-2</v>
      </c>
      <c r="AI804" s="27">
        <f t="shared" si="233"/>
        <v>6.4819440455278599E-2</v>
      </c>
      <c r="AJ804" s="27">
        <f t="shared" si="233"/>
        <v>6.4906663286267555E-2</v>
      </c>
      <c r="AK804" s="27">
        <f t="shared" si="233"/>
        <v>6.499052550020136E-2</v>
      </c>
      <c r="AL804" s="27">
        <f t="shared" si="233"/>
        <v>6.5070928979969703E-2</v>
      </c>
      <c r="AM804" s="27">
        <f t="shared" si="233"/>
        <v>6.5148625183203274E-2</v>
      </c>
      <c r="AN804" s="27">
        <f t="shared" si="233"/>
        <v>6.5223015840895862E-2</v>
      </c>
      <c r="AO804" s="27">
        <f t="shared" si="233"/>
        <v>6.5294235903523207E-2</v>
      </c>
      <c r="AP804" s="27">
        <f t="shared" si="233"/>
        <v>6.5361964594620001E-2</v>
      </c>
      <c r="AQ804" s="27">
        <f t="shared" si="233"/>
        <v>6.542523271131194E-2</v>
      </c>
      <c r="AR804" s="27">
        <f t="shared" si="233"/>
        <v>6.548314211457737E-2</v>
      </c>
      <c r="AS804" s="27">
        <f t="shared" si="233"/>
        <v>6.5535634299679582E-2</v>
      </c>
      <c r="AT804" s="27">
        <f t="shared" si="233"/>
        <v>6.5582307573439622E-2</v>
      </c>
      <c r="AU804" s="27">
        <f t="shared" si="233"/>
        <v>6.5623139425984384E-2</v>
      </c>
      <c r="AV804" s="27">
        <f t="shared" si="233"/>
        <v>6.5658911254431448E-2</v>
      </c>
      <c r="AW804" s="27">
        <f t="shared" si="233"/>
        <v>6.5684976771384518E-2</v>
      </c>
      <c r="AY804" s="79"/>
      <c r="AZ804" s="79"/>
    </row>
    <row r="805" spans="1:52" x14ac:dyDescent="0.25">
      <c r="A805" s="95" t="str">
        <f t="shared" si="224"/>
        <v>BD Goats MMN2O</v>
      </c>
      <c r="B805" s="95" t="s">
        <v>1227</v>
      </c>
      <c r="C805" s="95" t="s">
        <v>1328</v>
      </c>
      <c r="D805" t="s">
        <v>15</v>
      </c>
      <c r="E805" t="s">
        <v>657</v>
      </c>
      <c r="F805" t="s">
        <v>19</v>
      </c>
      <c r="G805" t="s">
        <v>122</v>
      </c>
      <c r="H805" t="s">
        <v>1226</v>
      </c>
      <c r="I805" t="s">
        <v>139</v>
      </c>
      <c r="J805" t="s">
        <v>287</v>
      </c>
      <c r="K805" s="27">
        <f t="shared" ref="K805:AW805" si="234">K1419</f>
        <v>1.4486129996083083E-2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1.4890706011157254E-2</v>
      </c>
      <c r="R805" s="27">
        <f t="shared" si="234"/>
        <v>1.4988675221399694E-2</v>
      </c>
      <c r="S805" s="27">
        <f t="shared" si="234"/>
        <v>1.4951923212530764E-2</v>
      </c>
      <c r="T805" s="27">
        <f t="shared" si="234"/>
        <v>1.4977625582861876E-2</v>
      </c>
      <c r="U805" s="27">
        <f t="shared" si="234"/>
        <v>1.4980119703065675E-2</v>
      </c>
      <c r="V805" s="27">
        <f t="shared" si="234"/>
        <v>1.4986976942692673E-2</v>
      </c>
      <c r="W805" s="27">
        <f t="shared" si="234"/>
        <v>1.5017294663736542E-2</v>
      </c>
      <c r="X805" s="27">
        <f t="shared" si="234"/>
        <v>1.5061890336193319E-2</v>
      </c>
      <c r="Y805" s="27">
        <f t="shared" si="234"/>
        <v>1.5103986297595969E-2</v>
      </c>
      <c r="Z805" s="27">
        <f t="shared" si="234"/>
        <v>1.5143780477124499E-2</v>
      </c>
      <c r="AA805" s="27">
        <f t="shared" si="234"/>
        <v>1.518129324368281E-2</v>
      </c>
      <c r="AB805" s="27">
        <f t="shared" si="234"/>
        <v>1.5217300806744069E-2</v>
      </c>
      <c r="AC805" s="27">
        <f t="shared" si="234"/>
        <v>1.5252343422195683E-2</v>
      </c>
      <c r="AD805" s="27">
        <f t="shared" si="234"/>
        <v>1.528613499352576E-2</v>
      </c>
      <c r="AE805" s="27">
        <f t="shared" si="234"/>
        <v>1.5319183069795761E-2</v>
      </c>
      <c r="AF805" s="27">
        <f t="shared" si="234"/>
        <v>1.5351423055728343E-2</v>
      </c>
      <c r="AG805" s="27">
        <f t="shared" si="234"/>
        <v>1.5382634347686872E-2</v>
      </c>
      <c r="AH805" s="27">
        <f t="shared" si="234"/>
        <v>1.5412986814805201E-2</v>
      </c>
      <c r="AI805" s="27">
        <f t="shared" si="234"/>
        <v>1.5442542460580333E-2</v>
      </c>
      <c r="AJ805" s="27">
        <f t="shared" si="234"/>
        <v>1.5471431054826285E-2</v>
      </c>
      <c r="AK805" s="27">
        <f t="shared" si="234"/>
        <v>1.5498756892033489E-2</v>
      </c>
      <c r="AL805" s="27">
        <f t="shared" si="234"/>
        <v>1.5524513513074619E-2</v>
      </c>
      <c r="AM805" s="27">
        <f t="shared" si="234"/>
        <v>1.5548984646319333E-2</v>
      </c>
      <c r="AN805" s="27">
        <f t="shared" si="234"/>
        <v>1.5571987875403363E-2</v>
      </c>
      <c r="AO805" s="27">
        <f t="shared" si="234"/>
        <v>1.5593591673600768E-2</v>
      </c>
      <c r="AP805" s="27">
        <f t="shared" si="234"/>
        <v>1.5613707165200276E-2</v>
      </c>
      <c r="AQ805" s="27">
        <f t="shared" si="234"/>
        <v>1.5632023858239551E-2</v>
      </c>
      <c r="AR805" s="27">
        <f t="shared" si="234"/>
        <v>1.5648256533695205E-2</v>
      </c>
      <c r="AS805" s="27">
        <f t="shared" si="234"/>
        <v>1.5662406299088667E-2</v>
      </c>
      <c r="AT805" s="27">
        <f t="shared" si="234"/>
        <v>1.5674356891571192E-2</v>
      </c>
      <c r="AU805" s="27">
        <f t="shared" si="234"/>
        <v>1.568412043163633E-2</v>
      </c>
      <c r="AV805" s="27">
        <f t="shared" si="234"/>
        <v>1.5691980107154113E-2</v>
      </c>
      <c r="AW805" s="27">
        <f t="shared" si="234"/>
        <v>1.5696383554298719E-2</v>
      </c>
      <c r="AY805" s="79"/>
      <c r="AZ805" s="79"/>
    </row>
    <row r="806" spans="1:52" x14ac:dyDescent="0.25">
      <c r="A806" s="95" t="str">
        <f t="shared" si="224"/>
        <v>BD Goats MMN2O</v>
      </c>
      <c r="B806" s="95" t="s">
        <v>1227</v>
      </c>
      <c r="C806" s="95" t="s">
        <v>1328</v>
      </c>
      <c r="D806" t="s">
        <v>15</v>
      </c>
      <c r="E806" t="s">
        <v>657</v>
      </c>
      <c r="F806" t="s">
        <v>19</v>
      </c>
      <c r="G806" t="s">
        <v>123</v>
      </c>
      <c r="H806" t="s">
        <v>1226</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0.11664735601685972</v>
      </c>
      <c r="P806" s="27">
        <f t="shared" si="235"/>
        <v>0.11732381389682567</v>
      </c>
      <c r="Q806" s="27">
        <f t="shared" si="235"/>
        <v>0.11805182815822723</v>
      </c>
      <c r="R806" s="27">
        <f t="shared" si="235"/>
        <v>0.11882851694408277</v>
      </c>
      <c r="S806" s="27">
        <f t="shared" si="235"/>
        <v>0.11853715118666242</v>
      </c>
      <c r="T806" s="27">
        <f t="shared" si="235"/>
        <v>0.11874091666314918</v>
      </c>
      <c r="U806" s="27">
        <f t="shared" si="235"/>
        <v>0.11876068976520925</v>
      </c>
      <c r="V806" s="27">
        <f t="shared" si="235"/>
        <v>0.11881505318313448</v>
      </c>
      <c r="W806" s="27">
        <f t="shared" si="235"/>
        <v>0.11905540863653861</v>
      </c>
      <c r="X806" s="27">
        <f t="shared" si="235"/>
        <v>0.11940895806915272</v>
      </c>
      <c r="Y806" s="27">
        <f t="shared" si="235"/>
        <v>0.11974269007607956</v>
      </c>
      <c r="Z806" s="27">
        <f t="shared" si="235"/>
        <v>0.12005817381740651</v>
      </c>
      <c r="AA806" s="27">
        <f t="shared" si="235"/>
        <v>0.12035557077549322</v>
      </c>
      <c r="AB806" s="27">
        <f t="shared" si="235"/>
        <v>0.12064103465099509</v>
      </c>
      <c r="AC806" s="27">
        <f t="shared" si="235"/>
        <v>0.12091884853130468</v>
      </c>
      <c r="AD806" s="27">
        <f t="shared" si="235"/>
        <v>0.12118674427572847</v>
      </c>
      <c r="AE806" s="27">
        <f t="shared" si="235"/>
        <v>0.12144874567565288</v>
      </c>
      <c r="AF806" s="27">
        <f t="shared" si="235"/>
        <v>0.1217043406270464</v>
      </c>
      <c r="AG806" s="27">
        <f t="shared" si="235"/>
        <v>0.12195178020930149</v>
      </c>
      <c r="AH806" s="27">
        <f t="shared" si="235"/>
        <v>0.12219241112564265</v>
      </c>
      <c r="AI806" s="27">
        <f t="shared" si="235"/>
        <v>0.1224267249327608</v>
      </c>
      <c r="AJ806" s="27">
        <f t="shared" si="235"/>
        <v>0.1226557504310213</v>
      </c>
      <c r="AK806" s="27">
        <f t="shared" si="235"/>
        <v>0.12287238656874688</v>
      </c>
      <c r="AL806" s="27">
        <f t="shared" si="235"/>
        <v>0.12307658213870883</v>
      </c>
      <c r="AM806" s="27">
        <f t="shared" si="235"/>
        <v>0.1232705865072376</v>
      </c>
      <c r="AN806" s="27">
        <f t="shared" si="235"/>
        <v>0.12345295349808931</v>
      </c>
      <c r="AO806" s="27">
        <f t="shared" si="235"/>
        <v>0.12362422595961356</v>
      </c>
      <c r="AP806" s="27">
        <f t="shared" si="235"/>
        <v>0.12378369929525287</v>
      </c>
      <c r="AQ806" s="27">
        <f t="shared" si="235"/>
        <v>0.12392891195994982</v>
      </c>
      <c r="AR806" s="27">
        <f t="shared" si="235"/>
        <v>0.12405760276964035</v>
      </c>
      <c r="AS806" s="27">
        <f t="shared" si="235"/>
        <v>0.12416978050462869</v>
      </c>
      <c r="AT806" s="27">
        <f t="shared" si="235"/>
        <v>0.12426452344623794</v>
      </c>
      <c r="AU806" s="27">
        <f t="shared" si="235"/>
        <v>0.12434192768436619</v>
      </c>
      <c r="AV806" s="27">
        <f t="shared" si="235"/>
        <v>0.1244042383003242</v>
      </c>
      <c r="AW806" s="27">
        <f t="shared" si="235"/>
        <v>0.12443914832979021</v>
      </c>
      <c r="AY806" s="79"/>
      <c r="AZ806" s="79"/>
    </row>
    <row r="807" spans="1:52" x14ac:dyDescent="0.25">
      <c r="A807" s="95" t="str">
        <f t="shared" si="224"/>
        <v>BD Horses MMN2O</v>
      </c>
      <c r="B807" s="95" t="s">
        <v>1227</v>
      </c>
      <c r="C807" s="95" t="s">
        <v>1329</v>
      </c>
      <c r="D807" t="s">
        <v>15</v>
      </c>
      <c r="E807" t="s">
        <v>657</v>
      </c>
      <c r="F807" t="s">
        <v>20</v>
      </c>
      <c r="G807" t="s">
        <v>3</v>
      </c>
      <c r="H807" t="s">
        <v>1226</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5">
      <c r="A808" s="95" t="str">
        <f t="shared" si="224"/>
        <v>BD Mules MMN2O</v>
      </c>
      <c r="B808" s="95" t="s">
        <v>1227</v>
      </c>
      <c r="C808" s="95" t="s">
        <v>1330</v>
      </c>
      <c r="D808" t="s">
        <v>15</v>
      </c>
      <c r="E808" t="s">
        <v>657</v>
      </c>
      <c r="F808" t="s">
        <v>140</v>
      </c>
      <c r="G808" t="s">
        <v>124</v>
      </c>
      <c r="H808" t="s">
        <v>1226</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5">
      <c r="A809" s="95" t="str">
        <f t="shared" si="224"/>
        <v>BD Swine MMN2O</v>
      </c>
      <c r="B809" s="95" t="s">
        <v>1227</v>
      </c>
      <c r="C809" s="95" t="s">
        <v>1232</v>
      </c>
      <c r="D809" t="s">
        <v>15</v>
      </c>
      <c r="E809" t="s">
        <v>657</v>
      </c>
      <c r="F809" t="s">
        <v>21</v>
      </c>
      <c r="G809" t="s">
        <v>122</v>
      </c>
      <c r="H809" t="s">
        <v>1226</v>
      </c>
      <c r="I809" t="s">
        <v>139</v>
      </c>
      <c r="J809" t="s">
        <v>287</v>
      </c>
      <c r="K809" s="27">
        <f t="shared" ref="K809:AW809" si="238">K1423</f>
        <v>9.7466979224281824E-2</v>
      </c>
      <c r="L809" s="27">
        <f t="shared" si="238"/>
        <v>9.6937181363551519E-2</v>
      </c>
      <c r="M809" s="27">
        <f t="shared" si="238"/>
        <v>9.6980665528366566E-2</v>
      </c>
      <c r="N809" s="27">
        <f t="shared" si="238"/>
        <v>9.6090308702663552E-2</v>
      </c>
      <c r="O809" s="27">
        <f t="shared" si="238"/>
        <v>9.4636150647850456E-2</v>
      </c>
      <c r="P809" s="27">
        <f t="shared" si="238"/>
        <v>9.2641437622218339E-2</v>
      </c>
      <c r="Q809" s="27">
        <f t="shared" si="238"/>
        <v>9.1193054757597189E-2</v>
      </c>
      <c r="R809" s="27">
        <f t="shared" si="238"/>
        <v>8.9872834352323586E-2</v>
      </c>
      <c r="S809" s="27">
        <f t="shared" si="238"/>
        <v>8.0734544225409766E-2</v>
      </c>
      <c r="T809" s="27">
        <f t="shared" si="238"/>
        <v>8.4382841213531623E-2</v>
      </c>
      <c r="U809" s="27">
        <f t="shared" si="238"/>
        <v>8.5485831085546846E-2</v>
      </c>
      <c r="V809" s="27">
        <f t="shared" si="238"/>
        <v>8.4642168924532232E-2</v>
      </c>
      <c r="W809" s="27">
        <f t="shared" si="238"/>
        <v>8.3900172539890919E-2</v>
      </c>
      <c r="X809" s="27">
        <f t="shared" si="238"/>
        <v>8.3670858252268526E-2</v>
      </c>
      <c r="Y809" s="27">
        <f t="shared" si="238"/>
        <v>8.3934301237427442E-2</v>
      </c>
      <c r="Z809" s="27">
        <f t="shared" si="238"/>
        <v>8.44249898120146E-2</v>
      </c>
      <c r="AA809" s="27">
        <f t="shared" si="238"/>
        <v>8.5198904999322256E-2</v>
      </c>
      <c r="AB809" s="27">
        <f t="shared" si="238"/>
        <v>8.6442123684456251E-2</v>
      </c>
      <c r="AC809" s="27">
        <f t="shared" si="238"/>
        <v>8.8111240076380506E-2</v>
      </c>
      <c r="AD809" s="27">
        <f t="shared" si="238"/>
        <v>9.001094563198829E-2</v>
      </c>
      <c r="AE809" s="27">
        <f t="shared" si="238"/>
        <v>9.2122381916242821E-2</v>
      </c>
      <c r="AF809" s="27">
        <f t="shared" si="238"/>
        <v>9.433993402703468E-2</v>
      </c>
      <c r="AG809" s="27">
        <f t="shared" si="238"/>
        <v>9.6701686348057328E-2</v>
      </c>
      <c r="AH809" s="27">
        <f t="shared" si="238"/>
        <v>9.9156733920468212E-2</v>
      </c>
      <c r="AI809" s="27">
        <f t="shared" si="238"/>
        <v>0.10153918433243618</v>
      </c>
      <c r="AJ809" s="27">
        <f t="shared" si="238"/>
        <v>0.10407920464758763</v>
      </c>
      <c r="AK809" s="27">
        <f t="shared" si="238"/>
        <v>0.10662429120765052</v>
      </c>
      <c r="AL809" s="27">
        <f t="shared" si="238"/>
        <v>0.10916108152437015</v>
      </c>
      <c r="AM809" s="27">
        <f t="shared" si="238"/>
        <v>0.11175521560682936</v>
      </c>
      <c r="AN809" s="27">
        <f t="shared" si="238"/>
        <v>0.11423893572460501</v>
      </c>
      <c r="AO809" s="27">
        <f t="shared" si="238"/>
        <v>0.11683800387615073</v>
      </c>
      <c r="AP809" s="27">
        <f t="shared" si="238"/>
        <v>0.11962734368800265</v>
      </c>
      <c r="AQ809" s="27">
        <f t="shared" si="238"/>
        <v>0.12246543086827189</v>
      </c>
      <c r="AR809" s="27">
        <f t="shared" si="238"/>
        <v>0.12535748302837027</v>
      </c>
      <c r="AS809" s="27">
        <f t="shared" si="238"/>
        <v>0.12844640721926534</v>
      </c>
      <c r="AT809" s="27">
        <f t="shared" si="238"/>
        <v>0.13167842894497958</v>
      </c>
      <c r="AU809" s="27">
        <f t="shared" si="238"/>
        <v>0.13501670748772379</v>
      </c>
      <c r="AV809" s="27">
        <f t="shared" si="238"/>
        <v>0.13854783957825018</v>
      </c>
      <c r="AW809" s="27">
        <f t="shared" si="238"/>
        <v>0.14174415331850926</v>
      </c>
      <c r="AY809" s="79"/>
      <c r="AZ809" s="79"/>
    </row>
    <row r="810" spans="1:52" x14ac:dyDescent="0.25">
      <c r="A810" s="95" t="str">
        <f t="shared" si="224"/>
        <v>BD Swine MMN2O</v>
      </c>
      <c r="B810" s="95" t="s">
        <v>1227</v>
      </c>
      <c r="C810" s="95" t="s">
        <v>1232</v>
      </c>
      <c r="D810" t="s">
        <v>15</v>
      </c>
      <c r="E810" t="s">
        <v>657</v>
      </c>
      <c r="F810" t="s">
        <v>21</v>
      </c>
      <c r="G810" t="s">
        <v>123</v>
      </c>
      <c r="H810" t="s">
        <v>1226</v>
      </c>
      <c r="I810" t="s">
        <v>139</v>
      </c>
      <c r="J810" t="s">
        <v>287</v>
      </c>
      <c r="K810" s="27">
        <f t="shared" ref="K810:AW810" si="239">K1424</f>
        <v>3.8131055665722169E-2</v>
      </c>
      <c r="L810" s="27">
        <f t="shared" si="239"/>
        <v>3.7923788015899962E-2</v>
      </c>
      <c r="M810" s="27">
        <f t="shared" si="239"/>
        <v>3.794079990159023E-2</v>
      </c>
      <c r="N810" s="27">
        <f t="shared" si="239"/>
        <v>3.7592474284510076E-2</v>
      </c>
      <c r="O810" s="27">
        <f t="shared" si="239"/>
        <v>3.7023578211438556E-2</v>
      </c>
      <c r="P810" s="27">
        <f t="shared" si="239"/>
        <v>3.6243206089281214E-2</v>
      </c>
      <c r="Q810" s="27">
        <f t="shared" si="239"/>
        <v>3.5676569387541837E-2</v>
      </c>
      <c r="R810" s="27">
        <f t="shared" si="239"/>
        <v>3.5160072434777263E-2</v>
      </c>
      <c r="S810" s="27">
        <f t="shared" si="239"/>
        <v>3.1584988316113387E-2</v>
      </c>
      <c r="T810" s="27">
        <f t="shared" si="239"/>
        <v>3.3012275964159274E-2</v>
      </c>
      <c r="U810" s="27">
        <f t="shared" si="239"/>
        <v>3.3443787934092799E-2</v>
      </c>
      <c r="V810" s="27">
        <f t="shared" si="239"/>
        <v>3.3113730215255661E-2</v>
      </c>
      <c r="W810" s="27">
        <f t="shared" si="239"/>
        <v>3.2823446206541117E-2</v>
      </c>
      <c r="X810" s="27">
        <f t="shared" si="239"/>
        <v>3.2733733814345668E-2</v>
      </c>
      <c r="Y810" s="27">
        <f t="shared" si="239"/>
        <v>3.2836798044013883E-2</v>
      </c>
      <c r="Z810" s="27">
        <f t="shared" si="239"/>
        <v>3.3028765349259512E-2</v>
      </c>
      <c r="AA810" s="27">
        <f t="shared" si="239"/>
        <v>3.3331536639830336E-2</v>
      </c>
      <c r="AB810" s="27">
        <f t="shared" si="239"/>
        <v>3.3817908960638868E-2</v>
      </c>
      <c r="AC810" s="27">
        <f t="shared" si="239"/>
        <v>3.4470901087403957E-2</v>
      </c>
      <c r="AD810" s="27">
        <f t="shared" si="239"/>
        <v>3.5214104363691767E-2</v>
      </c>
      <c r="AE810" s="27">
        <f t="shared" si="239"/>
        <v>3.6040140987893189E-2</v>
      </c>
      <c r="AF810" s="27">
        <f t="shared" si="239"/>
        <v>3.6907692271940552E-2</v>
      </c>
      <c r="AG810" s="27">
        <f t="shared" si="239"/>
        <v>3.7831657597821179E-2</v>
      </c>
      <c r="AH810" s="27">
        <f t="shared" si="239"/>
        <v>3.879212191497397E-2</v>
      </c>
      <c r="AI810" s="27">
        <f t="shared" si="239"/>
        <v>3.9724184753102243E-2</v>
      </c>
      <c r="AJ810" s="27">
        <f t="shared" si="239"/>
        <v>4.0717892127640175E-2</v>
      </c>
      <c r="AK810" s="27">
        <f t="shared" si="239"/>
        <v>4.1713581519762656E-2</v>
      </c>
      <c r="AL810" s="27">
        <f t="shared" si="239"/>
        <v>4.270602525351698E-2</v>
      </c>
      <c r="AM810" s="27">
        <f t="shared" si="239"/>
        <v>4.3720903029455652E-2</v>
      </c>
      <c r="AN810" s="27">
        <f t="shared" si="239"/>
        <v>4.4692584626882061E-2</v>
      </c>
      <c r="AO810" s="27">
        <f t="shared" si="239"/>
        <v>4.5709392710546422E-2</v>
      </c>
      <c r="AP810" s="27">
        <f t="shared" si="239"/>
        <v>4.6800638920112353E-2</v>
      </c>
      <c r="AQ810" s="27">
        <f t="shared" si="239"/>
        <v>4.791095608718076E-2</v>
      </c>
      <c r="AR810" s="27">
        <f t="shared" si="239"/>
        <v>4.9042385446975784E-2</v>
      </c>
      <c r="AS810" s="27">
        <f t="shared" si="239"/>
        <v>5.0250835131244558E-2</v>
      </c>
      <c r="AT810" s="27">
        <f t="shared" si="239"/>
        <v>5.1515267468399954E-2</v>
      </c>
      <c r="AU810" s="27">
        <f t="shared" si="239"/>
        <v>5.2821269623736601E-2</v>
      </c>
      <c r="AV810" s="27">
        <f t="shared" si="239"/>
        <v>5.4202719991630371E-2</v>
      </c>
      <c r="AW810" s="27">
        <f t="shared" si="239"/>
        <v>5.5453182641903707E-2</v>
      </c>
      <c r="AY810" s="79"/>
      <c r="AZ810" s="79"/>
    </row>
    <row r="811" spans="1:52" x14ac:dyDescent="0.25">
      <c r="A811" s="95" t="str">
        <f t="shared" si="224"/>
        <v>BD Poultry MMN2O</v>
      </c>
      <c r="B811" s="95" t="s">
        <v>1227</v>
      </c>
      <c r="C811" s="95" t="s">
        <v>1233</v>
      </c>
      <c r="D811" t="s">
        <v>15</v>
      </c>
      <c r="E811" t="s">
        <v>657</v>
      </c>
      <c r="F811" t="s">
        <v>28</v>
      </c>
      <c r="G811" t="s">
        <v>131</v>
      </c>
      <c r="H811" t="s">
        <v>1226</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0.36607496135357975</v>
      </c>
      <c r="S811" s="27">
        <f t="shared" si="240"/>
        <v>0.35135538223408885</v>
      </c>
      <c r="T811" s="27">
        <f t="shared" si="240"/>
        <v>0.3660250744881503</v>
      </c>
      <c r="U811" s="27">
        <f t="shared" si="240"/>
        <v>0.3747433751291977</v>
      </c>
      <c r="V811" s="27">
        <f t="shared" si="240"/>
        <v>0.37890472124533414</v>
      </c>
      <c r="W811" s="27">
        <f t="shared" si="240"/>
        <v>0.38351980018418114</v>
      </c>
      <c r="X811" s="27">
        <f t="shared" si="240"/>
        <v>0.38953835570243145</v>
      </c>
      <c r="Y811" s="27">
        <f t="shared" si="240"/>
        <v>0.39678314869255904</v>
      </c>
      <c r="Z811" s="27">
        <f t="shared" si="240"/>
        <v>0.40464075152916346</v>
      </c>
      <c r="AA811" s="27">
        <f t="shared" si="240"/>
        <v>0.41330404639575669</v>
      </c>
      <c r="AB811" s="27">
        <f t="shared" si="240"/>
        <v>0.42334665156208889</v>
      </c>
      <c r="AC811" s="27">
        <f t="shared" si="240"/>
        <v>0.43473806986049379</v>
      </c>
      <c r="AD811" s="27">
        <f t="shared" si="240"/>
        <v>0.44699375378888861</v>
      </c>
      <c r="AE811" s="27">
        <f t="shared" si="240"/>
        <v>0.46011178168093952</v>
      </c>
      <c r="AF811" s="27">
        <f t="shared" si="240"/>
        <v>0.47382089637959635</v>
      </c>
      <c r="AG811" s="27">
        <f t="shared" si="240"/>
        <v>0.48826027881230222</v>
      </c>
      <c r="AH811" s="27">
        <f t="shared" si="240"/>
        <v>0.50330862860005154</v>
      </c>
      <c r="AI811" s="27">
        <f t="shared" si="240"/>
        <v>0.5184689754858961</v>
      </c>
      <c r="AJ811" s="27">
        <f t="shared" si="240"/>
        <v>0.53447970815576928</v>
      </c>
      <c r="AK811" s="27">
        <f t="shared" si="240"/>
        <v>0.55086704408448872</v>
      </c>
      <c r="AL811" s="27">
        <f t="shared" si="240"/>
        <v>0.56759733652439393</v>
      </c>
      <c r="AM811" s="27">
        <f t="shared" si="240"/>
        <v>0.58490701814028823</v>
      </c>
      <c r="AN811" s="27">
        <f t="shared" si="240"/>
        <v>0.60223366750494911</v>
      </c>
      <c r="AO811" s="27">
        <f t="shared" si="240"/>
        <v>0.62036595204994383</v>
      </c>
      <c r="AP811" s="27">
        <f t="shared" si="240"/>
        <v>0.63960685850737242</v>
      </c>
      <c r="AQ811" s="27">
        <f t="shared" si="240"/>
        <v>0.65948374000710175</v>
      </c>
      <c r="AR811" s="27">
        <f t="shared" si="240"/>
        <v>0.68003541307118265</v>
      </c>
      <c r="AS811" s="27">
        <f t="shared" si="240"/>
        <v>0.70183096342172768</v>
      </c>
      <c r="AT811" s="27">
        <f t="shared" si="240"/>
        <v>0.72471687693803755</v>
      </c>
      <c r="AU811" s="27">
        <f t="shared" si="240"/>
        <v>0.74859496074669962</v>
      </c>
      <c r="AV811" s="27">
        <f t="shared" si="240"/>
        <v>0.77385822122722236</v>
      </c>
      <c r="AW811" s="27">
        <f t="shared" si="240"/>
        <v>0.79838507129603287</v>
      </c>
      <c r="AY811" s="79"/>
      <c r="AZ811" s="79"/>
    </row>
    <row r="812" spans="1:52" x14ac:dyDescent="0.25">
      <c r="A812" s="95" t="str">
        <f t="shared" si="224"/>
        <v>BD Poultry MMN2O</v>
      </c>
      <c r="B812" s="95" t="s">
        <v>1227</v>
      </c>
      <c r="C812" s="95" t="s">
        <v>1233</v>
      </c>
      <c r="D812" t="s">
        <v>15</v>
      </c>
      <c r="E812" t="s">
        <v>657</v>
      </c>
      <c r="F812" t="s">
        <v>28</v>
      </c>
      <c r="G812" t="s">
        <v>132</v>
      </c>
      <c r="H812" t="s">
        <v>1226</v>
      </c>
      <c r="I812" t="s">
        <v>139</v>
      </c>
      <c r="J812" t="s">
        <v>287</v>
      </c>
      <c r="K812" s="27">
        <f t="shared" ref="K812:AW812" si="241">K1426</f>
        <v>1.7017151675634961</v>
      </c>
      <c r="L812" s="27">
        <f t="shared" si="241"/>
        <v>1.7241237147327637</v>
      </c>
      <c r="M812" s="27">
        <f t="shared" si="241"/>
        <v>1.7601182693498105</v>
      </c>
      <c r="N812" s="27">
        <f t="shared" si="241"/>
        <v>1.7704533576020511</v>
      </c>
      <c r="O812" s="27">
        <f t="shared" si="241"/>
        <v>1.7641159598844747</v>
      </c>
      <c r="P812" s="27">
        <f t="shared" si="241"/>
        <v>1.7411735022142167</v>
      </c>
      <c r="Q812" s="27">
        <f t="shared" si="241"/>
        <v>1.7315152516158574</v>
      </c>
      <c r="R812" s="27">
        <f t="shared" si="241"/>
        <v>1.7240481490859689</v>
      </c>
      <c r="S812" s="27">
        <f t="shared" si="241"/>
        <v>1.4999683948751941</v>
      </c>
      <c r="T812" s="27">
        <f t="shared" si="241"/>
        <v>1.635678170936574</v>
      </c>
      <c r="U812" s="27">
        <f t="shared" si="241"/>
        <v>1.7009774454367668</v>
      </c>
      <c r="V812" s="27">
        <f t="shared" si="241"/>
        <v>1.7091479327288939</v>
      </c>
      <c r="W812" s="27">
        <f t="shared" si="241"/>
        <v>1.7185668307415591</v>
      </c>
      <c r="X812" s="27">
        <f t="shared" si="241"/>
        <v>1.7424532471009451</v>
      </c>
      <c r="Y812" s="27">
        <f t="shared" si="241"/>
        <v>1.7817834224196265</v>
      </c>
      <c r="Z812" s="27">
        <f t="shared" si="241"/>
        <v>1.8288406604826053</v>
      </c>
      <c r="AA812" s="27">
        <f t="shared" si="241"/>
        <v>1.885701932517597</v>
      </c>
      <c r="AB812" s="27">
        <f t="shared" si="241"/>
        <v>1.9586802917289898</v>
      </c>
      <c r="AC812" s="27">
        <f t="shared" si="241"/>
        <v>2.0469431813370456</v>
      </c>
      <c r="AD812" s="27">
        <f t="shared" si="241"/>
        <v>2.1446346617917671</v>
      </c>
      <c r="AE812" s="27">
        <f t="shared" si="241"/>
        <v>2.2514306358992373</v>
      </c>
      <c r="AF812" s="27">
        <f t="shared" si="241"/>
        <v>2.364080403374996</v>
      </c>
      <c r="AG812" s="27">
        <f t="shared" si="241"/>
        <v>2.4840914132913525</v>
      </c>
      <c r="AH812" s="27">
        <f t="shared" si="241"/>
        <v>2.609932995576361</v>
      </c>
      <c r="AI812" s="27">
        <f t="shared" si="241"/>
        <v>2.7359571600200745</v>
      </c>
      <c r="AJ812" s="27">
        <f t="shared" si="241"/>
        <v>2.870315303671148</v>
      </c>
      <c r="AK812" s="27">
        <f t="shared" si="241"/>
        <v>3.0078431709030542</v>
      </c>
      <c r="AL812" s="27">
        <f t="shared" si="241"/>
        <v>3.1481328800356168</v>
      </c>
      <c r="AM812" s="27">
        <f t="shared" si="241"/>
        <v>3.293658685243031</v>
      </c>
      <c r="AN812" s="27">
        <f t="shared" si="241"/>
        <v>3.4383107407406079</v>
      </c>
      <c r="AO812" s="27">
        <f t="shared" si="241"/>
        <v>3.5905693529651876</v>
      </c>
      <c r="AP812" s="27">
        <f t="shared" si="241"/>
        <v>3.7535692593915186</v>
      </c>
      <c r="AQ812" s="27">
        <f t="shared" si="241"/>
        <v>3.922195814332385</v>
      </c>
      <c r="AR812" s="27">
        <f t="shared" si="241"/>
        <v>4.0968427833898948</v>
      </c>
      <c r="AS812" s="27">
        <f t="shared" si="241"/>
        <v>4.2833995063649954</v>
      </c>
      <c r="AT812" s="27">
        <f t="shared" si="241"/>
        <v>4.4801147383664359</v>
      </c>
      <c r="AU812" s="27">
        <f t="shared" si="241"/>
        <v>4.6858252173265607</v>
      </c>
      <c r="AV812" s="27">
        <f t="shared" si="241"/>
        <v>4.9044073325814885</v>
      </c>
      <c r="AW812" s="27">
        <f t="shared" si="241"/>
        <v>5.1142236717204526</v>
      </c>
      <c r="AY812" s="79"/>
      <c r="AZ812" s="79"/>
    </row>
    <row r="813" spans="1:52" x14ac:dyDescent="0.25">
      <c r="A813" s="95" t="str">
        <f t="shared" si="224"/>
        <v>BD Poultry MMN2O</v>
      </c>
      <c r="B813" s="95" t="s">
        <v>1227</v>
      </c>
      <c r="C813" s="95" t="s">
        <v>1233</v>
      </c>
      <c r="D813" t="s">
        <v>15</v>
      </c>
      <c r="E813" t="s">
        <v>657</v>
      </c>
      <c r="F813" t="s">
        <v>28</v>
      </c>
      <c r="G813" t="s">
        <v>134</v>
      </c>
      <c r="H813" t="s">
        <v>1226</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1.4711795979713126E-2</v>
      </c>
      <c r="P813" s="27">
        <f t="shared" si="242"/>
        <v>1.4861520550190493E-2</v>
      </c>
      <c r="Q813" s="27">
        <f t="shared" si="242"/>
        <v>1.5053508778373347E-2</v>
      </c>
      <c r="R813" s="27">
        <f t="shared" si="242"/>
        <v>1.5253123389732505E-2</v>
      </c>
      <c r="S813" s="27">
        <f t="shared" si="242"/>
        <v>1.4639807593087044E-2</v>
      </c>
      <c r="T813" s="27">
        <f t="shared" si="242"/>
        <v>1.525104477033961E-2</v>
      </c>
      <c r="U813" s="27">
        <f t="shared" si="242"/>
        <v>1.5614307297049917E-2</v>
      </c>
      <c r="V813" s="27">
        <f t="shared" si="242"/>
        <v>1.5787696718555604E-2</v>
      </c>
      <c r="W813" s="27">
        <f t="shared" si="242"/>
        <v>1.5979991674340898E-2</v>
      </c>
      <c r="X813" s="27">
        <f t="shared" si="242"/>
        <v>1.6230764820934659E-2</v>
      </c>
      <c r="Y813" s="27">
        <f t="shared" si="242"/>
        <v>1.6532631195523312E-2</v>
      </c>
      <c r="Z813" s="27">
        <f t="shared" si="242"/>
        <v>1.6860031313715163E-2</v>
      </c>
      <c r="AA813" s="27">
        <f t="shared" si="242"/>
        <v>1.7221001933156545E-2</v>
      </c>
      <c r="AB813" s="27">
        <f t="shared" si="242"/>
        <v>1.7639443815087055E-2</v>
      </c>
      <c r="AC813" s="27">
        <f t="shared" si="242"/>
        <v>1.8114086244187262E-2</v>
      </c>
      <c r="AD813" s="27">
        <f t="shared" si="242"/>
        <v>1.8624739741203704E-2</v>
      </c>
      <c r="AE813" s="27">
        <f t="shared" si="242"/>
        <v>1.9171324236705832E-2</v>
      </c>
      <c r="AF813" s="27">
        <f t="shared" si="242"/>
        <v>1.9742537349149866E-2</v>
      </c>
      <c r="AG813" s="27">
        <f t="shared" si="242"/>
        <v>2.0344178283845944E-2</v>
      </c>
      <c r="AH813" s="27">
        <f t="shared" si="242"/>
        <v>2.09711928583355E-2</v>
      </c>
      <c r="AI813" s="27">
        <f t="shared" si="242"/>
        <v>2.1602873978579022E-2</v>
      </c>
      <c r="AJ813" s="27">
        <f t="shared" si="242"/>
        <v>2.226998783982374E-2</v>
      </c>
      <c r="AK813" s="27">
        <f t="shared" si="242"/>
        <v>2.2952793503520384E-2</v>
      </c>
      <c r="AL813" s="27">
        <f t="shared" si="242"/>
        <v>2.3649889021849769E-2</v>
      </c>
      <c r="AM813" s="27">
        <f t="shared" si="242"/>
        <v>2.4371125755845373E-2</v>
      </c>
      <c r="AN813" s="27">
        <f t="shared" si="242"/>
        <v>2.5093069479372905E-2</v>
      </c>
      <c r="AO813" s="27">
        <f t="shared" si="242"/>
        <v>2.5848581335414348E-2</v>
      </c>
      <c r="AP813" s="27">
        <f t="shared" si="242"/>
        <v>2.665028577114054E-2</v>
      </c>
      <c r="AQ813" s="27">
        <f t="shared" si="242"/>
        <v>2.7478489166962602E-2</v>
      </c>
      <c r="AR813" s="27">
        <f t="shared" si="242"/>
        <v>2.8334808877965974E-2</v>
      </c>
      <c r="AS813" s="27">
        <f t="shared" si="242"/>
        <v>2.924295680923868E-2</v>
      </c>
      <c r="AT813" s="27">
        <f t="shared" si="242"/>
        <v>3.0196536539084926E-2</v>
      </c>
      <c r="AU813" s="27">
        <f t="shared" si="242"/>
        <v>3.1191456697779184E-2</v>
      </c>
      <c r="AV813" s="27">
        <f t="shared" si="242"/>
        <v>3.2244092551134286E-2</v>
      </c>
      <c r="AW813" s="27">
        <f t="shared" si="242"/>
        <v>3.3266044637334728E-2</v>
      </c>
      <c r="AY813" s="79"/>
      <c r="AZ813" s="79"/>
    </row>
    <row r="814" spans="1:52" x14ac:dyDescent="0.25">
      <c r="A814" s="95" t="str">
        <f t="shared" si="224"/>
        <v>BD Poultry MMN2O</v>
      </c>
      <c r="B814" s="95" t="s">
        <v>1227</v>
      </c>
      <c r="C814" s="95" t="s">
        <v>1233</v>
      </c>
      <c r="D814" t="s">
        <v>15</v>
      </c>
      <c r="E814" t="s">
        <v>657</v>
      </c>
      <c r="F814" t="s">
        <v>28</v>
      </c>
      <c r="G814" t="s">
        <v>133</v>
      </c>
      <c r="H814" t="s">
        <v>1226</v>
      </c>
      <c r="I814" t="s">
        <v>139</v>
      </c>
      <c r="J814" t="s">
        <v>287</v>
      </c>
      <c r="K814" s="27">
        <f t="shared" ref="K814:AW814" si="243">K1428</f>
        <v>7.0904798648479067E-2</v>
      </c>
      <c r="L814" s="27">
        <f t="shared" si="243"/>
        <v>7.1838488113865229E-2</v>
      </c>
      <c r="M814" s="27">
        <f t="shared" si="243"/>
        <v>7.3338261222908846E-2</v>
      </c>
      <c r="N814" s="27">
        <f t="shared" si="243"/>
        <v>7.3768889900085524E-2</v>
      </c>
      <c r="O814" s="27">
        <f t="shared" si="243"/>
        <v>7.3504831661853176E-2</v>
      </c>
      <c r="P814" s="27">
        <f t="shared" si="243"/>
        <v>7.2548895925592424E-2</v>
      </c>
      <c r="Q814" s="27">
        <f t="shared" si="243"/>
        <v>7.2146468817327461E-2</v>
      </c>
      <c r="R814" s="27">
        <f t="shared" si="243"/>
        <v>7.1835339545248775E-2</v>
      </c>
      <c r="S814" s="27">
        <f t="shared" si="243"/>
        <v>6.2498683119799801E-2</v>
      </c>
      <c r="T814" s="27">
        <f t="shared" si="243"/>
        <v>6.81532571223573E-2</v>
      </c>
      <c r="U814" s="27">
        <f t="shared" si="243"/>
        <v>7.0874060226532018E-2</v>
      </c>
      <c r="V814" s="27">
        <f t="shared" si="243"/>
        <v>7.1214497197037332E-2</v>
      </c>
      <c r="W814" s="27">
        <f t="shared" si="243"/>
        <v>7.1606951280898362E-2</v>
      </c>
      <c r="X814" s="27">
        <f t="shared" si="243"/>
        <v>7.26022186292061E-2</v>
      </c>
      <c r="Y814" s="27">
        <f t="shared" si="243"/>
        <v>7.4240975934151174E-2</v>
      </c>
      <c r="Z814" s="27">
        <f t="shared" si="243"/>
        <v>7.620169418677529E-2</v>
      </c>
      <c r="AA814" s="27">
        <f t="shared" si="243"/>
        <v>7.8570913854899935E-2</v>
      </c>
      <c r="AB814" s="27">
        <f t="shared" si="243"/>
        <v>8.1611678822041331E-2</v>
      </c>
      <c r="AC814" s="27">
        <f t="shared" si="243"/>
        <v>8.5289299222376991E-2</v>
      </c>
      <c r="AD814" s="27">
        <f t="shared" si="243"/>
        <v>8.9359777574657032E-2</v>
      </c>
      <c r="AE814" s="27">
        <f t="shared" si="243"/>
        <v>9.3809609829134971E-2</v>
      </c>
      <c r="AF814" s="27">
        <f t="shared" si="243"/>
        <v>9.8503350140624904E-2</v>
      </c>
      <c r="AG814" s="27">
        <f t="shared" si="243"/>
        <v>0.10350380888713978</v>
      </c>
      <c r="AH814" s="27">
        <f t="shared" si="243"/>
        <v>0.10874720814901513</v>
      </c>
      <c r="AI814" s="27">
        <f t="shared" si="243"/>
        <v>0.11399821500083657</v>
      </c>
      <c r="AJ814" s="27">
        <f t="shared" si="243"/>
        <v>0.11959647098629794</v>
      </c>
      <c r="AK814" s="27">
        <f t="shared" si="243"/>
        <v>0.12532679878762737</v>
      </c>
      <c r="AL814" s="27">
        <f t="shared" si="243"/>
        <v>0.13117220333481747</v>
      </c>
      <c r="AM814" s="27">
        <f t="shared" si="243"/>
        <v>0.13723577855179306</v>
      </c>
      <c r="AN814" s="27">
        <f t="shared" si="243"/>
        <v>0.1432629475308588</v>
      </c>
      <c r="AO814" s="27">
        <f t="shared" si="243"/>
        <v>0.14960705637354962</v>
      </c>
      <c r="AP814" s="27">
        <f t="shared" si="243"/>
        <v>0.15639871914131342</v>
      </c>
      <c r="AQ814" s="27">
        <f t="shared" si="243"/>
        <v>0.16342482559718283</v>
      </c>
      <c r="AR814" s="27">
        <f t="shared" si="243"/>
        <v>0.1707017826412458</v>
      </c>
      <c r="AS814" s="27">
        <f t="shared" si="243"/>
        <v>0.17847497943187501</v>
      </c>
      <c r="AT814" s="27">
        <f t="shared" si="243"/>
        <v>0.18667144743193501</v>
      </c>
      <c r="AU814" s="27">
        <f t="shared" si="243"/>
        <v>0.19524271738860685</v>
      </c>
      <c r="AV814" s="27">
        <f t="shared" si="243"/>
        <v>0.20435030552422884</v>
      </c>
      <c r="AW814" s="27">
        <f t="shared" si="243"/>
        <v>0.21309265298835234</v>
      </c>
      <c r="AY814" s="79"/>
      <c r="AZ814" s="79"/>
    </row>
    <row r="815" spans="1:52" x14ac:dyDescent="0.25">
      <c r="A815" s="95" t="str">
        <f t="shared" si="224"/>
        <v>BD Synthetic</v>
      </c>
      <c r="B815" s="95" t="s">
        <v>1227</v>
      </c>
      <c r="C815" s="95" t="s">
        <v>1125</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6.603634243590573</v>
      </c>
      <c r="U815" s="27">
        <f t="shared" si="244"/>
        <v>6.6004971859529533</v>
      </c>
      <c r="V815" s="27">
        <f t="shared" si="244"/>
        <v>6.5987679285209158</v>
      </c>
      <c r="W815" s="27">
        <f t="shared" si="244"/>
        <v>6.5980968039636112</v>
      </c>
      <c r="X815" s="27">
        <f t="shared" si="244"/>
        <v>6.5973729403354264</v>
      </c>
      <c r="Y815" s="27">
        <f t="shared" si="244"/>
        <v>6.5963716735135058</v>
      </c>
      <c r="Z815" s="27">
        <f t="shared" si="244"/>
        <v>6.5951092743964939</v>
      </c>
      <c r="AA815" s="27">
        <f t="shared" si="244"/>
        <v>6.5937292152761398</v>
      </c>
      <c r="AB815" s="27">
        <f t="shared" si="244"/>
        <v>6.5921980493186423</v>
      </c>
      <c r="AC815" s="27">
        <f t="shared" si="244"/>
        <v>6.5904099002136718</v>
      </c>
      <c r="AD815" s="27">
        <f t="shared" si="244"/>
        <v>6.5883900774121225</v>
      </c>
      <c r="AE815" s="27">
        <f t="shared" si="244"/>
        <v>6.5862502813307362</v>
      </c>
      <c r="AF815" s="27">
        <f t="shared" si="244"/>
        <v>6.5840030111280692</v>
      </c>
      <c r="AG815" s="27">
        <f t="shared" si="244"/>
        <v>6.5817083248767299</v>
      </c>
      <c r="AH815" s="27">
        <f t="shared" si="244"/>
        <v>6.5793473576190653</v>
      </c>
      <c r="AI815" s="27">
        <f t="shared" si="244"/>
        <v>6.5769490947439282</v>
      </c>
      <c r="AJ815" s="27">
        <f t="shared" si="244"/>
        <v>6.5746015679174796</v>
      </c>
      <c r="AK815" s="27">
        <f t="shared" si="244"/>
        <v>6.5721839556094164</v>
      </c>
      <c r="AL815" s="27">
        <f t="shared" si="244"/>
        <v>6.5697772026100587</v>
      </c>
      <c r="AM815" s="27">
        <f t="shared" si="244"/>
        <v>6.5673876647835385</v>
      </c>
      <c r="AN815" s="27">
        <f t="shared" si="244"/>
        <v>6.5649818227366428</v>
      </c>
      <c r="AO815" s="27">
        <f t="shared" si="244"/>
        <v>6.5626429517048157</v>
      </c>
      <c r="AP815" s="27">
        <f t="shared" si="244"/>
        <v>6.5602587146144691</v>
      </c>
      <c r="AQ815" s="27">
        <f t="shared" si="244"/>
        <v>6.557794751435325</v>
      </c>
      <c r="AR815" s="27">
        <f t="shared" si="244"/>
        <v>6.5553213474499907</v>
      </c>
      <c r="AS815" s="27">
        <f t="shared" si="244"/>
        <v>6.552836555002342</v>
      </c>
      <c r="AT815" s="27">
        <f t="shared" si="244"/>
        <v>6.5502749591835583</v>
      </c>
      <c r="AU815" s="27">
        <f t="shared" si="244"/>
        <v>6.5476643110027855</v>
      </c>
      <c r="AV815" s="27">
        <f t="shared" si="244"/>
        <v>6.5450232737774749</v>
      </c>
      <c r="AW815" s="27">
        <f t="shared" si="244"/>
        <v>6.5423151331477944</v>
      </c>
      <c r="AY815" s="79"/>
      <c r="AZ815" s="79"/>
    </row>
    <row r="816" spans="1:52" x14ac:dyDescent="0.25">
      <c r="A816" s="95" t="str">
        <f t="shared" si="224"/>
        <v>BD Organic</v>
      </c>
      <c r="B816" s="95" t="s">
        <v>1227</v>
      </c>
      <c r="C816" s="95" t="s">
        <v>1126</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4.3583986007697799E-2</v>
      </c>
      <c r="U816" s="27">
        <f t="shared" si="245"/>
        <v>4.3563281427289505E-2</v>
      </c>
      <c r="V816" s="27">
        <f t="shared" si="245"/>
        <v>4.3551868328238041E-2</v>
      </c>
      <c r="W816" s="27">
        <f t="shared" si="245"/>
        <v>4.3547438906159849E-2</v>
      </c>
      <c r="X816" s="27">
        <f t="shared" si="245"/>
        <v>4.3542661406213816E-2</v>
      </c>
      <c r="Y816" s="27">
        <f t="shared" si="245"/>
        <v>4.3536053045189142E-2</v>
      </c>
      <c r="Z816" s="27">
        <f t="shared" si="245"/>
        <v>4.3527721211016876E-2</v>
      </c>
      <c r="AA816" s="27">
        <f t="shared" si="244"/>
        <v>4.3518612820822526E-2</v>
      </c>
      <c r="AB816" s="27">
        <f t="shared" si="244"/>
        <v>4.3508507125503047E-2</v>
      </c>
      <c r="AC816" s="27">
        <f t="shared" si="244"/>
        <v>4.349670534141023E-2</v>
      </c>
      <c r="AD816" s="27">
        <f t="shared" si="244"/>
        <v>4.3483374510920013E-2</v>
      </c>
      <c r="AE816" s="27">
        <f t="shared" si="244"/>
        <v>4.3469251856782874E-2</v>
      </c>
      <c r="AF816" s="27">
        <f t="shared" si="244"/>
        <v>4.3454419873445269E-2</v>
      </c>
      <c r="AG816" s="27">
        <f t="shared" si="244"/>
        <v>4.3439274944186416E-2</v>
      </c>
      <c r="AH816" s="27">
        <f t="shared" si="244"/>
        <v>4.3423692560285852E-2</v>
      </c>
      <c r="AI816" s="27">
        <f t="shared" si="244"/>
        <v>4.3407864025309932E-2</v>
      </c>
      <c r="AJ816" s="27">
        <f t="shared" si="244"/>
        <v>4.3392370348255375E-2</v>
      </c>
      <c r="AK816" s="27">
        <f t="shared" si="244"/>
        <v>4.3376414107022157E-2</v>
      </c>
      <c r="AL816" s="27">
        <f t="shared" si="244"/>
        <v>4.336052953722639E-2</v>
      </c>
      <c r="AM816" s="27">
        <f t="shared" si="244"/>
        <v>4.3344758587571364E-2</v>
      </c>
      <c r="AN816" s="27">
        <f t="shared" si="244"/>
        <v>4.3328880030061849E-2</v>
      </c>
      <c r="AO816" s="27">
        <f t="shared" si="244"/>
        <v>4.3313443481251802E-2</v>
      </c>
      <c r="AP816" s="27">
        <f t="shared" si="244"/>
        <v>4.3297707516455515E-2</v>
      </c>
      <c r="AQ816" s="27">
        <f t="shared" si="244"/>
        <v>4.3281445359473161E-2</v>
      </c>
      <c r="AR816" s="27">
        <f t="shared" si="244"/>
        <v>4.3265120893169952E-2</v>
      </c>
      <c r="AS816" s="27">
        <f t="shared" si="244"/>
        <v>4.324872126301546E-2</v>
      </c>
      <c r="AT816" s="27">
        <f t="shared" si="244"/>
        <v>4.3231814730611481E-2</v>
      </c>
      <c r="AU816" s="27">
        <f t="shared" si="244"/>
        <v>4.3214584452618394E-2</v>
      </c>
      <c r="AV816" s="27">
        <f t="shared" si="244"/>
        <v>4.3197153606931347E-2</v>
      </c>
      <c r="AW816" s="27">
        <f t="shared" si="244"/>
        <v>4.3179279878775449E-2</v>
      </c>
      <c r="AY816" s="79"/>
      <c r="AZ816" s="79"/>
    </row>
    <row r="817" spans="1:52" x14ac:dyDescent="0.25">
      <c r="A817" s="95" t="str">
        <f t="shared" si="224"/>
        <v>BD Crop residues</v>
      </c>
      <c r="B817" s="95" t="s">
        <v>1227</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2.9705633438591348</v>
      </c>
      <c r="U817" s="27">
        <f t="shared" si="244"/>
        <v>2.9939833213378622</v>
      </c>
      <c r="V817" s="27">
        <f t="shared" si="244"/>
        <v>3.0068932435616724</v>
      </c>
      <c r="W817" s="27">
        <f t="shared" si="244"/>
        <v>3.0119035824948748</v>
      </c>
      <c r="X817" s="27">
        <f t="shared" si="244"/>
        <v>3.0173076495628459</v>
      </c>
      <c r="Y817" s="27">
        <f t="shared" si="244"/>
        <v>3.0247826943750078</v>
      </c>
      <c r="Z817" s="27">
        <f t="shared" si="244"/>
        <v>3.0342072451180488</v>
      </c>
      <c r="AA817" s="27">
        <f t="shared" si="244"/>
        <v>3.0445101968810144</v>
      </c>
      <c r="AB817" s="27">
        <f t="shared" si="244"/>
        <v>3.0559412499196137</v>
      </c>
      <c r="AC817" s="27">
        <f t="shared" si="244"/>
        <v>3.0692908330655531</v>
      </c>
      <c r="AD817" s="27">
        <f t="shared" si="244"/>
        <v>3.0843699964051159</v>
      </c>
      <c r="AE817" s="27">
        <f t="shared" si="244"/>
        <v>3.1003448307320856</v>
      </c>
      <c r="AF817" s="27">
        <f t="shared" si="244"/>
        <v>3.1171220224878007</v>
      </c>
      <c r="AG817" s="27">
        <f t="shared" si="244"/>
        <v>3.1342532028915815</v>
      </c>
      <c r="AH817" s="27">
        <f t="shared" si="244"/>
        <v>3.1518792099305966</v>
      </c>
      <c r="AI817" s="27">
        <f t="shared" si="244"/>
        <v>3.1697836506556398</v>
      </c>
      <c r="AJ817" s="27">
        <f t="shared" si="244"/>
        <v>3.1873093169828417</v>
      </c>
      <c r="AK817" s="27">
        <f t="shared" si="244"/>
        <v>3.2053582125874849</v>
      </c>
      <c r="AL817" s="27">
        <f t="shared" si="244"/>
        <v>3.2233260370755845</v>
      </c>
      <c r="AM817" s="27">
        <f t="shared" si="244"/>
        <v>3.2411653401889731</v>
      </c>
      <c r="AN817" s="27">
        <f t="shared" si="244"/>
        <v>3.2591263638820034</v>
      </c>
      <c r="AO817" s="27">
        <f t="shared" si="244"/>
        <v>3.2765874096193026</v>
      </c>
      <c r="AP817" s="27">
        <f t="shared" si="244"/>
        <v>3.294387139624336</v>
      </c>
      <c r="AQ817" s="27">
        <f t="shared" si="244"/>
        <v>3.3127820717007999</v>
      </c>
      <c r="AR817" s="27">
        <f t="shared" si="244"/>
        <v>3.3312474849395168</v>
      </c>
      <c r="AS817" s="27">
        <f t="shared" si="244"/>
        <v>3.3497979197372052</v>
      </c>
      <c r="AT817" s="27">
        <f t="shared" si="244"/>
        <v>3.3689217368026219</v>
      </c>
      <c r="AU817" s="27">
        <f t="shared" si="244"/>
        <v>3.3884117585559377</v>
      </c>
      <c r="AV817" s="27">
        <f t="shared" si="244"/>
        <v>3.4081286523724397</v>
      </c>
      <c r="AW817" s="27">
        <f t="shared" si="244"/>
        <v>3.4283465125085661</v>
      </c>
      <c r="AY817" s="79"/>
      <c r="AZ817" s="79"/>
    </row>
    <row r="818" spans="1:52" x14ac:dyDescent="0.25">
      <c r="A818" s="95" t="str">
        <f t="shared" si="224"/>
        <v>BD Organic</v>
      </c>
      <c r="B818" s="95" t="s">
        <v>1227</v>
      </c>
      <c r="C818" s="95" t="s">
        <v>1126</v>
      </c>
      <c r="D818" t="s">
        <v>369</v>
      </c>
      <c r="E818" t="s">
        <v>55</v>
      </c>
      <c r="F818" t="s">
        <v>421</v>
      </c>
      <c r="G818" t="s">
        <v>1151</v>
      </c>
      <c r="H818" t="s">
        <v>1152</v>
      </c>
      <c r="I818" t="s">
        <v>139</v>
      </c>
      <c r="J818" t="s">
        <v>287</v>
      </c>
      <c r="K818" s="27">
        <f t="shared" si="245"/>
        <v>0.31878106382562998</v>
      </c>
      <c r="L818" s="27">
        <f t="shared" si="244"/>
        <v>0.32056321299147922</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0.32880601635823309</v>
      </c>
      <c r="S818" s="27">
        <f t="shared" si="244"/>
        <v>0.31930900968296799</v>
      </c>
      <c r="T818" s="27">
        <f t="shared" si="244"/>
        <v>0.32574821213897459</v>
      </c>
      <c r="U818" s="27">
        <f t="shared" si="244"/>
        <v>0.32894469179548952</v>
      </c>
      <c r="V818" s="27">
        <f t="shared" si="244"/>
        <v>0.32977948253414807</v>
      </c>
      <c r="W818" s="27">
        <f t="shared" si="244"/>
        <v>0.3309664569188206</v>
      </c>
      <c r="X818" s="27">
        <f t="shared" si="244"/>
        <v>0.33295820888491823</v>
      </c>
      <c r="Y818" s="27">
        <f t="shared" si="244"/>
        <v>0.33558938332727861</v>
      </c>
      <c r="Z818" s="27">
        <f t="shared" si="244"/>
        <v>0.33853527641770959</v>
      </c>
      <c r="AA818" s="27">
        <f t="shared" si="244"/>
        <v>0.34188866727508727</v>
      </c>
      <c r="AB818" s="27">
        <f t="shared" si="244"/>
        <v>0.34593707625098935</v>
      </c>
      <c r="AC818" s="27">
        <f t="shared" si="244"/>
        <v>0.35065698551445434</v>
      </c>
      <c r="AD818" s="27">
        <f t="shared" si="244"/>
        <v>0.35579420133815998</v>
      </c>
      <c r="AE818" s="27">
        <f t="shared" si="244"/>
        <v>0.36134408078222452</v>
      </c>
      <c r="AF818" s="27">
        <f t="shared" si="244"/>
        <v>0.36716578992310794</v>
      </c>
      <c r="AG818" s="27">
        <f t="shared" si="244"/>
        <v>0.37332444348551658</v>
      </c>
      <c r="AH818" s="27">
        <f t="shared" si="244"/>
        <v>0.37975671698066876</v>
      </c>
      <c r="AI818" s="27">
        <f t="shared" si="244"/>
        <v>0.38621474793846927</v>
      </c>
      <c r="AJ818" s="27">
        <f t="shared" si="244"/>
        <v>0.39306178454441848</v>
      </c>
      <c r="AK818" s="27">
        <f t="shared" si="244"/>
        <v>0.40005847527747412</v>
      </c>
      <c r="AL818" s="27">
        <f t="shared" si="244"/>
        <v>0.4071870252950287</v>
      </c>
      <c r="AM818" s="27">
        <f t="shared" si="244"/>
        <v>0.41456228412939544</v>
      </c>
      <c r="AN818" s="27">
        <f t="shared" si="244"/>
        <v>0.42190892307820843</v>
      </c>
      <c r="AO818" s="27">
        <f t="shared" si="244"/>
        <v>0.42960845898713129</v>
      </c>
      <c r="AP818" s="27">
        <f t="shared" si="244"/>
        <v>0.43780304574358431</v>
      </c>
      <c r="AQ818" s="27">
        <f t="shared" si="244"/>
        <v>0.44626036327894386</v>
      </c>
      <c r="AR818" s="27">
        <f t="shared" si="244"/>
        <v>0.45499571223112473</v>
      </c>
      <c r="AS818" s="27">
        <f t="shared" si="244"/>
        <v>0.46427790014777842</v>
      </c>
      <c r="AT818" s="27">
        <f t="shared" si="244"/>
        <v>0.4740288633200766</v>
      </c>
      <c r="AU818" s="27">
        <f t="shared" si="244"/>
        <v>0.48419829350388255</v>
      </c>
      <c r="AV818" s="27">
        <f t="shared" si="244"/>
        <v>0.49496943616318984</v>
      </c>
      <c r="AW818" s="27">
        <f t="shared" si="244"/>
        <v>0.50533326104983312</v>
      </c>
      <c r="AY818" s="79"/>
      <c r="AZ818" s="79"/>
    </row>
    <row r="819" spans="1:52" x14ac:dyDescent="0.25">
      <c r="A819" s="95" t="str">
        <f t="shared" si="224"/>
        <v>BD Organic</v>
      </c>
      <c r="B819" s="95" t="s">
        <v>1227</v>
      </c>
      <c r="C819" s="95" t="s">
        <v>1126</v>
      </c>
      <c r="D819" t="s">
        <v>369</v>
      </c>
      <c r="E819" t="s">
        <v>55</v>
      </c>
      <c r="F819" t="s">
        <v>421</v>
      </c>
      <c r="G819" t="s">
        <v>1153</v>
      </c>
      <c r="H819" t="s">
        <v>1154</v>
      </c>
      <c r="I819" t="s">
        <v>139</v>
      </c>
      <c r="J819" t="s">
        <v>287</v>
      </c>
      <c r="K819" s="27">
        <f t="shared" si="245"/>
        <v>0.93210651077804862</v>
      </c>
      <c r="L819" s="27">
        <f t="shared" si="244"/>
        <v>0.93731746283627526</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0.96141917889497153</v>
      </c>
      <c r="S819" s="27">
        <f t="shared" si="244"/>
        <v>0.93365020902993845</v>
      </c>
      <c r="T819" s="27">
        <f t="shared" si="244"/>
        <v>0.95247824875548714</v>
      </c>
      <c r="U819" s="27">
        <f t="shared" si="244"/>
        <v>0.96182466181920945</v>
      </c>
      <c r="V819" s="27">
        <f t="shared" si="244"/>
        <v>0.96426556553319687</v>
      </c>
      <c r="W819" s="27">
        <f t="shared" si="244"/>
        <v>0.96773624393172708</v>
      </c>
      <c r="X819" s="27">
        <f t="shared" si="244"/>
        <v>0.97356006844995502</v>
      </c>
      <c r="Y819" s="27">
        <f t="shared" si="244"/>
        <v>0.98125354559469047</v>
      </c>
      <c r="Z819" s="27">
        <f t="shared" si="244"/>
        <v>0.9898672508653048</v>
      </c>
      <c r="AA819" s="27">
        <f t="shared" si="244"/>
        <v>0.99967246769291085</v>
      </c>
      <c r="AB819" s="27">
        <f t="shared" si="244"/>
        <v>1.0115098971796095</v>
      </c>
      <c r="AC819" s="27">
        <f t="shared" si="244"/>
        <v>1.0253107738752334</v>
      </c>
      <c r="AD819" s="27">
        <f t="shared" si="244"/>
        <v>1.0403318427526722</v>
      </c>
      <c r="AE819" s="27">
        <f t="shared" si="244"/>
        <v>1.0565595279914524</v>
      </c>
      <c r="AF819" s="27">
        <f t="shared" si="244"/>
        <v>1.0735820353165477</v>
      </c>
      <c r="AG819" s="27">
        <f t="shared" si="244"/>
        <v>1.0915897582793135</v>
      </c>
      <c r="AH819" s="27">
        <f t="shared" si="244"/>
        <v>1.1103975379258981</v>
      </c>
      <c r="AI819" s="27">
        <f t="shared" si="244"/>
        <v>1.1292806316402249</v>
      </c>
      <c r="AJ819" s="27">
        <f t="shared" si="244"/>
        <v>1.1493011664968118</v>
      </c>
      <c r="AK819" s="27">
        <f t="shared" si="244"/>
        <v>1.1697592856457866</v>
      </c>
      <c r="AL819" s="27">
        <f t="shared" si="244"/>
        <v>1.190602957487612</v>
      </c>
      <c r="AM819" s="27">
        <f t="shared" si="244"/>
        <v>1.2121679986970451</v>
      </c>
      <c r="AN819" s="27">
        <f t="shared" si="244"/>
        <v>1.2336493561978465</v>
      </c>
      <c r="AO819" s="27">
        <f t="shared" si="244"/>
        <v>1.2561625740927527</v>
      </c>
      <c r="AP819" s="27">
        <f t="shared" si="244"/>
        <v>1.2801233061925847</v>
      </c>
      <c r="AQ819" s="27">
        <f t="shared" si="244"/>
        <v>1.3048522554087716</v>
      </c>
      <c r="AR819" s="27">
        <f t="shared" si="244"/>
        <v>1.3303941603592482</v>
      </c>
      <c r="AS819" s="27">
        <f t="shared" si="244"/>
        <v>1.3575350064545193</v>
      </c>
      <c r="AT819" s="27">
        <f t="shared" si="244"/>
        <v>1.3860465376922328</v>
      </c>
      <c r="AU819" s="27">
        <f t="shared" si="244"/>
        <v>1.4157816542373405</v>
      </c>
      <c r="AV819" s="27">
        <f t="shared" si="244"/>
        <v>1.4472761604692133</v>
      </c>
      <c r="AW819" s="27">
        <f t="shared" si="244"/>
        <v>1.4775796814421152</v>
      </c>
      <c r="AY819" s="79"/>
      <c r="AZ819" s="79"/>
    </row>
    <row r="820" spans="1:52" x14ac:dyDescent="0.25">
      <c r="A820" s="95" t="str">
        <f t="shared" si="224"/>
        <v>BD Organic</v>
      </c>
      <c r="B820" s="95" t="s">
        <v>1227</v>
      </c>
      <c r="C820" s="95" t="s">
        <v>1126</v>
      </c>
      <c r="D820" t="s">
        <v>369</v>
      </c>
      <c r="E820" t="s">
        <v>55</v>
      </c>
      <c r="F820" t="s">
        <v>421</v>
      </c>
      <c r="G820" t="s">
        <v>1155</v>
      </c>
      <c r="H820" t="s">
        <v>1156</v>
      </c>
      <c r="I820" t="s">
        <v>139</v>
      </c>
      <c r="J820" t="s">
        <v>287</v>
      </c>
      <c r="K820" s="27">
        <f t="shared" si="245"/>
        <v>4.9862442750846919E-2</v>
      </c>
      <c r="L820" s="27">
        <f t="shared" si="244"/>
        <v>5.0141199304605817E-2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5.1430505218981189E-2</v>
      </c>
      <c r="S820" s="27">
        <f t="shared" si="244"/>
        <v>4.9945021903357263E-2</v>
      </c>
      <c r="T820" s="27">
        <f t="shared" si="244"/>
        <v>5.0952215868929084E-2</v>
      </c>
      <c r="U820" s="27">
        <f t="shared" si="244"/>
        <v>5.1452196269158888E-2</v>
      </c>
      <c r="V820" s="27">
        <f t="shared" si="244"/>
        <v>5.1582770855101254E-2</v>
      </c>
      <c r="W820" s="27">
        <f t="shared" si="244"/>
        <v>5.1768432580400064E-2</v>
      </c>
      <c r="X820" s="27">
        <f t="shared" si="244"/>
        <v>5.2079974355157911E-2</v>
      </c>
      <c r="Y820" s="27">
        <f t="shared" si="244"/>
        <v>5.2491532003611736E-2</v>
      </c>
      <c r="Z820" s="27">
        <f t="shared" si="244"/>
        <v>5.2952316668199217E-2</v>
      </c>
      <c r="AA820" s="27">
        <f t="shared" si="244"/>
        <v>5.3476840482884362E-2</v>
      </c>
      <c r="AB820" s="27">
        <f t="shared" si="244"/>
        <v>5.4110076216432663E-2</v>
      </c>
      <c r="AC820" s="27">
        <f t="shared" si="244"/>
        <v>5.4848345304986328E-2</v>
      </c>
      <c r="AD820" s="27">
        <f t="shared" si="244"/>
        <v>5.5651887795353253E-2</v>
      </c>
      <c r="AE820" s="27">
        <f t="shared" si="244"/>
        <v>5.651997745768382E-2</v>
      </c>
      <c r="AF820" s="27">
        <f t="shared" si="244"/>
        <v>5.7430585620118969E-2</v>
      </c>
      <c r="AG820" s="27">
        <f t="shared" si="244"/>
        <v>5.8393897264143985E-2</v>
      </c>
      <c r="AH820" s="27">
        <f t="shared" si="244"/>
        <v>5.9400007429725336E-2</v>
      </c>
      <c r="AI820" s="27">
        <f t="shared" si="244"/>
        <v>6.0410146473281176E-2</v>
      </c>
      <c r="AJ820" s="27">
        <f t="shared" si="244"/>
        <v>6.1481132204616346E-2</v>
      </c>
      <c r="AK820" s="27">
        <f t="shared" si="244"/>
        <v>6.2575526228325351E-2</v>
      </c>
      <c r="AL820" s="27">
        <f t="shared" si="244"/>
        <v>6.3690545147207192E-2</v>
      </c>
      <c r="AM820" s="27">
        <f t="shared" si="244"/>
        <v>6.4844153259897494E-2</v>
      </c>
      <c r="AN820" s="27">
        <f t="shared" si="244"/>
        <v>6.5993284766017041E-2</v>
      </c>
      <c r="AO820" s="27">
        <f t="shared" si="244"/>
        <v>6.7197614985194512E-2</v>
      </c>
      <c r="AP820" s="27">
        <f t="shared" si="244"/>
        <v>6.8479379052692538E-2</v>
      </c>
      <c r="AQ820" s="27">
        <f t="shared" si="244"/>
        <v>6.9802238404411326E-2</v>
      </c>
      <c r="AR820" s="27">
        <f t="shared" si="244"/>
        <v>7.1168586304156845E-2</v>
      </c>
      <c r="AS820" s="27">
        <f t="shared" si="244"/>
        <v>7.2620468539702415E-2</v>
      </c>
      <c r="AT820" s="27">
        <f t="shared" si="244"/>
        <v>7.4145674701917505E-2</v>
      </c>
      <c r="AU820" s="27">
        <f t="shared" si="244"/>
        <v>7.5736335779032549E-2</v>
      </c>
      <c r="AV820" s="27">
        <f t="shared" si="244"/>
        <v>7.742111428427241E-2</v>
      </c>
      <c r="AW820" s="27">
        <f t="shared" si="244"/>
        <v>7.9042181793391189E-2</v>
      </c>
      <c r="AY820" s="79"/>
      <c r="AZ820" s="79"/>
    </row>
    <row r="821" spans="1:52" x14ac:dyDescent="0.25">
      <c r="A821" s="95" t="str">
        <f t="shared" si="224"/>
        <v>BD Organic</v>
      </c>
      <c r="B821" s="95" t="s">
        <v>1227</v>
      </c>
      <c r="C821" s="95" t="s">
        <v>1126</v>
      </c>
      <c r="D821" t="s">
        <v>369</v>
      </c>
      <c r="E821" t="s">
        <v>55</v>
      </c>
      <c r="F821" t="s">
        <v>421</v>
      </c>
      <c r="G821" t="s">
        <v>1157</v>
      </c>
      <c r="H821" t="s">
        <v>1158</v>
      </c>
      <c r="I821" t="s">
        <v>139</v>
      </c>
      <c r="J821" t="s">
        <v>287</v>
      </c>
      <c r="K821" s="27">
        <f t="shared" si="245"/>
        <v>0.39999978998352292</v>
      </c>
      <c r="L821" s="27">
        <f t="shared" si="244"/>
        <v>0.39653071954810187</v>
      </c>
      <c r="M821" s="27">
        <f t="shared" si="244"/>
        <v>0.39521014945095007</v>
      </c>
      <c r="N821" s="27">
        <f t="shared" si="244"/>
        <v>0.38993263522397309</v>
      </c>
      <c r="O821" s="27">
        <f t="shared" si="244"/>
        <v>0.38227219443770077</v>
      </c>
      <c r="P821" s="27">
        <f t="shared" si="244"/>
        <v>0.37238723301511378</v>
      </c>
      <c r="Q821" s="27">
        <f t="shared" si="244"/>
        <v>0.36459067483623875</v>
      </c>
      <c r="R821" s="27">
        <f t="shared" si="244"/>
        <v>0.3572142444544395</v>
      </c>
      <c r="S821" s="27">
        <f t="shared" si="244"/>
        <v>0.31897606543396184</v>
      </c>
      <c r="T821" s="27">
        <f t="shared" si="244"/>
        <v>0.33422640738749132</v>
      </c>
      <c r="U821" s="27">
        <f t="shared" si="244"/>
        <v>0.3395060787066792</v>
      </c>
      <c r="V821" s="27">
        <f t="shared" si="244"/>
        <v>0.33721330134407257</v>
      </c>
      <c r="W821" s="27">
        <f t="shared" si="244"/>
        <v>0.33534828840095249</v>
      </c>
      <c r="X821" s="27">
        <f t="shared" si="244"/>
        <v>0.33547079917503503</v>
      </c>
      <c r="Y821" s="27">
        <f t="shared" si="244"/>
        <v>0.33744070936588777</v>
      </c>
      <c r="Z821" s="27">
        <f t="shared" si="244"/>
        <v>0.34023587672815686</v>
      </c>
      <c r="AA821" s="27">
        <f t="shared" si="244"/>
        <v>0.34408144868680218</v>
      </c>
      <c r="AB821" s="27">
        <f t="shared" si="244"/>
        <v>0.34971445697084458</v>
      </c>
      <c r="AC821" s="27">
        <f t="shared" si="244"/>
        <v>0.35697581238959336</v>
      </c>
      <c r="AD821" s="27">
        <f t="shared" si="244"/>
        <v>0.36203839361176637</v>
      </c>
      <c r="AE821" s="27">
        <f t="shared" si="244"/>
        <v>0.36769900977315834</v>
      </c>
      <c r="AF821" s="27">
        <f t="shared" si="244"/>
        <v>0.37353106948354631</v>
      </c>
      <c r="AG821" s="27">
        <f t="shared" si="244"/>
        <v>0.37966412521229187</v>
      </c>
      <c r="AH821" s="27">
        <f t="shared" si="244"/>
        <v>0.38588904144354591</v>
      </c>
      <c r="AI821" s="27">
        <f t="shared" si="244"/>
        <v>0.39157349610813613</v>
      </c>
      <c r="AJ821" s="27">
        <f t="shared" si="244"/>
        <v>0.39756955250590403</v>
      </c>
      <c r="AK821" s="27">
        <f t="shared" si="244"/>
        <v>0.40329410820183131</v>
      </c>
      <c r="AL821" s="27">
        <f t="shared" si="244"/>
        <v>0.4086920134239358</v>
      </c>
      <c r="AM821" s="27">
        <f t="shared" si="244"/>
        <v>0.41399400883192944</v>
      </c>
      <c r="AN821" s="27">
        <f t="shared" si="244"/>
        <v>0.42072674060954357</v>
      </c>
      <c r="AO821" s="27">
        <f t="shared" si="244"/>
        <v>0.42769047193917231</v>
      </c>
      <c r="AP821" s="27">
        <f t="shared" si="244"/>
        <v>0.43513827260891708</v>
      </c>
      <c r="AQ821" s="27">
        <f t="shared" si="244"/>
        <v>0.44255709633783841</v>
      </c>
      <c r="AR821" s="27">
        <f t="shared" si="244"/>
        <v>0.44995657231615971</v>
      </c>
      <c r="AS821" s="27">
        <f t="shared" si="244"/>
        <v>0.45782299471336541</v>
      </c>
      <c r="AT821" s="27">
        <f t="shared" si="244"/>
        <v>0.46595268200970025</v>
      </c>
      <c r="AU821" s="27">
        <f t="shared" si="244"/>
        <v>0.47420429180526752</v>
      </c>
      <c r="AV821" s="27">
        <f t="shared" si="244"/>
        <v>0.48285863154123199</v>
      </c>
      <c r="AW821" s="27">
        <f t="shared" si="244"/>
        <v>0.4901142188549843</v>
      </c>
      <c r="AY821" s="79"/>
      <c r="AZ821" s="79"/>
    </row>
    <row r="822" spans="1:52" x14ac:dyDescent="0.25">
      <c r="A822" s="95" t="str">
        <f t="shared" si="224"/>
        <v>BD Organic</v>
      </c>
      <c r="B822" s="95" t="s">
        <v>1227</v>
      </c>
      <c r="C822" s="95" t="s">
        <v>1126</v>
      </c>
      <c r="D822" t="s">
        <v>369</v>
      </c>
      <c r="E822" t="s">
        <v>55</v>
      </c>
      <c r="F822" t="s">
        <v>421</v>
      </c>
      <c r="G822" t="s">
        <v>1159</v>
      </c>
      <c r="H822" t="s">
        <v>1160</v>
      </c>
      <c r="I822" t="s">
        <v>139</v>
      </c>
      <c r="J822" t="s">
        <v>287</v>
      </c>
      <c r="K822" s="27">
        <f t="shared" si="245"/>
        <v>2.6602988559851233</v>
      </c>
      <c r="L822" s="27">
        <f t="shared" si="244"/>
        <v>2.6372269335947083</v>
      </c>
      <c r="M822" s="27">
        <f t="shared" si="244"/>
        <v>2.6284441511866339</v>
      </c>
      <c r="N822" s="27">
        <f t="shared" si="244"/>
        <v>2.5933447201068058</v>
      </c>
      <c r="O822" s="27">
        <f t="shared" si="244"/>
        <v>2.5423970387070192</v>
      </c>
      <c r="P822" s="27">
        <f t="shared" ref="L822:AW828" si="246">P1470</f>
        <v>2.4766546252796311</v>
      </c>
      <c r="Q822" s="27">
        <f t="shared" si="246"/>
        <v>2.4248016610449818</v>
      </c>
      <c r="R822" s="27">
        <f t="shared" si="246"/>
        <v>2.3757428620222045</v>
      </c>
      <c r="S822" s="27">
        <f t="shared" si="246"/>
        <v>2.1214302687397906</v>
      </c>
      <c r="T822" s="27">
        <f t="shared" si="246"/>
        <v>2.2228564901236254</v>
      </c>
      <c r="U822" s="27">
        <f t="shared" si="246"/>
        <v>2.2579702674858382</v>
      </c>
      <c r="V822" s="27">
        <f t="shared" si="246"/>
        <v>2.2427215769927198</v>
      </c>
      <c r="W822" s="27">
        <f t="shared" si="246"/>
        <v>2.230317840982798</v>
      </c>
      <c r="X822" s="27">
        <f t="shared" si="246"/>
        <v>2.2311326295909391</v>
      </c>
      <c r="Y822" s="27">
        <f t="shared" si="246"/>
        <v>2.2442340110375012</v>
      </c>
      <c r="Z822" s="27">
        <f t="shared" si="246"/>
        <v>2.2628239721383245</v>
      </c>
      <c r="AA822" s="27">
        <f t="shared" si="246"/>
        <v>2.2883999122722289</v>
      </c>
      <c r="AB822" s="27">
        <f t="shared" si="246"/>
        <v>2.3258636456767143</v>
      </c>
      <c r="AC822" s="27">
        <f t="shared" si="246"/>
        <v>2.3741571098162688</v>
      </c>
      <c r="AD822" s="27">
        <f t="shared" si="246"/>
        <v>2.4078270750785844</v>
      </c>
      <c r="AE822" s="27">
        <f t="shared" si="246"/>
        <v>2.4454744215907969</v>
      </c>
      <c r="AF822" s="27">
        <f t="shared" si="246"/>
        <v>2.4842619963948258</v>
      </c>
      <c r="AG822" s="27">
        <f t="shared" si="246"/>
        <v>2.5250514206581411</v>
      </c>
      <c r="AH822" s="27">
        <f t="shared" si="246"/>
        <v>2.5664517862165597</v>
      </c>
      <c r="AI822" s="27">
        <f t="shared" si="246"/>
        <v>2.6042576766689809</v>
      </c>
      <c r="AJ822" s="27">
        <f t="shared" si="246"/>
        <v>2.6441359525452293</v>
      </c>
      <c r="AK822" s="27">
        <f t="shared" si="246"/>
        <v>2.6822085449571547</v>
      </c>
      <c r="AL822" s="27">
        <f t="shared" si="246"/>
        <v>2.7181086665238992</v>
      </c>
      <c r="AM822" s="27">
        <f t="shared" si="246"/>
        <v>2.7533709158338433</v>
      </c>
      <c r="AN822" s="27">
        <f t="shared" si="246"/>
        <v>2.7981486359580932</v>
      </c>
      <c r="AO822" s="27">
        <f t="shared" si="246"/>
        <v>2.8444626764988703</v>
      </c>
      <c r="AP822" s="27">
        <f t="shared" si="246"/>
        <v>2.8939961415092981</v>
      </c>
      <c r="AQ822" s="27">
        <f t="shared" si="246"/>
        <v>2.9433368881122353</v>
      </c>
      <c r="AR822" s="27">
        <f t="shared" si="246"/>
        <v>2.9925489576506421</v>
      </c>
      <c r="AS822" s="27">
        <f t="shared" si="246"/>
        <v>3.0448665713794991</v>
      </c>
      <c r="AT822" s="27">
        <f t="shared" si="246"/>
        <v>3.0989350943025911</v>
      </c>
      <c r="AU822" s="27">
        <f t="shared" si="246"/>
        <v>3.1538144933644965</v>
      </c>
      <c r="AV822" s="27">
        <f t="shared" si="246"/>
        <v>3.211372348831973</v>
      </c>
      <c r="AW822" s="27">
        <f t="shared" si="246"/>
        <v>3.2596274507435776</v>
      </c>
      <c r="AY822" s="79"/>
      <c r="AZ822" s="79"/>
    </row>
    <row r="823" spans="1:52" x14ac:dyDescent="0.25">
      <c r="A823" s="95" t="str">
        <f t="shared" si="224"/>
        <v>BD Organic</v>
      </c>
      <c r="B823" s="95" t="s">
        <v>1227</v>
      </c>
      <c r="C823" s="95" t="s">
        <v>1126</v>
      </c>
      <c r="D823" t="s">
        <v>369</v>
      </c>
      <c r="E823" t="s">
        <v>55</v>
      </c>
      <c r="F823" t="s">
        <v>421</v>
      </c>
      <c r="G823" t="s">
        <v>1161</v>
      </c>
      <c r="H823" t="s">
        <v>1162</v>
      </c>
      <c r="I823" t="s">
        <v>139</v>
      </c>
      <c r="J823" t="s">
        <v>287</v>
      </c>
      <c r="K823" s="27">
        <f t="shared" si="245"/>
        <v>0.34358078636628725</v>
      </c>
      <c r="L823" s="27">
        <f t="shared" si="246"/>
        <v>0.35516571939691488</v>
      </c>
      <c r="M823" s="27">
        <f t="shared" si="246"/>
        <v>0.36891582276573964</v>
      </c>
      <c r="N823" s="27">
        <f t="shared" si="246"/>
        <v>0.37917034791782084</v>
      </c>
      <c r="O823" s="27">
        <f t="shared" si="246"/>
        <v>0.3870785095581884</v>
      </c>
      <c r="P823" s="27">
        <f t="shared" si="246"/>
        <v>0.39252728601928993</v>
      </c>
      <c r="Q823" s="27">
        <f t="shared" si="246"/>
        <v>0.39996713645364929</v>
      </c>
      <c r="R823" s="27">
        <f t="shared" si="246"/>
        <v>0.40776627193753145</v>
      </c>
      <c r="S823" s="27">
        <f t="shared" si="246"/>
        <v>0.37883271565803223</v>
      </c>
      <c r="T823" s="27">
        <f t="shared" si="246"/>
        <v>0.40650829214497081</v>
      </c>
      <c r="U823" s="27">
        <f t="shared" si="246"/>
        <v>0.42274175542300491</v>
      </c>
      <c r="V823" s="27">
        <f t="shared" si="246"/>
        <v>0.42973734716787138</v>
      </c>
      <c r="W823" s="27">
        <f t="shared" si="246"/>
        <v>0.43726842004421129</v>
      </c>
      <c r="X823" s="27">
        <f t="shared" si="246"/>
        <v>0.44745878466388073</v>
      </c>
      <c r="Y823" s="27">
        <f t="shared" si="246"/>
        <v>0.46030289933226931</v>
      </c>
      <c r="Z823" s="27">
        <f t="shared" si="246"/>
        <v>0.47455223837766919</v>
      </c>
      <c r="AA823" s="27">
        <f t="shared" si="246"/>
        <v>0.4906141484694207</v>
      </c>
      <c r="AB823" s="27">
        <f t="shared" si="246"/>
        <v>0.50967264018855052</v>
      </c>
      <c r="AC823" s="27">
        <f t="shared" si="246"/>
        <v>0.53167442702617229</v>
      </c>
      <c r="AD823" s="27">
        <f t="shared" si="246"/>
        <v>0.55709637533943834</v>
      </c>
      <c r="AE823" s="27">
        <f t="shared" si="246"/>
        <v>0.58460645913698228</v>
      </c>
      <c r="AF823" s="27">
        <f t="shared" si="246"/>
        <v>0.61366166383859366</v>
      </c>
      <c r="AG823" s="27">
        <f t="shared" si="246"/>
        <v>0.64458089754098746</v>
      </c>
      <c r="AH823" s="27">
        <f t="shared" si="246"/>
        <v>0.67712551028517698</v>
      </c>
      <c r="AI823" s="27">
        <f t="shared" si="246"/>
        <v>0.71024940806884818</v>
      </c>
      <c r="AJ823" s="27">
        <f t="shared" si="246"/>
        <v>0.74554239669460731</v>
      </c>
      <c r="AK823" s="27">
        <f t="shared" si="246"/>
        <v>0.78202811985737553</v>
      </c>
      <c r="AL823" s="27">
        <f t="shared" si="246"/>
        <v>0.81964634511188172</v>
      </c>
      <c r="AM823" s="27">
        <f t="shared" si="246"/>
        <v>0.85891861421537574</v>
      </c>
      <c r="AN823" s="27">
        <f t="shared" si="246"/>
        <v>0.89751581296509064</v>
      </c>
      <c r="AO823" s="27">
        <f t="shared" si="246"/>
        <v>0.93820295986961577</v>
      </c>
      <c r="AP823" s="27">
        <f t="shared" si="246"/>
        <v>0.98167178661912335</v>
      </c>
      <c r="AQ823" s="27">
        <f t="shared" si="246"/>
        <v>1.0269093365438573</v>
      </c>
      <c r="AR823" s="27">
        <f t="shared" si="246"/>
        <v>1.0740254053264544</v>
      </c>
      <c r="AS823" s="27">
        <f t="shared" si="246"/>
        <v>1.1243087675322185</v>
      </c>
      <c r="AT823" s="27">
        <f t="shared" si="246"/>
        <v>1.1774495119019792</v>
      </c>
      <c r="AU823" s="27">
        <f t="shared" si="246"/>
        <v>1.2332540246283563</v>
      </c>
      <c r="AV823" s="27">
        <f t="shared" si="246"/>
        <v>1.2926278816392183</v>
      </c>
      <c r="AW823" s="27">
        <f t="shared" si="246"/>
        <v>1.3508373812373191</v>
      </c>
      <c r="AY823" s="79"/>
      <c r="AZ823" s="79"/>
    </row>
    <row r="824" spans="1:52" x14ac:dyDescent="0.25">
      <c r="A824" s="95" t="str">
        <f t="shared" si="224"/>
        <v>BD Organic</v>
      </c>
      <c r="B824" s="95" t="s">
        <v>1227</v>
      </c>
      <c r="C824" s="95" t="s">
        <v>1126</v>
      </c>
      <c r="D824" t="s">
        <v>369</v>
      </c>
      <c r="E824" t="s">
        <v>55</v>
      </c>
      <c r="F824" t="s">
        <v>421</v>
      </c>
      <c r="G824" t="s">
        <v>1163</v>
      </c>
      <c r="H824" t="s">
        <v>1164</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5.9206646241484272E-2</v>
      </c>
      <c r="T824" s="27">
        <f t="shared" si="246"/>
        <v>5.9249261961011081E-2</v>
      </c>
      <c r="U824" s="27">
        <f t="shared" si="246"/>
        <v>5.9234279181673045E-2</v>
      </c>
      <c r="V824" s="27">
        <f t="shared" si="246"/>
        <v>5.9233200541063784E-2</v>
      </c>
      <c r="W824" s="27">
        <f t="shared" si="246"/>
        <v>5.9296029757579687E-2</v>
      </c>
      <c r="X824" s="27">
        <f t="shared" si="246"/>
        <v>5.9398855559527265E-2</v>
      </c>
      <c r="Y824" s="27">
        <f t="shared" si="246"/>
        <v>5.9497518057295966E-2</v>
      </c>
      <c r="Z824" s="27">
        <f t="shared" si="246"/>
        <v>5.9592335556578689E-2</v>
      </c>
      <c r="AA824" s="27">
        <f t="shared" si="246"/>
        <v>5.9683178655916949E-2</v>
      </c>
      <c r="AB824" s="27">
        <f t="shared" si="246"/>
        <v>5.9771940504679918E-2</v>
      </c>
      <c r="AC824" s="27">
        <f t="shared" si="246"/>
        <v>5.9859917680633305E-2</v>
      </c>
      <c r="AD824" s="27">
        <f t="shared" si="246"/>
        <v>5.994622744604354E-2</v>
      </c>
      <c r="AE824" s="27">
        <f t="shared" si="246"/>
        <v>6.0032110794538678E-2</v>
      </c>
      <c r="AF824" s="27">
        <f t="shared" si="246"/>
        <v>6.0117297176971563E-2</v>
      </c>
      <c r="AG824" s="27">
        <f t="shared" si="246"/>
        <v>6.0201104026504609E-2</v>
      </c>
      <c r="AH824" s="27">
        <f t="shared" si="246"/>
        <v>6.0283900321551377E-2</v>
      </c>
      <c r="AI824" s="27">
        <f t="shared" si="246"/>
        <v>6.0365774417580641E-2</v>
      </c>
      <c r="AJ824" s="27">
        <f t="shared" si="246"/>
        <v>6.0447004272429113E-2</v>
      </c>
      <c r="AK824" s="27">
        <f t="shared" si="246"/>
        <v>6.0525104414191039E-2</v>
      </c>
      <c r="AL824" s="27">
        <f t="shared" si="246"/>
        <v>6.0599983467265146E-2</v>
      </c>
      <c r="AM824" s="27">
        <f t="shared" si="246"/>
        <v>6.0672341257529266E-2</v>
      </c>
      <c r="AN824" s="27">
        <f t="shared" si="246"/>
        <v>6.0741620622323307E-2</v>
      </c>
      <c r="AO824" s="27">
        <f t="shared" si="246"/>
        <v>6.0807947239837602E-2</v>
      </c>
      <c r="AP824" s="27">
        <f t="shared" si="246"/>
        <v>6.0871022373773183E-2</v>
      </c>
      <c r="AQ824" s="27">
        <f t="shared" si="246"/>
        <v>6.0929943414023247E-2</v>
      </c>
      <c r="AR824" s="27">
        <f t="shared" si="246"/>
        <v>6.098387393162142E-2</v>
      </c>
      <c r="AS824" s="27">
        <f t="shared" si="246"/>
        <v>6.1032759441621343E-2</v>
      </c>
      <c r="AT824" s="27">
        <f t="shared" si="246"/>
        <v>6.1076225850700765E-2</v>
      </c>
      <c r="AU824" s="27">
        <f t="shared" si="246"/>
        <v>6.1114252195612971E-2</v>
      </c>
      <c r="AV824" s="27">
        <f t="shared" si="246"/>
        <v>6.1147566184616489E-2</v>
      </c>
      <c r="AW824" s="27">
        <f t="shared" si="246"/>
        <v>6.1171840771151238E-2</v>
      </c>
      <c r="AY824" s="79"/>
      <c r="AZ824" s="79"/>
    </row>
    <row r="825" spans="1:52" x14ac:dyDescent="0.25">
      <c r="A825" s="95" t="str">
        <f t="shared" si="224"/>
        <v>BD Organic</v>
      </c>
      <c r="B825" s="95" t="s">
        <v>1227</v>
      </c>
      <c r="C825" s="95" t="s">
        <v>1126</v>
      </c>
      <c r="D825" t="s">
        <v>369</v>
      </c>
      <c r="E825" t="s">
        <v>55</v>
      </c>
      <c r="F825" t="s">
        <v>421</v>
      </c>
      <c r="G825" t="s">
        <v>1165</v>
      </c>
      <c r="H825" t="s">
        <v>1166</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4.8186162011392024E-2</v>
      </c>
      <c r="T825" s="27">
        <f t="shared" si="246"/>
        <v>4.8220845414281899E-2</v>
      </c>
      <c r="U825" s="27">
        <f t="shared" si="246"/>
        <v>4.8208651468527576E-2</v>
      </c>
      <c r="V825" s="27">
        <f t="shared" si="246"/>
        <v>4.8207773601692518E-2</v>
      </c>
      <c r="W825" s="27">
        <f t="shared" si="246"/>
        <v>4.8258908043487037E-2</v>
      </c>
      <c r="X825" s="27">
        <f t="shared" si="246"/>
        <v>4.8342594269039987E-2</v>
      </c>
      <c r="Y825" s="27">
        <f t="shared" si="246"/>
        <v>4.8422892130914143E-2</v>
      </c>
      <c r="Z825" s="27">
        <f t="shared" si="246"/>
        <v>4.8500060686675887E-2</v>
      </c>
      <c r="AA825" s="27">
        <f t="shared" si="246"/>
        <v>4.8573994621127721E-2</v>
      </c>
      <c r="AB825" s="27">
        <f t="shared" si="246"/>
        <v>4.8646234700518105E-2</v>
      </c>
      <c r="AC825" s="27">
        <f t="shared" si="246"/>
        <v>4.8717836162902997E-2</v>
      </c>
      <c r="AD825" s="27">
        <f t="shared" si="246"/>
        <v>4.8788080579758822E-2</v>
      </c>
      <c r="AE825" s="27">
        <f t="shared" si="246"/>
        <v>4.8857977951209122E-2</v>
      </c>
      <c r="AF825" s="27">
        <f t="shared" si="246"/>
        <v>4.8927308087024161E-2</v>
      </c>
      <c r="AG825" s="27">
        <f t="shared" si="246"/>
        <v>4.8995515470580273E-2</v>
      </c>
      <c r="AH825" s="27">
        <f t="shared" si="246"/>
        <v>4.9062900400150392E-2</v>
      </c>
      <c r="AI825" s="27">
        <f t="shared" si="246"/>
        <v>4.9129534785075896E-2</v>
      </c>
      <c r="AJ825" s="27">
        <f t="shared" si="246"/>
        <v>4.9195644845252684E-2</v>
      </c>
      <c r="AK825" s="27">
        <f t="shared" si="246"/>
        <v>4.9259207744402629E-2</v>
      </c>
      <c r="AL825" s="27">
        <f t="shared" si="246"/>
        <v>4.9320149115207046E-2</v>
      </c>
      <c r="AM825" s="27">
        <f t="shared" si="246"/>
        <v>4.9379038520802346E-2</v>
      </c>
      <c r="AN825" s="27">
        <f t="shared" si="246"/>
        <v>4.9435422506519014E-2</v>
      </c>
      <c r="AO825" s="27">
        <f t="shared" si="246"/>
        <v>4.9489403357320404E-2</v>
      </c>
      <c r="AP825" s="27">
        <f t="shared" si="246"/>
        <v>4.9540737942466703E-2</v>
      </c>
      <c r="AQ825" s="27">
        <f t="shared" si="246"/>
        <v>4.9588691660023831E-2</v>
      </c>
      <c r="AR825" s="27">
        <f t="shared" si="246"/>
        <v>4.9632583770509955E-2</v>
      </c>
      <c r="AS825" s="27">
        <f t="shared" si="246"/>
        <v>4.9672369930584929E-2</v>
      </c>
      <c r="AT825" s="27">
        <f t="shared" si="246"/>
        <v>4.9707745679135391E-2</v>
      </c>
      <c r="AU825" s="27">
        <f t="shared" si="246"/>
        <v>4.9738693954928054E-2</v>
      </c>
      <c r="AV825" s="27">
        <f t="shared" si="246"/>
        <v>4.9765807013567136E-2</v>
      </c>
      <c r="AW825" s="27">
        <f t="shared" si="246"/>
        <v>4.9785563227333289E-2</v>
      </c>
      <c r="AY825" s="79"/>
      <c r="AZ825" s="79"/>
    </row>
    <row r="826" spans="1:52" x14ac:dyDescent="0.25">
      <c r="A826" s="95" t="str">
        <f t="shared" si="224"/>
        <v>BD Organic</v>
      </c>
      <c r="B826" s="95" t="s">
        <v>1227</v>
      </c>
      <c r="C826" s="95" t="s">
        <v>1126</v>
      </c>
      <c r="D826" t="s">
        <v>369</v>
      </c>
      <c r="E826" t="s">
        <v>55</v>
      </c>
      <c r="F826" t="s">
        <v>421</v>
      </c>
      <c r="G826" t="s">
        <v>1167</v>
      </c>
      <c r="H826" t="s">
        <v>1168</v>
      </c>
      <c r="I826" t="s">
        <v>139</v>
      </c>
      <c r="J826" t="s">
        <v>287</v>
      </c>
      <c r="K826" s="27">
        <f t="shared" si="245"/>
        <v>7.2140927380493743E-3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7.4155715935563127E-3</v>
      </c>
      <c r="R826" s="27">
        <f t="shared" si="246"/>
        <v>7.4643602602570466E-3</v>
      </c>
      <c r="S826" s="27">
        <f t="shared" si="246"/>
        <v>7.446057759840319E-3</v>
      </c>
      <c r="T826" s="27">
        <f t="shared" si="246"/>
        <v>7.4588575402652147E-3</v>
      </c>
      <c r="U826" s="27">
        <f t="shared" si="246"/>
        <v>7.4600996121267065E-3</v>
      </c>
      <c r="V826" s="27">
        <f t="shared" si="246"/>
        <v>7.4635145174609509E-3</v>
      </c>
      <c r="W826" s="27">
        <f t="shared" si="246"/>
        <v>7.478612742540797E-3</v>
      </c>
      <c r="X826" s="27">
        <f t="shared" si="246"/>
        <v>7.5008213874242727E-3</v>
      </c>
      <c r="Y826" s="27">
        <f t="shared" si="246"/>
        <v>7.521785176202795E-3</v>
      </c>
      <c r="Z826" s="27">
        <f t="shared" si="246"/>
        <v>7.5416026776079998E-3</v>
      </c>
      <c r="AA826" s="27">
        <f t="shared" si="246"/>
        <v>7.5602840353540396E-3</v>
      </c>
      <c r="AB826" s="27">
        <f t="shared" si="246"/>
        <v>7.5782158017585468E-3</v>
      </c>
      <c r="AC826" s="27">
        <f t="shared" si="246"/>
        <v>7.5956670242534503E-3</v>
      </c>
      <c r="AD826" s="27">
        <f t="shared" si="246"/>
        <v>7.6124952267758277E-3</v>
      </c>
      <c r="AE826" s="27">
        <f t="shared" si="246"/>
        <v>7.6289531687582885E-3</v>
      </c>
      <c r="AF826" s="27">
        <f t="shared" si="246"/>
        <v>7.6450086817527159E-3</v>
      </c>
      <c r="AG826" s="27">
        <f t="shared" si="246"/>
        <v>7.6605519051480614E-3</v>
      </c>
      <c r="AH826" s="27">
        <f t="shared" si="246"/>
        <v>7.6756674337729895E-3</v>
      </c>
      <c r="AI826" s="27">
        <f t="shared" si="246"/>
        <v>7.6903861453690046E-3</v>
      </c>
      <c r="AJ826" s="27">
        <f t="shared" si="246"/>
        <v>7.7047726653034906E-3</v>
      </c>
      <c r="AK826" s="27">
        <f t="shared" si="246"/>
        <v>7.7183809322326768E-3</v>
      </c>
      <c r="AL826" s="27">
        <f t="shared" si="246"/>
        <v>7.7312077295111602E-3</v>
      </c>
      <c r="AM826" s="27">
        <f t="shared" si="246"/>
        <v>7.7433943538670266E-3</v>
      </c>
      <c r="AN826" s="27">
        <f t="shared" si="246"/>
        <v>7.7548499619508725E-3</v>
      </c>
      <c r="AO826" s="27">
        <f t="shared" si="246"/>
        <v>7.7656086534531824E-3</v>
      </c>
      <c r="AP826" s="27">
        <f t="shared" si="246"/>
        <v>7.7756261682697366E-3</v>
      </c>
      <c r="AQ826" s="27">
        <f t="shared" si="246"/>
        <v>7.7847478814032966E-3</v>
      </c>
      <c r="AR826" s="27">
        <f t="shared" si="246"/>
        <v>7.7928317537802119E-3</v>
      </c>
      <c r="AS826" s="27">
        <f t="shared" si="246"/>
        <v>7.7998783369461555E-3</v>
      </c>
      <c r="AT826" s="27">
        <f t="shared" si="246"/>
        <v>7.8058297320024528E-3</v>
      </c>
      <c r="AU826" s="27">
        <f t="shared" si="246"/>
        <v>7.8106919749548918E-3</v>
      </c>
      <c r="AV826" s="27">
        <f t="shared" si="246"/>
        <v>7.8146060933627498E-3</v>
      </c>
      <c r="AW826" s="27">
        <f t="shared" si="246"/>
        <v>7.8167990100407609E-3</v>
      </c>
      <c r="AY826" s="79"/>
      <c r="AZ826" s="79"/>
    </row>
    <row r="827" spans="1:52" x14ac:dyDescent="0.25">
      <c r="A827" s="95" t="str">
        <f t="shared" si="224"/>
        <v>BD Organic</v>
      </c>
      <c r="B827" s="95" t="s">
        <v>1227</v>
      </c>
      <c r="C827" s="95" t="s">
        <v>1126</v>
      </c>
      <c r="D827" t="s">
        <v>369</v>
      </c>
      <c r="E827" t="s">
        <v>55</v>
      </c>
      <c r="F827" t="s">
        <v>421</v>
      </c>
      <c r="G827" t="s">
        <v>1169</v>
      </c>
      <c r="H827" t="s">
        <v>1170</v>
      </c>
      <c r="I827" t="s">
        <v>139</v>
      </c>
      <c r="J827" t="s">
        <v>287</v>
      </c>
      <c r="K827" s="27">
        <f t="shared" si="245"/>
        <v>8.7045671471293523E-2</v>
      </c>
      <c r="L827" s="27">
        <f t="shared" si="246"/>
        <v>8.7271948200639354E-2</v>
      </c>
      <c r="M827" s="27">
        <f t="shared" si="246"/>
        <v>8.7584088952434122E-2</v>
      </c>
      <c r="N827" s="27">
        <f t="shared" si="246"/>
        <v>8.7964358824768801E-2</v>
      </c>
      <c r="O827" s="27">
        <f t="shared" si="246"/>
        <v>8.8412215452112072E-2</v>
      </c>
      <c r="P827" s="27">
        <f t="shared" si="246"/>
        <v>8.8924932944132923E-2</v>
      </c>
      <c r="Q827" s="27">
        <f t="shared" si="246"/>
        <v>8.9476727309038565E-2</v>
      </c>
      <c r="R827" s="27">
        <f t="shared" si="246"/>
        <v>9.0065414259340087E-2</v>
      </c>
      <c r="S827" s="27">
        <f t="shared" si="246"/>
        <v>8.9844575202202001E-2</v>
      </c>
      <c r="T827" s="27">
        <f t="shared" si="246"/>
        <v>8.9999018113074689E-2</v>
      </c>
      <c r="U827" s="27">
        <f t="shared" si="246"/>
        <v>9.0014005025930557E-2</v>
      </c>
      <c r="V827" s="27">
        <f t="shared" si="246"/>
        <v>9.0055209476527981E-2</v>
      </c>
      <c r="W827" s="27">
        <f t="shared" si="246"/>
        <v>9.0237385557127583E-2</v>
      </c>
      <c r="X827" s="27">
        <f t="shared" si="246"/>
        <v>9.0505356385413932E-2</v>
      </c>
      <c r="Y827" s="27">
        <f t="shared" si="246"/>
        <v>9.0758306705997438E-2</v>
      </c>
      <c r="Z827" s="27">
        <f t="shared" si="246"/>
        <v>9.0997425855048733E-2</v>
      </c>
      <c r="AA827" s="27">
        <f t="shared" si="246"/>
        <v>9.122283622722524E-2</v>
      </c>
      <c r="AB827" s="27">
        <f t="shared" si="246"/>
        <v>9.1439201985751464E-2</v>
      </c>
      <c r="AC827" s="27">
        <f t="shared" si="246"/>
        <v>9.1649769472921652E-2</v>
      </c>
      <c r="AD827" s="27">
        <f t="shared" si="246"/>
        <v>9.1852819564097965E-2</v>
      </c>
      <c r="AE827" s="27">
        <f t="shared" si="246"/>
        <v>9.2051402069607366E-2</v>
      </c>
      <c r="AF827" s="27">
        <f t="shared" si="246"/>
        <v>9.224512884304413E-2</v>
      </c>
      <c r="AG827" s="27">
        <f t="shared" si="246"/>
        <v>9.2432674299750023E-2</v>
      </c>
      <c r="AH827" s="27">
        <f t="shared" si="246"/>
        <v>9.261505916595239E-2</v>
      </c>
      <c r="AI827" s="27">
        <f t="shared" si="246"/>
        <v>9.2792656014314204E-2</v>
      </c>
      <c r="AJ827" s="27">
        <f t="shared" si="246"/>
        <v>9.2966244618356883E-2</v>
      </c>
      <c r="AK827" s="27">
        <f t="shared" si="246"/>
        <v>9.3130442775411881E-2</v>
      </c>
      <c r="AL827" s="27">
        <f t="shared" si="246"/>
        <v>9.3285211673244717E-2</v>
      </c>
      <c r="AM827" s="27">
        <f t="shared" si="246"/>
        <v>9.3432256206569059E-2</v>
      </c>
      <c r="AN827" s="27">
        <f t="shared" si="246"/>
        <v>9.3570480254135169E-2</v>
      </c>
      <c r="AO827" s="27">
        <f t="shared" si="246"/>
        <v>9.3700295264833783E-2</v>
      </c>
      <c r="AP827" s="27">
        <f t="shared" si="246"/>
        <v>9.3821167193618646E-2</v>
      </c>
      <c r="AQ827" s="27">
        <f t="shared" si="246"/>
        <v>9.3931230326088647E-2</v>
      </c>
      <c r="AR827" s="27">
        <f t="shared" si="246"/>
        <v>9.4028770810344664E-2</v>
      </c>
      <c r="AS827" s="27">
        <f t="shared" si="246"/>
        <v>9.4113795301369402E-2</v>
      </c>
      <c r="AT827" s="27">
        <f t="shared" si="246"/>
        <v>9.4185605187612459E-2</v>
      </c>
      <c r="AU827" s="27">
        <f t="shared" si="246"/>
        <v>9.4244273299878237E-2</v>
      </c>
      <c r="AV827" s="27">
        <f t="shared" si="246"/>
        <v>9.429150128507352E-2</v>
      </c>
      <c r="AW827" s="27">
        <f t="shared" si="246"/>
        <v>9.4317961147962676E-2</v>
      </c>
      <c r="AY827" s="79"/>
      <c r="AZ827" s="79"/>
    </row>
    <row r="828" spans="1:52" x14ac:dyDescent="0.25">
      <c r="A828" s="95" t="str">
        <f t="shared" si="224"/>
        <v>BD Organic</v>
      </c>
      <c r="B828" s="95" t="s">
        <v>1227</v>
      </c>
      <c r="C828" s="95" t="s">
        <v>1126</v>
      </c>
      <c r="D828" t="s">
        <v>369</v>
      </c>
      <c r="E828" t="s">
        <v>55</v>
      </c>
      <c r="F828" t="s">
        <v>421</v>
      </c>
      <c r="G828" t="s">
        <v>1171</v>
      </c>
      <c r="H828" t="s">
        <v>1172</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5">
      <c r="A829" s="95" t="str">
        <f t="shared" si="224"/>
        <v>BD Organic</v>
      </c>
      <c r="B829" s="95" t="s">
        <v>1227</v>
      </c>
      <c r="C829" s="95" t="s">
        <v>1126</v>
      </c>
      <c r="D829" t="s">
        <v>369</v>
      </c>
      <c r="E829" t="s">
        <v>55</v>
      </c>
      <c r="F829" t="s">
        <v>421</v>
      </c>
      <c r="G829" t="s">
        <v>1173</v>
      </c>
      <c r="H829" t="s">
        <v>1174</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5">
      <c r="A830" s="95" t="str">
        <f t="shared" si="224"/>
        <v>BD Organic</v>
      </c>
      <c r="B830" s="95" t="s">
        <v>1227</v>
      </c>
      <c r="C830" s="95" t="s">
        <v>1126</v>
      </c>
      <c r="D830" t="s">
        <v>369</v>
      </c>
      <c r="E830" t="s">
        <v>55</v>
      </c>
      <c r="F830" t="s">
        <v>421</v>
      </c>
      <c r="G830" t="s">
        <v>1175</v>
      </c>
      <c r="H830" t="s">
        <v>1176</v>
      </c>
      <c r="I830" t="s">
        <v>139</v>
      </c>
      <c r="J830" t="s">
        <v>287</v>
      </c>
      <c r="K830" s="27">
        <f t="shared" si="245"/>
        <v>0.12462873299340151</v>
      </c>
      <c r="L830" s="27">
        <f t="shared" si="247"/>
        <v>0.12395129293471774</v>
      </c>
      <c r="M830" s="27">
        <f t="shared" si="247"/>
        <v>0.1240068951131099</v>
      </c>
      <c r="N830" s="27">
        <f t="shared" si="247"/>
        <v>0.12286841678965583</v>
      </c>
      <c r="O830" s="27">
        <f t="shared" si="247"/>
        <v>0.12100901910044995</v>
      </c>
      <c r="P830" s="27">
        <f t="shared" si="247"/>
        <v>0.11845842648899831</v>
      </c>
      <c r="Q830" s="27">
        <f t="shared" si="247"/>
        <v>0.11660641339960404</v>
      </c>
      <c r="R830" s="27">
        <f t="shared" si="247"/>
        <v>0.11491827863139022</v>
      </c>
      <c r="S830" s="27">
        <f t="shared" si="247"/>
        <v>0.10323336206469676</v>
      </c>
      <c r="T830" s="27">
        <f t="shared" si="247"/>
        <v>0.10789835358112609</v>
      </c>
      <c r="U830" s="27">
        <f t="shared" si="247"/>
        <v>0.10930872077776907</v>
      </c>
      <c r="V830" s="27">
        <f t="shared" si="247"/>
        <v>0.10822994982335406</v>
      </c>
      <c r="W830" s="27">
        <f t="shared" si="247"/>
        <v>0.10728117650505167</v>
      </c>
      <c r="X830" s="27">
        <f t="shared" si="247"/>
        <v>0.10698795772109922</v>
      </c>
      <c r="Y830" s="27">
        <f t="shared" si="247"/>
        <v>0.10732481606756347</v>
      </c>
      <c r="Z830" s="27">
        <f t="shared" si="247"/>
        <v>0.10795224800227457</v>
      </c>
      <c r="AA830" s="27">
        <f t="shared" si="247"/>
        <v>0.10894183514251574</v>
      </c>
      <c r="AB830" s="27">
        <f t="shared" si="247"/>
        <v>0.11053150962299221</v>
      </c>
      <c r="AC830" s="27">
        <f t="shared" si="247"/>
        <v>0.1126657694800189</v>
      </c>
      <c r="AD830" s="27">
        <f t="shared" si="247"/>
        <v>0.11509487827502032</v>
      </c>
      <c r="AE830" s="27">
        <f t="shared" si="247"/>
        <v>0.11779472217084282</v>
      </c>
      <c r="AF830" s="27">
        <f t="shared" si="247"/>
        <v>0.12063025387721567</v>
      </c>
      <c r="AG830" s="27">
        <f t="shared" si="247"/>
        <v>0.12365017099946446</v>
      </c>
      <c r="AH830" s="27">
        <f t="shared" si="247"/>
        <v>0.12678938256448105</v>
      </c>
      <c r="AI830" s="27">
        <f t="shared" si="247"/>
        <v>0.1298357658486077</v>
      </c>
      <c r="AJ830" s="27">
        <f t="shared" si="247"/>
        <v>0.13308363006040799</v>
      </c>
      <c r="AK830" s="27">
        <f t="shared" si="247"/>
        <v>0.13633797236037076</v>
      </c>
      <c r="AL830" s="27">
        <f t="shared" si="247"/>
        <v>0.1395817064491762</v>
      </c>
      <c r="AM830" s="27">
        <f t="shared" si="247"/>
        <v>0.1428987646619678</v>
      </c>
      <c r="AN830" s="27">
        <f t="shared" si="247"/>
        <v>0.14607463913609417</v>
      </c>
      <c r="AO830" s="27">
        <f t="shared" si="247"/>
        <v>0.14939800642693096</v>
      </c>
      <c r="AP830" s="27">
        <f t="shared" si="247"/>
        <v>0.15296466961282101</v>
      </c>
      <c r="AQ830" s="27">
        <f t="shared" si="247"/>
        <v>0.1565936649117094</v>
      </c>
      <c r="AR830" s="27">
        <f t="shared" si="247"/>
        <v>0.16029166396054106</v>
      </c>
      <c r="AS830" s="27">
        <f t="shared" si="247"/>
        <v>0.16424139864286944</v>
      </c>
      <c r="AT830" s="27">
        <f t="shared" si="247"/>
        <v>0.1683741087759702</v>
      </c>
      <c r="AU830" s="27">
        <f t="shared" si="247"/>
        <v>0.17264268700084681</v>
      </c>
      <c r="AV830" s="27">
        <f t="shared" si="247"/>
        <v>0.17715786251954191</v>
      </c>
      <c r="AW830" s="27">
        <f t="shared" si="247"/>
        <v>0.1812449136918291</v>
      </c>
      <c r="AY830" s="79"/>
      <c r="AZ830" s="79"/>
    </row>
    <row r="831" spans="1:52" x14ac:dyDescent="0.25">
      <c r="A831" s="95" t="str">
        <f t="shared" si="224"/>
        <v>BD Organic</v>
      </c>
      <c r="B831" s="95" t="s">
        <v>1227</v>
      </c>
      <c r="C831" s="95" t="s">
        <v>1126</v>
      </c>
      <c r="D831" t="s">
        <v>369</v>
      </c>
      <c r="E831" t="s">
        <v>55</v>
      </c>
      <c r="F831" t="s">
        <v>421</v>
      </c>
      <c r="G831" t="s">
        <v>1177</v>
      </c>
      <c r="H831" t="s">
        <v>1178</v>
      </c>
      <c r="I831" t="s">
        <v>139</v>
      </c>
      <c r="J831" t="s">
        <v>287</v>
      </c>
      <c r="K831" s="27">
        <f t="shared" si="245"/>
        <v>3.1618785484610064E-2</v>
      </c>
      <c r="L831" s="27">
        <f t="shared" si="247"/>
        <v>3.1446916354757493E-2</v>
      </c>
      <c r="M831" s="27">
        <f t="shared" si="247"/>
        <v>3.1461022839745605E-2</v>
      </c>
      <c r="N831" s="27">
        <f t="shared" si="247"/>
        <v>3.1172186541537569E-2</v>
      </c>
      <c r="O831" s="27">
        <f t="shared" si="247"/>
        <v>3.0700450247237818E-2</v>
      </c>
      <c r="P831" s="27">
        <f t="shared" si="247"/>
        <v>3.0053355161673637E-2</v>
      </c>
      <c r="Q831" s="27">
        <f t="shared" si="247"/>
        <v>2.9583492368545926E-2</v>
      </c>
      <c r="R831" s="27">
        <f t="shared" si="247"/>
        <v>2.9155206131309685E-2</v>
      </c>
      <c r="S831" s="27">
        <f t="shared" si="247"/>
        <v>2.6190698176732228E-2</v>
      </c>
      <c r="T831" s="27">
        <f t="shared" si="247"/>
        <v>2.7374224338819714E-2</v>
      </c>
      <c r="U831" s="27">
        <f t="shared" si="247"/>
        <v>2.773203988242751E-2</v>
      </c>
      <c r="V831" s="27">
        <f t="shared" si="247"/>
        <v>2.7458351571751329E-2</v>
      </c>
      <c r="W831" s="27">
        <f t="shared" si="247"/>
        <v>2.7217644157783535E-2</v>
      </c>
      <c r="X831" s="27">
        <f t="shared" si="247"/>
        <v>2.7143253432569785E-2</v>
      </c>
      <c r="Y831" s="27">
        <f t="shared" si="247"/>
        <v>2.7228715681440727E-2</v>
      </c>
      <c r="Z831" s="27">
        <f t="shared" si="247"/>
        <v>2.7387897559273622E-2</v>
      </c>
      <c r="AA831" s="27">
        <f t="shared" si="247"/>
        <v>2.7638959595724485E-2</v>
      </c>
      <c r="AB831" s="27">
        <f t="shared" si="247"/>
        <v>2.8042266081967953E-2</v>
      </c>
      <c r="AC831" s="27">
        <f t="shared" si="247"/>
        <v>2.8583735957869796E-2</v>
      </c>
      <c r="AD831" s="27">
        <f t="shared" si="247"/>
        <v>2.9200010135285986E-2</v>
      </c>
      <c r="AE831" s="27">
        <f t="shared" si="247"/>
        <v>2.988497084164626E-2</v>
      </c>
      <c r="AF831" s="27">
        <f t="shared" si="247"/>
        <v>3.0604356063699028E-2</v>
      </c>
      <c r="AG831" s="27">
        <f t="shared" si="247"/>
        <v>3.1370520569878685E-2</v>
      </c>
      <c r="AH831" s="27">
        <f t="shared" si="247"/>
        <v>3.2166950531742462E-2</v>
      </c>
      <c r="AI831" s="27">
        <f t="shared" si="247"/>
        <v>3.2939829604257814E-2</v>
      </c>
      <c r="AJ831" s="27">
        <f t="shared" si="247"/>
        <v>3.376382515752635E-2</v>
      </c>
      <c r="AK831" s="27">
        <f t="shared" si="247"/>
        <v>3.4589464226499819E-2</v>
      </c>
      <c r="AL831" s="27">
        <f t="shared" si="247"/>
        <v>3.5412411951792733E-2</v>
      </c>
      <c r="AM831" s="27">
        <f t="shared" si="247"/>
        <v>3.625396228734637E-2</v>
      </c>
      <c r="AN831" s="27">
        <f t="shared" si="247"/>
        <v>3.705969376925726E-2</v>
      </c>
      <c r="AO831" s="27">
        <f t="shared" si="247"/>
        <v>3.7902844742003665E-2</v>
      </c>
      <c r="AP831" s="27">
        <f t="shared" si="247"/>
        <v>3.8807720812407763E-2</v>
      </c>
      <c r="AQ831" s="27">
        <f t="shared" si="247"/>
        <v>3.9728410777909444E-2</v>
      </c>
      <c r="AR831" s="27">
        <f t="shared" si="247"/>
        <v>4.0666607258278795E-2</v>
      </c>
      <c r="AS831" s="27">
        <f t="shared" si="247"/>
        <v>4.1668670030178073E-2</v>
      </c>
      <c r="AT831" s="27">
        <f t="shared" si="247"/>
        <v>4.2717154372673226E-2</v>
      </c>
      <c r="AU831" s="27">
        <f t="shared" si="247"/>
        <v>4.380010896889619E-2</v>
      </c>
      <c r="AV831" s="27">
        <f t="shared" si="247"/>
        <v>4.4945626240250815E-2</v>
      </c>
      <c r="AW831" s="27">
        <f t="shared" si="247"/>
        <v>4.5982526730028013E-2</v>
      </c>
      <c r="AY831" s="79"/>
      <c r="AZ831" s="79"/>
    </row>
    <row r="832" spans="1:52" x14ac:dyDescent="0.25">
      <c r="A832" s="95" t="str">
        <f t="shared" si="224"/>
        <v>BD Organic</v>
      </c>
      <c r="B832" s="95" t="s">
        <v>1227</v>
      </c>
      <c r="C832" s="95" t="s">
        <v>1126</v>
      </c>
      <c r="D832" t="s">
        <v>369</v>
      </c>
      <c r="E832" t="s">
        <v>55</v>
      </c>
      <c r="F832" t="s">
        <v>421</v>
      </c>
      <c r="G832" t="s">
        <v>1179</v>
      </c>
      <c r="H832" t="s">
        <v>1180</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0.17531753251219057</v>
      </c>
      <c r="S832" s="27">
        <f t="shared" si="247"/>
        <v>0.16826815584544114</v>
      </c>
      <c r="T832" s="27">
        <f t="shared" si="247"/>
        <v>0.17529364111541346</v>
      </c>
      <c r="U832" s="27">
        <f t="shared" si="247"/>
        <v>0.179468936116296</v>
      </c>
      <c r="V832" s="27">
        <f t="shared" si="247"/>
        <v>0.18146185289572461</v>
      </c>
      <c r="W832" s="27">
        <f t="shared" si="247"/>
        <v>0.18367206757119967</v>
      </c>
      <c r="X832" s="27">
        <f t="shared" si="247"/>
        <v>0.18655442341123246</v>
      </c>
      <c r="Y832" s="27">
        <f t="shared" si="247"/>
        <v>0.19002403855752484</v>
      </c>
      <c r="Z832" s="27">
        <f t="shared" si="247"/>
        <v>0.19378713542621159</v>
      </c>
      <c r="AA832" s="27">
        <f t="shared" si="247"/>
        <v>0.19793608752558689</v>
      </c>
      <c r="AB832" s="27">
        <f t="shared" si="247"/>
        <v>0.20274560727871463</v>
      </c>
      <c r="AC832" s="27">
        <f t="shared" si="247"/>
        <v>0.2082010892393113</v>
      </c>
      <c r="AD832" s="27">
        <f t="shared" si="247"/>
        <v>0.21407047800501874</v>
      </c>
      <c r="AE832" s="27">
        <f t="shared" si="247"/>
        <v>0.22035285326760637</v>
      </c>
      <c r="AF832" s="27">
        <f t="shared" si="247"/>
        <v>0.22691830683757538</v>
      </c>
      <c r="AG832" s="27">
        <f t="shared" si="247"/>
        <v>0.23383349407065357</v>
      </c>
      <c r="AH832" s="27">
        <f t="shared" si="247"/>
        <v>0.24104032281254165</v>
      </c>
      <c r="AI832" s="27">
        <f t="shared" si="247"/>
        <v>0.24830078825991211</v>
      </c>
      <c r="AJ832" s="27">
        <f t="shared" si="247"/>
        <v>0.25596851329364728</v>
      </c>
      <c r="AK832" s="27">
        <f t="shared" si="247"/>
        <v>0.26381659798331969</v>
      </c>
      <c r="AL832" s="27">
        <f t="shared" si="247"/>
        <v>0.27182892851236273</v>
      </c>
      <c r="AM832" s="27">
        <f t="shared" si="247"/>
        <v>0.28011873521820613</v>
      </c>
      <c r="AN832" s="27">
        <f t="shared" si="247"/>
        <v>0.28841666797515925</v>
      </c>
      <c r="AO832" s="27">
        <f t="shared" si="247"/>
        <v>0.29710042873684378</v>
      </c>
      <c r="AP832" s="27">
        <f t="shared" si="247"/>
        <v>0.30631512135319056</v>
      </c>
      <c r="AQ832" s="27">
        <f t="shared" si="247"/>
        <v>0.31583438977210859</v>
      </c>
      <c r="AR832" s="27">
        <f t="shared" si="247"/>
        <v>0.32567682367490652</v>
      </c>
      <c r="AS832" s="27">
        <f t="shared" si="247"/>
        <v>0.33611496479516756</v>
      </c>
      <c r="AT832" s="27">
        <f t="shared" si="247"/>
        <v>0.34707529344515536</v>
      </c>
      <c r="AU832" s="27">
        <f t="shared" si="247"/>
        <v>0.35851078392222901</v>
      </c>
      <c r="AV832" s="27">
        <f t="shared" si="247"/>
        <v>0.37060965152650638</v>
      </c>
      <c r="AW832" s="27">
        <f t="shared" si="247"/>
        <v>0.38235584366830411</v>
      </c>
      <c r="AY832" s="79"/>
      <c r="AZ832" s="79"/>
    </row>
    <row r="833" spans="1:52" x14ac:dyDescent="0.25">
      <c r="A833" s="95" t="str">
        <f t="shared" si="224"/>
        <v>BD Organic</v>
      </c>
      <c r="B833" s="95" t="s">
        <v>1227</v>
      </c>
      <c r="C833" s="95" t="s">
        <v>1126</v>
      </c>
      <c r="D833" t="s">
        <v>369</v>
      </c>
      <c r="E833" t="s">
        <v>55</v>
      </c>
      <c r="F833" t="s">
        <v>421</v>
      </c>
      <c r="G833" t="s">
        <v>1181</v>
      </c>
      <c r="H833" t="s">
        <v>1182</v>
      </c>
      <c r="I833" t="s">
        <v>139</v>
      </c>
      <c r="J833" t="s">
        <v>287</v>
      </c>
      <c r="K833" s="27">
        <f t="shared" si="245"/>
        <v>0.78620275218739033</v>
      </c>
      <c r="L833" s="27">
        <f t="shared" si="247"/>
        <v>0.79655563720176326</v>
      </c>
      <c r="M833" s="27">
        <f t="shared" si="247"/>
        <v>0.81318534024672107</v>
      </c>
      <c r="N833" s="27">
        <f t="shared" si="247"/>
        <v>0.81796021384654038</v>
      </c>
      <c r="O833" s="27">
        <f t="shared" si="247"/>
        <v>0.81503229757580586</v>
      </c>
      <c r="P833" s="27">
        <f t="shared" si="247"/>
        <v>0.80443274266431908</v>
      </c>
      <c r="Q833" s="27">
        <f t="shared" si="247"/>
        <v>0.79997057217510736</v>
      </c>
      <c r="R833" s="27">
        <f t="shared" si="247"/>
        <v>0.79652072541357855</v>
      </c>
      <c r="S833" s="27">
        <f t="shared" si="247"/>
        <v>0.6929945167812448</v>
      </c>
      <c r="T833" s="27">
        <f t="shared" si="247"/>
        <v>0.75569325830504319</v>
      </c>
      <c r="U833" s="27">
        <f t="shared" si="247"/>
        <v>0.78586192008020839</v>
      </c>
      <c r="V833" s="27">
        <f t="shared" si="247"/>
        <v>0.78963673487778696</v>
      </c>
      <c r="W833" s="27">
        <f t="shared" si="247"/>
        <v>0.79398832301737687</v>
      </c>
      <c r="X833" s="27">
        <f t="shared" si="247"/>
        <v>0.80502399258159163</v>
      </c>
      <c r="Y833" s="27">
        <f t="shared" si="247"/>
        <v>0.82319477266803398</v>
      </c>
      <c r="Z833" s="27">
        <f t="shared" si="247"/>
        <v>0.84493550271536799</v>
      </c>
      <c r="AA833" s="27">
        <f t="shared" si="247"/>
        <v>0.87120575605676209</v>
      </c>
      <c r="AB833" s="27">
        <f t="shared" si="247"/>
        <v>0.90492220164986781</v>
      </c>
      <c r="AC833" s="27">
        <f t="shared" si="247"/>
        <v>0.94570019320131005</v>
      </c>
      <c r="AD833" s="27">
        <f t="shared" si="247"/>
        <v>0.9908342510405731</v>
      </c>
      <c r="AE833" s="27">
        <f t="shared" si="247"/>
        <v>1.0401746402938727</v>
      </c>
      <c r="AF833" s="27">
        <f t="shared" si="247"/>
        <v>1.0922195176686915</v>
      </c>
      <c r="AG833" s="27">
        <f t="shared" si="247"/>
        <v>1.1476653338002605</v>
      </c>
      <c r="AH833" s="27">
        <f t="shared" si="247"/>
        <v>1.2058049098103554</v>
      </c>
      <c r="AI833" s="27">
        <f t="shared" si="247"/>
        <v>1.2640288398876942</v>
      </c>
      <c r="AJ833" s="27">
        <f t="shared" si="247"/>
        <v>1.3261031190213208</v>
      </c>
      <c r="AK833" s="27">
        <f t="shared" si="247"/>
        <v>1.3896418297181288</v>
      </c>
      <c r="AL833" s="27">
        <f t="shared" si="247"/>
        <v>1.4544565281623518</v>
      </c>
      <c r="AM833" s="27">
        <f t="shared" si="247"/>
        <v>1.521690334823528</v>
      </c>
      <c r="AN833" s="27">
        <f t="shared" si="247"/>
        <v>1.5885204638072115</v>
      </c>
      <c r="AO833" s="27">
        <f t="shared" si="247"/>
        <v>1.6588648682392355</v>
      </c>
      <c r="AP833" s="27">
        <f t="shared" si="247"/>
        <v>1.7341718158890906</v>
      </c>
      <c r="AQ833" s="27">
        <f t="shared" si="247"/>
        <v>1.812078309357211</v>
      </c>
      <c r="AR833" s="27">
        <f t="shared" si="247"/>
        <v>1.8927662707454833</v>
      </c>
      <c r="AS833" s="27">
        <f t="shared" si="247"/>
        <v>1.9789566108434027</v>
      </c>
      <c r="AT833" s="27">
        <f t="shared" si="247"/>
        <v>2.0698402438653445</v>
      </c>
      <c r="AU833" s="27">
        <f t="shared" si="247"/>
        <v>2.1648797356645511</v>
      </c>
      <c r="AV833" s="27">
        <f t="shared" si="247"/>
        <v>2.2658660016789853</v>
      </c>
      <c r="AW833" s="27">
        <f t="shared" si="247"/>
        <v>2.3628024258404521</v>
      </c>
      <c r="AY833" s="79"/>
      <c r="AZ833" s="79"/>
    </row>
    <row r="834" spans="1:52" x14ac:dyDescent="0.25">
      <c r="A834" s="95" t="str">
        <f t="shared" si="224"/>
        <v>BD U&amp;D</v>
      </c>
      <c r="B834" s="95" t="s">
        <v>1227</v>
      </c>
      <c r="C834" s="95" t="s">
        <v>1335</v>
      </c>
      <c r="D834" t="s">
        <v>369</v>
      </c>
      <c r="E834" t="s">
        <v>55</v>
      </c>
      <c r="F834" t="s">
        <v>422</v>
      </c>
      <c r="G834" t="s">
        <v>1151</v>
      </c>
      <c r="H834" t="s">
        <v>1239</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5">
      <c r="A835" s="95" t="str">
        <f t="shared" si="224"/>
        <v>BD U&amp;D</v>
      </c>
      <c r="B835" s="95" t="s">
        <v>1227</v>
      </c>
      <c r="C835" s="95" t="s">
        <v>1335</v>
      </c>
      <c r="D835" t="s">
        <v>369</v>
      </c>
      <c r="E835" t="s">
        <v>55</v>
      </c>
      <c r="F835" t="s">
        <v>422</v>
      </c>
      <c r="G835" t="s">
        <v>1153</v>
      </c>
      <c r="H835" t="s">
        <v>1240</v>
      </c>
      <c r="I835" t="s">
        <v>139</v>
      </c>
      <c r="J835" t="s">
        <v>287</v>
      </c>
      <c r="K835" s="27">
        <f t="shared" si="245"/>
        <v>1.0775797812462991</v>
      </c>
      <c r="L835" s="27">
        <f t="shared" si="247"/>
        <v>1.0836040032789309</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1.1114672588381174</v>
      </c>
      <c r="S835" s="27">
        <f t="shared" si="247"/>
        <v>1.0793644035028189</v>
      </c>
      <c r="T835" s="27">
        <f t="shared" si="247"/>
        <v>1.1011309234167481</v>
      </c>
      <c r="U835" s="27">
        <f t="shared" si="247"/>
        <v>1.1119360252245196</v>
      </c>
      <c r="V835" s="27">
        <f t="shared" si="247"/>
        <v>1.1147578792291293</v>
      </c>
      <c r="W835" s="27">
        <f t="shared" si="247"/>
        <v>1.1187702241985282</v>
      </c>
      <c r="X835" s="27">
        <f t="shared" si="247"/>
        <v>1.1255029693063063</v>
      </c>
      <c r="Y835" s="27">
        <f t="shared" si="247"/>
        <v>1.1343971625372145</v>
      </c>
      <c r="Z835" s="27">
        <f t="shared" si="247"/>
        <v>1.1443552033124911</v>
      </c>
      <c r="AA835" s="27">
        <f t="shared" si="247"/>
        <v>1.1556907140958508</v>
      </c>
      <c r="AB835" s="27">
        <f t="shared" si="247"/>
        <v>1.1693756036758489</v>
      </c>
      <c r="AC835" s="27">
        <f t="shared" si="247"/>
        <v>1.1853303744222352</v>
      </c>
      <c r="AD835" s="27">
        <f t="shared" si="247"/>
        <v>1.202695771968407</v>
      </c>
      <c r="AE835" s="27">
        <f t="shared" si="247"/>
        <v>1.2214561017242225</v>
      </c>
      <c r="AF835" s="27">
        <f t="shared" ref="L835:AW837" si="248">AF1483</f>
        <v>1.2411353009439861</v>
      </c>
      <c r="AG835" s="27">
        <f t="shared" si="248"/>
        <v>1.2619534777795529</v>
      </c>
      <c r="AH835" s="27">
        <f t="shared" si="248"/>
        <v>1.2836965756368759</v>
      </c>
      <c r="AI835" s="27">
        <f t="shared" si="248"/>
        <v>1.3055267417806069</v>
      </c>
      <c r="AJ835" s="27">
        <f t="shared" si="248"/>
        <v>1.3286718687824415</v>
      </c>
      <c r="AK835" s="27">
        <f t="shared" si="248"/>
        <v>1.3523228735789439</v>
      </c>
      <c r="AL835" s="27">
        <f t="shared" si="248"/>
        <v>1.3764196040319214</v>
      </c>
      <c r="AM835" s="27">
        <f t="shared" si="248"/>
        <v>1.4013502875110349</v>
      </c>
      <c r="AN835" s="27">
        <f t="shared" si="248"/>
        <v>1.4261842268183196</v>
      </c>
      <c r="AO835" s="27">
        <f t="shared" si="248"/>
        <v>1.4522110683153209</v>
      </c>
      <c r="AP835" s="27">
        <f t="shared" si="248"/>
        <v>1.4799113366388263</v>
      </c>
      <c r="AQ835" s="27">
        <f t="shared" si="248"/>
        <v>1.5084997172355739</v>
      </c>
      <c r="AR835" s="27">
        <f t="shared" si="248"/>
        <v>1.538027931051154</v>
      </c>
      <c r="AS835" s="27">
        <f t="shared" si="248"/>
        <v>1.5694046317393286</v>
      </c>
      <c r="AT835" s="27">
        <f t="shared" si="248"/>
        <v>1.602365939528593</v>
      </c>
      <c r="AU835" s="27">
        <f t="shared" si="248"/>
        <v>1.6367417968061735</v>
      </c>
      <c r="AV835" s="27">
        <f t="shared" si="248"/>
        <v>1.673151630600247</v>
      </c>
      <c r="AW835" s="27">
        <f t="shared" si="248"/>
        <v>1.7081846028232541</v>
      </c>
      <c r="AY835" s="79"/>
      <c r="AZ835" s="79"/>
    </row>
    <row r="836" spans="1:52" x14ac:dyDescent="0.25">
      <c r="A836" s="95" t="str">
        <f t="shared" si="224"/>
        <v>BD U&amp;D</v>
      </c>
      <c r="B836" s="95" t="s">
        <v>1227</v>
      </c>
      <c r="C836" s="95" t="s">
        <v>1335</v>
      </c>
      <c r="D836" t="s">
        <v>369</v>
      </c>
      <c r="E836" t="s">
        <v>55</v>
      </c>
      <c r="F836" t="s">
        <v>422</v>
      </c>
      <c r="G836" t="s">
        <v>1155</v>
      </c>
      <c r="H836" t="s">
        <v>1241</v>
      </c>
      <c r="I836" t="s">
        <v>139</v>
      </c>
      <c r="J836" t="s">
        <v>287</v>
      </c>
      <c r="K836" s="27">
        <f t="shared" si="245"/>
        <v>0.73383920392416069</v>
      </c>
      <c r="L836" s="27">
        <f t="shared" si="248"/>
        <v>0.73794174034663862</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0.75691680802528449</v>
      </c>
      <c r="S836" s="27">
        <f t="shared" si="248"/>
        <v>0.73505454389139269</v>
      </c>
      <c r="T836" s="27">
        <f t="shared" si="248"/>
        <v>0.74987769288121808</v>
      </c>
      <c r="U836" s="27">
        <f t="shared" si="248"/>
        <v>0.75723604114176524</v>
      </c>
      <c r="V836" s="27">
        <f t="shared" si="248"/>
        <v>0.75915774302627725</v>
      </c>
      <c r="W836" s="27">
        <f t="shared" si="248"/>
        <v>0.76189017740325427</v>
      </c>
      <c r="X836" s="27">
        <f t="shared" si="248"/>
        <v>0.7664752228876841</v>
      </c>
      <c r="Y836" s="27">
        <f t="shared" si="248"/>
        <v>0.77253222933278298</v>
      </c>
      <c r="Z836" s="27">
        <f t="shared" si="248"/>
        <v>0.77931372323453529</v>
      </c>
      <c r="AA836" s="27">
        <f t="shared" si="248"/>
        <v>0.78703328363656277</v>
      </c>
      <c r="AB836" s="27">
        <f t="shared" si="248"/>
        <v>0.79635278707375712</v>
      </c>
      <c r="AC836" s="27">
        <f t="shared" si="248"/>
        <v>0.80721809511598763</v>
      </c>
      <c r="AD836" s="27">
        <f t="shared" si="248"/>
        <v>0.81904404966050492</v>
      </c>
      <c r="AE836" s="27">
        <f t="shared" si="248"/>
        <v>0.83181996258403779</v>
      </c>
      <c r="AF836" s="27">
        <f t="shared" si="248"/>
        <v>0.8452216318995045</v>
      </c>
      <c r="AG836" s="27">
        <f t="shared" si="248"/>
        <v>0.85939895276431877</v>
      </c>
      <c r="AH836" s="27">
        <f t="shared" si="248"/>
        <v>0.87420615117333955</v>
      </c>
      <c r="AI836" s="27">
        <f t="shared" si="248"/>
        <v>0.88907264368113259</v>
      </c>
      <c r="AJ836" s="27">
        <f t="shared" si="248"/>
        <v>0.90483463353037208</v>
      </c>
      <c r="AK836" s="27">
        <f t="shared" si="248"/>
        <v>0.92094112961904073</v>
      </c>
      <c r="AL836" s="27">
        <f t="shared" si="248"/>
        <v>0.93735116792946294</v>
      </c>
      <c r="AM836" s="27">
        <f t="shared" si="248"/>
        <v>0.9543291339566633</v>
      </c>
      <c r="AN836" s="27">
        <f t="shared" si="248"/>
        <v>0.97124121654091655</v>
      </c>
      <c r="AO836" s="27">
        <f t="shared" si="248"/>
        <v>0.98896567367830823</v>
      </c>
      <c r="AP836" s="27">
        <f t="shared" si="248"/>
        <v>1.0078297459342822</v>
      </c>
      <c r="AQ836" s="27">
        <f t="shared" si="248"/>
        <v>1.0272986287248762</v>
      </c>
      <c r="AR836" s="27">
        <f t="shared" si="248"/>
        <v>1.0474075443679165</v>
      </c>
      <c r="AS836" s="27">
        <f t="shared" si="248"/>
        <v>1.068775292218703</v>
      </c>
      <c r="AT836" s="27">
        <f t="shared" si="248"/>
        <v>1.0912221683473529</v>
      </c>
      <c r="AU836" s="27">
        <f t="shared" si="248"/>
        <v>1.1146323623560173</v>
      </c>
      <c r="AV836" s="27">
        <f t="shared" si="248"/>
        <v>1.1394277082890591</v>
      </c>
      <c r="AW836" s="27">
        <f t="shared" si="248"/>
        <v>1.1632854020715975</v>
      </c>
      <c r="AY836" s="79"/>
      <c r="AZ836" s="79"/>
    </row>
    <row r="837" spans="1:52" x14ac:dyDescent="0.25">
      <c r="A837" s="95" t="str">
        <f t="shared" si="224"/>
        <v>BD U&amp;D</v>
      </c>
      <c r="B837" s="95" t="s">
        <v>1227</v>
      </c>
      <c r="C837" s="95" t="s">
        <v>1335</v>
      </c>
      <c r="D837" t="s">
        <v>369</v>
      </c>
      <c r="E837" t="s">
        <v>55</v>
      </c>
      <c r="F837" t="s">
        <v>422</v>
      </c>
      <c r="G837" t="s">
        <v>1157</v>
      </c>
      <c r="H837" t="s">
        <v>1242</v>
      </c>
      <c r="I837" t="s">
        <v>139</v>
      </c>
      <c r="J837" t="s">
        <v>287</v>
      </c>
      <c r="K837" s="27">
        <f t="shared" si="245"/>
        <v>15.353527292296837</v>
      </c>
      <c r="L837" s="27">
        <f t="shared" si="248"/>
        <v>15.220371053361486</v>
      </c>
      <c r="M837" s="27">
        <f t="shared" si="248"/>
        <v>15.169682504177882</v>
      </c>
      <c r="N837" s="27">
        <f t="shared" si="248"/>
        <v>14.967111251021189</v>
      </c>
      <c r="O837" s="27">
        <f t="shared" si="248"/>
        <v>14.673074129931946</v>
      </c>
      <c r="P837" s="27">
        <f t="shared" si="248"/>
        <v>14.293651368256896</v>
      </c>
      <c r="Q837" s="27">
        <f t="shared" si="248"/>
        <v>13.994389539168758</v>
      </c>
      <c r="R837" s="27">
        <f t="shared" si="248"/>
        <v>13.711253827544139</v>
      </c>
      <c r="S837" s="27">
        <f t="shared" si="248"/>
        <v>12.243525743929849</v>
      </c>
      <c r="T837" s="27">
        <f t="shared" si="248"/>
        <v>12.828892404772391</v>
      </c>
      <c r="U837" s="27">
        <f t="shared" si="248"/>
        <v>13.031546455407888</v>
      </c>
      <c r="V837" s="27">
        <f t="shared" si="248"/>
        <v>12.943540859671467</v>
      </c>
      <c r="W837" s="27">
        <f t="shared" si="248"/>
        <v>12.871954504278984</v>
      </c>
      <c r="X837" s="27">
        <f t="shared" si="248"/>
        <v>12.876656938031642</v>
      </c>
      <c r="Y837" s="27">
        <f t="shared" si="248"/>
        <v>12.952269652428015</v>
      </c>
      <c r="Z837" s="27">
        <f t="shared" si="248"/>
        <v>13.059558904717129</v>
      </c>
      <c r="AA837" s="27">
        <f t="shared" si="248"/>
        <v>13.207166717271191</v>
      </c>
      <c r="AB837" s="27">
        <f t="shared" si="248"/>
        <v>13.423383196860698</v>
      </c>
      <c r="AC837" s="27">
        <f t="shared" si="248"/>
        <v>13.702101889701561</v>
      </c>
      <c r="AD837" s="27">
        <f t="shared" si="248"/>
        <v>13.896423189138504</v>
      </c>
      <c r="AE837" s="27">
        <f t="shared" si="248"/>
        <v>14.113699365030318</v>
      </c>
      <c r="AF837" s="27">
        <f t="shared" si="248"/>
        <v>14.337556202398742</v>
      </c>
      <c r="AG837" s="27">
        <f t="shared" si="248"/>
        <v>14.572966422289987</v>
      </c>
      <c r="AH837" s="27">
        <f t="shared" si="248"/>
        <v>14.811902600863377</v>
      </c>
      <c r="AI837" s="27">
        <f t="shared" si="248"/>
        <v>15.030093790009266</v>
      </c>
      <c r="AJ837" s="27">
        <f t="shared" si="248"/>
        <v>15.260245449721568</v>
      </c>
      <c r="AK837" s="27">
        <f t="shared" si="248"/>
        <v>15.479975870373321</v>
      </c>
      <c r="AL837" s="27">
        <f t="shared" si="248"/>
        <v>15.687168192029855</v>
      </c>
      <c r="AM837" s="27">
        <f t="shared" si="248"/>
        <v>15.890679126882141</v>
      </c>
      <c r="AN837" s="27">
        <f t="shared" si="248"/>
        <v>16.149107215315812</v>
      </c>
      <c r="AO837" s="27">
        <f t="shared" si="248"/>
        <v>16.416401953220753</v>
      </c>
      <c r="AP837" s="27">
        <f t="shared" si="248"/>
        <v>16.702277130443278</v>
      </c>
      <c r="AQ837" s="27">
        <f t="shared" si="248"/>
        <v>16.98704006145238</v>
      </c>
      <c r="AR837" s="27">
        <f t="shared" si="248"/>
        <v>17.271060351529361</v>
      </c>
      <c r="AS837" s="27">
        <f t="shared" si="248"/>
        <v>17.573003837482712</v>
      </c>
      <c r="AT837" s="27">
        <f t="shared" si="248"/>
        <v>17.88505244077637</v>
      </c>
      <c r="AU837" s="27">
        <f t="shared" si="248"/>
        <v>18.201780897575926</v>
      </c>
      <c r="AV837" s="27">
        <f t="shared" si="248"/>
        <v>18.533967675320017</v>
      </c>
      <c r="AW837" s="27">
        <f t="shared" si="248"/>
        <v>18.812464966150909</v>
      </c>
      <c r="AY837" s="79"/>
      <c r="AZ837" s="79"/>
    </row>
    <row r="838" spans="1:52" x14ac:dyDescent="0.25">
      <c r="A838" s="95" t="str">
        <f t="shared" si="224"/>
        <v>BD U&amp;D</v>
      </c>
      <c r="B838" s="95" t="s">
        <v>1227</v>
      </c>
      <c r="C838" s="95" t="s">
        <v>1335</v>
      </c>
      <c r="D838" t="s">
        <v>369</v>
      </c>
      <c r="E838" t="s">
        <v>55</v>
      </c>
      <c r="F838" t="s">
        <v>422</v>
      </c>
      <c r="G838" t="s">
        <v>1159</v>
      </c>
      <c r="H838" t="s">
        <v>1243</v>
      </c>
      <c r="I838" t="s">
        <v>139</v>
      </c>
      <c r="J838" t="s">
        <v>287</v>
      </c>
      <c r="K838" s="94">
        <f>IF('Net zero activities &amp; levers'!$C$10="Off",'Activity data'!AD70*UDCPPEF*NtoN2O*kgtoGg,IF('Net zero activities &amp; levers'!$C$10="On",'Net zero Activity data'!AD70*UDCPPEF*NtoN2O*kgtoGg,"ERROR"))</f>
        <v>9.6543103644621411</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9.2264408662754729</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7.6987388784911763</v>
      </c>
      <c r="T838" s="94">
        <f>IF('Net zero activities &amp; levers'!$C$10="Off",'Activity data'!AM70*UDCPPEF*NtoN2O*kgtoGg,IF('Net zero activities &amp; levers'!$C$10="On",'Net zero Activity data'!AM70*UDCPPEF*NtoN2O*kgtoGg,"ERROR"))</f>
        <v>8.0668179077067048</v>
      </c>
      <c r="U838" s="94">
        <f>IF('Net zero activities &amp; levers'!$C$10="Off",'Activity data'!AN70*UDCPPEF*NtoN2O*kgtoGg,IF('Net zero activities &amp; levers'!$C$10="On",'Net zero Activity data'!AN70*UDCPPEF*NtoN2O*kgtoGg,"ERROR"))</f>
        <v>8.1942469384566685</v>
      </c>
      <c r="V838" s="94">
        <f>IF('Net zero activities &amp; levers'!$C$10="Off",'Activity data'!AO70*UDCPPEF*NtoN2O*kgtoGg,IF('Net zero activities &amp; levers'!$C$10="On",'Net zero Activity data'!AO70*UDCPPEF*NtoN2O*kgtoGg,"ERROR"))</f>
        <v>8.1389089487638984</v>
      </c>
      <c r="W838" s="94">
        <f>IF('Net zero activities &amp; levers'!$C$10="Off",'Activity data'!AP70*UDCPPEF*NtoN2O*kgtoGg,IF('Net zero activities &amp; levers'!$C$10="On",'Net zero Activity data'!AP70*UDCPPEF*NtoN2O*kgtoGg,"ERROR"))</f>
        <v>8.0938953906633806</v>
      </c>
      <c r="X838" s="94">
        <f>IF('Net zero activities &amp; levers'!$C$10="Off",'Activity data'!AQ70*UDCPPEF*NtoN2O*kgtoGg,IF('Net zero activities &amp; levers'!$C$10="On",'Net zero Activity data'!AQ70*UDCPPEF*NtoN2O*kgtoGg,"ERROR"))</f>
        <v>8.0968522848058253</v>
      </c>
      <c r="Y838" s="94">
        <f>IF('Net zero activities &amp; levers'!$C$10="Off",'Activity data'!AR70*UDCPPEF*NtoN2O*kgtoGg,IF('Net zero activities &amp; levers'!$C$10="On",'Net zero Activity data'!AR70*UDCPPEF*NtoN2O*kgtoGg,"ERROR"))</f>
        <v>8.1443976207006106</v>
      </c>
      <c r="Z838" s="94">
        <f>IF('Net zero activities &amp; levers'!$C$10="Off",'Activity data'!AS70*UDCPPEF*NtoN2O*kgtoGg,IF('Net zero activities &amp; levers'!$C$10="On",'Net zero Activity data'!AS70*UDCPPEF*NtoN2O*kgtoGg,"ERROR"))</f>
        <v>8.2118611892116604</v>
      </c>
      <c r="AA838" s="94">
        <f>IF('Net zero activities &amp; levers'!$C$10="Off",'Activity data'!AT70*UDCPPEF*NtoN2O*kgtoGg,IF('Net zero activities &amp; levers'!$C$10="On",'Net zero Activity data'!AT70*UDCPPEF*NtoN2O*kgtoGg,"ERROR"))</f>
        <v>8.304677100987929</v>
      </c>
      <c r="AB838" s="94">
        <f>IF('Net zero activities &amp; levers'!$C$10="Off",'Activity data'!AU70*UDCPPEF*NtoN2O*kgtoGg,IF('Net zero activities &amp; levers'!$C$10="On",'Net zero Activity data'!AU70*UDCPPEF*NtoN2O*kgtoGg,"ERROR"))</f>
        <v>8.4406341980203354</v>
      </c>
      <c r="AC838" s="94">
        <f>IF('Net zero activities &amp; levers'!$C$10="Off",'Activity data'!AV70*UDCPPEF*NtoN2O*kgtoGg,IF('Net zero activities &amp; levers'!$C$10="On",'Net zero Activity data'!AV70*UDCPPEF*NtoN2O*kgtoGg,"ERROR"))</f>
        <v>8.6158927372364591</v>
      </c>
      <c r="AD838" s="94">
        <f>IF('Net zero activities &amp; levers'!$C$10="Off",'Activity data'!AW70*UDCPPEF*NtoN2O*kgtoGg,IF('Net zero activities &amp; levers'!$C$10="On",'Net zero Activity data'!AW70*UDCPPEF*NtoN2O*kgtoGg,"ERROR"))</f>
        <v>8.738082127301313</v>
      </c>
      <c r="AE838" s="94">
        <f>IF('Net zero activities &amp; levers'!$C$10="Off",'Activity data'!AX70*UDCPPEF*NtoN2O*kgtoGg,IF('Net zero activities &amp; levers'!$C$10="On",'Net zero Activity data'!AX70*UDCPPEF*NtoN2O*kgtoGg,"ERROR"))</f>
        <v>8.8747055622246656</v>
      </c>
      <c r="AF838" s="94">
        <f>IF('Net zero activities &amp; levers'!$C$10="Off",'Activity data'!AY70*UDCPPEF*NtoN2O*kgtoGg,IF('Net zero activities &amp; levers'!$C$10="On",'Net zero Activity data'!AY70*UDCPPEF*NtoN2O*kgtoGg,"ERROR"))</f>
        <v>9.015466922400579</v>
      </c>
      <c r="AG838" s="94">
        <f>IF('Net zero activities &amp; levers'!$C$10="Off",'Activity data'!AZ70*UDCPPEF*NtoN2O*kgtoGg,IF('Net zero activities &amp; levers'!$C$10="On",'Net zero Activity data'!AZ70*UDCPPEF*NtoN2O*kgtoGg,"ERROR"))</f>
        <v>9.1634930588400287</v>
      </c>
      <c r="AH838" s="94">
        <f>IF('Net zero activities &amp; levers'!$C$10="Off",'Activity data'!BA70*UDCPPEF*NtoN2O*kgtoGg,IF('Net zero activities &amp; levers'!$C$10="On",'Net zero Activity data'!BA70*UDCPPEF*NtoN2O*kgtoGg,"ERROR"))</f>
        <v>9.3137363209471946</v>
      </c>
      <c r="AI838" s="94">
        <f>IF('Net zero activities &amp; levers'!$C$10="Off",'Activity data'!BB70*UDCPPEF*NtoN2O*kgtoGg,IF('Net zero activities &amp; levers'!$C$10="On",'Net zero Activity data'!BB70*UDCPPEF*NtoN2O*kgtoGg,"ERROR"))</f>
        <v>9.4509351169438833</v>
      </c>
      <c r="AJ838" s="94">
        <f>IF('Net zero activities &amp; levers'!$C$10="Off",'Activity data'!BC70*UDCPPEF*NtoN2O*kgtoGg,IF('Net zero activities &amp; levers'!$C$10="On",'Net zero Activity data'!BC70*UDCPPEF*NtoN2O*kgtoGg,"ERROR"))</f>
        <v>9.5956546664947826</v>
      </c>
      <c r="AK838" s="94">
        <f>IF('Net zero activities &amp; levers'!$C$10="Off",'Activity data'!BD70*UDCPPEF*NtoN2O*kgtoGg,IF('Net zero activities &amp; levers'!$C$10="On",'Net zero Activity data'!BD70*UDCPPEF*NtoN2O*kgtoGg,"ERROR"))</f>
        <v>9.7338213325058032</v>
      </c>
      <c r="AL838" s="94">
        <f>IF('Net zero activities &amp; levers'!$C$10="Off",'Activity data'!BE70*UDCPPEF*NtoN2O*kgtoGg,IF('Net zero activities &amp; levers'!$C$10="On",'Net zero Activity data'!BE70*UDCPPEF*NtoN2O*kgtoGg,"ERROR"))</f>
        <v>9.8641040317399575</v>
      </c>
      <c r="AM838" s="94">
        <f>IF('Net zero activities &amp; levers'!$C$10="Off",'Activity data'!BF70*UDCPPEF*NtoN2O*kgtoGg,IF('Net zero activities &amp; levers'!$C$10="On",'Net zero Activity data'!BF70*UDCPPEF*NtoN2O*kgtoGg,"ERROR"))</f>
        <v>9.9920718719776573</v>
      </c>
      <c r="AN838" s="94">
        <f>IF('Net zero activities &amp; levers'!$C$10="Off",'Activity data'!BG70*UDCPPEF*NtoN2O*kgtoGg,IF('Net zero activities &amp; levers'!$C$10="On",'Net zero Activity data'!BG70*UDCPPEF*NtoN2O*kgtoGg,"ERROR"))</f>
        <v>10.154571662751145</v>
      </c>
      <c r="AO838" s="94">
        <f>IF('Net zero activities &amp; levers'!$C$10="Off",'Activity data'!BH70*UDCPPEF*NtoN2O*kgtoGg,IF('Net zero activities &amp; levers'!$C$10="On",'Net zero Activity data'!BH70*UDCPPEF*NtoN2O*kgtoGg,"ERROR"))</f>
        <v>10.322646809874932</v>
      </c>
      <c r="AP838" s="94">
        <f>IF('Net zero activities &amp; levers'!$C$10="Off",'Activity data'!BI70*UDCPPEF*NtoN2O*kgtoGg,IF('Net zero activities &amp; levers'!$C$10="On",'Net zero Activity data'!BI70*UDCPPEF*NtoN2O*kgtoGg,"ERROR"))</f>
        <v>10.502405352251484</v>
      </c>
      <c r="AQ838" s="94">
        <f>IF('Net zero activities &amp; levers'!$C$10="Off",'Activity data'!BJ70*UDCPPEF*NtoN2O*kgtoGg,IF('Net zero activities &amp; levers'!$C$10="On",'Net zero Activity data'!BJ70*UDCPPEF*NtoN2O*kgtoGg,"ERROR"))</f>
        <v>10.681464513310528</v>
      </c>
      <c r="AR838" s="94">
        <f>IF('Net zero activities &amp; levers'!$C$10="Off",'Activity data'!BK70*UDCPPEF*NtoN2O*kgtoGg,IF('Net zero activities &amp; levers'!$C$10="On",'Net zero Activity data'!BK70*UDCPPEF*NtoN2O*kgtoGg,"ERROR"))</f>
        <v>10.860056701151523</v>
      </c>
      <c r="AS838" s="94">
        <f>IF('Net zero activities &amp; levers'!$C$10="Off",'Activity data'!BL70*UDCPPEF*NtoN2O*kgtoGg,IF('Net zero activities &amp; levers'!$C$10="On",'Net zero Activity data'!BL70*UDCPPEF*NtoN2O*kgtoGg,"ERROR"))</f>
        <v>11.049919009038504</v>
      </c>
      <c r="AT838" s="94">
        <f>IF('Net zero activities &amp; levers'!$C$10="Off",'Activity data'!BM70*UDCPPEF*NtoN2O*kgtoGg,IF('Net zero activities &amp; levers'!$C$10="On",'Net zero Activity data'!BM70*UDCPPEF*NtoN2O*kgtoGg,"ERROR"))</f>
        <v>11.246135422872308</v>
      </c>
      <c r="AU838" s="94">
        <f>IF('Net zero activities &amp; levers'!$C$10="Off",'Activity data'!BN70*UDCPPEF*NtoN2O*kgtoGg,IF('Net zero activities &amp; levers'!$C$10="On",'Net zero Activity data'!BN70*UDCPPEF*NtoN2O*kgtoGg,"ERROR"))</f>
        <v>11.445294532371156</v>
      </c>
      <c r="AV838" s="94">
        <f>IF('Net zero activities &amp; levers'!$C$10="Off",'Activity data'!BO70*UDCPPEF*NtoN2O*kgtoGg,IF('Net zero activities &amp; levers'!$C$10="On",'Net zero Activity data'!BO70*UDCPPEF*NtoN2O*kgtoGg,"ERROR"))</f>
        <v>11.654173846567643</v>
      </c>
      <c r="AW838" s="94">
        <f>IF('Net zero activities &amp; levers'!$C$10="Off",'Activity data'!BP70*UDCPPEF*NtoN2O*kgtoGg,IF('Net zero activities &amp; levers'!$C$10="On",'Net zero Activity data'!BP70*UDCPPEF*NtoN2O*kgtoGg,"ERROR"))</f>
        <v>11.829293168021046</v>
      </c>
      <c r="AY838" s="79"/>
      <c r="AZ838" s="79"/>
    </row>
    <row r="839" spans="1:52" x14ac:dyDescent="0.25">
      <c r="A839" s="95" t="str">
        <f t="shared" si="224"/>
        <v>BD U&amp;D</v>
      </c>
      <c r="B839" s="95" t="s">
        <v>1227</v>
      </c>
      <c r="C839" s="95" t="s">
        <v>1335</v>
      </c>
      <c r="D839" t="s">
        <v>369</v>
      </c>
      <c r="E839" t="s">
        <v>55</v>
      </c>
      <c r="F839" t="s">
        <v>422</v>
      </c>
      <c r="G839" t="s">
        <v>1161</v>
      </c>
      <c r="H839" t="s">
        <v>1244</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5">
      <c r="A840" s="95" t="str">
        <f t="shared" si="224"/>
        <v>BD U&amp;D</v>
      </c>
      <c r="B840" s="95" t="s">
        <v>1227</v>
      </c>
      <c r="C840" s="95" t="s">
        <v>1335</v>
      </c>
      <c r="D840" t="s">
        <v>369</v>
      </c>
      <c r="E840" t="s">
        <v>55</v>
      </c>
      <c r="F840" t="s">
        <v>422</v>
      </c>
      <c r="G840" t="s">
        <v>1163</v>
      </c>
      <c r="H840" t="s">
        <v>1245</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5.8849979697860864</v>
      </c>
      <c r="T840" s="27">
        <f t="shared" si="250"/>
        <v>5.8892338696185709</v>
      </c>
      <c r="U840" s="27">
        <f t="shared" si="250"/>
        <v>5.8877446174554535</v>
      </c>
      <c r="V840" s="27">
        <f t="shared" si="250"/>
        <v>5.8876374031780276</v>
      </c>
      <c r="W840" s="27">
        <f t="shared" si="250"/>
        <v>5.8938824759040038</v>
      </c>
      <c r="X840" s="27">
        <f t="shared" si="250"/>
        <v>5.9041031128445773</v>
      </c>
      <c r="Y840" s="27">
        <f t="shared" si="250"/>
        <v>5.9139099273818276</v>
      </c>
      <c r="Z840" s="27">
        <f t="shared" si="250"/>
        <v>5.9233345583346297</v>
      </c>
      <c r="AA840" s="27">
        <f t="shared" si="250"/>
        <v>5.9323641435098171</v>
      </c>
      <c r="AB840" s="27">
        <f t="shared" si="250"/>
        <v>5.9411868573928839</v>
      </c>
      <c r="AC840" s="27">
        <f t="shared" si="250"/>
        <v>5.9499315766894556</v>
      </c>
      <c r="AD840" s="27">
        <f t="shared" si="250"/>
        <v>5.9585105593958936</v>
      </c>
      <c r="AE840" s="27">
        <f t="shared" si="250"/>
        <v>5.9670471572884827</v>
      </c>
      <c r="AF840" s="27">
        <f t="shared" si="250"/>
        <v>5.9755144784339187</v>
      </c>
      <c r="AG840" s="27">
        <f t="shared" si="250"/>
        <v>5.9838446773332894</v>
      </c>
      <c r="AH840" s="27">
        <f t="shared" si="250"/>
        <v>5.992074429551792</v>
      </c>
      <c r="AI840" s="27">
        <f t="shared" si="250"/>
        <v>6.0002125174101231</v>
      </c>
      <c r="AJ840" s="27">
        <f t="shared" si="250"/>
        <v>6.0082865692474714</v>
      </c>
      <c r="AK840" s="27">
        <f t="shared" si="250"/>
        <v>6.0160495351454939</v>
      </c>
      <c r="AL840" s="27">
        <f t="shared" si="250"/>
        <v>6.0234923325896075</v>
      </c>
      <c r="AM840" s="27">
        <f t="shared" si="250"/>
        <v>6.0306845225857399</v>
      </c>
      <c r="AN840" s="27">
        <f t="shared" si="250"/>
        <v>6.0375707245080381</v>
      </c>
      <c r="AO840" s="27">
        <f t="shared" si="250"/>
        <v>6.0441634304657859</v>
      </c>
      <c r="AP840" s="27">
        <f t="shared" si="250"/>
        <v>6.0504329467907079</v>
      </c>
      <c r="AQ840" s="27">
        <f t="shared" si="250"/>
        <v>6.0562895562131533</v>
      </c>
      <c r="AR840" s="27">
        <f t="shared" si="250"/>
        <v>6.0616501197093573</v>
      </c>
      <c r="AS840" s="27">
        <f t="shared" si="250"/>
        <v>6.0665092216069407</v>
      </c>
      <c r="AT840" s="27">
        <f t="shared" si="250"/>
        <v>6.0708296779310995</v>
      </c>
      <c r="AU840" s="27">
        <f t="shared" si="250"/>
        <v>6.0746094049856261</v>
      </c>
      <c r="AV840" s="27">
        <f t="shared" si="250"/>
        <v>6.0779207352179032</v>
      </c>
      <c r="AW840" s="27">
        <f t="shared" si="250"/>
        <v>6.0803335706264781</v>
      </c>
      <c r="AY840" s="79"/>
      <c r="AZ840" s="79"/>
    </row>
    <row r="841" spans="1:52" x14ac:dyDescent="0.25">
      <c r="A841" s="95" t="str">
        <f t="shared" si="224"/>
        <v>BD U&amp;D</v>
      </c>
      <c r="B841" s="95" t="s">
        <v>1227</v>
      </c>
      <c r="C841" s="95" t="s">
        <v>1335</v>
      </c>
      <c r="D841" t="s">
        <v>369</v>
      </c>
      <c r="E841" t="s">
        <v>55</v>
      </c>
      <c r="F841" t="s">
        <v>422</v>
      </c>
      <c r="G841" t="s">
        <v>1165</v>
      </c>
      <c r="H841" t="s">
        <v>1246</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0.65693953925961401</v>
      </c>
      <c r="T841" s="27">
        <f t="shared" si="251"/>
        <v>0.65741239075397129</v>
      </c>
      <c r="U841" s="27">
        <f t="shared" si="251"/>
        <v>0.65724614623954603</v>
      </c>
      <c r="V841" s="27">
        <f t="shared" si="251"/>
        <v>0.65723417796047845</v>
      </c>
      <c r="W841" s="27">
        <f t="shared" si="251"/>
        <v>0.65793131247442549</v>
      </c>
      <c r="X841" s="27">
        <f t="shared" si="251"/>
        <v>0.65907223734086595</v>
      </c>
      <c r="Y841" s="27">
        <f t="shared" si="251"/>
        <v>0.66016696740819658</v>
      </c>
      <c r="Z841" s="27">
        <f t="shared" si="251"/>
        <v>0.66121903450280095</v>
      </c>
      <c r="AA841" s="27">
        <f t="shared" si="251"/>
        <v>0.66222700282414093</v>
      </c>
      <c r="AB841" s="27">
        <f t="shared" si="251"/>
        <v>0.66321187820100891</v>
      </c>
      <c r="AC841" s="27">
        <f t="shared" si="251"/>
        <v>0.66418804707908485</v>
      </c>
      <c r="AD841" s="27">
        <f t="shared" si="251"/>
        <v>0.66514571486001184</v>
      </c>
      <c r="AE841" s="27">
        <f t="shared" si="251"/>
        <v>0.66609865124422019</v>
      </c>
      <c r="AF841" s="27">
        <f t="shared" si="251"/>
        <v>0.6670438542979179</v>
      </c>
      <c r="AG841" s="27">
        <f t="shared" si="251"/>
        <v>0.6679737504601575</v>
      </c>
      <c r="AH841" s="27">
        <f t="shared" si="251"/>
        <v>0.66889243380693197</v>
      </c>
      <c r="AI841" s="27">
        <f t="shared" si="251"/>
        <v>0.66980088470454557</v>
      </c>
      <c r="AJ841" s="27">
        <f t="shared" si="251"/>
        <v>0.67070218729143127</v>
      </c>
      <c r="AK841" s="27">
        <f t="shared" si="251"/>
        <v>0.6715687635020805</v>
      </c>
      <c r="AL841" s="27">
        <f t="shared" si="251"/>
        <v>0.67239959945968686</v>
      </c>
      <c r="AM841" s="27">
        <f t="shared" si="251"/>
        <v>0.67320246022643382</v>
      </c>
      <c r="AN841" s="27">
        <f t="shared" si="251"/>
        <v>0.67397116368925725</v>
      </c>
      <c r="AO841" s="27">
        <f t="shared" si="251"/>
        <v>0.67470710433640646</v>
      </c>
      <c r="AP841" s="27">
        <f t="shared" si="251"/>
        <v>0.67540696747773998</v>
      </c>
      <c r="AQ841" s="27">
        <f t="shared" si="251"/>
        <v>0.67606073801688993</v>
      </c>
      <c r="AR841" s="27">
        <f t="shared" si="251"/>
        <v>0.67665913518396625</v>
      </c>
      <c r="AS841" s="27">
        <f t="shared" si="251"/>
        <v>0.67720155443002239</v>
      </c>
      <c r="AT841" s="27">
        <f t="shared" si="251"/>
        <v>0.67768384492554279</v>
      </c>
      <c r="AU841" s="27">
        <f t="shared" si="251"/>
        <v>0.67810577406850514</v>
      </c>
      <c r="AV841" s="27">
        <f t="shared" si="251"/>
        <v>0.67847541629579156</v>
      </c>
      <c r="AW841" s="27">
        <f t="shared" si="251"/>
        <v>0.67874475997097328</v>
      </c>
      <c r="AY841" s="79"/>
      <c r="AZ841" s="79"/>
    </row>
    <row r="842" spans="1:52" x14ac:dyDescent="0.25">
      <c r="A842" s="95" t="str">
        <f t="shared" si="224"/>
        <v>BD U&amp;D</v>
      </c>
      <c r="B842" s="95" t="s">
        <v>1227</v>
      </c>
      <c r="C842" s="95" t="s">
        <v>1335</v>
      </c>
      <c r="D842" t="s">
        <v>369</v>
      </c>
      <c r="E842" t="s">
        <v>55</v>
      </c>
      <c r="F842" t="s">
        <v>422</v>
      </c>
      <c r="G842" t="s">
        <v>1167</v>
      </c>
      <c r="H842" t="s">
        <v>1247</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0.73708994755228407</v>
      </c>
      <c r="R842" s="27">
        <f t="shared" si="252"/>
        <v>0.74193942345928476</v>
      </c>
      <c r="S842" s="27">
        <f t="shared" si="252"/>
        <v>0.74012019902027282</v>
      </c>
      <c r="T842" s="27">
        <f t="shared" si="252"/>
        <v>0.74139246635166289</v>
      </c>
      <c r="U842" s="27">
        <f t="shared" si="252"/>
        <v>0.74151592530175092</v>
      </c>
      <c r="V842" s="27">
        <f t="shared" si="252"/>
        <v>0.74185535866328745</v>
      </c>
      <c r="W842" s="27">
        <f t="shared" si="252"/>
        <v>0.74335608585495871</v>
      </c>
      <c r="X842" s="27">
        <f t="shared" si="252"/>
        <v>0.74556357164156939</v>
      </c>
      <c r="Y842" s="27">
        <f t="shared" si="252"/>
        <v>0.74764732173100068</v>
      </c>
      <c r="Z842" s="27">
        <f t="shared" si="252"/>
        <v>0.74961713361766258</v>
      </c>
      <c r="AA842" s="27">
        <f t="shared" si="252"/>
        <v>0.75147401556229898</v>
      </c>
      <c r="AB842" s="27">
        <f t="shared" si="252"/>
        <v>0.75325638993383137</v>
      </c>
      <c r="AC842" s="27">
        <f t="shared" si="252"/>
        <v>0.75499099939868619</v>
      </c>
      <c r="AD842" s="27">
        <f t="shared" si="252"/>
        <v>0.75666368217952507</v>
      </c>
      <c r="AE842" s="27">
        <f t="shared" si="252"/>
        <v>0.75829956195489012</v>
      </c>
      <c r="AF842" s="27">
        <f t="shared" si="252"/>
        <v>0.75989544125855291</v>
      </c>
      <c r="AG842" s="27">
        <f t="shared" si="252"/>
        <v>0.76144040021050008</v>
      </c>
      <c r="AH842" s="27">
        <f t="shared" si="252"/>
        <v>0.76294284733285755</v>
      </c>
      <c r="AI842" s="27">
        <f t="shared" si="252"/>
        <v>0.76440585179872644</v>
      </c>
      <c r="AJ842" s="27">
        <f t="shared" si="252"/>
        <v>0.76583583721390103</v>
      </c>
      <c r="AK842" s="27">
        <f t="shared" si="252"/>
        <v>0.76718846615565761</v>
      </c>
      <c r="AL842" s="27">
        <f t="shared" si="252"/>
        <v>0.76846341889719361</v>
      </c>
      <c r="AM842" s="27">
        <f t="shared" si="252"/>
        <v>0.769674739992807</v>
      </c>
      <c r="AN842" s="27">
        <f t="shared" si="252"/>
        <v>0.77081339983246644</v>
      </c>
      <c r="AO842" s="27">
        <f t="shared" si="252"/>
        <v>0.77188278784323794</v>
      </c>
      <c r="AP842" s="27">
        <f t="shared" si="252"/>
        <v>0.77287850467741359</v>
      </c>
      <c r="AQ842" s="27">
        <f t="shared" si="252"/>
        <v>0.77378518098285765</v>
      </c>
      <c r="AR842" s="27">
        <f t="shared" si="252"/>
        <v>0.77458869841791256</v>
      </c>
      <c r="AS842" s="27">
        <f t="shared" si="252"/>
        <v>0.77528911180488913</v>
      </c>
      <c r="AT842" s="27">
        <f t="shared" si="252"/>
        <v>0.77588066613277407</v>
      </c>
      <c r="AU842" s="27">
        <f t="shared" si="252"/>
        <v>0.77636396136599817</v>
      </c>
      <c r="AV842" s="27">
        <f t="shared" si="252"/>
        <v>0.77675301530412866</v>
      </c>
      <c r="AW842" s="27">
        <f t="shared" si="252"/>
        <v>0.77697098593778646</v>
      </c>
      <c r="AY842" s="79"/>
      <c r="AZ842" s="79"/>
    </row>
    <row r="843" spans="1:52" x14ac:dyDescent="0.25">
      <c r="A843" s="95" t="str">
        <f t="shared" si="224"/>
        <v>BD U&amp;D</v>
      </c>
      <c r="B843" s="95" t="s">
        <v>1227</v>
      </c>
      <c r="C843" s="95" t="s">
        <v>1335</v>
      </c>
      <c r="D843" t="s">
        <v>369</v>
      </c>
      <c r="E843" t="s">
        <v>55</v>
      </c>
      <c r="F843" t="s">
        <v>422</v>
      </c>
      <c r="G843" t="s">
        <v>1169</v>
      </c>
      <c r="H843" t="s">
        <v>1248</v>
      </c>
      <c r="I843" t="s">
        <v>139</v>
      </c>
      <c r="J843" t="s">
        <v>287</v>
      </c>
      <c r="K843" s="27">
        <f t="shared" ref="K843:AW843" si="253">K1491</f>
        <v>1.1867254191644501</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1.2198688909683482</v>
      </c>
      <c r="R843" s="27">
        <f t="shared" si="253"/>
        <v>1.2278946750888551</v>
      </c>
      <c r="S843" s="27">
        <f t="shared" si="253"/>
        <v>1.2248838955955119</v>
      </c>
      <c r="T843" s="27">
        <f t="shared" si="253"/>
        <v>1.2269894721858747</v>
      </c>
      <c r="U843" s="27">
        <f t="shared" si="253"/>
        <v>1.2271937942404954</v>
      </c>
      <c r="V843" s="27">
        <f t="shared" si="253"/>
        <v>1.2277555495590562</v>
      </c>
      <c r="W843" s="27">
        <f t="shared" si="253"/>
        <v>1.2302392225775656</v>
      </c>
      <c r="X843" s="27">
        <f t="shared" si="253"/>
        <v>1.2338925667145779</v>
      </c>
      <c r="Y843" s="27">
        <f t="shared" si="253"/>
        <v>1.2373411307861553</v>
      </c>
      <c r="Z843" s="27">
        <f t="shared" si="253"/>
        <v>1.2406011294465342</v>
      </c>
      <c r="AA843" s="27">
        <f t="shared" si="253"/>
        <v>1.2436742313467632</v>
      </c>
      <c r="AB843" s="27">
        <f t="shared" si="253"/>
        <v>1.2466240247269491</v>
      </c>
      <c r="AC843" s="27">
        <f t="shared" si="253"/>
        <v>1.2494947681568149</v>
      </c>
      <c r="AD843" s="27">
        <f t="shared" si="253"/>
        <v>1.2522630241825274</v>
      </c>
      <c r="AE843" s="27">
        <f t="shared" si="253"/>
        <v>1.2549703719817464</v>
      </c>
      <c r="AF843" s="27">
        <f t="shared" si="253"/>
        <v>1.2576115198128128</v>
      </c>
      <c r="AG843" s="27">
        <f t="shared" si="253"/>
        <v>1.2601683954961149</v>
      </c>
      <c r="AH843" s="27">
        <f t="shared" si="253"/>
        <v>1.2626549149649742</v>
      </c>
      <c r="AI843" s="27">
        <f t="shared" si="253"/>
        <v>1.2650761576385281</v>
      </c>
      <c r="AJ843" s="27">
        <f t="shared" si="253"/>
        <v>1.2674427544538867</v>
      </c>
      <c r="AK843" s="27">
        <f t="shared" si="253"/>
        <v>1.2696813278770511</v>
      </c>
      <c r="AL843" s="27">
        <f t="shared" si="253"/>
        <v>1.2717913487666579</v>
      </c>
      <c r="AM843" s="27">
        <f t="shared" si="253"/>
        <v>1.2737960605747884</v>
      </c>
      <c r="AN843" s="27">
        <f t="shared" si="253"/>
        <v>1.2756805194802561</v>
      </c>
      <c r="AO843" s="27">
        <f t="shared" si="253"/>
        <v>1.2774503349160069</v>
      </c>
      <c r="AP843" s="27">
        <f t="shared" si="253"/>
        <v>1.2790982260509465</v>
      </c>
      <c r="AQ843" s="27">
        <f t="shared" si="253"/>
        <v>1.2805987569194814</v>
      </c>
      <c r="AR843" s="27">
        <f t="shared" si="253"/>
        <v>1.2819285619529504</v>
      </c>
      <c r="AS843" s="27">
        <f t="shared" si="253"/>
        <v>1.2830877318811631</v>
      </c>
      <c r="AT843" s="27">
        <f t="shared" si="253"/>
        <v>1.2840667422777918</v>
      </c>
      <c r="AU843" s="27">
        <f t="shared" si="253"/>
        <v>1.2848665860717841</v>
      </c>
      <c r="AV843" s="27">
        <f t="shared" si="253"/>
        <v>1.2855104624366835</v>
      </c>
      <c r="AW843" s="27">
        <f t="shared" si="253"/>
        <v>1.2858711994078322</v>
      </c>
      <c r="AY843" s="79"/>
      <c r="AZ843" s="79"/>
    </row>
    <row r="844" spans="1:52" x14ac:dyDescent="0.25">
      <c r="A844" s="95" t="str">
        <f t="shared" si="224"/>
        <v>BD U&amp;D</v>
      </c>
      <c r="B844" s="95" t="s">
        <v>1227</v>
      </c>
      <c r="C844" s="95" t="s">
        <v>1335</v>
      </c>
      <c r="D844" t="s">
        <v>369</v>
      </c>
      <c r="E844" t="s">
        <v>55</v>
      </c>
      <c r="F844" t="s">
        <v>422</v>
      </c>
      <c r="G844" t="s">
        <v>1171</v>
      </c>
      <c r="H844" t="s">
        <v>1249</v>
      </c>
      <c r="I844" t="s">
        <v>139</v>
      </c>
      <c r="J844" t="s">
        <v>287</v>
      </c>
      <c r="K844" s="27">
        <f t="shared" ref="K844:AW844" si="254">K1492</f>
        <v>0.19147730421375916</v>
      </c>
      <c r="L844" s="27">
        <f t="shared" si="254"/>
        <v>0.19240499933397132</v>
      </c>
      <c r="M844" s="27">
        <f t="shared" si="254"/>
        <v>0.19381280191845884</v>
      </c>
      <c r="N844" s="27">
        <f t="shared" si="254"/>
        <v>0.19411375969056655</v>
      </c>
      <c r="O844" s="27">
        <f t="shared" si="254"/>
        <v>0.19368291106027893</v>
      </c>
      <c r="P844" s="27">
        <f t="shared" si="254"/>
        <v>0.19253602379697463</v>
      </c>
      <c r="Q844" s="27">
        <f t="shared" si="254"/>
        <v>0.19190012409058904</v>
      </c>
      <c r="R844" s="27">
        <f t="shared" si="254"/>
        <v>0.19132863754616411</v>
      </c>
      <c r="S844" s="27">
        <f t="shared" si="254"/>
        <v>0.18266880885015579</v>
      </c>
      <c r="T844" s="27">
        <f t="shared" si="254"/>
        <v>0.18809378134692423</v>
      </c>
      <c r="U844" s="27">
        <f t="shared" si="254"/>
        <v>0.19079942650123977</v>
      </c>
      <c r="V844" s="27">
        <f t="shared" si="254"/>
        <v>0.19120805768125793</v>
      </c>
      <c r="W844" s="27">
        <f t="shared" si="254"/>
        <v>0.191567581973451</v>
      </c>
      <c r="X844" s="27">
        <f t="shared" si="254"/>
        <v>0.19243995083448096</v>
      </c>
      <c r="Y844" s="27">
        <f t="shared" si="254"/>
        <v>0.1939290152815269</v>
      </c>
      <c r="Z844" s="27">
        <f t="shared" si="254"/>
        <v>0.19572566733105584</v>
      </c>
      <c r="AA844" s="27">
        <f t="shared" si="254"/>
        <v>0.19791142753361757</v>
      </c>
      <c r="AB844" s="27">
        <f t="shared" si="254"/>
        <v>0.20073163120248141</v>
      </c>
      <c r="AC844" s="27">
        <f t="shared" si="254"/>
        <v>0.20414944143031946</v>
      </c>
      <c r="AD844" s="27">
        <f t="shared" si="254"/>
        <v>0.2079342142091529</v>
      </c>
      <c r="AE844" s="27">
        <f t="shared" si="254"/>
        <v>0.2120704701686861</v>
      </c>
      <c r="AF844" s="27">
        <f t="shared" si="254"/>
        <v>0.21643036681214611</v>
      </c>
      <c r="AG844" s="27">
        <f t="shared" si="254"/>
        <v>0.22107481526755876</v>
      </c>
      <c r="AH844" s="27">
        <f t="shared" si="254"/>
        <v>0.22594299924319575</v>
      </c>
      <c r="AI844" s="27">
        <f t="shared" si="254"/>
        <v>0.23081287404445633</v>
      </c>
      <c r="AJ844" s="27">
        <f t="shared" si="254"/>
        <v>0.23600481014510816</v>
      </c>
      <c r="AK844" s="27">
        <f t="shared" si="254"/>
        <v>0.24132262653826006</v>
      </c>
      <c r="AL844" s="27">
        <f t="shared" si="254"/>
        <v>0.24675186109010536</v>
      </c>
      <c r="AM844" s="27">
        <f t="shared" si="254"/>
        <v>0.25238913765935056</v>
      </c>
      <c r="AN844" s="27">
        <f t="shared" si="254"/>
        <v>0.25799715238539928</v>
      </c>
      <c r="AO844" s="27">
        <f t="shared" si="254"/>
        <v>0.26391035530015045</v>
      </c>
      <c r="AP844" s="27">
        <f t="shared" si="254"/>
        <v>0.27025468976471112</v>
      </c>
      <c r="AQ844" s="27">
        <f t="shared" si="254"/>
        <v>0.27683409216202315</v>
      </c>
      <c r="AR844" s="27">
        <f t="shared" si="254"/>
        <v>0.28366954305937575</v>
      </c>
      <c r="AS844" s="27">
        <f t="shared" si="254"/>
        <v>0.29099654328717883</v>
      </c>
      <c r="AT844" s="27">
        <f t="shared" si="254"/>
        <v>0.29875152246319292</v>
      </c>
      <c r="AU844" s="27">
        <f t="shared" si="254"/>
        <v>0.30689307002053717</v>
      </c>
      <c r="AV844" s="27">
        <f t="shared" si="254"/>
        <v>0.31557625829716562</v>
      </c>
      <c r="AW844" s="27">
        <f t="shared" si="254"/>
        <v>0.32396777623584005</v>
      </c>
      <c r="AY844" s="79"/>
      <c r="AZ844" s="79"/>
    </row>
    <row r="845" spans="1:52" x14ac:dyDescent="0.25">
      <c r="A845" s="95" t="str">
        <f t="shared" si="224"/>
        <v>BD U&amp;D</v>
      </c>
      <c r="B845" s="95" t="s">
        <v>1227</v>
      </c>
      <c r="C845" s="95" t="s">
        <v>1335</v>
      </c>
      <c r="D845" t="s">
        <v>369</v>
      </c>
      <c r="E845" t="s">
        <v>55</v>
      </c>
      <c r="F845" t="s">
        <v>422</v>
      </c>
      <c r="G845" t="s">
        <v>1173</v>
      </c>
      <c r="H845" t="s">
        <v>1250</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5">
      <c r="A846" s="95" t="str">
        <f t="shared" si="224"/>
        <v>BD U&amp;D</v>
      </c>
      <c r="B846" s="95" t="s">
        <v>1227</v>
      </c>
      <c r="C846" s="95" t="s">
        <v>1335</v>
      </c>
      <c r="D846" t="s">
        <v>369</v>
      </c>
      <c r="E846" t="s">
        <v>55</v>
      </c>
      <c r="F846" t="s">
        <v>422</v>
      </c>
      <c r="G846" t="s">
        <v>1175</v>
      </c>
      <c r="H846" t="s">
        <v>1251</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5">
      <c r="A847" s="95" t="str">
        <f t="shared" si="224"/>
        <v>BD U&amp;D</v>
      </c>
      <c r="B847" s="95" t="s">
        <v>1227</v>
      </c>
      <c r="C847" s="95" t="s">
        <v>1335</v>
      </c>
      <c r="D847" t="s">
        <v>369</v>
      </c>
      <c r="E847" t="s">
        <v>55</v>
      </c>
      <c r="F847" t="s">
        <v>422</v>
      </c>
      <c r="G847" t="s">
        <v>1177</v>
      </c>
      <c r="H847" t="s">
        <v>1252</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5">
      <c r="A848" s="95" t="str">
        <f t="shared" si="224"/>
        <v>BD U&amp;D</v>
      </c>
      <c r="B848" s="95" t="s">
        <v>1227</v>
      </c>
      <c r="C848" s="95" t="s">
        <v>1335</v>
      </c>
      <c r="D848" t="s">
        <v>369</v>
      </c>
      <c r="E848" t="s">
        <v>55</v>
      </c>
      <c r="F848" t="s">
        <v>422</v>
      </c>
      <c r="G848" t="s">
        <v>1179</v>
      </c>
      <c r="H848" t="s">
        <v>1253</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5">
      <c r="A849" s="95" t="str">
        <f t="shared" si="224"/>
        <v>BD U&amp;D</v>
      </c>
      <c r="B849" s="95" t="s">
        <v>1227</v>
      </c>
      <c r="C849" s="95" t="s">
        <v>1335</v>
      </c>
      <c r="D849" t="s">
        <v>369</v>
      </c>
      <c r="E849" t="s">
        <v>55</v>
      </c>
      <c r="F849" t="s">
        <v>422</v>
      </c>
      <c r="G849" t="s">
        <v>1181</v>
      </c>
      <c r="H849" t="s">
        <v>1254</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5">
      <c r="A850" s="95" t="str">
        <f t="shared" si="224"/>
        <v>BD FSOM</v>
      </c>
      <c r="B850" s="95" t="s">
        <v>1227</v>
      </c>
      <c r="C850" s="95" t="s">
        <v>60</v>
      </c>
      <c r="D850" t="s">
        <v>369</v>
      </c>
      <c r="E850" t="s">
        <v>55</v>
      </c>
      <c r="F850" t="s">
        <v>60</v>
      </c>
      <c r="G850" t="s">
        <v>1265</v>
      </c>
      <c r="H850" t="s">
        <v>1266</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5">
      <c r="A851" s="95" t="str">
        <f t="shared" si="224"/>
        <v>BD FSOM</v>
      </c>
      <c r="B851" s="95" t="s">
        <v>1227</v>
      </c>
      <c r="C851" s="95" t="s">
        <v>60</v>
      </c>
      <c r="D851" t="s">
        <v>369</v>
      </c>
      <c r="E851" t="s">
        <v>55</v>
      </c>
      <c r="F851" t="s">
        <v>60</v>
      </c>
      <c r="G851" t="s">
        <v>1267</v>
      </c>
      <c r="H851" t="s">
        <v>1268</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5">
      <c r="A852" s="95" t="str">
        <f t="shared" si="224"/>
        <v>BD FSOM</v>
      </c>
      <c r="B852" s="95" t="s">
        <v>1227</v>
      </c>
      <c r="C852" s="95" t="s">
        <v>60</v>
      </c>
      <c r="D852" t="s">
        <v>369</v>
      </c>
      <c r="E852" t="s">
        <v>55</v>
      </c>
      <c r="F852" t="s">
        <v>60</v>
      </c>
      <c r="G852" t="s">
        <v>1269</v>
      </c>
      <c r="H852" t="s">
        <v>1270</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5">
      <c r="A853" s="95" t="str">
        <f t="shared" si="224"/>
        <v>BD FSOM</v>
      </c>
      <c r="B853" s="95" t="s">
        <v>1227</v>
      </c>
      <c r="C853" s="95" t="s">
        <v>60</v>
      </c>
      <c r="D853" t="s">
        <v>369</v>
      </c>
      <c r="E853" t="s">
        <v>55</v>
      </c>
      <c r="F853" t="s">
        <v>60</v>
      </c>
      <c r="G853" t="s">
        <v>1271</v>
      </c>
      <c r="H853" t="s">
        <v>1272</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5">
      <c r="A854" s="95" t="str">
        <f t="shared" si="224"/>
        <v>BD FSOM</v>
      </c>
      <c r="B854" s="95" t="s">
        <v>1227</v>
      </c>
      <c r="C854" s="95" t="s">
        <v>60</v>
      </c>
      <c r="D854" t="s">
        <v>369</v>
      </c>
      <c r="E854" t="s">
        <v>55</v>
      </c>
      <c r="F854" t="s">
        <v>60</v>
      </c>
      <c r="G854" t="s">
        <v>1273</v>
      </c>
      <c r="H854" t="s">
        <v>1274</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5">
      <c r="A855" s="95" t="str">
        <f t="shared" si="224"/>
        <v>BD FSOM</v>
      </c>
      <c r="B855" s="95" t="s">
        <v>1227</v>
      </c>
      <c r="C855" s="95" t="s">
        <v>60</v>
      </c>
      <c r="D855" t="s">
        <v>369</v>
      </c>
      <c r="E855" t="s">
        <v>55</v>
      </c>
      <c r="F855" t="s">
        <v>60</v>
      </c>
      <c r="G855" t="s">
        <v>1275</v>
      </c>
      <c r="H855" t="s">
        <v>1276</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5">
      <c r="A856" s="95" t="str">
        <f t="shared" si="224"/>
        <v>BD FSOM</v>
      </c>
      <c r="B856" s="95" t="s">
        <v>1227</v>
      </c>
      <c r="C856" s="95" t="s">
        <v>60</v>
      </c>
      <c r="D856" t="s">
        <v>369</v>
      </c>
      <c r="E856" t="s">
        <v>55</v>
      </c>
      <c r="F856" t="s">
        <v>60</v>
      </c>
      <c r="G856" t="s">
        <v>1277</v>
      </c>
      <c r="H856" t="s">
        <v>1278</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5">
      <c r="A857" s="95" t="str">
        <f t="shared" si="224"/>
        <v>BD FSOM</v>
      </c>
      <c r="B857" s="95" t="s">
        <v>1227</v>
      </c>
      <c r="C857" s="95" t="s">
        <v>60</v>
      </c>
      <c r="D857" t="s">
        <v>369</v>
      </c>
      <c r="E857" t="s">
        <v>55</v>
      </c>
      <c r="F857" t="s">
        <v>60</v>
      </c>
      <c r="G857" t="s">
        <v>1279</v>
      </c>
      <c r="H857" t="s">
        <v>1280</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5">
      <c r="A858" s="95" t="str">
        <f t="shared" si="224"/>
        <v>BD FSOM</v>
      </c>
      <c r="B858" s="95" t="s">
        <v>1227</v>
      </c>
      <c r="C858" s="95" t="s">
        <v>60</v>
      </c>
      <c r="D858" t="s">
        <v>369</v>
      </c>
      <c r="E858" t="s">
        <v>55</v>
      </c>
      <c r="F858" t="s">
        <v>60</v>
      </c>
      <c r="G858" t="s">
        <v>1281</v>
      </c>
      <c r="H858" t="s">
        <v>1282</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5">
      <c r="A859" s="95" t="str">
        <f t="shared" si="224"/>
        <v>BD FSOM</v>
      </c>
      <c r="B859" s="95" t="s">
        <v>1227</v>
      </c>
      <c r="C859" s="95" t="s">
        <v>60</v>
      </c>
      <c r="D859" t="s">
        <v>369</v>
      </c>
      <c r="E859" t="s">
        <v>55</v>
      </c>
      <c r="F859" t="s">
        <v>60</v>
      </c>
      <c r="G859" t="s">
        <v>1283</v>
      </c>
      <c r="H859" t="s">
        <v>1284</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5">
      <c r="A860" s="95" t="str">
        <f t="shared" ref="A860:A914" si="270">B860&amp;" "&amp;C860</f>
        <v>BD FSOM</v>
      </c>
      <c r="B860" s="95" t="s">
        <v>1227</v>
      </c>
      <c r="C860" s="95" t="s">
        <v>60</v>
      </c>
      <c r="D860" t="s">
        <v>369</v>
      </c>
      <c r="E860" t="s">
        <v>55</v>
      </c>
      <c r="F860" t="s">
        <v>60</v>
      </c>
      <c r="G860" t="s">
        <v>1285</v>
      </c>
      <c r="H860" t="s">
        <v>1286</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5">
      <c r="A861" s="95" t="str">
        <f t="shared" si="270"/>
        <v>BD FSOM</v>
      </c>
      <c r="B861" s="95" t="s">
        <v>1227</v>
      </c>
      <c r="C861" s="95" t="s">
        <v>60</v>
      </c>
      <c r="D861" t="s">
        <v>369</v>
      </c>
      <c r="E861" t="s">
        <v>55</v>
      </c>
      <c r="F861" t="s">
        <v>60</v>
      </c>
      <c r="G861" t="s">
        <v>1287</v>
      </c>
      <c r="H861" t="s">
        <v>1288</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5">
      <c r="A862" s="95" t="str">
        <f t="shared" si="270"/>
        <v>BD Volatilisation</v>
      </c>
      <c r="B862" s="95" t="s">
        <v>1227</v>
      </c>
      <c r="C862" s="95" t="s">
        <v>62</v>
      </c>
      <c r="D862" t="s">
        <v>369</v>
      </c>
      <c r="E862" t="s">
        <v>61</v>
      </c>
      <c r="F862" t="s">
        <v>62</v>
      </c>
      <c r="G862" t="s">
        <v>435</v>
      </c>
      <c r="H862" t="s">
        <v>1183</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0.66036342435905737</v>
      </c>
      <c r="U862" s="27">
        <f t="shared" si="273"/>
        <v>0.66004971859529549</v>
      </c>
      <c r="V862" s="27">
        <f t="shared" si="273"/>
        <v>0.65987679285209155</v>
      </c>
      <c r="W862" s="27">
        <f t="shared" si="273"/>
        <v>0.65980968039636112</v>
      </c>
      <c r="X862" s="27">
        <f t="shared" si="273"/>
        <v>0.65973729403354264</v>
      </c>
      <c r="Y862" s="27">
        <f t="shared" si="273"/>
        <v>0.6596371673513507</v>
      </c>
      <c r="Z862" s="27">
        <f t="shared" si="273"/>
        <v>0.65951092743964945</v>
      </c>
      <c r="AA862" s="27">
        <f t="shared" si="273"/>
        <v>0.65937292152761395</v>
      </c>
      <c r="AB862" s="27">
        <f t="shared" si="273"/>
        <v>0.65921980493186427</v>
      </c>
      <c r="AC862" s="27">
        <f t="shared" si="273"/>
        <v>0.65904099002136718</v>
      </c>
      <c r="AD862" s="27">
        <f t="shared" si="273"/>
        <v>0.6588390077412124</v>
      </c>
      <c r="AE862" s="27">
        <f t="shared" si="273"/>
        <v>0.65862502813307378</v>
      </c>
      <c r="AF862" s="27">
        <f t="shared" si="273"/>
        <v>0.65840030111280701</v>
      </c>
      <c r="AG862" s="27">
        <f t="shared" si="273"/>
        <v>0.65817083248767305</v>
      </c>
      <c r="AH862" s="27">
        <f t="shared" si="273"/>
        <v>0.65793473576190653</v>
      </c>
      <c r="AI862" s="27">
        <f t="shared" si="273"/>
        <v>0.65769490947439302</v>
      </c>
      <c r="AJ862" s="27">
        <f t="shared" si="273"/>
        <v>0.65746015679174796</v>
      </c>
      <c r="AK862" s="27">
        <f t="shared" si="273"/>
        <v>0.65721839556094175</v>
      </c>
      <c r="AL862" s="27">
        <f t="shared" si="273"/>
        <v>0.65697772026100598</v>
      </c>
      <c r="AM862" s="27">
        <f t="shared" si="273"/>
        <v>0.65673876647835383</v>
      </c>
      <c r="AN862" s="27">
        <f t="shared" si="273"/>
        <v>0.65649818227366441</v>
      </c>
      <c r="AO862" s="27">
        <f t="shared" si="273"/>
        <v>0.65626429517048157</v>
      </c>
      <c r="AP862" s="27">
        <f t="shared" si="273"/>
        <v>0.65602587146144697</v>
      </c>
      <c r="AQ862" s="27">
        <f t="shared" si="273"/>
        <v>0.65577947514353263</v>
      </c>
      <c r="AR862" s="27">
        <f t="shared" si="273"/>
        <v>0.65553213474499905</v>
      </c>
      <c r="AS862" s="27">
        <f t="shared" si="273"/>
        <v>0.65528365550023426</v>
      </c>
      <c r="AT862" s="27">
        <f t="shared" si="273"/>
        <v>0.65502749591835585</v>
      </c>
      <c r="AU862" s="27">
        <f t="shared" si="273"/>
        <v>0.65476643110027843</v>
      </c>
      <c r="AV862" s="27">
        <f t="shared" si="273"/>
        <v>0.65450232737774761</v>
      </c>
      <c r="AW862" s="27">
        <f t="shared" si="273"/>
        <v>0.65423151331477958</v>
      </c>
      <c r="AY862" s="79"/>
      <c r="AZ862" s="79"/>
    </row>
    <row r="863" spans="1:52" x14ac:dyDescent="0.25">
      <c r="A863" s="95" t="str">
        <f t="shared" si="270"/>
        <v>BD Volatilisation</v>
      </c>
      <c r="B863" s="95" t="s">
        <v>1227</v>
      </c>
      <c r="C863" s="95" t="s">
        <v>62</v>
      </c>
      <c r="D863" t="s">
        <v>369</v>
      </c>
      <c r="E863" t="s">
        <v>61</v>
      </c>
      <c r="F863" t="s">
        <v>62</v>
      </c>
      <c r="G863" t="s">
        <v>436</v>
      </c>
      <c r="H863" t="s">
        <v>1184</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8.7167972015395577E-3</v>
      </c>
      <c r="U863" s="27">
        <f t="shared" si="274"/>
        <v>8.7126562854578996E-3</v>
      </c>
      <c r="V863" s="27">
        <f t="shared" si="274"/>
        <v>8.7103736656476104E-3</v>
      </c>
      <c r="W863" s="27">
        <f t="shared" si="274"/>
        <v>8.7094877812319699E-3</v>
      </c>
      <c r="X863" s="27">
        <f t="shared" si="274"/>
        <v>8.7085322812427632E-3</v>
      </c>
      <c r="Y863" s="27">
        <f t="shared" si="274"/>
        <v>8.7072106090378288E-3</v>
      </c>
      <c r="Z863" s="27">
        <f t="shared" si="274"/>
        <v>8.7055442422033745E-3</v>
      </c>
      <c r="AA863" s="27">
        <f t="shared" si="274"/>
        <v>8.7037225641645056E-3</v>
      </c>
      <c r="AB863" s="27">
        <f t="shared" si="274"/>
        <v>8.7017014251006084E-3</v>
      </c>
      <c r="AC863" s="27">
        <f t="shared" si="274"/>
        <v>8.699341068282046E-3</v>
      </c>
      <c r="AD863" s="27">
        <f t="shared" si="274"/>
        <v>8.6966749021840043E-3</v>
      </c>
      <c r="AE863" s="27">
        <f t="shared" si="274"/>
        <v>8.6938503713565752E-3</v>
      </c>
      <c r="AF863" s="27">
        <f t="shared" si="274"/>
        <v>8.6908839746890534E-3</v>
      </c>
      <c r="AG863" s="27">
        <f t="shared" si="274"/>
        <v>8.687854988837283E-3</v>
      </c>
      <c r="AH863" s="27">
        <f t="shared" si="274"/>
        <v>8.6847385120571701E-3</v>
      </c>
      <c r="AI863" s="27">
        <f t="shared" si="274"/>
        <v>8.6815728050619895E-3</v>
      </c>
      <c r="AJ863" s="27">
        <f t="shared" si="274"/>
        <v>8.6784740696510734E-3</v>
      </c>
      <c r="AK863" s="27">
        <f t="shared" si="274"/>
        <v>8.6752828214044318E-3</v>
      </c>
      <c r="AL863" s="27">
        <f t="shared" si="274"/>
        <v>8.672105907445278E-3</v>
      </c>
      <c r="AM863" s="27">
        <f t="shared" si="274"/>
        <v>8.6689517175142713E-3</v>
      </c>
      <c r="AN863" s="27">
        <f t="shared" si="274"/>
        <v>8.6657760060123695E-3</v>
      </c>
      <c r="AO863" s="27">
        <f t="shared" si="274"/>
        <v>8.6626886962503594E-3</v>
      </c>
      <c r="AP863" s="27">
        <f t="shared" si="274"/>
        <v>8.6595415032911013E-3</v>
      </c>
      <c r="AQ863" s="27">
        <f t="shared" si="274"/>
        <v>8.6562890718946302E-3</v>
      </c>
      <c r="AR863" s="27">
        <f t="shared" si="274"/>
        <v>8.65302417863399E-3</v>
      </c>
      <c r="AS863" s="27">
        <f t="shared" si="274"/>
        <v>8.6497442526030921E-3</v>
      </c>
      <c r="AT863" s="27">
        <f t="shared" si="274"/>
        <v>8.6463629461222963E-3</v>
      </c>
      <c r="AU863" s="27">
        <f t="shared" si="274"/>
        <v>8.6429168905236796E-3</v>
      </c>
      <c r="AV863" s="27">
        <f t="shared" si="274"/>
        <v>8.6394307213862702E-3</v>
      </c>
      <c r="AW863" s="27">
        <f t="shared" si="274"/>
        <v>8.6358559757550891E-3</v>
      </c>
      <c r="AY863" s="79"/>
      <c r="AZ863" s="79"/>
    </row>
    <row r="864" spans="1:52" x14ac:dyDescent="0.25">
      <c r="A864" s="95" t="str">
        <f t="shared" si="270"/>
        <v>BD Volatilisation</v>
      </c>
      <c r="B864" s="95" t="s">
        <v>1227</v>
      </c>
      <c r="C864" s="95" t="s">
        <v>62</v>
      </c>
      <c r="D864" t="s">
        <v>369</v>
      </c>
      <c r="E864" t="s">
        <v>61</v>
      </c>
      <c r="F864" t="s">
        <v>62</v>
      </c>
      <c r="G864" t="s">
        <v>437</v>
      </c>
      <c r="H864" t="s">
        <v>1185</v>
      </c>
      <c r="I864" t="s">
        <v>139</v>
      </c>
      <c r="J864" t="s">
        <v>287</v>
      </c>
      <c r="K864" s="27">
        <f t="shared" ref="K864:AW864" si="275">K1512</f>
        <v>1.2008407282256133</v>
      </c>
      <c r="L864" s="27">
        <f t="shared" si="275"/>
        <v>1.2019035107607592</v>
      </c>
      <c r="M864" s="27">
        <f t="shared" si="275"/>
        <v>1.2088775122881088</v>
      </c>
      <c r="N864" s="27">
        <f t="shared" si="275"/>
        <v>1.2055442230548152</v>
      </c>
      <c r="O864" s="27">
        <f t="shared" si="275"/>
        <v>1.1958435838326273</v>
      </c>
      <c r="P864" s="27">
        <f t="shared" si="275"/>
        <v>1.1799964998501222</v>
      </c>
      <c r="Q864" s="27">
        <f t="shared" si="275"/>
        <v>1.169776622170569</v>
      </c>
      <c r="R864" s="27">
        <f t="shared" si="275"/>
        <v>1.1606871439933113</v>
      </c>
      <c r="S864" s="27">
        <f t="shared" si="275"/>
        <v>1.0635026929062164</v>
      </c>
      <c r="T864" s="27">
        <f t="shared" si="275"/>
        <v>1.1127914653577025</v>
      </c>
      <c r="U864" s="27">
        <f t="shared" si="275"/>
        <v>1.1339456607288676</v>
      </c>
      <c r="V864" s="27">
        <f t="shared" si="275"/>
        <v>1.1334093263464944</v>
      </c>
      <c r="W864" s="27">
        <f t="shared" si="275"/>
        <v>1.1341671660422112</v>
      </c>
      <c r="X864" s="27">
        <f t="shared" si="275"/>
        <v>1.1408235439735572</v>
      </c>
      <c r="Y864" s="27">
        <f t="shared" si="275"/>
        <v>1.1530569851412431</v>
      </c>
      <c r="Z864" s="27">
        <f t="shared" si="275"/>
        <v>1.1679322279348805</v>
      </c>
      <c r="AA864" s="27">
        <f t="shared" si="275"/>
        <v>1.1861792833479095</v>
      </c>
      <c r="AB864" s="27">
        <f t="shared" si="275"/>
        <v>1.2100969940218784</v>
      </c>
      <c r="AC864" s="27">
        <f t="shared" si="275"/>
        <v>1.2393194864291859</v>
      </c>
      <c r="AD864" s="27">
        <f t="shared" si="275"/>
        <v>1.2672278032377093</v>
      </c>
      <c r="AE864" s="27">
        <f t="shared" si="275"/>
        <v>1.2977962214580763</v>
      </c>
      <c r="AF864" s="27">
        <f t="shared" si="275"/>
        <v>1.329788063562543</v>
      </c>
      <c r="AG864" s="27">
        <f t="shared" si="275"/>
        <v>1.3636827815165269</v>
      </c>
      <c r="AH864" s="27">
        <f t="shared" si="275"/>
        <v>1.3988919386644247</v>
      </c>
      <c r="AI864" s="27">
        <f t="shared" si="275"/>
        <v>1.4334139363721508</v>
      </c>
      <c r="AJ864" s="27">
        <f t="shared" si="275"/>
        <v>1.4700649477851668</v>
      </c>
      <c r="AK864" s="27">
        <f t="shared" si="275"/>
        <v>1.5069886120645011</v>
      </c>
      <c r="AL864" s="27">
        <f t="shared" si="275"/>
        <v>1.5440287360100955</v>
      </c>
      <c r="AM864" s="27">
        <f t="shared" si="275"/>
        <v>1.5820093604594603</v>
      </c>
      <c r="AN864" s="27">
        <f t="shared" si="275"/>
        <v>1.6219033183214897</v>
      </c>
      <c r="AO864" s="27">
        <f t="shared" si="275"/>
        <v>1.6636708318066389</v>
      </c>
      <c r="AP864" s="27">
        <f t="shared" si="275"/>
        <v>1.7082959626143681</v>
      </c>
      <c r="AQ864" s="27">
        <f t="shared" si="275"/>
        <v>1.7540375132373072</v>
      </c>
      <c r="AR864" s="27">
        <f t="shared" si="275"/>
        <v>1.8009857640186506</v>
      </c>
      <c r="AS864" s="27">
        <f t="shared" si="275"/>
        <v>1.8510064312178449</v>
      </c>
      <c r="AT864" s="27">
        <f t="shared" si="275"/>
        <v>1.9034681141674186</v>
      </c>
      <c r="AU864" s="27">
        <f t="shared" si="275"/>
        <v>1.9579460640600546</v>
      </c>
      <c r="AV864" s="27">
        <f t="shared" si="275"/>
        <v>2.0156248390942006</v>
      </c>
      <c r="AW864" s="27">
        <f t="shared" si="275"/>
        <v>2.0696024098416643</v>
      </c>
      <c r="AY864" s="79"/>
      <c r="AZ864" s="79"/>
    </row>
    <row r="865" spans="1:52" x14ac:dyDescent="0.25">
      <c r="A865" s="95" t="str">
        <f t="shared" si="270"/>
        <v>BD Volatilisation</v>
      </c>
      <c r="B865" s="95" t="s">
        <v>1227</v>
      </c>
      <c r="C865" s="95" t="s">
        <v>62</v>
      </c>
      <c r="D865" t="s">
        <v>369</v>
      </c>
      <c r="E865" t="s">
        <v>61</v>
      </c>
      <c r="F865" t="s">
        <v>62</v>
      </c>
      <c r="G865" t="s">
        <v>438</v>
      </c>
      <c r="H865" t="s">
        <v>1264</v>
      </c>
      <c r="I865" t="s">
        <v>139</v>
      </c>
      <c r="J865" t="s">
        <v>287</v>
      </c>
      <c r="K865" s="27">
        <f t="shared" ref="K865:AW865" si="276">K1513</f>
        <v>4.3975799639737021</v>
      </c>
      <c r="L865" s="27">
        <f t="shared" si="276"/>
        <v>4.3787767883653972</v>
      </c>
      <c r="M865" s="27">
        <f t="shared" si="276"/>
        <v>4.3752716537638934</v>
      </c>
      <c r="N865" s="27">
        <f t="shared" si="276"/>
        <v>4.3473821211305586</v>
      </c>
      <c r="O865" s="27">
        <f t="shared" si="276"/>
        <v>4.3052096453824591</v>
      </c>
      <c r="P865" s="27">
        <f t="shared" si="276"/>
        <v>4.2496956169043703</v>
      </c>
      <c r="Q865" s="27">
        <f t="shared" si="276"/>
        <v>4.2083609134426787</v>
      </c>
      <c r="R865" s="27">
        <f t="shared" si="276"/>
        <v>4.1703852155628214</v>
      </c>
      <c r="S865" s="27">
        <f t="shared" si="276"/>
        <v>3.920518553769567</v>
      </c>
      <c r="T865" s="27">
        <f t="shared" si="276"/>
        <v>4.022224403214822</v>
      </c>
      <c r="U865" s="27">
        <f t="shared" si="276"/>
        <v>4.0573246422564955</v>
      </c>
      <c r="V865" s="27">
        <f t="shared" si="276"/>
        <v>4.0437027667632135</v>
      </c>
      <c r="W865" s="27">
        <f t="shared" si="276"/>
        <v>4.0349744796970102</v>
      </c>
      <c r="X865" s="27">
        <f t="shared" si="276"/>
        <v>4.0404911436640738</v>
      </c>
      <c r="Y865" s="27">
        <f t="shared" si="276"/>
        <v>4.0578866533033189</v>
      </c>
      <c r="Z865" s="27">
        <f t="shared" si="276"/>
        <v>4.0805365209798321</v>
      </c>
      <c r="AA865" s="27">
        <f t="shared" si="276"/>
        <v>4.109915060040195</v>
      </c>
      <c r="AB865" s="27">
        <f t="shared" si="276"/>
        <v>4.1509048491402085</v>
      </c>
      <c r="AC865" s="27">
        <f t="shared" si="276"/>
        <v>4.202533390484211</v>
      </c>
      <c r="AD865" s="27">
        <f t="shared" si="276"/>
        <v>4.2406560670580085</v>
      </c>
      <c r="AE865" s="27">
        <f t="shared" si="276"/>
        <v>4.2827934559696441</v>
      </c>
      <c r="AF865" s="27">
        <f t="shared" si="276"/>
        <v>4.3261652521730651</v>
      </c>
      <c r="AG865" s="27">
        <f t="shared" si="276"/>
        <v>4.3716097132066274</v>
      </c>
      <c r="AH865" s="27">
        <f t="shared" si="276"/>
        <v>4.417783804127744</v>
      </c>
      <c r="AI865" s="27">
        <f t="shared" si="276"/>
        <v>4.46055260064648</v>
      </c>
      <c r="AJ865" s="27">
        <f t="shared" si="276"/>
        <v>4.5055232078089906</v>
      </c>
      <c r="AK865" s="27">
        <f t="shared" si="276"/>
        <v>4.5487963787371326</v>
      </c>
      <c r="AL865" s="27">
        <f t="shared" si="276"/>
        <v>4.5900121260194853</v>
      </c>
      <c r="AM865" s="27">
        <f t="shared" si="276"/>
        <v>4.6307205405262888</v>
      </c>
      <c r="AN865" s="27">
        <f t="shared" si="276"/>
        <v>4.6802451384074173</v>
      </c>
      <c r="AO865" s="27">
        <f t="shared" si="276"/>
        <v>4.7313734673669652</v>
      </c>
      <c r="AP865" s="27">
        <f t="shared" si="276"/>
        <v>4.7857847377648062</v>
      </c>
      <c r="AQ865" s="27">
        <f t="shared" si="276"/>
        <v>4.8400720712169321</v>
      </c>
      <c r="AR865" s="27">
        <f t="shared" si="276"/>
        <v>4.8942825787604232</v>
      </c>
      <c r="AS865" s="27">
        <f t="shared" si="276"/>
        <v>4.9516552239356777</v>
      </c>
      <c r="AT865" s="27">
        <f t="shared" si="276"/>
        <v>5.010848202184258</v>
      </c>
      <c r="AU865" s="27">
        <f t="shared" si="276"/>
        <v>5.070940832499133</v>
      </c>
      <c r="AV865" s="27">
        <f t="shared" si="276"/>
        <v>5.1338473778737468</v>
      </c>
      <c r="AW865" s="27">
        <f t="shared" si="276"/>
        <v>5.1874285866281769</v>
      </c>
      <c r="AY865" s="79"/>
      <c r="AZ865" s="79"/>
    </row>
    <row r="866" spans="1:52" x14ac:dyDescent="0.25">
      <c r="A866" s="95" t="str">
        <f t="shared" si="270"/>
        <v>BD Leaching</v>
      </c>
      <c r="B866" s="95" t="s">
        <v>1227</v>
      </c>
      <c r="C866" s="95" t="s">
        <v>1189</v>
      </c>
      <c r="D866" t="s">
        <v>369</v>
      </c>
      <c r="E866" t="s">
        <v>61</v>
      </c>
      <c r="F866" t="s">
        <v>63</v>
      </c>
      <c r="G866" t="s">
        <v>435</v>
      </c>
      <c r="H866" t="s">
        <v>1186</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2.2782538140387479E-4</v>
      </c>
      <c r="U866" s="27">
        <f t="shared" si="277"/>
        <v>2.2771715291537687E-4</v>
      </c>
      <c r="V866" s="27">
        <f t="shared" si="277"/>
        <v>2.2765749353397156E-4</v>
      </c>
      <c r="W866" s="27">
        <f t="shared" si="277"/>
        <v>2.2763433973674462E-4</v>
      </c>
      <c r="X866" s="27">
        <f t="shared" si="277"/>
        <v>2.2760936644157216E-4</v>
      </c>
      <c r="Y866" s="27">
        <f t="shared" si="277"/>
        <v>2.2757482273621599E-4</v>
      </c>
      <c r="Z866" s="27">
        <f t="shared" si="277"/>
        <v>2.27531269966679E-4</v>
      </c>
      <c r="AA866" s="27">
        <f t="shared" si="277"/>
        <v>2.2748365792702683E-4</v>
      </c>
      <c r="AB866" s="27">
        <f t="shared" si="277"/>
        <v>2.2743083270149308E-4</v>
      </c>
      <c r="AC866" s="27">
        <f t="shared" si="277"/>
        <v>2.2736914155737162E-4</v>
      </c>
      <c r="AD866" s="27">
        <f t="shared" si="277"/>
        <v>2.272994576707182E-4</v>
      </c>
      <c r="AE866" s="27">
        <f t="shared" si="277"/>
        <v>2.2722563470591042E-4</v>
      </c>
      <c r="AF866" s="27">
        <f t="shared" si="277"/>
        <v>2.2714810388391836E-4</v>
      </c>
      <c r="AG866" s="27">
        <f t="shared" si="277"/>
        <v>2.2706893720824713E-4</v>
      </c>
      <c r="AH866" s="27">
        <f t="shared" si="277"/>
        <v>2.2698748383785777E-4</v>
      </c>
      <c r="AI866" s="27">
        <f t="shared" si="277"/>
        <v>2.2690474376866552E-4</v>
      </c>
      <c r="AJ866" s="27">
        <f t="shared" si="277"/>
        <v>2.2682375409315307E-4</v>
      </c>
      <c r="AK866" s="27">
        <f t="shared" si="277"/>
        <v>2.2674034646852486E-4</v>
      </c>
      <c r="AL866" s="27">
        <f t="shared" si="277"/>
        <v>2.26657313490047E-4</v>
      </c>
      <c r="AM866" s="27">
        <f t="shared" si="277"/>
        <v>2.2657487443503212E-4</v>
      </c>
      <c r="AN866" s="27">
        <f t="shared" si="277"/>
        <v>2.2649187288441419E-4</v>
      </c>
      <c r="AO866" s="27">
        <f t="shared" si="277"/>
        <v>2.2641118183381611E-4</v>
      </c>
      <c r="AP866" s="27">
        <f t="shared" si="277"/>
        <v>2.2632892565419918E-4</v>
      </c>
      <c r="AQ866" s="27">
        <f t="shared" si="277"/>
        <v>2.2624391892451869E-4</v>
      </c>
      <c r="AR866" s="27">
        <f t="shared" si="277"/>
        <v>2.2615858648702465E-4</v>
      </c>
      <c r="AS866" s="27">
        <f t="shared" si="277"/>
        <v>2.2607286114758075E-4</v>
      </c>
      <c r="AT866" s="27">
        <f t="shared" si="277"/>
        <v>2.2598448609183276E-4</v>
      </c>
      <c r="AU866" s="27">
        <f t="shared" si="277"/>
        <v>2.2589441872959606E-4</v>
      </c>
      <c r="AV866" s="27">
        <f t="shared" si="277"/>
        <v>2.2580330294532294E-4</v>
      </c>
      <c r="AW866" s="27">
        <f t="shared" si="277"/>
        <v>2.2570987209359888E-4</v>
      </c>
      <c r="AY866" s="79"/>
      <c r="AZ866" s="79"/>
    </row>
    <row r="867" spans="1:52" x14ac:dyDescent="0.25">
      <c r="A867" s="95" t="str">
        <f t="shared" si="270"/>
        <v>BD Leaching</v>
      </c>
      <c r="B867" s="95" t="s">
        <v>1227</v>
      </c>
      <c r="C867" s="95" t="s">
        <v>1189</v>
      </c>
      <c r="D867" t="s">
        <v>369</v>
      </c>
      <c r="E867" t="s">
        <v>61</v>
      </c>
      <c r="F867" t="s">
        <v>63</v>
      </c>
      <c r="G867" t="s">
        <v>436</v>
      </c>
      <c r="H867" t="s">
        <v>1187</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1.5036475172655738E-6</v>
      </c>
      <c r="U867" s="27">
        <f t="shared" si="278"/>
        <v>1.5029332092414877E-6</v>
      </c>
      <c r="V867" s="27">
        <f t="shared" si="278"/>
        <v>1.5025394573242125E-6</v>
      </c>
      <c r="W867" s="27">
        <f t="shared" si="278"/>
        <v>1.5023866422625144E-6</v>
      </c>
      <c r="X867" s="27">
        <f t="shared" si="278"/>
        <v>1.5022218185143764E-6</v>
      </c>
      <c r="Y867" s="27">
        <f t="shared" si="278"/>
        <v>1.5019938300590255E-6</v>
      </c>
      <c r="Z867" s="27">
        <f t="shared" si="278"/>
        <v>1.5017063817800821E-6</v>
      </c>
      <c r="AA867" s="27">
        <f t="shared" si="278"/>
        <v>1.5013921423183768E-6</v>
      </c>
      <c r="AB867" s="27">
        <f t="shared" si="278"/>
        <v>1.5010434958298549E-6</v>
      </c>
      <c r="AC867" s="27">
        <f t="shared" si="278"/>
        <v>1.5006363342786528E-6</v>
      </c>
      <c r="AD867" s="27">
        <f t="shared" si="278"/>
        <v>1.5001764206267405E-6</v>
      </c>
      <c r="AE867" s="27">
        <f t="shared" si="278"/>
        <v>1.4996891890590088E-6</v>
      </c>
      <c r="AF867" s="27">
        <f t="shared" si="278"/>
        <v>1.4991774856338616E-6</v>
      </c>
      <c r="AG867" s="27">
        <f t="shared" si="278"/>
        <v>1.4986549855744315E-6</v>
      </c>
      <c r="AH867" s="27">
        <f t="shared" si="278"/>
        <v>1.4981173933298619E-6</v>
      </c>
      <c r="AI867" s="27">
        <f t="shared" si="278"/>
        <v>1.4975713088731927E-6</v>
      </c>
      <c r="AJ867" s="27">
        <f t="shared" si="278"/>
        <v>1.4970367770148105E-6</v>
      </c>
      <c r="AK867" s="27">
        <f t="shared" si="278"/>
        <v>1.4964862866922644E-6</v>
      </c>
      <c r="AL867" s="27">
        <f t="shared" si="278"/>
        <v>1.4959382690343105E-6</v>
      </c>
      <c r="AM867" s="27">
        <f t="shared" si="278"/>
        <v>1.4953941712712119E-6</v>
      </c>
      <c r="AN867" s="27">
        <f t="shared" si="278"/>
        <v>1.4948463610371335E-6</v>
      </c>
      <c r="AO867" s="27">
        <f t="shared" si="278"/>
        <v>1.4943138001031867E-6</v>
      </c>
      <c r="AP867" s="27">
        <f t="shared" si="278"/>
        <v>1.4937709093177149E-6</v>
      </c>
      <c r="AQ867" s="27">
        <f t="shared" si="278"/>
        <v>1.4932098649018236E-6</v>
      </c>
      <c r="AR867" s="27">
        <f t="shared" si="278"/>
        <v>1.4926466708143633E-6</v>
      </c>
      <c r="AS867" s="27">
        <f t="shared" si="278"/>
        <v>1.4920808835740333E-6</v>
      </c>
      <c r="AT867" s="27">
        <f t="shared" si="278"/>
        <v>1.4914976082060963E-6</v>
      </c>
      <c r="AU867" s="27">
        <f t="shared" si="278"/>
        <v>1.4909031636153342E-6</v>
      </c>
      <c r="AV867" s="27">
        <f t="shared" si="278"/>
        <v>1.4903017994391313E-6</v>
      </c>
      <c r="AW867" s="27">
        <f t="shared" si="278"/>
        <v>1.4896851558177531E-6</v>
      </c>
      <c r="AY867" s="79"/>
      <c r="AZ867" s="79"/>
    </row>
    <row r="868" spans="1:52" x14ac:dyDescent="0.25">
      <c r="A868" s="95" t="str">
        <f t="shared" si="270"/>
        <v>BD Leaching</v>
      </c>
      <c r="B868" s="95" t="s">
        <v>1227</v>
      </c>
      <c r="C868" s="95" t="s">
        <v>1189</v>
      </c>
      <c r="D868" t="s">
        <v>369</v>
      </c>
      <c r="E868" t="s">
        <v>61</v>
      </c>
      <c r="F868" t="s">
        <v>63</v>
      </c>
      <c r="G868" t="s">
        <v>437</v>
      </c>
      <c r="H868" t="s">
        <v>1188</v>
      </c>
      <c r="I868" t="s">
        <v>139</v>
      </c>
      <c r="J868" t="s">
        <v>287</v>
      </c>
      <c r="K868" s="27">
        <f t="shared" ref="K868:AW868" si="279">K1516</f>
        <v>0.20714502561891826</v>
      </c>
      <c r="L868" s="27">
        <f t="shared" si="279"/>
        <v>0.20732835560623097</v>
      </c>
      <c r="M868" s="27">
        <f t="shared" si="279"/>
        <v>0.20853137086969875</v>
      </c>
      <c r="N868" s="27">
        <f t="shared" si="279"/>
        <v>0.20795637847695561</v>
      </c>
      <c r="O868" s="27">
        <f t="shared" si="279"/>
        <v>0.20628301821112818</v>
      </c>
      <c r="P868" s="27">
        <f t="shared" si="279"/>
        <v>0.20354939622414608</v>
      </c>
      <c r="Q868" s="27">
        <f t="shared" si="279"/>
        <v>0.20178646732442315</v>
      </c>
      <c r="R868" s="27">
        <f t="shared" si="279"/>
        <v>0.20021853233884618</v>
      </c>
      <c r="S868" s="27">
        <f t="shared" si="279"/>
        <v>0.18345421452632232</v>
      </c>
      <c r="T868" s="27">
        <f t="shared" si="279"/>
        <v>0.19195652777420363</v>
      </c>
      <c r="U868" s="27">
        <f t="shared" si="279"/>
        <v>0.19560562647572965</v>
      </c>
      <c r="V868" s="27">
        <f t="shared" si="279"/>
        <v>0.19551310879477027</v>
      </c>
      <c r="W868" s="27">
        <f t="shared" si="279"/>
        <v>0.19564383614228145</v>
      </c>
      <c r="X868" s="27">
        <f t="shared" si="279"/>
        <v>0.19679206133543856</v>
      </c>
      <c r="Y868" s="27">
        <f t="shared" si="279"/>
        <v>0.19890232993686438</v>
      </c>
      <c r="Z868" s="27">
        <f t="shared" si="279"/>
        <v>0.20146830931876691</v>
      </c>
      <c r="AA868" s="27">
        <f t="shared" si="279"/>
        <v>0.20461592637751433</v>
      </c>
      <c r="AB868" s="27">
        <f t="shared" si="279"/>
        <v>0.20874173146877406</v>
      </c>
      <c r="AC868" s="27">
        <f t="shared" si="279"/>
        <v>0.21378261140903454</v>
      </c>
      <c r="AD868" s="27">
        <f t="shared" si="279"/>
        <v>0.21859679605850485</v>
      </c>
      <c r="AE868" s="27">
        <f t="shared" si="279"/>
        <v>0.22386984820151812</v>
      </c>
      <c r="AF868" s="27">
        <f t="shared" si="279"/>
        <v>0.22938844096453867</v>
      </c>
      <c r="AG868" s="27">
        <f t="shared" si="279"/>
        <v>0.23523527981160089</v>
      </c>
      <c r="AH868" s="27">
        <f t="shared" si="279"/>
        <v>0.24130885941961319</v>
      </c>
      <c r="AI868" s="27">
        <f t="shared" si="279"/>
        <v>0.2472639040241959</v>
      </c>
      <c r="AJ868" s="27">
        <f t="shared" si="279"/>
        <v>0.2535862034929412</v>
      </c>
      <c r="AK868" s="27">
        <f t="shared" si="279"/>
        <v>0.25995553558112644</v>
      </c>
      <c r="AL868" s="27">
        <f t="shared" si="279"/>
        <v>0.26634495696174137</v>
      </c>
      <c r="AM868" s="27">
        <f t="shared" si="279"/>
        <v>0.27289661467925691</v>
      </c>
      <c r="AN868" s="27">
        <f t="shared" si="279"/>
        <v>0.27977832241045703</v>
      </c>
      <c r="AO868" s="27">
        <f t="shared" si="279"/>
        <v>0.28698321848664521</v>
      </c>
      <c r="AP868" s="27">
        <f t="shared" si="279"/>
        <v>0.29468105355097846</v>
      </c>
      <c r="AQ868" s="27">
        <f t="shared" si="279"/>
        <v>0.3025714710334354</v>
      </c>
      <c r="AR868" s="27">
        <f t="shared" si="279"/>
        <v>0.31067004429321721</v>
      </c>
      <c r="AS868" s="27">
        <f t="shared" si="279"/>
        <v>0.31929860938507826</v>
      </c>
      <c r="AT868" s="27">
        <f t="shared" si="279"/>
        <v>0.32834824969387966</v>
      </c>
      <c r="AU868" s="27">
        <f t="shared" si="279"/>
        <v>0.33774569605035937</v>
      </c>
      <c r="AV868" s="27">
        <f t="shared" si="279"/>
        <v>0.34769528474374956</v>
      </c>
      <c r="AW868" s="27">
        <f t="shared" si="279"/>
        <v>0.3570064156976871</v>
      </c>
      <c r="AY868" s="79"/>
      <c r="AZ868" s="79"/>
    </row>
    <row r="869" spans="1:52" x14ac:dyDescent="0.25">
      <c r="A869" s="95" t="str">
        <f t="shared" si="270"/>
        <v>BD Leaching</v>
      </c>
      <c r="B869" s="95" t="s">
        <v>1227</v>
      </c>
      <c r="C869" s="95" t="s">
        <v>1189</v>
      </c>
      <c r="D869" t="s">
        <v>369</v>
      </c>
      <c r="E869" t="s">
        <v>61</v>
      </c>
      <c r="F869" t="s">
        <v>63</v>
      </c>
      <c r="G869" t="s">
        <v>438</v>
      </c>
      <c r="H869" t="s">
        <v>1190</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5">
      <c r="A870" s="95" t="str">
        <f t="shared" si="270"/>
        <v>BD Leaching</v>
      </c>
      <c r="B870" s="95" t="s">
        <v>1227</v>
      </c>
      <c r="C870" s="95" t="s">
        <v>1189</v>
      </c>
      <c r="D870" t="s">
        <v>369</v>
      </c>
      <c r="E870" t="s">
        <v>61</v>
      </c>
      <c r="F870" t="s">
        <v>63</v>
      </c>
      <c r="G870" t="s">
        <v>439</v>
      </c>
      <c r="H870" t="s">
        <v>1191</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0.10248443536314014</v>
      </c>
      <c r="U870" s="27">
        <f t="shared" si="281"/>
        <v>0.10329242458615623</v>
      </c>
      <c r="V870" s="27">
        <f t="shared" si="281"/>
        <v>0.1037378169028777</v>
      </c>
      <c r="W870" s="27">
        <f t="shared" si="281"/>
        <v>0.10391067359607317</v>
      </c>
      <c r="X870" s="27">
        <f t="shared" si="281"/>
        <v>0.10409711390991817</v>
      </c>
      <c r="Y870" s="27">
        <f t="shared" si="281"/>
        <v>0.10435500295593778</v>
      </c>
      <c r="Z870" s="27">
        <f t="shared" si="281"/>
        <v>0.10468014995657268</v>
      </c>
      <c r="AA870" s="27">
        <f t="shared" si="281"/>
        <v>0.10503560179239499</v>
      </c>
      <c r="AB870" s="27">
        <f t="shared" si="281"/>
        <v>0.10542997312222666</v>
      </c>
      <c r="AC870" s="27">
        <f t="shared" si="281"/>
        <v>0.10589053374076159</v>
      </c>
      <c r="AD870" s="27">
        <f t="shared" si="281"/>
        <v>0.10641076487597649</v>
      </c>
      <c r="AE870" s="27">
        <f t="shared" si="281"/>
        <v>0.10696189666025695</v>
      </c>
      <c r="AF870" s="27">
        <f t="shared" si="281"/>
        <v>0.10754070977582914</v>
      </c>
      <c r="AG870" s="27">
        <f t="shared" si="281"/>
        <v>0.10813173549975955</v>
      </c>
      <c r="AH870" s="27">
        <f t="shared" si="281"/>
        <v>0.10873983274260557</v>
      </c>
      <c r="AI870" s="27">
        <f t="shared" si="281"/>
        <v>0.10935753594761956</v>
      </c>
      <c r="AJ870" s="27">
        <f t="shared" si="281"/>
        <v>0.10996217143590806</v>
      </c>
      <c r="AK870" s="27">
        <f t="shared" si="281"/>
        <v>0.11058485833426822</v>
      </c>
      <c r="AL870" s="27">
        <f t="shared" si="281"/>
        <v>0.11120474827910765</v>
      </c>
      <c r="AM870" s="27">
        <f t="shared" si="281"/>
        <v>0.11182020423651956</v>
      </c>
      <c r="AN870" s="27">
        <f t="shared" si="281"/>
        <v>0.11243985955392911</v>
      </c>
      <c r="AO870" s="27">
        <f t="shared" si="281"/>
        <v>0.11304226563186594</v>
      </c>
      <c r="AP870" s="27">
        <f t="shared" si="281"/>
        <v>0.1136563563170396</v>
      </c>
      <c r="AQ870" s="27">
        <f t="shared" si="281"/>
        <v>0.1142909814736776</v>
      </c>
      <c r="AR870" s="27">
        <f t="shared" si="281"/>
        <v>0.11492803823041334</v>
      </c>
      <c r="AS870" s="27">
        <f t="shared" si="281"/>
        <v>0.11556802823093357</v>
      </c>
      <c r="AT870" s="27">
        <f t="shared" si="281"/>
        <v>0.11622779991969046</v>
      </c>
      <c r="AU870" s="27">
        <f t="shared" si="281"/>
        <v>0.11690020567017985</v>
      </c>
      <c r="AV870" s="27">
        <f t="shared" si="281"/>
        <v>0.11758043850684917</v>
      </c>
      <c r="AW870" s="27">
        <f t="shared" si="281"/>
        <v>0.11827795468154553</v>
      </c>
      <c r="AY870" s="79"/>
      <c r="AZ870" s="79"/>
    </row>
    <row r="871" spans="1:52" x14ac:dyDescent="0.25">
      <c r="A871" s="95" t="str">
        <f t="shared" si="270"/>
        <v>BD Leaching</v>
      </c>
      <c r="B871" s="95" t="s">
        <v>1227</v>
      </c>
      <c r="C871" s="95" t="s">
        <v>1189</v>
      </c>
      <c r="D871" t="s">
        <v>369</v>
      </c>
      <c r="E871" t="s">
        <v>61</v>
      </c>
      <c r="F871" t="s">
        <v>63</v>
      </c>
      <c r="G871" t="s">
        <v>1192</v>
      </c>
      <c r="H871" t="s">
        <v>1193</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5">
      <c r="A872" s="95" t="str">
        <f t="shared" si="270"/>
        <v>BD Leaching</v>
      </c>
      <c r="B872" s="95" t="s">
        <v>1227</v>
      </c>
      <c r="C872" s="95" t="s">
        <v>1189</v>
      </c>
      <c r="D872" t="s">
        <v>369</v>
      </c>
      <c r="E872" t="s">
        <v>61</v>
      </c>
      <c r="F872" t="s">
        <v>63</v>
      </c>
      <c r="G872" t="s">
        <v>1194</v>
      </c>
      <c r="H872" t="s">
        <v>1195</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5">
      <c r="A873" s="95" t="str">
        <f t="shared" si="270"/>
        <v>BD Leaching</v>
      </c>
      <c r="B873" s="95" t="s">
        <v>1227</v>
      </c>
      <c r="C873" s="95" t="s">
        <v>1189</v>
      </c>
      <c r="D873" t="s">
        <v>369</v>
      </c>
      <c r="E873" t="s">
        <v>61</v>
      </c>
      <c r="F873" t="s">
        <v>63</v>
      </c>
      <c r="G873" t="s">
        <v>1196</v>
      </c>
      <c r="H873" t="s">
        <v>1197</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5">
      <c r="A874" s="95" t="str">
        <f t="shared" si="270"/>
        <v>BD Leaching</v>
      </c>
      <c r="B874" s="95" t="s">
        <v>1227</v>
      </c>
      <c r="C874" s="95" t="s">
        <v>1189</v>
      </c>
      <c r="D874" t="s">
        <v>369</v>
      </c>
      <c r="E874" t="s">
        <v>61</v>
      </c>
      <c r="F874" t="s">
        <v>63</v>
      </c>
      <c r="G874" t="s">
        <v>1198</v>
      </c>
      <c r="H874" t="s">
        <v>1199</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5">
      <c r="A875" s="95" t="str">
        <f t="shared" si="270"/>
        <v>BD Leaching</v>
      </c>
      <c r="B875" s="95" t="s">
        <v>1227</v>
      </c>
      <c r="C875" s="95" t="s">
        <v>1189</v>
      </c>
      <c r="D875" t="s">
        <v>369</v>
      </c>
      <c r="E875" t="s">
        <v>61</v>
      </c>
      <c r="F875" t="s">
        <v>63</v>
      </c>
      <c r="G875" t="s">
        <v>1200</v>
      </c>
      <c r="H875" t="s">
        <v>1201</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5">
      <c r="A876" s="95" t="str">
        <f t="shared" si="270"/>
        <v>BD Leaching</v>
      </c>
      <c r="B876" s="95" t="s">
        <v>1227</v>
      </c>
      <c r="C876" s="95" t="s">
        <v>1189</v>
      </c>
      <c r="D876" t="s">
        <v>369</v>
      </c>
      <c r="E876" t="s">
        <v>61</v>
      </c>
      <c r="F876" t="s">
        <v>63</v>
      </c>
      <c r="G876" t="s">
        <v>1202</v>
      </c>
      <c r="H876" t="s">
        <v>1203</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5">
      <c r="A877" s="95" t="str">
        <f t="shared" si="270"/>
        <v>BD Leaching</v>
      </c>
      <c r="B877" s="95" t="s">
        <v>1227</v>
      </c>
      <c r="C877" s="95" t="s">
        <v>1189</v>
      </c>
      <c r="D877" t="s">
        <v>369</v>
      </c>
      <c r="E877" t="s">
        <v>61</v>
      </c>
      <c r="F877" t="s">
        <v>63</v>
      </c>
      <c r="G877" t="s">
        <v>1204</v>
      </c>
      <c r="H877" t="s">
        <v>1205</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5">
      <c r="A878" s="95" t="str">
        <f t="shared" si="270"/>
        <v>BD Leaching</v>
      </c>
      <c r="B878" s="95" t="s">
        <v>1227</v>
      </c>
      <c r="C878" s="95" t="s">
        <v>1189</v>
      </c>
      <c r="D878" t="s">
        <v>369</v>
      </c>
      <c r="E878" t="s">
        <v>61</v>
      </c>
      <c r="F878" t="s">
        <v>63</v>
      </c>
      <c r="G878" t="s">
        <v>1206</v>
      </c>
      <c r="H878" t="s">
        <v>1207</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5">
      <c r="A879" s="95" t="str">
        <f t="shared" si="270"/>
        <v>BD Leaching</v>
      </c>
      <c r="B879" s="95" t="s">
        <v>1227</v>
      </c>
      <c r="C879" s="95" t="s">
        <v>1189</v>
      </c>
      <c r="D879" t="s">
        <v>369</v>
      </c>
      <c r="E879" t="s">
        <v>61</v>
      </c>
      <c r="F879" t="s">
        <v>63</v>
      </c>
      <c r="G879" t="s">
        <v>1208</v>
      </c>
      <c r="H879" t="s">
        <v>1209</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5">
      <c r="A880" s="95" t="str">
        <f t="shared" si="270"/>
        <v>BD Leaching</v>
      </c>
      <c r="B880" s="95" t="s">
        <v>1227</v>
      </c>
      <c r="C880" s="95" t="s">
        <v>1189</v>
      </c>
      <c r="D880" t="s">
        <v>369</v>
      </c>
      <c r="E880" t="s">
        <v>61</v>
      </c>
      <c r="F880" t="s">
        <v>63</v>
      </c>
      <c r="G880" t="s">
        <v>1210</v>
      </c>
      <c r="H880" t="s">
        <v>1211</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5">
      <c r="A881" s="95" t="str">
        <f t="shared" si="270"/>
        <v>BD Leaching</v>
      </c>
      <c r="B881" s="95" t="s">
        <v>1227</v>
      </c>
      <c r="C881" s="95" t="s">
        <v>1189</v>
      </c>
      <c r="D881" t="s">
        <v>369</v>
      </c>
      <c r="E881" t="s">
        <v>61</v>
      </c>
      <c r="F881" t="s">
        <v>63</v>
      </c>
      <c r="G881" t="s">
        <v>1212</v>
      </c>
      <c r="H881" t="s">
        <v>1213</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5">
      <c r="A882" s="95"/>
      <c r="B882" s="95" t="s">
        <v>1227</v>
      </c>
      <c r="C882" s="95"/>
      <c r="D882" t="s">
        <v>369</v>
      </c>
      <c r="E882" t="s">
        <v>61</v>
      </c>
      <c r="F882" t="s">
        <v>63</v>
      </c>
      <c r="G882" t="s">
        <v>1214</v>
      </c>
      <c r="H882" t="s">
        <v>1215</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5">
      <c r="A883" s="95" t="str">
        <f t="shared" si="270"/>
        <v>BD MM Volatilisation</v>
      </c>
      <c r="B883" s="95" t="s">
        <v>1227</v>
      </c>
      <c r="C883" s="95" t="s">
        <v>1331</v>
      </c>
      <c r="D883" t="s">
        <v>369</v>
      </c>
      <c r="E883" t="s">
        <v>64</v>
      </c>
      <c r="F883" t="s">
        <v>62</v>
      </c>
      <c r="G883" t="s">
        <v>1151</v>
      </c>
      <c r="H883" t="s">
        <v>1289</v>
      </c>
      <c r="I883" t="s">
        <v>139</v>
      </c>
      <c r="J883" t="s">
        <v>287</v>
      </c>
      <c r="K883" s="27">
        <f t="shared" ref="K883:AW883" si="294">K1531</f>
        <v>0.39609736661915962</v>
      </c>
      <c r="L883" s="27">
        <f t="shared" si="294"/>
        <v>0.39831175345583053</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0.40855374420631202</v>
      </c>
      <c r="S883" s="27">
        <f t="shared" si="294"/>
        <v>0.39675335904637443</v>
      </c>
      <c r="T883" s="27">
        <f t="shared" si="294"/>
        <v>0.40475430836671095</v>
      </c>
      <c r="U883" s="27">
        <f t="shared" si="294"/>
        <v>0.40872605361155973</v>
      </c>
      <c r="V883" s="27">
        <f t="shared" si="294"/>
        <v>0.40976331225325113</v>
      </c>
      <c r="W883" s="27">
        <f t="shared" si="294"/>
        <v>0.41123817221629572</v>
      </c>
      <c r="X883" s="27">
        <f t="shared" si="294"/>
        <v>0.41371299835327524</v>
      </c>
      <c r="Y883" s="27">
        <f t="shared" si="294"/>
        <v>0.41698233077605895</v>
      </c>
      <c r="Z883" s="27">
        <f t="shared" si="294"/>
        <v>0.42064271286230337</v>
      </c>
      <c r="AA883" s="27">
        <f t="shared" si="294"/>
        <v>0.42480942612911948</v>
      </c>
      <c r="AB883" s="27">
        <f t="shared" si="294"/>
        <v>0.42983972534171444</v>
      </c>
      <c r="AC883" s="27">
        <f t="shared" si="294"/>
        <v>0.43570438871758699</v>
      </c>
      <c r="AD883" s="27">
        <f t="shared" si="294"/>
        <v>0.44208757106569879</v>
      </c>
      <c r="AE883" s="27">
        <f t="shared" si="294"/>
        <v>0.44898350336000287</v>
      </c>
      <c r="AF883" s="27">
        <f t="shared" si="294"/>
        <v>0.45621719419550344</v>
      </c>
      <c r="AG883" s="27">
        <f t="shared" si="294"/>
        <v>0.46386955104730232</v>
      </c>
      <c r="AH883" s="27">
        <f t="shared" si="294"/>
        <v>0.47186189087523389</v>
      </c>
      <c r="AI883" s="27">
        <f t="shared" si="294"/>
        <v>0.47988623531160551</v>
      </c>
      <c r="AJ883" s="27">
        <f t="shared" si="294"/>
        <v>0.48839393378093798</v>
      </c>
      <c r="AK883" s="27">
        <f t="shared" si="294"/>
        <v>0.49708758308730938</v>
      </c>
      <c r="AL883" s="27">
        <f t="shared" si="294"/>
        <v>0.50594507247479314</v>
      </c>
      <c r="AM883" s="27">
        <f t="shared" si="294"/>
        <v>0.51510910677271904</v>
      </c>
      <c r="AN883" s="27">
        <f t="shared" si="294"/>
        <v>0.52423757979493812</v>
      </c>
      <c r="AO883" s="27">
        <f t="shared" si="294"/>
        <v>0.53380454045789072</v>
      </c>
      <c r="AP883" s="27">
        <f t="shared" si="294"/>
        <v>0.54398662027094624</v>
      </c>
      <c r="AQ883" s="27">
        <f t="shared" si="294"/>
        <v>0.55449515288018025</v>
      </c>
      <c r="AR883" s="27">
        <f t="shared" si="294"/>
        <v>0.56534914989912133</v>
      </c>
      <c r="AS883" s="27">
        <f t="shared" si="294"/>
        <v>0.57688261473585911</v>
      </c>
      <c r="AT883" s="27">
        <f t="shared" si="294"/>
        <v>0.58899855031934889</v>
      </c>
      <c r="AU883" s="27">
        <f t="shared" si="294"/>
        <v>0.60163444677907796</v>
      </c>
      <c r="AV883" s="27">
        <f t="shared" si="294"/>
        <v>0.61501799344157537</v>
      </c>
      <c r="AW883" s="27">
        <f t="shared" si="294"/>
        <v>0.62789543257311353</v>
      </c>
      <c r="AY883" s="79"/>
      <c r="AZ883" s="79"/>
    </row>
    <row r="884" spans="1:52" x14ac:dyDescent="0.25">
      <c r="A884" s="95" t="str">
        <f t="shared" si="270"/>
        <v>BD MM Volatilisation</v>
      </c>
      <c r="B884" s="95" t="s">
        <v>1227</v>
      </c>
      <c r="C884" s="95" t="s">
        <v>1331</v>
      </c>
      <c r="D884" t="s">
        <v>369</v>
      </c>
      <c r="E884" t="s">
        <v>64</v>
      </c>
      <c r="F884" t="s">
        <v>62</v>
      </c>
      <c r="G884" t="s">
        <v>1153</v>
      </c>
      <c r="H884" t="s">
        <v>1290</v>
      </c>
      <c r="I884" t="s">
        <v>139</v>
      </c>
      <c r="J884" t="s">
        <v>287</v>
      </c>
      <c r="K884" s="27">
        <f t="shared" ref="K884:AW884" si="295">K1532</f>
        <v>3.1249813656142676E-2</v>
      </c>
      <c r="L884" s="27">
        <f t="shared" si="295"/>
        <v>3.1424516095088999E-2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3.2232550506305399E-2</v>
      </c>
      <c r="S884" s="27">
        <f t="shared" si="295"/>
        <v>3.1301567701581753E-2</v>
      </c>
      <c r="T884" s="27">
        <f t="shared" si="295"/>
        <v>3.1932796779085698E-2</v>
      </c>
      <c r="U884" s="27">
        <f t="shared" si="295"/>
        <v>3.2246144731511071E-2</v>
      </c>
      <c r="V884" s="27">
        <f t="shared" si="295"/>
        <v>3.2327978497644752E-2</v>
      </c>
      <c r="W884" s="27">
        <f t="shared" si="295"/>
        <v>3.2444336501757327E-2</v>
      </c>
      <c r="X884" s="27">
        <f t="shared" si="295"/>
        <v>3.2639586109882893E-2</v>
      </c>
      <c r="Y884" s="27">
        <f t="shared" si="295"/>
        <v>3.2897517713579225E-2</v>
      </c>
      <c r="Z884" s="27">
        <f t="shared" si="295"/>
        <v>3.318630089606224E-2</v>
      </c>
      <c r="AA884" s="27">
        <f t="shared" si="295"/>
        <v>3.3515030708779675E-2</v>
      </c>
      <c r="AB884" s="27">
        <f t="shared" si="295"/>
        <v>3.3911892506599629E-2</v>
      </c>
      <c r="AC884" s="27">
        <f t="shared" si="295"/>
        <v>3.4374580858244831E-2</v>
      </c>
      <c r="AD884" s="27">
        <f t="shared" si="295"/>
        <v>3.4878177387083813E-2</v>
      </c>
      <c r="AE884" s="27">
        <f t="shared" si="295"/>
        <v>3.5422226950002453E-2</v>
      </c>
      <c r="AF884" s="27">
        <f t="shared" si="295"/>
        <v>3.5992923727375593E-2</v>
      </c>
      <c r="AG884" s="27">
        <f t="shared" si="295"/>
        <v>3.6596650855607031E-2</v>
      </c>
      <c r="AH884" s="27">
        <f t="shared" si="295"/>
        <v>3.7227200693469409E-2</v>
      </c>
      <c r="AI884" s="27">
        <f t="shared" si="295"/>
        <v>3.7860275511637599E-2</v>
      </c>
      <c r="AJ884" s="27">
        <f t="shared" si="295"/>
        <v>3.8531484194690796E-2</v>
      </c>
      <c r="AK884" s="27">
        <f t="shared" si="295"/>
        <v>3.9217363333789369E-2</v>
      </c>
      <c r="AL884" s="27">
        <f t="shared" si="295"/>
        <v>3.9916168516925726E-2</v>
      </c>
      <c r="AM884" s="27">
        <f t="shared" si="295"/>
        <v>4.0639158337820017E-2</v>
      </c>
      <c r="AN884" s="27">
        <f t="shared" si="295"/>
        <v>4.1359342577731273E-2</v>
      </c>
      <c r="AO884" s="27">
        <f t="shared" si="295"/>
        <v>4.211412098114431E-2</v>
      </c>
      <c r="AP884" s="27">
        <f t="shared" si="295"/>
        <v>4.2917428762525973E-2</v>
      </c>
      <c r="AQ884" s="27">
        <f t="shared" si="295"/>
        <v>4.3746491799831644E-2</v>
      </c>
      <c r="AR884" s="27">
        <f t="shared" si="295"/>
        <v>4.4602810000483467E-2</v>
      </c>
      <c r="AS884" s="27">
        <f t="shared" si="295"/>
        <v>4.5512734320440534E-2</v>
      </c>
      <c r="AT884" s="27">
        <f t="shared" si="295"/>
        <v>4.64686122463292E-2</v>
      </c>
      <c r="AU884" s="27">
        <f t="shared" si="295"/>
        <v>4.7465512107379045E-2</v>
      </c>
      <c r="AV884" s="27">
        <f t="shared" si="295"/>
        <v>4.8521397287407161E-2</v>
      </c>
      <c r="AW884" s="27">
        <f t="shared" si="295"/>
        <v>4.953735348187438E-2</v>
      </c>
      <c r="AY884" s="79"/>
      <c r="AZ884" s="79"/>
    </row>
    <row r="885" spans="1:52" x14ac:dyDescent="0.25">
      <c r="A885" s="95" t="str">
        <f t="shared" si="270"/>
        <v>BD MM Volatilisation</v>
      </c>
      <c r="B885" s="95" t="s">
        <v>1227</v>
      </c>
      <c r="C885" s="95" t="s">
        <v>1331</v>
      </c>
      <c r="D885" t="s">
        <v>369</v>
      </c>
      <c r="E885" t="s">
        <v>64</v>
      </c>
      <c r="F885" t="s">
        <v>62</v>
      </c>
      <c r="G885" t="s">
        <v>1155</v>
      </c>
      <c r="H885" t="s">
        <v>1291</v>
      </c>
      <c r="I885" t="s">
        <v>139</v>
      </c>
      <c r="J885" t="s">
        <v>287</v>
      </c>
      <c r="K885" s="27">
        <f t="shared" ref="K885:AW885" si="296">K1533</f>
        <v>2.8967336997006343E-4</v>
      </c>
      <c r="L885" s="27">
        <f t="shared" si="296"/>
        <v>2.9129279224209421E-4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2.9878295053629658E-4</v>
      </c>
      <c r="S885" s="27">
        <f t="shared" si="296"/>
        <v>2.9015310943081291E-4</v>
      </c>
      <c r="T885" s="27">
        <f t="shared" si="296"/>
        <v>2.9600435245311237E-4</v>
      </c>
      <c r="U885" s="27">
        <f t="shared" si="296"/>
        <v>2.9890896360859154E-4</v>
      </c>
      <c r="V885" s="27">
        <f t="shared" si="296"/>
        <v>2.9966753014195159E-4</v>
      </c>
      <c r="W885" s="27">
        <f t="shared" si="296"/>
        <v>3.0074612265917932E-4</v>
      </c>
      <c r="X885" s="27">
        <f t="shared" si="296"/>
        <v>3.0255600903461219E-4</v>
      </c>
      <c r="Y885" s="27">
        <f t="shared" si="296"/>
        <v>3.0494693263136179E-4</v>
      </c>
      <c r="Z885" s="27">
        <f t="shared" si="296"/>
        <v>3.0762383811889561E-4</v>
      </c>
      <c r="AA885" s="27">
        <f t="shared" si="296"/>
        <v>3.1067103301443271E-4</v>
      </c>
      <c r="AB885" s="27">
        <f t="shared" si="296"/>
        <v>3.1434978437121989E-4</v>
      </c>
      <c r="AC885" s="27">
        <f t="shared" si="296"/>
        <v>3.1863872175631096E-4</v>
      </c>
      <c r="AD885" s="27">
        <f t="shared" si="296"/>
        <v>3.2330686170809402E-4</v>
      </c>
      <c r="AE885" s="27">
        <f t="shared" si="296"/>
        <v>3.2834998523054116E-4</v>
      </c>
      <c r="AF885" s="27">
        <f t="shared" si="296"/>
        <v>3.3364011785506768E-4</v>
      </c>
      <c r="AG885" s="27">
        <f t="shared" si="296"/>
        <v>3.3923642872275747E-4</v>
      </c>
      <c r="AH885" s="27">
        <f t="shared" si="296"/>
        <v>3.4508137546316036E-4</v>
      </c>
      <c r="AI885" s="27">
        <f t="shared" si="296"/>
        <v>3.5094972776886815E-4</v>
      </c>
      <c r="AJ885" s="27">
        <f t="shared" si="296"/>
        <v>3.5717156586725218E-4</v>
      </c>
      <c r="AK885" s="27">
        <f t="shared" si="296"/>
        <v>3.6352939327067397E-4</v>
      </c>
      <c r="AL885" s="27">
        <f t="shared" si="296"/>
        <v>3.7000703997215649E-4</v>
      </c>
      <c r="AM885" s="27">
        <f t="shared" si="296"/>
        <v>3.7670886866710392E-4</v>
      </c>
      <c r="AN885" s="27">
        <f t="shared" si="296"/>
        <v>3.8338469073983557E-4</v>
      </c>
      <c r="AO885" s="27">
        <f t="shared" si="296"/>
        <v>3.9038118697827962E-4</v>
      </c>
      <c r="AP885" s="27">
        <f t="shared" si="296"/>
        <v>3.9782753128984823E-4</v>
      </c>
      <c r="AQ885" s="27">
        <f t="shared" si="296"/>
        <v>4.0551261660192481E-4</v>
      </c>
      <c r="AR885" s="27">
        <f t="shared" si="296"/>
        <v>4.134503464610197E-4</v>
      </c>
      <c r="AS885" s="27">
        <f t="shared" si="296"/>
        <v>4.218849837705407E-4</v>
      </c>
      <c r="AT885" s="27">
        <f t="shared" si="296"/>
        <v>4.3074559276869194E-4</v>
      </c>
      <c r="AU885" s="27">
        <f t="shared" si="296"/>
        <v>4.3998645882474367E-4</v>
      </c>
      <c r="AV885" s="27">
        <f t="shared" si="296"/>
        <v>4.4977409537726024E-4</v>
      </c>
      <c r="AW885" s="27">
        <f t="shared" si="296"/>
        <v>4.5919160608089382E-4</v>
      </c>
      <c r="AY885" s="79"/>
      <c r="AZ885" s="79"/>
    </row>
    <row r="886" spans="1:52" x14ac:dyDescent="0.25">
      <c r="A886" s="95" t="str">
        <f t="shared" si="270"/>
        <v>BD MM Volatilisation</v>
      </c>
      <c r="B886" s="95" t="s">
        <v>1227</v>
      </c>
      <c r="C886" s="95" t="s">
        <v>1331</v>
      </c>
      <c r="D886" t="s">
        <v>369</v>
      </c>
      <c r="E886" t="s">
        <v>64</v>
      </c>
      <c r="F886" t="s">
        <v>62</v>
      </c>
      <c r="G886" t="s">
        <v>1157</v>
      </c>
      <c r="H886" t="s">
        <v>1292</v>
      </c>
      <c r="I886" t="s">
        <v>139</v>
      </c>
      <c r="J886" t="s">
        <v>287</v>
      </c>
      <c r="K886" s="27">
        <f t="shared" ref="K886:AW886" si="297">K1534</f>
        <v>3.2323215352203869E-3</v>
      </c>
      <c r="L886" s="27">
        <f t="shared" si="297"/>
        <v>3.2042886428129448E-3</v>
      </c>
      <c r="M886" s="27">
        <f t="shared" si="297"/>
        <v>3.1936173693006072E-3</v>
      </c>
      <c r="N886" s="27">
        <f t="shared" si="297"/>
        <v>3.150970789688672E-3</v>
      </c>
      <c r="O886" s="27">
        <f t="shared" si="297"/>
        <v>3.0890682378804098E-3</v>
      </c>
      <c r="P886" s="27">
        <f t="shared" si="297"/>
        <v>3.0091897617382942E-3</v>
      </c>
      <c r="Q886" s="27">
        <f t="shared" si="297"/>
        <v>2.9461872714039495E-3</v>
      </c>
      <c r="R886" s="27">
        <f t="shared" si="297"/>
        <v>2.8865797531671877E-3</v>
      </c>
      <c r="S886" s="27">
        <f t="shared" si="297"/>
        <v>2.5775843671431266E-3</v>
      </c>
      <c r="T886" s="27">
        <f t="shared" si="297"/>
        <v>2.7008194536362932E-3</v>
      </c>
      <c r="U886" s="27">
        <f t="shared" si="297"/>
        <v>2.7434834642963983E-3</v>
      </c>
      <c r="V886" s="27">
        <f t="shared" si="297"/>
        <v>2.7249559704571515E-3</v>
      </c>
      <c r="W886" s="27">
        <f t="shared" si="297"/>
        <v>2.7098851587955765E-3</v>
      </c>
      <c r="X886" s="27">
        <f t="shared" si="297"/>
        <v>2.7108751448487677E-3</v>
      </c>
      <c r="Y886" s="27">
        <f t="shared" si="297"/>
        <v>2.7267936110374771E-3</v>
      </c>
      <c r="Z886" s="27">
        <f t="shared" si="297"/>
        <v>2.7493808220457119E-3</v>
      </c>
      <c r="AA886" s="27">
        <f t="shared" si="297"/>
        <v>2.7804561510044621E-3</v>
      </c>
      <c r="AB886" s="27">
        <f t="shared" si="297"/>
        <v>2.8259754098654112E-3</v>
      </c>
      <c r="AC886" s="27">
        <f t="shared" si="297"/>
        <v>2.8846530294108553E-3</v>
      </c>
      <c r="AD886" s="27">
        <f t="shared" si="297"/>
        <v>2.9255627766607379E-3</v>
      </c>
      <c r="AE886" s="27">
        <f t="shared" si="297"/>
        <v>2.9713051294800673E-3</v>
      </c>
      <c r="AF886" s="27">
        <f t="shared" si="297"/>
        <v>3.0184328847155249E-3</v>
      </c>
      <c r="AG886" s="27">
        <f t="shared" si="297"/>
        <v>3.0679929310084191E-3</v>
      </c>
      <c r="AH886" s="27">
        <f t="shared" si="297"/>
        <v>3.1182952843922906E-3</v>
      </c>
      <c r="AI886" s="27">
        <f t="shared" si="297"/>
        <v>3.1642302715808976E-3</v>
      </c>
      <c r="AJ886" s="27">
        <f t="shared" si="297"/>
        <v>3.2126832525729617E-3</v>
      </c>
      <c r="AK886" s="27">
        <f t="shared" si="297"/>
        <v>3.2589422884996468E-3</v>
      </c>
      <c r="AL886" s="27">
        <f t="shared" si="297"/>
        <v>3.3025617246378643E-3</v>
      </c>
      <c r="AM886" s="27">
        <f t="shared" si="297"/>
        <v>3.3454061319751881E-3</v>
      </c>
      <c r="AN886" s="27">
        <f t="shared" si="297"/>
        <v>3.3998120453296449E-3</v>
      </c>
      <c r="AO886" s="27">
        <f t="shared" si="297"/>
        <v>3.4560846217306851E-3</v>
      </c>
      <c r="AP886" s="27">
        <f t="shared" si="297"/>
        <v>3.5162688695670069E-3</v>
      </c>
      <c r="AQ886" s="27">
        <f t="shared" si="297"/>
        <v>3.576218960305765E-3</v>
      </c>
      <c r="AR886" s="27">
        <f t="shared" si="297"/>
        <v>3.6360127055851286E-3</v>
      </c>
      <c r="AS886" s="27">
        <f t="shared" si="297"/>
        <v>3.6995797552595183E-3</v>
      </c>
      <c r="AT886" s="27">
        <f t="shared" si="297"/>
        <v>3.7652741980581834E-3</v>
      </c>
      <c r="AU886" s="27">
        <f t="shared" si="297"/>
        <v>3.831953873173879E-3</v>
      </c>
      <c r="AV886" s="27">
        <f t="shared" si="297"/>
        <v>3.9018879316463188E-3</v>
      </c>
      <c r="AW886" s="27">
        <f t="shared" si="297"/>
        <v>3.9605189402422969E-3</v>
      </c>
      <c r="AY886" s="79"/>
      <c r="AZ886" s="79"/>
    </row>
    <row r="887" spans="1:52" x14ac:dyDescent="0.25">
      <c r="A887" s="95" t="str">
        <f t="shared" si="270"/>
        <v>BD MM Volatilisation</v>
      </c>
      <c r="B887" s="95" t="s">
        <v>1227</v>
      </c>
      <c r="C887" s="95" t="s">
        <v>1331</v>
      </c>
      <c r="D887" t="s">
        <v>369</v>
      </c>
      <c r="E887" t="s">
        <v>64</v>
      </c>
      <c r="F887" t="s">
        <v>62</v>
      </c>
      <c r="G887" t="s">
        <v>1159</v>
      </c>
      <c r="H887" t="s">
        <v>1293</v>
      </c>
      <c r="I887" t="s">
        <v>139</v>
      </c>
      <c r="J887" t="s">
        <v>287</v>
      </c>
      <c r="K887" s="27">
        <f t="shared" ref="K887:AW887" si="298">K1535</f>
        <v>1.6090517274103568E-2</v>
      </c>
      <c r="L887" s="27">
        <f t="shared" si="298"/>
        <v>1.5950969356419605E-2</v>
      </c>
      <c r="M887" s="27">
        <f t="shared" si="298"/>
        <v>1.5897847688628834E-2</v>
      </c>
      <c r="N887" s="27">
        <f t="shared" si="298"/>
        <v>1.5685552742581484E-2</v>
      </c>
      <c r="O887" s="27">
        <f t="shared" si="298"/>
        <v>1.5377401443792453E-2</v>
      </c>
      <c r="P887" s="27">
        <f t="shared" si="298"/>
        <v>1.4979765878707444E-2</v>
      </c>
      <c r="Q887" s="27">
        <f t="shared" si="298"/>
        <v>1.4666139078901097E-2</v>
      </c>
      <c r="R887" s="27">
        <f t="shared" si="298"/>
        <v>1.4369412471908495E-2</v>
      </c>
      <c r="S887" s="27">
        <f t="shared" si="298"/>
        <v>1.283123146415196E-2</v>
      </c>
      <c r="T887" s="27">
        <f t="shared" si="298"/>
        <v>1.3444696512844507E-2</v>
      </c>
      <c r="U887" s="27">
        <f t="shared" si="298"/>
        <v>1.3657078230761113E-2</v>
      </c>
      <c r="V887" s="27">
        <f t="shared" si="298"/>
        <v>1.3564848247939834E-2</v>
      </c>
      <c r="W887" s="27">
        <f t="shared" si="298"/>
        <v>1.3489825651105632E-2</v>
      </c>
      <c r="X887" s="27">
        <f t="shared" si="298"/>
        <v>1.3494753808009711E-2</v>
      </c>
      <c r="Y887" s="27">
        <f t="shared" si="298"/>
        <v>1.3573996034501018E-2</v>
      </c>
      <c r="Z887" s="27">
        <f t="shared" si="298"/>
        <v>1.3686435315352767E-2</v>
      </c>
      <c r="AA887" s="27">
        <f t="shared" si="298"/>
        <v>1.3841128501646547E-2</v>
      </c>
      <c r="AB887" s="27">
        <f t="shared" si="298"/>
        <v>1.4067723663367223E-2</v>
      </c>
      <c r="AC887" s="27">
        <f t="shared" si="298"/>
        <v>1.4359821228727431E-2</v>
      </c>
      <c r="AD887" s="27">
        <f t="shared" si="298"/>
        <v>1.4563470212168856E-2</v>
      </c>
      <c r="AE887" s="27">
        <f t="shared" si="298"/>
        <v>1.4791175937041108E-2</v>
      </c>
      <c r="AF887" s="27">
        <f t="shared" si="298"/>
        <v>1.5025778204000962E-2</v>
      </c>
      <c r="AG887" s="27">
        <f t="shared" si="298"/>
        <v>1.5272488431400047E-2</v>
      </c>
      <c r="AH887" s="27">
        <f t="shared" si="298"/>
        <v>1.5522893868245321E-2</v>
      </c>
      <c r="AI887" s="27">
        <f t="shared" si="298"/>
        <v>1.5751558528239808E-2</v>
      </c>
      <c r="AJ887" s="27">
        <f t="shared" si="298"/>
        <v>1.5992757777491307E-2</v>
      </c>
      <c r="AK887" s="27">
        <f t="shared" si="298"/>
        <v>1.622303555417634E-2</v>
      </c>
      <c r="AL887" s="27">
        <f t="shared" si="298"/>
        <v>1.6440173386233263E-2</v>
      </c>
      <c r="AM887" s="27">
        <f t="shared" si="298"/>
        <v>1.6653453119962761E-2</v>
      </c>
      <c r="AN887" s="27">
        <f t="shared" si="298"/>
        <v>1.6924286104585243E-2</v>
      </c>
      <c r="AO887" s="27">
        <f t="shared" si="298"/>
        <v>1.7204411349791553E-2</v>
      </c>
      <c r="AP887" s="27">
        <f t="shared" si="298"/>
        <v>1.7504008920419142E-2</v>
      </c>
      <c r="AQ887" s="27">
        <f t="shared" si="298"/>
        <v>1.7802440855517548E-2</v>
      </c>
      <c r="AR887" s="27">
        <f t="shared" si="298"/>
        <v>1.8100094501919208E-2</v>
      </c>
      <c r="AS887" s="27">
        <f t="shared" si="298"/>
        <v>1.8416531681730838E-2</v>
      </c>
      <c r="AT887" s="27">
        <f t="shared" si="298"/>
        <v>1.874355903812051E-2</v>
      </c>
      <c r="AU887" s="27">
        <f t="shared" si="298"/>
        <v>1.9075490887285256E-2</v>
      </c>
      <c r="AV887" s="27">
        <f t="shared" si="298"/>
        <v>1.9423623077612737E-2</v>
      </c>
      <c r="AW887" s="27">
        <f t="shared" si="298"/>
        <v>1.9715488613368411E-2</v>
      </c>
      <c r="AY887" s="79"/>
      <c r="AZ887" s="79"/>
    </row>
    <row r="888" spans="1:52" x14ac:dyDescent="0.25">
      <c r="A888" s="95" t="str">
        <f t="shared" si="270"/>
        <v>BD MM Volatilisation</v>
      </c>
      <c r="B888" s="95" t="s">
        <v>1227</v>
      </c>
      <c r="C888" s="95" t="s">
        <v>1331</v>
      </c>
      <c r="D888" t="s">
        <v>369</v>
      </c>
      <c r="E888" t="s">
        <v>64</v>
      </c>
      <c r="F888" t="s">
        <v>62</v>
      </c>
      <c r="G888" t="s">
        <v>1161</v>
      </c>
      <c r="H888" t="s">
        <v>1294</v>
      </c>
      <c r="I888" t="s">
        <v>139</v>
      </c>
      <c r="J888" t="s">
        <v>287</v>
      </c>
      <c r="K888" s="27">
        <f t="shared" ref="K888:AW888" si="299">K1536</f>
        <v>0.15836052531214867</v>
      </c>
      <c r="L888" s="27">
        <f t="shared" si="299"/>
        <v>0.16370016056893633</v>
      </c>
      <c r="M888" s="27">
        <f t="shared" si="299"/>
        <v>0.17003774892948584</v>
      </c>
      <c r="N888" s="27">
        <f t="shared" si="299"/>
        <v>0.17476418316081965</v>
      </c>
      <c r="O888" s="27">
        <f t="shared" si="299"/>
        <v>0.17840915017095652</v>
      </c>
      <c r="P888" s="27">
        <f t="shared" si="299"/>
        <v>0.18092055691117107</v>
      </c>
      <c r="Q888" s="27">
        <f t="shared" si="299"/>
        <v>0.18434967364231716</v>
      </c>
      <c r="R888" s="27">
        <f t="shared" si="299"/>
        <v>0.18794438918293385</v>
      </c>
      <c r="S888" s="27">
        <f t="shared" si="299"/>
        <v>0.17460856438309952</v>
      </c>
      <c r="T888" s="27">
        <f t="shared" si="299"/>
        <v>0.1873645711352227</v>
      </c>
      <c r="U888" s="27">
        <f t="shared" si="299"/>
        <v>0.19484677000767164</v>
      </c>
      <c r="V888" s="27">
        <f t="shared" si="299"/>
        <v>0.19807112255457257</v>
      </c>
      <c r="W888" s="27">
        <f t="shared" si="299"/>
        <v>0.20154228480865111</v>
      </c>
      <c r="X888" s="27">
        <f t="shared" si="299"/>
        <v>0.20623914667732615</v>
      </c>
      <c r="Y888" s="27">
        <f t="shared" si="299"/>
        <v>0.21215915392676254</v>
      </c>
      <c r="Z888" s="27">
        <f t="shared" si="299"/>
        <v>0.21872684602749243</v>
      </c>
      <c r="AA888" s="27">
        <f t="shared" si="299"/>
        <v>0.22612997396880463</v>
      </c>
      <c r="AB888" s="27">
        <f t="shared" si="299"/>
        <v>0.23491426249732866</v>
      </c>
      <c r="AC888" s="27">
        <f t="shared" si="299"/>
        <v>0.24505515121890351</v>
      </c>
      <c r="AD888" s="27">
        <f t="shared" si="299"/>
        <v>0.25677243358478996</v>
      </c>
      <c r="AE888" s="27">
        <f t="shared" si="299"/>
        <v>0.26945216276183381</v>
      </c>
      <c r="AF888" s="27">
        <f t="shared" si="299"/>
        <v>0.2828440567855407</v>
      </c>
      <c r="AG888" s="27">
        <f t="shared" si="299"/>
        <v>0.29709510424120422</v>
      </c>
      <c r="AH888" s="27">
        <f t="shared" si="299"/>
        <v>0.31209530848649036</v>
      </c>
      <c r="AI888" s="27">
        <f t="shared" si="299"/>
        <v>0.32736251218808471</v>
      </c>
      <c r="AJ888" s="27">
        <f t="shared" si="299"/>
        <v>0.34362947600093458</v>
      </c>
      <c r="AK888" s="27">
        <f t="shared" si="299"/>
        <v>0.36044618553686847</v>
      </c>
      <c r="AL888" s="27">
        <f t="shared" si="299"/>
        <v>0.37778487893593249</v>
      </c>
      <c r="AM888" s="27">
        <f t="shared" si="299"/>
        <v>0.3958859410797253</v>
      </c>
      <c r="AN888" s="27">
        <f t="shared" si="299"/>
        <v>0.41367585516143429</v>
      </c>
      <c r="AO888" s="27">
        <f t="shared" si="299"/>
        <v>0.43242905153599548</v>
      </c>
      <c r="AP888" s="27">
        <f t="shared" si="299"/>
        <v>0.45246435767624088</v>
      </c>
      <c r="AQ888" s="27">
        <f t="shared" si="299"/>
        <v>0.47331488964480717</v>
      </c>
      <c r="AR888" s="27">
        <f t="shared" si="299"/>
        <v>0.49503125359509215</v>
      </c>
      <c r="AS888" s="27">
        <f t="shared" si="299"/>
        <v>0.51820746125670647</v>
      </c>
      <c r="AT888" s="27">
        <f t="shared" si="299"/>
        <v>0.54270067079521189</v>
      </c>
      <c r="AU888" s="27">
        <f t="shared" si="299"/>
        <v>0.56842164327333022</v>
      </c>
      <c r="AV888" s="27">
        <f t="shared" si="299"/>
        <v>0.59578776955032364</v>
      </c>
      <c r="AW888" s="27">
        <f t="shared" si="299"/>
        <v>0.6226172294628034</v>
      </c>
      <c r="AY888" s="79"/>
      <c r="AZ888" s="79"/>
    </row>
    <row r="889" spans="1:52" x14ac:dyDescent="0.25">
      <c r="A889" s="95" t="str">
        <f t="shared" si="270"/>
        <v>BD MM Volatilisation</v>
      </c>
      <c r="B889" s="95" t="s">
        <v>1227</v>
      </c>
      <c r="C889" s="95" t="s">
        <v>1331</v>
      </c>
      <c r="D889" t="s">
        <v>369</v>
      </c>
      <c r="E889" t="s">
        <v>64</v>
      </c>
      <c r="F889" t="s">
        <v>62</v>
      </c>
      <c r="G889" t="s">
        <v>1163</v>
      </c>
      <c r="H889" t="s">
        <v>1295</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1.1888884787446641E-4</v>
      </c>
      <c r="T889" s="27">
        <f t="shared" si="300"/>
        <v>1.18974421608456E-4</v>
      </c>
      <c r="U889" s="27">
        <f t="shared" si="300"/>
        <v>1.1894433570617077E-4</v>
      </c>
      <c r="V889" s="27">
        <f t="shared" si="300"/>
        <v>1.1894216976117226E-4</v>
      </c>
      <c r="W889" s="27">
        <f t="shared" si="300"/>
        <v>1.1906833284654552E-4</v>
      </c>
      <c r="X889" s="27">
        <f t="shared" si="300"/>
        <v>1.1927481036049653E-4</v>
      </c>
      <c r="Y889" s="27">
        <f t="shared" si="300"/>
        <v>1.1947292782589552E-4</v>
      </c>
      <c r="Z889" s="27">
        <f t="shared" si="300"/>
        <v>1.1966332441080059E-4</v>
      </c>
      <c r="AA889" s="27">
        <f t="shared" si="300"/>
        <v>1.198457402729256E-4</v>
      </c>
      <c r="AB889" s="27">
        <f t="shared" si="300"/>
        <v>1.2002397691702796E-4</v>
      </c>
      <c r="AC889" s="27">
        <f t="shared" si="300"/>
        <v>1.2020063791291827E-4</v>
      </c>
      <c r="AD889" s="27">
        <f t="shared" si="300"/>
        <v>1.2037395069486653E-4</v>
      </c>
      <c r="AE889" s="27">
        <f t="shared" si="300"/>
        <v>1.2054640721794917E-4</v>
      </c>
      <c r="AF889" s="27">
        <f t="shared" si="300"/>
        <v>1.2071746421078628E-4</v>
      </c>
      <c r="AG889" s="27">
        <f t="shared" si="300"/>
        <v>1.2088575105723818E-4</v>
      </c>
      <c r="AH889" s="27">
        <f t="shared" si="300"/>
        <v>1.2105200867781398E-4</v>
      </c>
      <c r="AI889" s="27">
        <f t="shared" si="300"/>
        <v>1.2121641449313381E-4</v>
      </c>
      <c r="AJ889" s="27">
        <f t="shared" si="300"/>
        <v>1.2137952665146409E-4</v>
      </c>
      <c r="AK889" s="27">
        <f t="shared" si="300"/>
        <v>1.2153635424536354E-4</v>
      </c>
      <c r="AL889" s="27">
        <f t="shared" si="300"/>
        <v>1.2168671378968904E-4</v>
      </c>
      <c r="AM889" s="27">
        <f t="shared" si="300"/>
        <v>1.2183201055728766E-4</v>
      </c>
      <c r="AN889" s="27">
        <f t="shared" si="300"/>
        <v>1.2197112574763714E-4</v>
      </c>
      <c r="AO889" s="27">
        <f t="shared" si="300"/>
        <v>1.2210431172658153E-4</v>
      </c>
      <c r="AP889" s="27">
        <f t="shared" si="300"/>
        <v>1.2223096862203452E-4</v>
      </c>
      <c r="AQ889" s="27">
        <f t="shared" si="300"/>
        <v>1.2234928396390209E-4</v>
      </c>
      <c r="AR889" s="27">
        <f t="shared" si="300"/>
        <v>1.2245757817594662E-4</v>
      </c>
      <c r="AS889" s="27">
        <f t="shared" si="300"/>
        <v>1.2255574185064525E-4</v>
      </c>
      <c r="AT889" s="27">
        <f t="shared" si="300"/>
        <v>1.2264302379658788E-4</v>
      </c>
      <c r="AU889" s="27">
        <f t="shared" si="300"/>
        <v>1.2271938191890156E-4</v>
      </c>
      <c r="AV889" s="27">
        <f t="shared" si="300"/>
        <v>1.2278627747914955E-4</v>
      </c>
      <c r="AW889" s="27">
        <f t="shared" si="300"/>
        <v>1.2283502162881773E-4</v>
      </c>
      <c r="AY889" s="79"/>
      <c r="AZ889" s="79"/>
    </row>
    <row r="890" spans="1:52" x14ac:dyDescent="0.25">
      <c r="A890" s="95" t="str">
        <f t="shared" si="270"/>
        <v>BD MM Volatilisation</v>
      </c>
      <c r="B890" s="95" t="s">
        <v>1227</v>
      </c>
      <c r="C890" s="95" t="s">
        <v>1331</v>
      </c>
      <c r="D890" t="s">
        <v>369</v>
      </c>
      <c r="E890" t="s">
        <v>64</v>
      </c>
      <c r="F890" t="s">
        <v>62</v>
      </c>
      <c r="G890" t="s">
        <v>1165</v>
      </c>
      <c r="H890" t="s">
        <v>1296</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8.158765245643595E-4</v>
      </c>
      <c r="T890" s="27">
        <f t="shared" si="301"/>
        <v>8.1646377561380335E-4</v>
      </c>
      <c r="U890" s="27">
        <f t="shared" si="301"/>
        <v>8.1625731065233949E-4</v>
      </c>
      <c r="V890" s="27">
        <f t="shared" si="301"/>
        <v>8.1624244682188473E-4</v>
      </c>
      <c r="W890" s="27">
        <f t="shared" si="301"/>
        <v>8.1710824291178659E-4</v>
      </c>
      <c r="X890" s="27">
        <f t="shared" si="301"/>
        <v>8.1852519798784992E-4</v>
      </c>
      <c r="Y890" s="27">
        <f t="shared" si="301"/>
        <v>8.1988478210372824E-4</v>
      </c>
      <c r="Z890" s="27">
        <f t="shared" si="301"/>
        <v>8.2119138155993044E-4</v>
      </c>
      <c r="AA890" s="27">
        <f t="shared" si="301"/>
        <v>8.2244321318482034E-4</v>
      </c>
      <c r="AB890" s="27">
        <f t="shared" si="301"/>
        <v>8.2366636486254352E-4</v>
      </c>
      <c r="AC890" s="27">
        <f t="shared" si="301"/>
        <v>8.2487870363047661E-4</v>
      </c>
      <c r="AD890" s="27">
        <f t="shared" si="301"/>
        <v>8.2606806522936944E-4</v>
      </c>
      <c r="AE890" s="27">
        <f t="shared" si="301"/>
        <v>8.2725155073878963E-4</v>
      </c>
      <c r="AF890" s="27">
        <f t="shared" si="301"/>
        <v>8.2842543195064012E-4</v>
      </c>
      <c r="AG890" s="27">
        <f t="shared" si="301"/>
        <v>8.2958030299084108E-4</v>
      </c>
      <c r="AH890" s="27">
        <f t="shared" si="301"/>
        <v>8.3072124843764142E-4</v>
      </c>
      <c r="AI890" s="27">
        <f t="shared" si="301"/>
        <v>8.3184948584274219E-4</v>
      </c>
      <c r="AJ890" s="27">
        <f t="shared" si="301"/>
        <v>8.3296884550710043E-4</v>
      </c>
      <c r="AK890" s="27">
        <f t="shared" si="301"/>
        <v>8.3404507725258427E-4</v>
      </c>
      <c r="AL890" s="27">
        <f t="shared" si="301"/>
        <v>8.3507692190961139E-4</v>
      </c>
      <c r="AM890" s="27">
        <f t="shared" si="301"/>
        <v>8.3607402318444201E-4</v>
      </c>
      <c r="AN890" s="27">
        <f t="shared" si="301"/>
        <v>8.3702870329149695E-4</v>
      </c>
      <c r="AO890" s="27">
        <f t="shared" si="301"/>
        <v>8.3794269409521473E-4</v>
      </c>
      <c r="AP890" s="27">
        <f t="shared" si="301"/>
        <v>8.3881187896429009E-4</v>
      </c>
      <c r="AQ890" s="27">
        <f t="shared" si="301"/>
        <v>8.3962381979516996E-4</v>
      </c>
      <c r="AR890" s="27">
        <f t="shared" si="301"/>
        <v>8.4036699047040963E-4</v>
      </c>
      <c r="AS890" s="27">
        <f t="shared" si="301"/>
        <v>8.4104064017922141E-4</v>
      </c>
      <c r="AT890" s="27">
        <f t="shared" si="301"/>
        <v>8.4163961385914194E-4</v>
      </c>
      <c r="AU890" s="27">
        <f t="shared" si="301"/>
        <v>8.4216362263346621E-4</v>
      </c>
      <c r="AV890" s="27">
        <f t="shared" si="301"/>
        <v>8.4262269443187052E-4</v>
      </c>
      <c r="AW890" s="27">
        <f t="shared" si="301"/>
        <v>8.4295720189943475E-4</v>
      </c>
      <c r="AY890" s="79"/>
      <c r="AZ890" s="79"/>
    </row>
    <row r="891" spans="1:52" x14ac:dyDescent="0.25">
      <c r="A891" s="95" t="str">
        <f t="shared" si="270"/>
        <v>BD MM Volatilisation</v>
      </c>
      <c r="B891" s="95" t="s">
        <v>1227</v>
      </c>
      <c r="C891" s="95" t="s">
        <v>1331</v>
      </c>
      <c r="D891" t="s">
        <v>369</v>
      </c>
      <c r="E891" t="s">
        <v>64</v>
      </c>
      <c r="F891" t="s">
        <v>62</v>
      </c>
      <c r="G891" t="s">
        <v>1167</v>
      </c>
      <c r="H891" t="s">
        <v>1297</v>
      </c>
      <c r="I891" t="s">
        <v>139</v>
      </c>
      <c r="J891" t="s">
        <v>287</v>
      </c>
      <c r="K891" s="27">
        <f t="shared" ref="K891:AW891" si="302">K1539</f>
        <v>1.4486129996083081E-5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1.4890706011157255E-5</v>
      </c>
      <c r="R891" s="27">
        <f t="shared" si="302"/>
        <v>1.4988675221399694E-5</v>
      </c>
      <c r="S891" s="27">
        <f t="shared" si="302"/>
        <v>1.4951923212530766E-5</v>
      </c>
      <c r="T891" s="27">
        <f t="shared" si="302"/>
        <v>1.4977625582861877E-5</v>
      </c>
      <c r="U891" s="27">
        <f t="shared" si="302"/>
        <v>1.4980119703065675E-5</v>
      </c>
      <c r="V891" s="27">
        <f t="shared" si="302"/>
        <v>1.4986976942692676E-5</v>
      </c>
      <c r="W891" s="27">
        <f t="shared" si="302"/>
        <v>1.5017294663736538E-5</v>
      </c>
      <c r="X891" s="27">
        <f t="shared" si="302"/>
        <v>1.5061890336193319E-5</v>
      </c>
      <c r="Y891" s="27">
        <f t="shared" si="302"/>
        <v>1.5103986297595971E-5</v>
      </c>
      <c r="Z891" s="27">
        <f t="shared" si="302"/>
        <v>1.5143780477124499E-5</v>
      </c>
      <c r="AA891" s="27">
        <f t="shared" si="302"/>
        <v>1.5181293243682811E-5</v>
      </c>
      <c r="AB891" s="27">
        <f t="shared" si="302"/>
        <v>1.5217300806744068E-5</v>
      </c>
      <c r="AC891" s="27">
        <f t="shared" si="302"/>
        <v>1.5252343422195684E-5</v>
      </c>
      <c r="AD891" s="27">
        <f t="shared" si="302"/>
        <v>1.5286134993525756E-5</v>
      </c>
      <c r="AE891" s="27">
        <f t="shared" si="302"/>
        <v>1.531918306979576E-5</v>
      </c>
      <c r="AF891" s="27">
        <f t="shared" si="302"/>
        <v>1.5351423055728344E-5</v>
      </c>
      <c r="AG891" s="27">
        <f t="shared" si="302"/>
        <v>1.5382634347686873E-5</v>
      </c>
      <c r="AH891" s="27">
        <f t="shared" si="302"/>
        <v>1.5412986814805202E-5</v>
      </c>
      <c r="AI891" s="27">
        <f t="shared" si="302"/>
        <v>1.5442542460580333E-5</v>
      </c>
      <c r="AJ891" s="27">
        <f t="shared" si="302"/>
        <v>1.5471431054826288E-5</v>
      </c>
      <c r="AK891" s="27">
        <f t="shared" si="302"/>
        <v>1.5498756892033488E-5</v>
      </c>
      <c r="AL891" s="27">
        <f t="shared" si="302"/>
        <v>1.5524513513074621E-5</v>
      </c>
      <c r="AM891" s="27">
        <f t="shared" si="302"/>
        <v>1.5548984646319332E-5</v>
      </c>
      <c r="AN891" s="27">
        <f t="shared" si="302"/>
        <v>1.5571987875403361E-5</v>
      </c>
      <c r="AO891" s="27">
        <f t="shared" si="302"/>
        <v>1.5593591673600764E-5</v>
      </c>
      <c r="AP891" s="27">
        <f t="shared" si="302"/>
        <v>1.5613707165200276E-5</v>
      </c>
      <c r="AQ891" s="27">
        <f t="shared" si="302"/>
        <v>1.5632023858239551E-5</v>
      </c>
      <c r="AR891" s="27">
        <f t="shared" si="302"/>
        <v>1.5648256533695206E-5</v>
      </c>
      <c r="AS891" s="27">
        <f t="shared" si="302"/>
        <v>1.5662406299088669E-5</v>
      </c>
      <c r="AT891" s="27">
        <f t="shared" si="302"/>
        <v>1.5674356891571193E-5</v>
      </c>
      <c r="AU891" s="27">
        <f t="shared" si="302"/>
        <v>1.5684120431636331E-5</v>
      </c>
      <c r="AV891" s="27">
        <f t="shared" si="302"/>
        <v>1.5691980107154113E-5</v>
      </c>
      <c r="AW891" s="27">
        <f t="shared" si="302"/>
        <v>1.5696383554298718E-5</v>
      </c>
      <c r="AY891" s="79"/>
      <c r="AZ891" s="79"/>
    </row>
    <row r="892" spans="1:52" x14ac:dyDescent="0.25">
      <c r="A892" s="95" t="str">
        <f t="shared" si="270"/>
        <v>BD MM Volatilisation</v>
      </c>
      <c r="B892" s="95" t="s">
        <v>1227</v>
      </c>
      <c r="C892" s="95" t="s">
        <v>1331</v>
      </c>
      <c r="D892" t="s">
        <v>369</v>
      </c>
      <c r="E892" t="s">
        <v>64</v>
      </c>
      <c r="F892" t="s">
        <v>62</v>
      </c>
      <c r="G892" t="s">
        <v>1169</v>
      </c>
      <c r="H892" t="s">
        <v>1298</v>
      </c>
      <c r="I892" t="s">
        <v>139</v>
      </c>
      <c r="J892" t="s">
        <v>287</v>
      </c>
      <c r="K892" s="27">
        <f t="shared" ref="K892:AW892" si="303">K1540</f>
        <v>1.4738364076719785E-3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1.5149984613639165E-3</v>
      </c>
      <c r="R892" s="27">
        <f t="shared" si="303"/>
        <v>1.5249659674490626E-3</v>
      </c>
      <c r="S892" s="27">
        <f t="shared" si="303"/>
        <v>1.5212267735621682E-3</v>
      </c>
      <c r="T892" s="27">
        <f t="shared" si="303"/>
        <v>1.523841763843748E-3</v>
      </c>
      <c r="U892" s="27">
        <f t="shared" si="303"/>
        <v>1.5240955186535188E-3</v>
      </c>
      <c r="V892" s="27">
        <f t="shared" si="303"/>
        <v>1.5247931825168926E-3</v>
      </c>
      <c r="W892" s="27">
        <f t="shared" si="303"/>
        <v>1.5278777441689124E-3</v>
      </c>
      <c r="X892" s="27">
        <f t="shared" si="303"/>
        <v>1.53241496188746E-3</v>
      </c>
      <c r="Y892" s="27">
        <f t="shared" si="303"/>
        <v>1.536697855976355E-3</v>
      </c>
      <c r="Z892" s="27">
        <f t="shared" si="303"/>
        <v>1.5407465639900506E-3</v>
      </c>
      <c r="AA892" s="27">
        <f t="shared" si="303"/>
        <v>1.5445631582854966E-3</v>
      </c>
      <c r="AB892" s="27">
        <f t="shared" si="303"/>
        <v>1.5482266113544371E-3</v>
      </c>
      <c r="AC892" s="27">
        <f t="shared" si="303"/>
        <v>1.551791889485077E-3</v>
      </c>
      <c r="AD892" s="27">
        <f t="shared" si="303"/>
        <v>1.555229884871849E-3</v>
      </c>
      <c r="AE892" s="27">
        <f t="shared" si="303"/>
        <v>1.5585922361708792E-3</v>
      </c>
      <c r="AF892" s="27">
        <f t="shared" si="303"/>
        <v>1.561872371380429E-3</v>
      </c>
      <c r="AG892" s="27">
        <f t="shared" si="303"/>
        <v>1.5650478460193693E-3</v>
      </c>
      <c r="AH892" s="27">
        <f t="shared" si="303"/>
        <v>1.5681359427790809E-3</v>
      </c>
      <c r="AI892" s="27">
        <f t="shared" si="303"/>
        <v>1.5711429699704306E-3</v>
      </c>
      <c r="AJ892" s="27">
        <f t="shared" si="303"/>
        <v>1.5740821305314401E-3</v>
      </c>
      <c r="AK892" s="27">
        <f t="shared" si="303"/>
        <v>1.5768622942989184E-3</v>
      </c>
      <c r="AL892" s="27">
        <f t="shared" si="303"/>
        <v>1.5794828041134305E-3</v>
      </c>
      <c r="AM892" s="27">
        <f t="shared" si="303"/>
        <v>1.5819725268428828E-3</v>
      </c>
      <c r="AN892" s="27">
        <f t="shared" si="303"/>
        <v>1.5843129032254801E-3</v>
      </c>
      <c r="AO892" s="27">
        <f t="shared" si="303"/>
        <v>1.586510899815041E-3</v>
      </c>
      <c r="AP892" s="27">
        <f t="shared" si="303"/>
        <v>1.5885574742890791E-3</v>
      </c>
      <c r="AQ892" s="27">
        <f t="shared" si="303"/>
        <v>1.5904210368193567E-3</v>
      </c>
      <c r="AR892" s="27">
        <f t="shared" si="303"/>
        <v>1.592072568877052E-3</v>
      </c>
      <c r="AS892" s="27">
        <f t="shared" si="303"/>
        <v>1.5935121831427352E-3</v>
      </c>
      <c r="AT892" s="27">
        <f t="shared" si="303"/>
        <v>1.5947280508933873E-3</v>
      </c>
      <c r="AU892" s="27">
        <f t="shared" si="303"/>
        <v>1.5957214052826996E-3</v>
      </c>
      <c r="AV892" s="27">
        <f t="shared" si="303"/>
        <v>1.5965210581874944E-3</v>
      </c>
      <c r="AW892" s="27">
        <f t="shared" si="303"/>
        <v>1.596969070232308E-3</v>
      </c>
      <c r="AY892" s="79"/>
      <c r="AZ892" s="79"/>
    </row>
    <row r="893" spans="1:52" x14ac:dyDescent="0.25">
      <c r="A893" s="95" t="str">
        <f t="shared" si="270"/>
        <v>BD MM Volatilisation</v>
      </c>
      <c r="B893" s="95" t="s">
        <v>1227</v>
      </c>
      <c r="C893" s="95" t="s">
        <v>1331</v>
      </c>
      <c r="D893" t="s">
        <v>369</v>
      </c>
      <c r="E893" t="s">
        <v>64</v>
      </c>
      <c r="F893" t="s">
        <v>62</v>
      </c>
      <c r="G893" t="s">
        <v>1171</v>
      </c>
      <c r="H893" t="s">
        <v>1299</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5">
      <c r="A894" s="95" t="str">
        <f t="shared" si="270"/>
        <v>BD MM Volatilisation</v>
      </c>
      <c r="B894" s="95" t="s">
        <v>1227</v>
      </c>
      <c r="C894" s="95" t="s">
        <v>1331</v>
      </c>
      <c r="D894" t="s">
        <v>369</v>
      </c>
      <c r="E894" t="s">
        <v>64</v>
      </c>
      <c r="F894" t="s">
        <v>62</v>
      </c>
      <c r="G894" t="s">
        <v>1173</v>
      </c>
      <c r="H894" t="s">
        <v>1300</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5">
      <c r="A895" s="95" t="str">
        <f t="shared" si="270"/>
        <v>BD MM Volatilisation</v>
      </c>
      <c r="B895" s="95" t="s">
        <v>1227</v>
      </c>
      <c r="C895" s="95" t="s">
        <v>1331</v>
      </c>
      <c r="D895" t="s">
        <v>369</v>
      </c>
      <c r="E895" t="s">
        <v>64</v>
      </c>
      <c r="F895" t="s">
        <v>62</v>
      </c>
      <c r="G895" t="s">
        <v>1175</v>
      </c>
      <c r="H895" t="s">
        <v>1301</v>
      </c>
      <c r="I895" t="s">
        <v>139</v>
      </c>
      <c r="J895" t="s">
        <v>287</v>
      </c>
      <c r="K895" s="27">
        <f t="shared" ref="K895:AW895" si="306">K1543</f>
        <v>0.13075625264316332</v>
      </c>
      <c r="L895" s="27">
        <f t="shared" si="306"/>
        <v>0.13004550543955865</v>
      </c>
      <c r="M895" s="27">
        <f t="shared" si="306"/>
        <v>0.13010384136507705</v>
      </c>
      <c r="N895" s="27">
        <f t="shared" si="306"/>
        <v>0.12890938840294827</v>
      </c>
      <c r="O895" s="27">
        <f t="shared" si="306"/>
        <v>0.12695857121838466</v>
      </c>
      <c r="P895" s="27">
        <f t="shared" si="306"/>
        <v>0.12428257569245393</v>
      </c>
      <c r="Q895" s="27">
        <f t="shared" si="306"/>
        <v>0.12233950618032063</v>
      </c>
      <c r="R895" s="27">
        <f t="shared" si="306"/>
        <v>0.12056837226162823</v>
      </c>
      <c r="S895" s="27">
        <f t="shared" si="306"/>
        <v>0.10830895289651481</v>
      </c>
      <c r="T895" s="27">
        <f t="shared" si="306"/>
        <v>0.11320330426035914</v>
      </c>
      <c r="U895" s="27">
        <f t="shared" si="306"/>
        <v>0.11468301383498544</v>
      </c>
      <c r="V895" s="27">
        <f t="shared" si="306"/>
        <v>0.11355120382559489</v>
      </c>
      <c r="W895" s="27">
        <f t="shared" si="306"/>
        <v>0.11255578294046394</v>
      </c>
      <c r="X895" s="27">
        <f t="shared" si="306"/>
        <v>0.11224814770681171</v>
      </c>
      <c r="Y895" s="27">
        <f t="shared" si="306"/>
        <v>0.11260156809388705</v>
      </c>
      <c r="Z895" s="27">
        <f t="shared" si="306"/>
        <v>0.11325984846472106</v>
      </c>
      <c r="AA895" s="27">
        <f t="shared" si="306"/>
        <v>0.11429808983181136</v>
      </c>
      <c r="AB895" s="27">
        <f t="shared" si="306"/>
        <v>0.11596592254580176</v>
      </c>
      <c r="AC895" s="27">
        <f t="shared" si="306"/>
        <v>0.11820511582305605</v>
      </c>
      <c r="AD895" s="27">
        <f t="shared" si="306"/>
        <v>0.12075365463644311</v>
      </c>
      <c r="AE895" s="27">
        <f t="shared" si="306"/>
        <v>0.12358623956337132</v>
      </c>
      <c r="AF895" s="27">
        <f t="shared" si="306"/>
        <v>0.12656118355318</v>
      </c>
      <c r="AG895" s="27">
        <f t="shared" si="306"/>
        <v>0.12972957848678721</v>
      </c>
      <c r="AH895" s="27">
        <f t="shared" si="306"/>
        <v>0.13302313311609873</v>
      </c>
      <c r="AI895" s="27">
        <f t="shared" si="306"/>
        <v>0.13621929545186015</v>
      </c>
      <c r="AJ895" s="27">
        <f t="shared" si="306"/>
        <v>0.13962684476435561</v>
      </c>
      <c r="AK895" s="27">
        <f t="shared" si="306"/>
        <v>0.14304119066791054</v>
      </c>
      <c r="AL895" s="27">
        <f t="shared" si="306"/>
        <v>0.14644440679500975</v>
      </c>
      <c r="AM895" s="27">
        <f t="shared" si="306"/>
        <v>0.14992455211372072</v>
      </c>
      <c r="AN895" s="27">
        <f t="shared" si="306"/>
        <v>0.15325657222760428</v>
      </c>
      <c r="AO895" s="27">
        <f t="shared" si="306"/>
        <v>0.15674333681767427</v>
      </c>
      <c r="AP895" s="27">
        <f t="shared" si="306"/>
        <v>0.16048535923438295</v>
      </c>
      <c r="AQ895" s="27">
        <f t="shared" si="306"/>
        <v>0.16429277839644263</v>
      </c>
      <c r="AR895" s="27">
        <f t="shared" si="306"/>
        <v>0.16817259395975112</v>
      </c>
      <c r="AS895" s="27">
        <f t="shared" si="306"/>
        <v>0.17231652203790412</v>
      </c>
      <c r="AT895" s="27">
        <f t="shared" si="306"/>
        <v>0.17665242177214358</v>
      </c>
      <c r="AU895" s="27">
        <f t="shared" si="306"/>
        <v>0.18113086971422945</v>
      </c>
      <c r="AV895" s="27">
        <f t="shared" si="306"/>
        <v>0.18586803919890985</v>
      </c>
      <c r="AW895" s="27">
        <f t="shared" si="306"/>
        <v>0.19015603509530893</v>
      </c>
      <c r="AY895" s="79"/>
      <c r="AZ895" s="79"/>
    </row>
    <row r="896" spans="1:52" x14ac:dyDescent="0.25">
      <c r="A896" s="95" t="str">
        <f t="shared" si="270"/>
        <v>BD MM Volatilisation</v>
      </c>
      <c r="B896" s="95" t="s">
        <v>1227</v>
      </c>
      <c r="C896" s="95" t="s">
        <v>1331</v>
      </c>
      <c r="D896" t="s">
        <v>369</v>
      </c>
      <c r="E896" t="s">
        <v>64</v>
      </c>
      <c r="F896" t="s">
        <v>62</v>
      </c>
      <c r="G896" t="s">
        <v>1177</v>
      </c>
      <c r="H896" t="s">
        <v>1302</v>
      </c>
      <c r="I896" t="s">
        <v>139</v>
      </c>
      <c r="J896" t="s">
        <v>287</v>
      </c>
      <c r="K896" s="27">
        <f t="shared" ref="K896:AW896" si="307">K1544</f>
        <v>1.2724633182830876E-2</v>
      </c>
      <c r="L896" s="27">
        <f t="shared" si="307"/>
        <v>1.2655466337890211E-2</v>
      </c>
      <c r="M896" s="27">
        <f t="shared" si="307"/>
        <v>1.2661143337946403E-2</v>
      </c>
      <c r="N896" s="27">
        <f t="shared" si="307"/>
        <v>1.2544904339887072E-2</v>
      </c>
      <c r="O896" s="27">
        <f t="shared" si="307"/>
        <v>1.2355059245839609E-2</v>
      </c>
      <c r="P896" s="27">
        <f t="shared" si="307"/>
        <v>1.2094642930917438E-2</v>
      </c>
      <c r="Q896" s="27">
        <f t="shared" si="307"/>
        <v>1.1905551806853848E-2</v>
      </c>
      <c r="R896" s="27">
        <f t="shared" si="307"/>
        <v>1.1733192711380727E-2</v>
      </c>
      <c r="S896" s="27">
        <f t="shared" si="307"/>
        <v>1.0540159022343456E-2</v>
      </c>
      <c r="T896" s="27">
        <f t="shared" si="307"/>
        <v>1.1016456136354276E-2</v>
      </c>
      <c r="U896" s="27">
        <f t="shared" si="307"/>
        <v>1.1160455074635459E-2</v>
      </c>
      <c r="V896" s="27">
        <f t="shared" si="307"/>
        <v>1.1050312217899923E-2</v>
      </c>
      <c r="W896" s="27">
        <f t="shared" si="307"/>
        <v>1.0953442161059227E-2</v>
      </c>
      <c r="X896" s="27">
        <f t="shared" si="307"/>
        <v>1.092350443018052E-2</v>
      </c>
      <c r="Y896" s="27">
        <f t="shared" si="307"/>
        <v>1.0957897774238343E-2</v>
      </c>
      <c r="Z896" s="27">
        <f t="shared" si="307"/>
        <v>1.1021958773854017E-2</v>
      </c>
      <c r="AA896" s="27">
        <f t="shared" si="307"/>
        <v>1.1122995934864729E-2</v>
      </c>
      <c r="AB896" s="27">
        <f t="shared" si="307"/>
        <v>1.1285302203718813E-2</v>
      </c>
      <c r="AC896" s="27">
        <f t="shared" si="307"/>
        <v>1.1503210812313454E-2</v>
      </c>
      <c r="AD896" s="27">
        <f t="shared" si="307"/>
        <v>1.1751223591029727E-2</v>
      </c>
      <c r="AE896" s="27">
        <f t="shared" si="307"/>
        <v>1.2026878509443005E-2</v>
      </c>
      <c r="AF896" s="27">
        <f t="shared" si="307"/>
        <v>1.231638719636668E-2</v>
      </c>
      <c r="AG896" s="27">
        <f t="shared" si="307"/>
        <v>1.2624721692756056E-2</v>
      </c>
      <c r="AH896" s="27">
        <f t="shared" si="307"/>
        <v>1.2945236189603672E-2</v>
      </c>
      <c r="AI896" s="27">
        <f t="shared" si="307"/>
        <v>1.3256272889518386E-2</v>
      </c>
      <c r="AJ896" s="27">
        <f t="shared" si="307"/>
        <v>1.3587880856077676E-2</v>
      </c>
      <c r="AK896" s="27">
        <f t="shared" si="307"/>
        <v>1.3920150237493829E-2</v>
      </c>
      <c r="AL896" s="27">
        <f t="shared" si="307"/>
        <v>1.4251336517184878E-2</v>
      </c>
      <c r="AM896" s="27">
        <f t="shared" si="307"/>
        <v>1.459000921320037E-2</v>
      </c>
      <c r="AN896" s="27">
        <f t="shared" si="307"/>
        <v>1.4914267004701089E-2</v>
      </c>
      <c r="AO896" s="27">
        <f t="shared" si="307"/>
        <v>1.5253583859586839E-2</v>
      </c>
      <c r="AP896" s="27">
        <f t="shared" si="307"/>
        <v>1.5617741302554344E-2</v>
      </c>
      <c r="AQ896" s="27">
        <f t="shared" si="307"/>
        <v>1.5988262874036725E-2</v>
      </c>
      <c r="AR896" s="27">
        <f t="shared" si="307"/>
        <v>1.6365829750282931E-2</v>
      </c>
      <c r="AS896" s="27">
        <f t="shared" si="307"/>
        <v>1.676909891458386E-2</v>
      </c>
      <c r="AT896" s="27">
        <f t="shared" si="307"/>
        <v>1.7191049930466051E-2</v>
      </c>
      <c r="AU896" s="27">
        <f t="shared" si="307"/>
        <v>1.7626873121628955E-2</v>
      </c>
      <c r="AV896" s="27">
        <f t="shared" si="307"/>
        <v>1.8087873974735078E-2</v>
      </c>
      <c r="AW896" s="27">
        <f t="shared" si="307"/>
        <v>1.8505163196230787E-2</v>
      </c>
      <c r="AY896" s="79"/>
      <c r="AZ896" s="79"/>
    </row>
    <row r="897" spans="1:52" x14ac:dyDescent="0.25">
      <c r="A897" s="95" t="str">
        <f t="shared" si="270"/>
        <v>BD MM Volatilisation</v>
      </c>
      <c r="B897" s="95" t="s">
        <v>1227</v>
      </c>
      <c r="C897" s="95" t="s">
        <v>1331</v>
      </c>
      <c r="D897" t="s">
        <v>369</v>
      </c>
      <c r="E897" t="s">
        <v>64</v>
      </c>
      <c r="F897" t="s">
        <v>62</v>
      </c>
      <c r="G897" t="s">
        <v>1179</v>
      </c>
      <c r="H897" t="s">
        <v>1303</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7.1969839340941866E-2</v>
      </c>
      <c r="S897" s="27">
        <f t="shared" si="308"/>
        <v>6.9075990112688196E-2</v>
      </c>
      <c r="T897" s="27">
        <f t="shared" si="308"/>
        <v>7.1960031651071718E-2</v>
      </c>
      <c r="U897" s="27">
        <f t="shared" si="308"/>
        <v>7.3674037695468111E-2</v>
      </c>
      <c r="V897" s="27">
        <f t="shared" si="308"/>
        <v>7.4492152680205134E-2</v>
      </c>
      <c r="W897" s="27">
        <f t="shared" si="308"/>
        <v>7.5399470920563483E-2</v>
      </c>
      <c r="X897" s="27">
        <f t="shared" si="308"/>
        <v>7.6582710746940591E-2</v>
      </c>
      <c r="Y897" s="27">
        <f t="shared" si="308"/>
        <v>7.8007027191938444E-2</v>
      </c>
      <c r="Z897" s="27">
        <f t="shared" si="308"/>
        <v>7.95518212189988E-2</v>
      </c>
      <c r="AA897" s="27">
        <f t="shared" si="308"/>
        <v>8.125501320297529E-2</v>
      </c>
      <c r="AB897" s="27">
        <f t="shared" si="308"/>
        <v>8.3229375715267798E-2</v>
      </c>
      <c r="AC897" s="27">
        <f t="shared" si="308"/>
        <v>8.5468913054205911E-2</v>
      </c>
      <c r="AD897" s="27">
        <f t="shared" si="308"/>
        <v>8.7878363840128426E-2</v>
      </c>
      <c r="AE897" s="27">
        <f t="shared" si="308"/>
        <v>9.0457350276048634E-2</v>
      </c>
      <c r="AF897" s="27">
        <f t="shared" si="308"/>
        <v>9.3152543573947852E-2</v>
      </c>
      <c r="AG897" s="27">
        <f t="shared" si="308"/>
        <v>9.5991306514799535E-2</v>
      </c>
      <c r="AH897" s="27">
        <f t="shared" si="308"/>
        <v>9.8949791609125759E-2</v>
      </c>
      <c r="AI897" s="27">
        <f t="shared" si="308"/>
        <v>0.10193029518056052</v>
      </c>
      <c r="AJ897" s="27">
        <f t="shared" si="308"/>
        <v>0.10507798344014782</v>
      </c>
      <c r="AK897" s="27">
        <f t="shared" si="308"/>
        <v>0.10829971138803891</v>
      </c>
      <c r="AL897" s="27">
        <f t="shared" si="308"/>
        <v>0.11158886411942164</v>
      </c>
      <c r="AM897" s="27">
        <f t="shared" si="308"/>
        <v>0.11499192397451925</v>
      </c>
      <c r="AN897" s="27">
        <f t="shared" si="308"/>
        <v>0.11839831966593896</v>
      </c>
      <c r="AO897" s="27">
        <f t="shared" si="308"/>
        <v>0.12196310213771001</v>
      </c>
      <c r="AP897" s="27">
        <f t="shared" si="308"/>
        <v>0.12574583816913645</v>
      </c>
      <c r="AQ897" s="27">
        <f t="shared" si="308"/>
        <v>0.12965360602860704</v>
      </c>
      <c r="AR897" s="27">
        <f t="shared" si="308"/>
        <v>0.13369403699154539</v>
      </c>
      <c r="AS897" s="27">
        <f t="shared" si="308"/>
        <v>0.1379790125366526</v>
      </c>
      <c r="AT897" s="27">
        <f t="shared" si="308"/>
        <v>0.14247835199666176</v>
      </c>
      <c r="AU897" s="27">
        <f t="shared" si="308"/>
        <v>0.14717275078625591</v>
      </c>
      <c r="AV897" s="27">
        <f t="shared" si="308"/>
        <v>0.15213947342494369</v>
      </c>
      <c r="AW897" s="27">
        <f t="shared" si="308"/>
        <v>0.15696141877860778</v>
      </c>
      <c r="AY897" s="79"/>
      <c r="AZ897" s="79"/>
    </row>
    <row r="898" spans="1:52" x14ac:dyDescent="0.25">
      <c r="A898" s="95" t="str">
        <f t="shared" si="270"/>
        <v>BD MM Volatilisation</v>
      </c>
      <c r="B898" s="95" t="s">
        <v>1227</v>
      </c>
      <c r="C898" s="95" t="s">
        <v>1331</v>
      </c>
      <c r="D898" t="s">
        <v>369</v>
      </c>
      <c r="E898" t="s">
        <v>64</v>
      </c>
      <c r="F898" t="s">
        <v>62</v>
      </c>
      <c r="G898" t="s">
        <v>1181</v>
      </c>
      <c r="H898" t="s">
        <v>1304</v>
      </c>
      <c r="I898" t="s">
        <v>139</v>
      </c>
      <c r="J898" t="s">
        <v>287</v>
      </c>
      <c r="K898" s="27">
        <f t="shared" ref="K898:AW898" si="309">K1546</f>
        <v>0.31034319165291718</v>
      </c>
      <c r="L898" s="27">
        <f t="shared" si="309"/>
        <v>0.31442985679016972</v>
      </c>
      <c r="M898" s="27">
        <f t="shared" si="309"/>
        <v>0.3209942132552846</v>
      </c>
      <c r="N898" s="27">
        <f t="shared" si="309"/>
        <v>0.3228790317815291</v>
      </c>
      <c r="O898" s="27">
        <f t="shared" si="309"/>
        <v>0.3217232753588708</v>
      </c>
      <c r="P898" s="27">
        <f t="shared" si="309"/>
        <v>0.31753924052538912</v>
      </c>
      <c r="Q898" s="27">
        <f t="shared" si="309"/>
        <v>0.31577785743754239</v>
      </c>
      <c r="R898" s="27">
        <f t="shared" si="309"/>
        <v>0.31441607582114939</v>
      </c>
      <c r="S898" s="27">
        <f t="shared" si="309"/>
        <v>0.27355046715049131</v>
      </c>
      <c r="T898" s="27">
        <f t="shared" si="309"/>
        <v>0.2982999703835697</v>
      </c>
      <c r="U898" s="27">
        <f t="shared" si="309"/>
        <v>0.31020865266324016</v>
      </c>
      <c r="V898" s="27">
        <f t="shared" si="309"/>
        <v>0.31169871113596848</v>
      </c>
      <c r="W898" s="27">
        <f t="shared" si="309"/>
        <v>0.313416443296333</v>
      </c>
      <c r="X898" s="27">
        <f t="shared" si="309"/>
        <v>0.31777262865062833</v>
      </c>
      <c r="Y898" s="27">
        <f t="shared" si="309"/>
        <v>0.32494530500053975</v>
      </c>
      <c r="Z898" s="27">
        <f t="shared" si="309"/>
        <v>0.33352717212448735</v>
      </c>
      <c r="AA898" s="27">
        <f t="shared" si="309"/>
        <v>0.34389700896977449</v>
      </c>
      <c r="AB898" s="27">
        <f t="shared" si="309"/>
        <v>0.35720613223021092</v>
      </c>
      <c r="AC898" s="27">
        <f t="shared" si="309"/>
        <v>0.37330270784262232</v>
      </c>
      <c r="AD898" s="27">
        <f t="shared" si="309"/>
        <v>0.39111878330548938</v>
      </c>
      <c r="AE898" s="27">
        <f t="shared" si="309"/>
        <v>0.41059525274758124</v>
      </c>
      <c r="AF898" s="27">
        <f t="shared" si="309"/>
        <v>0.4311392832902729</v>
      </c>
      <c r="AG898" s="27">
        <f t="shared" si="309"/>
        <v>0.45302578965799745</v>
      </c>
      <c r="AH898" s="27">
        <f t="shared" si="309"/>
        <v>0.47597562229356133</v>
      </c>
      <c r="AI898" s="27">
        <f t="shared" si="309"/>
        <v>0.49895875258724764</v>
      </c>
      <c r="AJ898" s="27">
        <f t="shared" si="309"/>
        <v>0.52346175750841617</v>
      </c>
      <c r="AK898" s="27">
        <f t="shared" si="309"/>
        <v>0.54854282752031391</v>
      </c>
      <c r="AL898" s="27">
        <f t="shared" si="309"/>
        <v>0.57412757690619154</v>
      </c>
      <c r="AM898" s="27">
        <f t="shared" si="309"/>
        <v>0.60066723743034001</v>
      </c>
      <c r="AN898" s="27">
        <f t="shared" si="309"/>
        <v>0.62704755150284652</v>
      </c>
      <c r="AO898" s="27">
        <f t="shared" si="309"/>
        <v>0.65481507956811935</v>
      </c>
      <c r="AP898" s="27">
        <f t="shared" si="309"/>
        <v>0.68454150627200949</v>
      </c>
      <c r="AQ898" s="27">
        <f t="shared" si="309"/>
        <v>0.71529406948310958</v>
      </c>
      <c r="AR898" s="27">
        <f t="shared" si="309"/>
        <v>0.74714458055742761</v>
      </c>
      <c r="AS898" s="27">
        <f t="shared" si="309"/>
        <v>0.78116708322765893</v>
      </c>
      <c r="AT898" s="27">
        <f t="shared" si="309"/>
        <v>0.81704220152579388</v>
      </c>
      <c r="AU898" s="27">
        <f t="shared" si="309"/>
        <v>0.85455779039390145</v>
      </c>
      <c r="AV898" s="27">
        <f t="shared" si="309"/>
        <v>0.8944207901364416</v>
      </c>
      <c r="AW898" s="27">
        <f t="shared" si="309"/>
        <v>0.93268516809491542</v>
      </c>
      <c r="AY898" s="79"/>
      <c r="AZ898" s="79"/>
    </row>
    <row r="899" spans="1:52" x14ac:dyDescent="0.25">
      <c r="A899" s="95" t="str">
        <f t="shared" si="270"/>
        <v>BD MM Leaching</v>
      </c>
      <c r="B899" s="95" t="s">
        <v>1227</v>
      </c>
      <c r="C899" s="95" t="s">
        <v>1332</v>
      </c>
      <c r="D899" t="s">
        <v>369</v>
      </c>
      <c r="E899" t="s">
        <v>64</v>
      </c>
      <c r="F899" t="s">
        <v>63</v>
      </c>
      <c r="G899" t="s">
        <v>1151</v>
      </c>
      <c r="H899" t="s">
        <v>1305</v>
      </c>
      <c r="I899" t="s">
        <v>139</v>
      </c>
      <c r="J899" t="s">
        <v>287</v>
      </c>
      <c r="K899" s="27">
        <f t="shared" ref="K899:AW899" si="310">K1547</f>
        <v>8.9211118607918846E-2</v>
      </c>
      <c r="L899" s="27">
        <f t="shared" si="310"/>
        <v>8.9709854381943815E-2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9.2016609055475665E-2</v>
      </c>
      <c r="S899" s="27">
        <f t="shared" si="310"/>
        <v>8.9358864650084344E-2</v>
      </c>
      <c r="T899" s="27">
        <f t="shared" si="310"/>
        <v>9.1160880262772734E-2</v>
      </c>
      <c r="U899" s="27">
        <f t="shared" si="310"/>
        <v>9.2055417480081031E-2</v>
      </c>
      <c r="V899" s="27">
        <f t="shared" si="310"/>
        <v>9.2289034291272776E-2</v>
      </c>
      <c r="W899" s="27">
        <f t="shared" si="310"/>
        <v>9.2621209958625161E-2</v>
      </c>
      <c r="X899" s="27">
        <f t="shared" si="310"/>
        <v>9.3178603232719648E-2</v>
      </c>
      <c r="Y899" s="27">
        <f t="shared" si="310"/>
        <v>9.3914939363977226E-2</v>
      </c>
      <c r="Z899" s="27">
        <f t="shared" si="310"/>
        <v>9.4739349743762011E-2</v>
      </c>
      <c r="AA899" s="27">
        <f t="shared" si="310"/>
        <v>9.5677798677729631E-2</v>
      </c>
      <c r="AB899" s="27">
        <f t="shared" si="310"/>
        <v>9.6810748950836578E-2</v>
      </c>
      <c r="AC899" s="27">
        <f t="shared" si="310"/>
        <v>9.8131619080537594E-2</v>
      </c>
      <c r="AD899" s="27">
        <f t="shared" si="310"/>
        <v>9.956927276254475E-2</v>
      </c>
      <c r="AE899" s="27">
        <f t="shared" si="310"/>
        <v>0.10112241066666731</v>
      </c>
      <c r="AF899" s="27">
        <f t="shared" si="310"/>
        <v>0.10275162031430257</v>
      </c>
      <c r="AG899" s="27">
        <f t="shared" si="310"/>
        <v>0.10447512410975278</v>
      </c>
      <c r="AH899" s="27">
        <f t="shared" si="310"/>
        <v>0.10627520064757517</v>
      </c>
      <c r="AI899" s="27">
        <f t="shared" si="310"/>
        <v>0.10808248543054177</v>
      </c>
      <c r="AJ899" s="27">
        <f t="shared" si="310"/>
        <v>0.10999863373444546</v>
      </c>
      <c r="AK899" s="27">
        <f t="shared" si="310"/>
        <v>0.11195666285750208</v>
      </c>
      <c r="AL899" s="27">
        <f t="shared" si="310"/>
        <v>0.11395159289972816</v>
      </c>
      <c r="AM899" s="27">
        <f t="shared" si="310"/>
        <v>0.11601556458845022</v>
      </c>
      <c r="AN899" s="27">
        <f t="shared" si="310"/>
        <v>0.1180715269808419</v>
      </c>
      <c r="AO899" s="27">
        <f t="shared" si="310"/>
        <v>0.12022624785087629</v>
      </c>
      <c r="AP899" s="27">
        <f t="shared" si="310"/>
        <v>0.12251950907003291</v>
      </c>
      <c r="AQ899" s="27">
        <f t="shared" si="310"/>
        <v>0.12488629569373427</v>
      </c>
      <c r="AR899" s="27">
        <f t="shared" si="310"/>
        <v>0.12733088961691924</v>
      </c>
      <c r="AS899" s="27">
        <f t="shared" si="310"/>
        <v>0.1299285168324007</v>
      </c>
      <c r="AT899" s="27">
        <f t="shared" si="310"/>
        <v>0.13265733115300649</v>
      </c>
      <c r="AU899" s="27">
        <f t="shared" si="310"/>
        <v>0.1355032537790716</v>
      </c>
      <c r="AV899" s="27">
        <f t="shared" si="310"/>
        <v>0.13851756609044491</v>
      </c>
      <c r="AW899" s="27">
        <f t="shared" si="310"/>
        <v>0.1414178902191697</v>
      </c>
      <c r="AY899" s="79"/>
      <c r="AZ899" s="79"/>
    </row>
    <row r="900" spans="1:52" x14ac:dyDescent="0.25">
      <c r="A900" s="95" t="str">
        <f t="shared" si="270"/>
        <v>BD MM Leaching</v>
      </c>
      <c r="B900" s="95" t="s">
        <v>1227</v>
      </c>
      <c r="C900" s="95" t="s">
        <v>1332</v>
      </c>
      <c r="D900" t="s">
        <v>369</v>
      </c>
      <c r="E900" t="s">
        <v>64</v>
      </c>
      <c r="F900" t="s">
        <v>63</v>
      </c>
      <c r="G900" t="s">
        <v>1153</v>
      </c>
      <c r="H900" t="s">
        <v>1306</v>
      </c>
      <c r="I900" t="s">
        <v>139</v>
      </c>
      <c r="J900" t="s">
        <v>287</v>
      </c>
      <c r="K900" s="27">
        <f t="shared" ref="K900:AW900" si="311">K1548</f>
        <v>2.6939494531157477E-2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2.7786681470952937E-2</v>
      </c>
      <c r="S900" s="27">
        <f t="shared" si="311"/>
        <v>2.6984110087570477E-2</v>
      </c>
      <c r="T900" s="27">
        <f t="shared" si="311"/>
        <v>2.7528273085418706E-2</v>
      </c>
      <c r="U900" s="27">
        <f t="shared" si="311"/>
        <v>2.7798400630612993E-2</v>
      </c>
      <c r="V900" s="27">
        <f t="shared" si="311"/>
        <v>2.786894698072824E-2</v>
      </c>
      <c r="W900" s="27">
        <f t="shared" si="311"/>
        <v>2.7969255604963213E-2</v>
      </c>
      <c r="X900" s="27">
        <f t="shared" si="311"/>
        <v>2.8137574232657669E-2</v>
      </c>
      <c r="Y900" s="27">
        <f t="shared" si="311"/>
        <v>2.8359929063430364E-2</v>
      </c>
      <c r="Z900" s="27">
        <f t="shared" si="311"/>
        <v>2.8608880082812278E-2</v>
      </c>
      <c r="AA900" s="27">
        <f t="shared" si="311"/>
        <v>2.8892267852396274E-2</v>
      </c>
      <c r="AB900" s="27">
        <f t="shared" si="311"/>
        <v>2.9234390091896226E-2</v>
      </c>
      <c r="AC900" s="27">
        <f t="shared" si="311"/>
        <v>2.9633259360555886E-2</v>
      </c>
      <c r="AD900" s="27">
        <f t="shared" si="311"/>
        <v>3.0067394299210185E-2</v>
      </c>
      <c r="AE900" s="27">
        <f t="shared" si="311"/>
        <v>3.0536402543105565E-2</v>
      </c>
      <c r="AF900" s="27">
        <f t="shared" si="311"/>
        <v>3.102838252359965E-2</v>
      </c>
      <c r="AG900" s="27">
        <f t="shared" si="311"/>
        <v>3.1548836944488824E-2</v>
      </c>
      <c r="AH900" s="27">
        <f t="shared" si="311"/>
        <v>3.2092414390921906E-2</v>
      </c>
      <c r="AI900" s="27">
        <f t="shared" si="311"/>
        <v>3.2638168544515178E-2</v>
      </c>
      <c r="AJ900" s="27">
        <f t="shared" si="311"/>
        <v>3.3216796719561036E-2</v>
      </c>
      <c r="AK900" s="27">
        <f t="shared" si="311"/>
        <v>3.3808071839473604E-2</v>
      </c>
      <c r="AL900" s="27">
        <f t="shared" si="311"/>
        <v>3.4410490100798045E-2</v>
      </c>
      <c r="AM900" s="27">
        <f t="shared" si="311"/>
        <v>3.5033757187775863E-2</v>
      </c>
      <c r="AN900" s="27">
        <f t="shared" si="311"/>
        <v>3.5654605670458001E-2</v>
      </c>
      <c r="AO900" s="27">
        <f t="shared" si="311"/>
        <v>3.6305276707883034E-2</v>
      </c>
      <c r="AP900" s="27">
        <f t="shared" si="311"/>
        <v>3.699778341597066E-2</v>
      </c>
      <c r="AQ900" s="27">
        <f t="shared" si="311"/>
        <v>3.7712492930889352E-2</v>
      </c>
      <c r="AR900" s="27">
        <f t="shared" si="311"/>
        <v>3.8450698276278859E-2</v>
      </c>
      <c r="AS900" s="27">
        <f t="shared" si="311"/>
        <v>3.9235115793483218E-2</v>
      </c>
      <c r="AT900" s="27">
        <f t="shared" si="311"/>
        <v>4.0059148488214832E-2</v>
      </c>
      <c r="AU900" s="27">
        <f t="shared" si="311"/>
        <v>4.0918544920154343E-2</v>
      </c>
      <c r="AV900" s="27">
        <f t="shared" si="311"/>
        <v>4.1828790765006174E-2</v>
      </c>
      <c r="AW900" s="27">
        <f t="shared" si="311"/>
        <v>4.2704615070581362E-2</v>
      </c>
      <c r="AY900" s="79"/>
      <c r="AZ900" s="79"/>
    </row>
    <row r="901" spans="1:52" x14ac:dyDescent="0.25">
      <c r="A901" s="95" t="str">
        <f t="shared" si="270"/>
        <v>BD MM Leaching</v>
      </c>
      <c r="B901" s="95" t="s">
        <v>1227</v>
      </c>
      <c r="C901" s="95" t="s">
        <v>1332</v>
      </c>
      <c r="D901" t="s">
        <v>369</v>
      </c>
      <c r="E901" t="s">
        <v>64</v>
      </c>
      <c r="F901" t="s">
        <v>63</v>
      </c>
      <c r="G901" t="s">
        <v>1155</v>
      </c>
      <c r="H901" t="s">
        <v>1307</v>
      </c>
      <c r="I901" t="s">
        <v>139</v>
      </c>
      <c r="J901" t="s">
        <v>287</v>
      </c>
      <c r="K901" s="27">
        <f t="shared" ref="K901:AW901" si="312">K1549</f>
        <v>1.4483668498503175E-3</v>
      </c>
      <c r="L901" s="27">
        <f t="shared" si="312"/>
        <v>1.4564639612104711E-3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1.4939147526814829E-3</v>
      </c>
      <c r="S901" s="27">
        <f t="shared" si="312"/>
        <v>1.4507655471540646E-3</v>
      </c>
      <c r="T901" s="27">
        <f t="shared" si="312"/>
        <v>1.4800217622655623E-3</v>
      </c>
      <c r="U901" s="27">
        <f t="shared" si="312"/>
        <v>1.4945448180429578E-3</v>
      </c>
      <c r="V901" s="27">
        <f t="shared" si="312"/>
        <v>1.4983376507097578E-3</v>
      </c>
      <c r="W901" s="27">
        <f t="shared" si="312"/>
        <v>1.5037306132958967E-3</v>
      </c>
      <c r="X901" s="27">
        <f t="shared" si="312"/>
        <v>1.5127800451730611E-3</v>
      </c>
      <c r="Y901" s="27">
        <f t="shared" si="312"/>
        <v>1.5247346631568088E-3</v>
      </c>
      <c r="Z901" s="27">
        <f t="shared" si="312"/>
        <v>1.5381191905944778E-3</v>
      </c>
      <c r="AA901" s="27">
        <f t="shared" si="312"/>
        <v>1.5533551650721636E-3</v>
      </c>
      <c r="AB901" s="27">
        <f t="shared" si="312"/>
        <v>1.5717489218560997E-3</v>
      </c>
      <c r="AC901" s="27">
        <f t="shared" si="312"/>
        <v>1.5931936087815548E-3</v>
      </c>
      <c r="AD901" s="27">
        <f t="shared" si="312"/>
        <v>1.6165343085404703E-3</v>
      </c>
      <c r="AE901" s="27">
        <f t="shared" si="312"/>
        <v>1.641749926152706E-3</v>
      </c>
      <c r="AF901" s="27">
        <f t="shared" si="312"/>
        <v>1.6682005892753381E-3</v>
      </c>
      <c r="AG901" s="27">
        <f t="shared" si="312"/>
        <v>1.6961821436137869E-3</v>
      </c>
      <c r="AH901" s="27">
        <f t="shared" si="312"/>
        <v>1.7254068773158021E-3</v>
      </c>
      <c r="AI901" s="27">
        <f t="shared" si="312"/>
        <v>1.7547486388443409E-3</v>
      </c>
      <c r="AJ901" s="27">
        <f t="shared" si="312"/>
        <v>1.785857829336261E-3</v>
      </c>
      <c r="AK901" s="27">
        <f t="shared" si="312"/>
        <v>1.81764696635337E-3</v>
      </c>
      <c r="AL901" s="27">
        <f t="shared" si="312"/>
        <v>1.8500351998607825E-3</v>
      </c>
      <c r="AM901" s="27">
        <f t="shared" si="312"/>
        <v>1.88354434333552E-3</v>
      </c>
      <c r="AN901" s="27">
        <f t="shared" si="312"/>
        <v>1.9169234536991781E-3</v>
      </c>
      <c r="AO901" s="27">
        <f t="shared" si="312"/>
        <v>1.9519059348913977E-3</v>
      </c>
      <c r="AP901" s="27">
        <f t="shared" si="312"/>
        <v>1.9891376564492419E-3</v>
      </c>
      <c r="AQ901" s="27">
        <f t="shared" si="312"/>
        <v>2.0275630830096244E-3</v>
      </c>
      <c r="AR901" s="27">
        <f t="shared" si="312"/>
        <v>2.0672517323050989E-3</v>
      </c>
      <c r="AS901" s="27">
        <f t="shared" si="312"/>
        <v>2.1094249188527039E-3</v>
      </c>
      <c r="AT901" s="27">
        <f t="shared" si="312"/>
        <v>2.1537279638434597E-3</v>
      </c>
      <c r="AU901" s="27">
        <f t="shared" si="312"/>
        <v>2.1999322941237188E-3</v>
      </c>
      <c r="AV901" s="27">
        <f t="shared" si="312"/>
        <v>2.2488704768863013E-3</v>
      </c>
      <c r="AW901" s="27">
        <f t="shared" si="312"/>
        <v>2.2959580304044692E-3</v>
      </c>
      <c r="AY901" s="79"/>
      <c r="AZ901" s="79"/>
    </row>
    <row r="902" spans="1:52" x14ac:dyDescent="0.25">
      <c r="A902" s="95" t="str">
        <f t="shared" si="270"/>
        <v>BD MM Leaching</v>
      </c>
      <c r="B902" s="95" t="s">
        <v>1227</v>
      </c>
      <c r="C902" s="95" t="s">
        <v>1332</v>
      </c>
      <c r="D902" t="s">
        <v>369</v>
      </c>
      <c r="E902" t="s">
        <v>64</v>
      </c>
      <c r="F902" t="s">
        <v>63</v>
      </c>
      <c r="G902" t="s">
        <v>1157</v>
      </c>
      <c r="H902" t="s">
        <v>1308</v>
      </c>
      <c r="I902" t="s">
        <v>139</v>
      </c>
      <c r="J902" t="s">
        <v>287</v>
      </c>
      <c r="K902" s="27">
        <f t="shared" ref="K902:AW902" si="313">K1550</f>
        <v>3.0303014392691133E-2</v>
      </c>
      <c r="L902" s="27">
        <f t="shared" si="313"/>
        <v>3.0040206026371356E-2</v>
      </c>
      <c r="M902" s="27">
        <f t="shared" si="313"/>
        <v>2.9940162837193186E-2</v>
      </c>
      <c r="N902" s="27">
        <f t="shared" si="313"/>
        <v>2.9540351153331298E-2</v>
      </c>
      <c r="O902" s="27">
        <f t="shared" si="313"/>
        <v>2.8960014730128842E-2</v>
      </c>
      <c r="P902" s="27">
        <f t="shared" si="313"/>
        <v>2.8211154016296501E-2</v>
      </c>
      <c r="Q902" s="27">
        <f t="shared" si="313"/>
        <v>2.7620505669412022E-2</v>
      </c>
      <c r="R902" s="27">
        <f t="shared" si="313"/>
        <v>2.7061685185942385E-2</v>
      </c>
      <c r="S902" s="27">
        <f t="shared" si="313"/>
        <v>2.416485344196681E-2</v>
      </c>
      <c r="T902" s="27">
        <f t="shared" si="313"/>
        <v>2.5320182377840249E-2</v>
      </c>
      <c r="U902" s="27">
        <f t="shared" si="313"/>
        <v>2.5720157477778727E-2</v>
      </c>
      <c r="V902" s="27">
        <f t="shared" si="313"/>
        <v>2.5546462223035794E-2</v>
      </c>
      <c r="W902" s="27">
        <f t="shared" si="313"/>
        <v>2.5405173363708521E-2</v>
      </c>
      <c r="X902" s="27">
        <f t="shared" si="313"/>
        <v>2.5414454482957191E-2</v>
      </c>
      <c r="Y902" s="27">
        <f t="shared" si="313"/>
        <v>2.5563690103476349E-2</v>
      </c>
      <c r="Z902" s="27">
        <f t="shared" si="313"/>
        <v>2.5775445206678543E-2</v>
      </c>
      <c r="AA902" s="27">
        <f t="shared" si="313"/>
        <v>2.6066776415666827E-2</v>
      </c>
      <c r="AB902" s="27">
        <f t="shared" si="313"/>
        <v>2.6493519467488225E-2</v>
      </c>
      <c r="AC902" s="27">
        <f t="shared" si="313"/>
        <v>2.7043622150726768E-2</v>
      </c>
      <c r="AD902" s="27">
        <f t="shared" si="313"/>
        <v>2.7427151031194422E-2</v>
      </c>
      <c r="AE902" s="27">
        <f t="shared" si="313"/>
        <v>2.7855985588875625E-2</v>
      </c>
      <c r="AF902" s="27">
        <f t="shared" si="313"/>
        <v>2.8297808294208047E-2</v>
      </c>
      <c r="AG902" s="27">
        <f t="shared" si="313"/>
        <v>2.8762433728203925E-2</v>
      </c>
      <c r="AH902" s="27">
        <f t="shared" si="313"/>
        <v>2.9234018291177721E-2</v>
      </c>
      <c r="AI902" s="27">
        <f t="shared" si="313"/>
        <v>2.9664658796070921E-2</v>
      </c>
      <c r="AJ902" s="27">
        <f t="shared" si="313"/>
        <v>3.0118905492871519E-2</v>
      </c>
      <c r="AK902" s="27">
        <f t="shared" si="313"/>
        <v>3.0552583954684191E-2</v>
      </c>
      <c r="AL902" s="27">
        <f t="shared" si="313"/>
        <v>3.0961516168479985E-2</v>
      </c>
      <c r="AM902" s="27">
        <f t="shared" si="313"/>
        <v>3.1363182487267389E-2</v>
      </c>
      <c r="AN902" s="27">
        <f t="shared" si="313"/>
        <v>3.1873237924965422E-2</v>
      </c>
      <c r="AO902" s="27">
        <f t="shared" si="313"/>
        <v>3.2400793328725176E-2</v>
      </c>
      <c r="AP902" s="27">
        <f t="shared" si="313"/>
        <v>3.2965020652190688E-2</v>
      </c>
      <c r="AQ902" s="27">
        <f t="shared" si="313"/>
        <v>3.3527052752866549E-2</v>
      </c>
      <c r="AR902" s="27">
        <f t="shared" si="313"/>
        <v>3.4087619114860586E-2</v>
      </c>
      <c r="AS902" s="27">
        <f t="shared" si="313"/>
        <v>3.4683560205557983E-2</v>
      </c>
      <c r="AT902" s="27">
        <f t="shared" si="313"/>
        <v>3.5299445606795467E-2</v>
      </c>
      <c r="AU902" s="27">
        <f t="shared" si="313"/>
        <v>3.5924567561005115E-2</v>
      </c>
      <c r="AV902" s="27">
        <f t="shared" si="313"/>
        <v>3.6580199359184239E-2</v>
      </c>
      <c r="AW902" s="27">
        <f t="shared" si="313"/>
        <v>3.712986506477154E-2</v>
      </c>
      <c r="AY902" s="79"/>
      <c r="AZ902" s="79"/>
    </row>
    <row r="903" spans="1:52" x14ac:dyDescent="0.25">
      <c r="A903" s="95" t="str">
        <f t="shared" si="270"/>
        <v>BD MM Leaching</v>
      </c>
      <c r="B903" s="95" t="s">
        <v>1227</v>
      </c>
      <c r="C903" s="95" t="s">
        <v>1332</v>
      </c>
      <c r="D903" t="s">
        <v>369</v>
      </c>
      <c r="E903" t="s">
        <v>64</v>
      </c>
      <c r="F903" t="s">
        <v>63</v>
      </c>
      <c r="G903" t="s">
        <v>1159</v>
      </c>
      <c r="H903" t="s">
        <v>1309</v>
      </c>
      <c r="I903" t="s">
        <v>139</v>
      </c>
      <c r="J903" t="s">
        <v>287</v>
      </c>
      <c r="K903" s="27">
        <f t="shared" ref="K903:AW903" si="314">K1551</f>
        <v>4.0226293185258916E-2</v>
      </c>
      <c r="L903" s="27">
        <f t="shared" si="314"/>
        <v>3.9877423391049015E-2</v>
      </c>
      <c r="M903" s="27">
        <f t="shared" si="314"/>
        <v>3.9744619221572089E-2</v>
      </c>
      <c r="N903" s="27">
        <f t="shared" si="314"/>
        <v>3.9213881856453713E-2</v>
      </c>
      <c r="O903" s="27">
        <f t="shared" si="314"/>
        <v>3.8443503609481136E-2</v>
      </c>
      <c r="P903" s="27">
        <f t="shared" si="314"/>
        <v>3.7449414696768608E-2</v>
      </c>
      <c r="Q903" s="27">
        <f t="shared" si="314"/>
        <v>3.666534769725275E-2</v>
      </c>
      <c r="R903" s="27">
        <f t="shared" si="314"/>
        <v>3.5923531179771241E-2</v>
      </c>
      <c r="S903" s="27">
        <f t="shared" si="314"/>
        <v>3.20780786603799E-2</v>
      </c>
      <c r="T903" s="27">
        <f t="shared" si="314"/>
        <v>3.3611741282111272E-2</v>
      </c>
      <c r="U903" s="27">
        <f t="shared" si="314"/>
        <v>3.414269557690279E-2</v>
      </c>
      <c r="V903" s="27">
        <f t="shared" si="314"/>
        <v>3.3912120619849585E-2</v>
      </c>
      <c r="W903" s="27">
        <f t="shared" si="314"/>
        <v>3.372456412776409E-2</v>
      </c>
      <c r="X903" s="27">
        <f t="shared" si="314"/>
        <v>3.3736884520024282E-2</v>
      </c>
      <c r="Y903" s="27">
        <f t="shared" si="314"/>
        <v>3.3934990086252545E-2</v>
      </c>
      <c r="Z903" s="27">
        <f t="shared" si="314"/>
        <v>3.4216088288381921E-2</v>
      </c>
      <c r="AA903" s="27">
        <f t="shared" si="314"/>
        <v>3.4602821254116366E-2</v>
      </c>
      <c r="AB903" s="27">
        <f t="shared" si="314"/>
        <v>3.5169309158418066E-2</v>
      </c>
      <c r="AC903" s="27">
        <f t="shared" si="314"/>
        <v>3.589955307181858E-2</v>
      </c>
      <c r="AD903" s="27">
        <f t="shared" si="314"/>
        <v>3.6408675530422145E-2</v>
      </c>
      <c r="AE903" s="27">
        <f t="shared" si="314"/>
        <v>3.6977939842602774E-2</v>
      </c>
      <c r="AF903" s="27">
        <f t="shared" si="314"/>
        <v>3.7564445510002403E-2</v>
      </c>
      <c r="AG903" s="27">
        <f t="shared" si="314"/>
        <v>3.8181221078500117E-2</v>
      </c>
      <c r="AH903" s="27">
        <f t="shared" si="314"/>
        <v>3.8807234670613311E-2</v>
      </c>
      <c r="AI903" s="27">
        <f t="shared" si="314"/>
        <v>3.9378896320599516E-2</v>
      </c>
      <c r="AJ903" s="27">
        <f t="shared" si="314"/>
        <v>3.9981894443728266E-2</v>
      </c>
      <c r="AK903" s="27">
        <f t="shared" si="314"/>
        <v>4.0557588885440844E-2</v>
      </c>
      <c r="AL903" s="27">
        <f t="shared" si="314"/>
        <v>4.1100433465583154E-2</v>
      </c>
      <c r="AM903" s="27">
        <f t="shared" si="314"/>
        <v>4.1633632799906894E-2</v>
      </c>
      <c r="AN903" s="27">
        <f t="shared" si="314"/>
        <v>4.23107152614631E-2</v>
      </c>
      <c r="AO903" s="27">
        <f t="shared" si="314"/>
        <v>4.3011028374478885E-2</v>
      </c>
      <c r="AP903" s="27">
        <f t="shared" si="314"/>
        <v>4.3760022301047856E-2</v>
      </c>
      <c r="AQ903" s="27">
        <f t="shared" si="314"/>
        <v>4.4506102138793871E-2</v>
      </c>
      <c r="AR903" s="27">
        <f t="shared" si="314"/>
        <v>4.5250236254798015E-2</v>
      </c>
      <c r="AS903" s="27">
        <f t="shared" si="314"/>
        <v>4.6041329204327096E-2</v>
      </c>
      <c r="AT903" s="27">
        <f t="shared" si="314"/>
        <v>4.6858897595301277E-2</v>
      </c>
      <c r="AU903" s="27">
        <f t="shared" si="314"/>
        <v>4.7688727218213149E-2</v>
      </c>
      <c r="AV903" s="27">
        <f t="shared" si="314"/>
        <v>4.8559057694031842E-2</v>
      </c>
      <c r="AW903" s="27">
        <f t="shared" si="314"/>
        <v>4.928872153342103E-2</v>
      </c>
      <c r="AY903" s="79"/>
      <c r="AZ903" s="79"/>
    </row>
    <row r="904" spans="1:52" x14ac:dyDescent="0.25">
      <c r="A904" s="95" t="str">
        <f t="shared" si="270"/>
        <v>BD MM Leaching</v>
      </c>
      <c r="B904" s="95" t="s">
        <v>1227</v>
      </c>
      <c r="C904" s="95" t="s">
        <v>1332</v>
      </c>
      <c r="D904" t="s">
        <v>369</v>
      </c>
      <c r="E904" t="s">
        <v>64</v>
      </c>
      <c r="F904" t="s">
        <v>63</v>
      </c>
      <c r="G904" t="s">
        <v>1161</v>
      </c>
      <c r="H904" t="s">
        <v>1310</v>
      </c>
      <c r="I904" t="s">
        <v>139</v>
      </c>
      <c r="J904" t="s">
        <v>287</v>
      </c>
      <c r="K904" s="27">
        <f t="shared" ref="K904:AW904" si="315">K1552</f>
        <v>4.1968337096859189E-2</v>
      </c>
      <c r="L904" s="27">
        <f t="shared" si="315"/>
        <v>4.3383434779753448E-2</v>
      </c>
      <c r="M904" s="27">
        <f t="shared" si="315"/>
        <v>4.5063007666824861E-2</v>
      </c>
      <c r="N904" s="27">
        <f t="shared" si="315"/>
        <v>4.6315596244033488E-2</v>
      </c>
      <c r="O904" s="27">
        <f t="shared" si="315"/>
        <v>4.7281576900430174E-2</v>
      </c>
      <c r="P904" s="27">
        <f t="shared" si="315"/>
        <v>4.7947144057730852E-2</v>
      </c>
      <c r="Q904" s="27">
        <f t="shared" si="315"/>
        <v>4.8855920576585825E-2</v>
      </c>
      <c r="R904" s="27">
        <f t="shared" si="315"/>
        <v>4.9808583705724517E-2</v>
      </c>
      <c r="S904" s="27">
        <f t="shared" si="315"/>
        <v>4.6274354518489276E-2</v>
      </c>
      <c r="T904" s="27">
        <f t="shared" si="315"/>
        <v>4.9654921678945953E-2</v>
      </c>
      <c r="U904" s="27">
        <f t="shared" si="315"/>
        <v>5.1637836574471289E-2</v>
      </c>
      <c r="V904" s="27">
        <f t="shared" si="315"/>
        <v>5.2492346966759522E-2</v>
      </c>
      <c r="W904" s="27">
        <f t="shared" si="315"/>
        <v>5.3412266292045346E-2</v>
      </c>
      <c r="X904" s="27">
        <f t="shared" si="315"/>
        <v>5.4657017670669474E-2</v>
      </c>
      <c r="Y904" s="27">
        <f t="shared" si="315"/>
        <v>5.6225924185537776E-2</v>
      </c>
      <c r="Z904" s="27">
        <f t="shared" si="315"/>
        <v>5.7966478629194101E-2</v>
      </c>
      <c r="AA904" s="27">
        <f t="shared" si="315"/>
        <v>5.9928438330955298E-2</v>
      </c>
      <c r="AB904" s="27">
        <f t="shared" si="315"/>
        <v>6.2256429990458134E-2</v>
      </c>
      <c r="AC904" s="27">
        <f t="shared" si="315"/>
        <v>6.4943944669320713E-2</v>
      </c>
      <c r="AD904" s="27">
        <f t="shared" si="315"/>
        <v>6.8049231515403694E-2</v>
      </c>
      <c r="AE904" s="27">
        <f t="shared" si="315"/>
        <v>7.140958377080403E-2</v>
      </c>
      <c r="AF904" s="27">
        <f t="shared" si="315"/>
        <v>7.4958672292987819E-2</v>
      </c>
      <c r="AG904" s="27">
        <f t="shared" si="315"/>
        <v>7.8735451654029412E-2</v>
      </c>
      <c r="AH904" s="27">
        <f t="shared" si="315"/>
        <v>8.2710770800306643E-2</v>
      </c>
      <c r="AI904" s="27">
        <f t="shared" si="315"/>
        <v>8.6756849519810442E-2</v>
      </c>
      <c r="AJ904" s="27">
        <f t="shared" si="315"/>
        <v>9.1067882332403163E-2</v>
      </c>
      <c r="AK904" s="27">
        <f t="shared" si="315"/>
        <v>9.5524607474435114E-2</v>
      </c>
      <c r="AL904" s="27">
        <f t="shared" si="315"/>
        <v>0.10011966756252628</v>
      </c>
      <c r="AM904" s="27">
        <f t="shared" si="315"/>
        <v>0.10491676883738305</v>
      </c>
      <c r="AN904" s="27">
        <f t="shared" si="315"/>
        <v>0.10963141037847199</v>
      </c>
      <c r="AO904" s="27">
        <f t="shared" si="315"/>
        <v>0.11460133874628856</v>
      </c>
      <c r="AP904" s="27">
        <f t="shared" si="315"/>
        <v>0.11991104885412743</v>
      </c>
      <c r="AQ904" s="27">
        <f t="shared" si="315"/>
        <v>0.12543680820975456</v>
      </c>
      <c r="AR904" s="27">
        <f t="shared" si="315"/>
        <v>0.13119202833792193</v>
      </c>
      <c r="AS904" s="27">
        <f t="shared" si="315"/>
        <v>0.13733413284188337</v>
      </c>
      <c r="AT904" s="27">
        <f t="shared" si="315"/>
        <v>0.14382526611180527</v>
      </c>
      <c r="AU904" s="27">
        <f t="shared" si="315"/>
        <v>0.15064177825264938</v>
      </c>
      <c r="AV904" s="27">
        <f t="shared" si="315"/>
        <v>0.15789428521651691</v>
      </c>
      <c r="AW904" s="27">
        <f t="shared" si="315"/>
        <v>0.16500456611205044</v>
      </c>
      <c r="AY904" s="79"/>
      <c r="AZ904" s="79"/>
    </row>
    <row r="905" spans="1:52" x14ac:dyDescent="0.25">
      <c r="A905" s="95" t="str">
        <f t="shared" si="270"/>
        <v>BD MM Leaching</v>
      </c>
      <c r="B905" s="95" t="s">
        <v>1227</v>
      </c>
      <c r="C905" s="95" t="s">
        <v>1332</v>
      </c>
      <c r="D905" t="s">
        <v>369</v>
      </c>
      <c r="E905" t="s">
        <v>64</v>
      </c>
      <c r="F905" t="s">
        <v>63</v>
      </c>
      <c r="G905" t="s">
        <v>1163</v>
      </c>
      <c r="H905" t="s">
        <v>1311</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4.4583317952924901E-3</v>
      </c>
      <c r="T905" s="27">
        <f t="shared" si="316"/>
        <v>4.461540810317099E-3</v>
      </c>
      <c r="U905" s="27">
        <f t="shared" si="316"/>
        <v>4.460412588981404E-3</v>
      </c>
      <c r="V905" s="27">
        <f t="shared" si="316"/>
        <v>4.4603313660439596E-3</v>
      </c>
      <c r="W905" s="27">
        <f t="shared" si="316"/>
        <v>4.4650624817454574E-3</v>
      </c>
      <c r="X905" s="27">
        <f t="shared" si="316"/>
        <v>4.472805388518619E-3</v>
      </c>
      <c r="Y905" s="27">
        <f t="shared" si="316"/>
        <v>4.480234793471081E-3</v>
      </c>
      <c r="Z905" s="27">
        <f t="shared" si="316"/>
        <v>4.4873746654050216E-3</v>
      </c>
      <c r="AA905" s="27">
        <f t="shared" si="316"/>
        <v>4.494215260234709E-3</v>
      </c>
      <c r="AB905" s="27">
        <f t="shared" si="316"/>
        <v>4.5008991343885481E-3</v>
      </c>
      <c r="AC905" s="27">
        <f t="shared" si="316"/>
        <v>4.5075239217344356E-3</v>
      </c>
      <c r="AD905" s="27">
        <f t="shared" si="316"/>
        <v>4.5140231510574953E-3</v>
      </c>
      <c r="AE905" s="27">
        <f t="shared" si="316"/>
        <v>4.5204902706730936E-3</v>
      </c>
      <c r="AF905" s="27">
        <f t="shared" si="316"/>
        <v>4.5269049079044851E-3</v>
      </c>
      <c r="AG905" s="27">
        <f t="shared" si="316"/>
        <v>4.5332156646464309E-3</v>
      </c>
      <c r="AH905" s="27">
        <f t="shared" si="316"/>
        <v>4.5394503254180246E-3</v>
      </c>
      <c r="AI905" s="27">
        <f t="shared" si="316"/>
        <v>4.5456155434925177E-3</v>
      </c>
      <c r="AJ905" s="27">
        <f t="shared" si="316"/>
        <v>4.5517322494299031E-3</v>
      </c>
      <c r="AK905" s="27">
        <f t="shared" si="316"/>
        <v>4.5576132842011325E-3</v>
      </c>
      <c r="AL905" s="27">
        <f t="shared" si="316"/>
        <v>4.5632517671133398E-3</v>
      </c>
      <c r="AM905" s="27">
        <f t="shared" si="316"/>
        <v>4.5687003958982874E-3</v>
      </c>
      <c r="AN905" s="27">
        <f t="shared" si="316"/>
        <v>4.5739172155363928E-3</v>
      </c>
      <c r="AO905" s="27">
        <f t="shared" si="316"/>
        <v>4.5789116897468072E-3</v>
      </c>
      <c r="AP905" s="27">
        <f t="shared" si="316"/>
        <v>4.5836613233262938E-3</v>
      </c>
      <c r="AQ905" s="27">
        <f t="shared" si="316"/>
        <v>4.5880981486463275E-3</v>
      </c>
      <c r="AR905" s="27">
        <f t="shared" si="316"/>
        <v>4.592159181597999E-3</v>
      </c>
      <c r="AS905" s="27">
        <f t="shared" si="316"/>
        <v>4.5958403193991975E-3</v>
      </c>
      <c r="AT905" s="27">
        <f t="shared" si="316"/>
        <v>4.5991133923720465E-3</v>
      </c>
      <c r="AU905" s="27">
        <f t="shared" si="316"/>
        <v>4.6019768219588081E-3</v>
      </c>
      <c r="AV905" s="27">
        <f t="shared" si="316"/>
        <v>4.6044854054681089E-3</v>
      </c>
      <c r="AW905" s="27">
        <f t="shared" si="316"/>
        <v>4.6063133110806655E-3</v>
      </c>
      <c r="AY905" s="79"/>
      <c r="AZ905" s="79"/>
    </row>
    <row r="906" spans="1:52" x14ac:dyDescent="0.25">
      <c r="A906" s="95" t="str">
        <f t="shared" si="270"/>
        <v>BD MM Leaching</v>
      </c>
      <c r="B906" s="95" t="s">
        <v>1227</v>
      </c>
      <c r="C906" s="95" t="s">
        <v>1332</v>
      </c>
      <c r="D906" t="s">
        <v>369</v>
      </c>
      <c r="E906" t="s">
        <v>64</v>
      </c>
      <c r="F906" t="s">
        <v>63</v>
      </c>
      <c r="G906" t="s">
        <v>1165</v>
      </c>
      <c r="H906" t="s">
        <v>1312</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3.7085296571107255E-3</v>
      </c>
      <c r="T906" s="27">
        <f t="shared" si="317"/>
        <v>3.7111989800627421E-3</v>
      </c>
      <c r="U906" s="27">
        <f t="shared" si="317"/>
        <v>3.7102605029651799E-3</v>
      </c>
      <c r="V906" s="27">
        <f t="shared" si="317"/>
        <v>3.7101929400994759E-3</v>
      </c>
      <c r="W906" s="27">
        <f t="shared" si="317"/>
        <v>3.7141283768717579E-3</v>
      </c>
      <c r="X906" s="27">
        <f t="shared" si="317"/>
        <v>3.7205690817629544E-3</v>
      </c>
      <c r="Y906" s="27">
        <f t="shared" si="317"/>
        <v>3.7267490095624013E-3</v>
      </c>
      <c r="Z906" s="27">
        <f t="shared" si="317"/>
        <v>3.732688097999684E-3</v>
      </c>
      <c r="AA906" s="27">
        <f t="shared" si="317"/>
        <v>3.7383782417491837E-3</v>
      </c>
      <c r="AB906" s="27">
        <f t="shared" si="317"/>
        <v>3.7439380221024701E-3</v>
      </c>
      <c r="AC906" s="27">
        <f t="shared" si="317"/>
        <v>3.7494486528658025E-3</v>
      </c>
      <c r="AD906" s="27">
        <f t="shared" si="317"/>
        <v>3.7548548419516796E-3</v>
      </c>
      <c r="AE906" s="27">
        <f t="shared" si="317"/>
        <v>3.7602343215399525E-3</v>
      </c>
      <c r="AF906" s="27">
        <f t="shared" si="317"/>
        <v>3.7655701452301818E-3</v>
      </c>
      <c r="AG906" s="27">
        <f t="shared" si="317"/>
        <v>3.7708195590492773E-3</v>
      </c>
      <c r="AH906" s="27">
        <f t="shared" si="317"/>
        <v>3.7760056747165515E-3</v>
      </c>
      <c r="AI906" s="27">
        <f t="shared" si="317"/>
        <v>3.7811340265579189E-3</v>
      </c>
      <c r="AJ906" s="27">
        <f t="shared" si="317"/>
        <v>3.7862220250322745E-3</v>
      </c>
      <c r="AK906" s="27">
        <f t="shared" si="317"/>
        <v>3.791113987511746E-3</v>
      </c>
      <c r="AL906" s="27">
        <f t="shared" si="317"/>
        <v>3.7958041904982334E-3</v>
      </c>
      <c r="AM906" s="27">
        <f t="shared" si="317"/>
        <v>3.8003364690201913E-3</v>
      </c>
      <c r="AN906" s="27">
        <f t="shared" si="317"/>
        <v>3.8046759240522587E-3</v>
      </c>
      <c r="AO906" s="27">
        <f t="shared" si="317"/>
        <v>3.8088304277055216E-3</v>
      </c>
      <c r="AP906" s="27">
        <f t="shared" si="317"/>
        <v>3.8127812680195002E-3</v>
      </c>
      <c r="AQ906" s="27">
        <f t="shared" si="317"/>
        <v>3.8164719081598638E-3</v>
      </c>
      <c r="AR906" s="27">
        <f t="shared" si="317"/>
        <v>3.8198499566836808E-3</v>
      </c>
      <c r="AS906" s="27">
        <f t="shared" si="317"/>
        <v>3.822912000814643E-3</v>
      </c>
      <c r="AT906" s="27">
        <f t="shared" si="317"/>
        <v>3.8256346084506454E-3</v>
      </c>
      <c r="AU906" s="27">
        <f t="shared" si="317"/>
        <v>3.8280164665157558E-3</v>
      </c>
      <c r="AV906" s="27">
        <f t="shared" si="317"/>
        <v>3.830103156508502E-3</v>
      </c>
      <c r="AW906" s="27">
        <f t="shared" si="317"/>
        <v>3.831623644997431E-3</v>
      </c>
      <c r="AY906" s="79"/>
      <c r="AZ906" s="79"/>
    </row>
    <row r="907" spans="1:52" x14ac:dyDescent="0.25">
      <c r="A907" s="95" t="str">
        <f t="shared" si="270"/>
        <v>BD MM Leaching</v>
      </c>
      <c r="B907" s="95" t="s">
        <v>1227</v>
      </c>
      <c r="C907" s="95" t="s">
        <v>1332</v>
      </c>
      <c r="D907" t="s">
        <v>369</v>
      </c>
      <c r="E907" t="s">
        <v>64</v>
      </c>
      <c r="F907" t="s">
        <v>63</v>
      </c>
      <c r="G907" t="s">
        <v>1167</v>
      </c>
      <c r="H907" t="s">
        <v>1313</v>
      </c>
      <c r="I907" t="s">
        <v>139</v>
      </c>
      <c r="J907" t="s">
        <v>287</v>
      </c>
      <c r="K907" s="27">
        <f t="shared" ref="K907:AW907" si="318">K1555</f>
        <v>5.4322987485311551E-4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5.5840147541839707E-4</v>
      </c>
      <c r="R907" s="27">
        <f t="shared" si="318"/>
        <v>5.620753208024884E-4</v>
      </c>
      <c r="S907" s="27">
        <f t="shared" si="318"/>
        <v>5.6069712046990367E-4</v>
      </c>
      <c r="T907" s="27">
        <f t="shared" si="318"/>
        <v>5.6166095935732032E-4</v>
      </c>
      <c r="U907" s="27">
        <f t="shared" si="318"/>
        <v>5.6175448886496286E-4</v>
      </c>
      <c r="V907" s="27">
        <f t="shared" si="318"/>
        <v>5.6201163535097535E-4</v>
      </c>
      <c r="W907" s="27">
        <f t="shared" si="318"/>
        <v>5.6314854989012028E-4</v>
      </c>
      <c r="X907" s="27">
        <f t="shared" si="318"/>
        <v>5.6482088760724937E-4</v>
      </c>
      <c r="Y907" s="27">
        <f t="shared" si="318"/>
        <v>5.6639948615984891E-4</v>
      </c>
      <c r="Z907" s="27">
        <f t="shared" si="318"/>
        <v>5.6789176789216864E-4</v>
      </c>
      <c r="AA907" s="27">
        <f t="shared" si="318"/>
        <v>5.692984966381053E-4</v>
      </c>
      <c r="AB907" s="27">
        <f t="shared" si="318"/>
        <v>5.7064878025290242E-4</v>
      </c>
      <c r="AC907" s="27">
        <f t="shared" si="318"/>
        <v>5.7196287833233815E-4</v>
      </c>
      <c r="AD907" s="27">
        <f t="shared" si="318"/>
        <v>5.7323006225721597E-4</v>
      </c>
      <c r="AE907" s="27">
        <f t="shared" si="318"/>
        <v>5.7446936511734096E-4</v>
      </c>
      <c r="AF907" s="27">
        <f t="shared" si="318"/>
        <v>5.7567836458981281E-4</v>
      </c>
      <c r="AG907" s="27">
        <f t="shared" si="318"/>
        <v>5.7684878803825762E-4</v>
      </c>
      <c r="AH907" s="27">
        <f t="shared" si="318"/>
        <v>5.7798700555519505E-4</v>
      </c>
      <c r="AI907" s="27">
        <f t="shared" si="318"/>
        <v>5.7909534227176243E-4</v>
      </c>
      <c r="AJ907" s="27">
        <f t="shared" si="318"/>
        <v>5.8017866455598575E-4</v>
      </c>
      <c r="AK907" s="27">
        <f t="shared" si="318"/>
        <v>5.8120338345125585E-4</v>
      </c>
      <c r="AL907" s="27">
        <f t="shared" si="318"/>
        <v>5.8216925674029819E-4</v>
      </c>
      <c r="AM907" s="27">
        <f t="shared" si="318"/>
        <v>5.8308692423697495E-4</v>
      </c>
      <c r="AN907" s="27">
        <f t="shared" si="318"/>
        <v>5.839495453276261E-4</v>
      </c>
      <c r="AO907" s="27">
        <f t="shared" si="318"/>
        <v>5.8475968776002874E-4</v>
      </c>
      <c r="AP907" s="27">
        <f t="shared" si="318"/>
        <v>5.8551401869501036E-4</v>
      </c>
      <c r="AQ907" s="27">
        <f t="shared" si="318"/>
        <v>5.8620089468398309E-4</v>
      </c>
      <c r="AR907" s="27">
        <f t="shared" si="318"/>
        <v>5.868096200135702E-4</v>
      </c>
      <c r="AS907" s="27">
        <f t="shared" si="318"/>
        <v>5.87340236215825E-4</v>
      </c>
      <c r="AT907" s="27">
        <f t="shared" si="318"/>
        <v>5.8778838343391971E-4</v>
      </c>
      <c r="AU907" s="27">
        <f t="shared" si="318"/>
        <v>5.8815451618636234E-4</v>
      </c>
      <c r="AV907" s="27">
        <f t="shared" si="318"/>
        <v>5.8844925401827929E-4</v>
      </c>
      <c r="AW907" s="27">
        <f t="shared" si="318"/>
        <v>5.8861438328620193E-4</v>
      </c>
      <c r="AY907" s="79"/>
      <c r="AZ907" s="79"/>
    </row>
    <row r="908" spans="1:52" x14ac:dyDescent="0.25">
      <c r="A908" s="95" t="str">
        <f t="shared" si="270"/>
        <v>BD MM Leaching</v>
      </c>
      <c r="B908" s="95" t="s">
        <v>1227</v>
      </c>
      <c r="C908" s="95" t="s">
        <v>1332</v>
      </c>
      <c r="D908" t="s">
        <v>369</v>
      </c>
      <c r="E908" t="s">
        <v>64</v>
      </c>
      <c r="F908" t="s">
        <v>63</v>
      </c>
      <c r="G908" t="s">
        <v>1169</v>
      </c>
      <c r="H908" t="s">
        <v>1314</v>
      </c>
      <c r="I908" t="s">
        <v>139</v>
      </c>
      <c r="J908" t="s">
        <v>287</v>
      </c>
      <c r="K908" s="27">
        <f t="shared" ref="K908:AW908" si="319">K1556</f>
        <v>6.6992563985089938E-3</v>
      </c>
      <c r="L908" s="27">
        <f t="shared" si="319"/>
        <v>6.716671231449923E-3</v>
      </c>
      <c r="M908" s="27">
        <f t="shared" si="319"/>
        <v>6.7406943780734313E-3</v>
      </c>
      <c r="N908" s="27">
        <f t="shared" si="319"/>
        <v>6.769960915195136E-3</v>
      </c>
      <c r="O908" s="27">
        <f t="shared" si="319"/>
        <v>6.8044291009834836E-3</v>
      </c>
      <c r="P908" s="27">
        <f t="shared" si="319"/>
        <v>6.8438891439814974E-3</v>
      </c>
      <c r="Q908" s="27">
        <f t="shared" si="319"/>
        <v>6.8863566425632549E-3</v>
      </c>
      <c r="R908" s="27">
        <f t="shared" si="319"/>
        <v>6.9316634884048298E-3</v>
      </c>
      <c r="S908" s="27">
        <f t="shared" si="319"/>
        <v>6.9146671525553097E-3</v>
      </c>
      <c r="T908" s="27">
        <f t="shared" si="319"/>
        <v>6.9265534720170359E-3</v>
      </c>
      <c r="U908" s="27">
        <f t="shared" si="319"/>
        <v>6.92770690297054E-3</v>
      </c>
      <c r="V908" s="27">
        <f t="shared" si="319"/>
        <v>6.9308781023495105E-3</v>
      </c>
      <c r="W908" s="27">
        <f t="shared" si="319"/>
        <v>6.9448988371314212E-3</v>
      </c>
      <c r="X908" s="27">
        <f t="shared" si="319"/>
        <v>6.9655225540339091E-3</v>
      </c>
      <c r="Y908" s="27">
        <f t="shared" si="319"/>
        <v>6.9849902544379758E-3</v>
      </c>
      <c r="Z908" s="27">
        <f t="shared" si="319"/>
        <v>7.0033934726820464E-3</v>
      </c>
      <c r="AA908" s="27">
        <f t="shared" si="319"/>
        <v>7.0207416285704375E-3</v>
      </c>
      <c r="AB908" s="27">
        <f t="shared" si="319"/>
        <v>7.0373936879747148E-3</v>
      </c>
      <c r="AC908" s="27">
        <f t="shared" si="319"/>
        <v>7.0535994976594404E-3</v>
      </c>
      <c r="AD908" s="27">
        <f t="shared" si="319"/>
        <v>7.0692267494174947E-3</v>
      </c>
      <c r="AE908" s="27">
        <f t="shared" si="319"/>
        <v>7.0845101644130852E-3</v>
      </c>
      <c r="AF908" s="27">
        <f t="shared" si="319"/>
        <v>7.0994198699110417E-3</v>
      </c>
      <c r="AG908" s="27">
        <f t="shared" si="319"/>
        <v>7.113853845542588E-3</v>
      </c>
      <c r="AH908" s="27">
        <f t="shared" si="319"/>
        <v>7.1278906489958219E-3</v>
      </c>
      <c r="AI908" s="27">
        <f t="shared" si="319"/>
        <v>7.1415589544110468E-3</v>
      </c>
      <c r="AJ908" s="27">
        <f t="shared" si="319"/>
        <v>7.1549187751429096E-3</v>
      </c>
      <c r="AK908" s="27">
        <f t="shared" si="319"/>
        <v>7.1675558831769013E-3</v>
      </c>
      <c r="AL908" s="27">
        <f t="shared" si="319"/>
        <v>7.179467291424684E-3</v>
      </c>
      <c r="AM908" s="27">
        <f t="shared" si="319"/>
        <v>7.1907842129221942E-3</v>
      </c>
      <c r="AN908" s="27">
        <f t="shared" si="319"/>
        <v>7.2014222873885451E-3</v>
      </c>
      <c r="AO908" s="27">
        <f t="shared" si="319"/>
        <v>7.2114131809774594E-3</v>
      </c>
      <c r="AP908" s="27">
        <f t="shared" si="319"/>
        <v>7.2207157922230866E-3</v>
      </c>
      <c r="AQ908" s="27">
        <f t="shared" si="319"/>
        <v>7.2291865309970747E-3</v>
      </c>
      <c r="AR908" s="27">
        <f t="shared" si="319"/>
        <v>7.2366934948956893E-3</v>
      </c>
      <c r="AS908" s="27">
        <f t="shared" si="319"/>
        <v>7.2432371961033398E-3</v>
      </c>
      <c r="AT908" s="27">
        <f t="shared" si="319"/>
        <v>7.2487638676972145E-3</v>
      </c>
      <c r="AU908" s="27">
        <f t="shared" si="319"/>
        <v>7.2532791149213611E-3</v>
      </c>
      <c r="AV908" s="27">
        <f t="shared" si="319"/>
        <v>7.2569139008522455E-3</v>
      </c>
      <c r="AW908" s="27">
        <f t="shared" si="319"/>
        <v>7.258950319237764E-3</v>
      </c>
      <c r="AY908" s="79"/>
      <c r="AZ908" s="79"/>
    </row>
    <row r="909" spans="1:52" x14ac:dyDescent="0.25">
      <c r="A909" s="95" t="str">
        <f t="shared" si="270"/>
        <v>BD MM Leaching</v>
      </c>
      <c r="B909" s="95" t="s">
        <v>1227</v>
      </c>
      <c r="C909" s="95" t="s">
        <v>1332</v>
      </c>
      <c r="D909" t="s">
        <v>369</v>
      </c>
      <c r="E909" t="s">
        <v>64</v>
      </c>
      <c r="F909" t="s">
        <v>63</v>
      </c>
      <c r="G909" t="s">
        <v>1171</v>
      </c>
      <c r="H909" t="s">
        <v>1315</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5">
      <c r="A910" s="95" t="str">
        <f t="shared" si="270"/>
        <v>BD MM Leaching</v>
      </c>
      <c r="B910" s="95" t="s">
        <v>1227</v>
      </c>
      <c r="C910" s="95" t="s">
        <v>1332</v>
      </c>
      <c r="D910" t="s">
        <v>369</v>
      </c>
      <c r="E910" t="s">
        <v>64</v>
      </c>
      <c r="F910" t="s">
        <v>63</v>
      </c>
      <c r="G910" t="s">
        <v>1173</v>
      </c>
      <c r="H910" t="s">
        <v>1316</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5">
      <c r="A911" s="95" t="str">
        <f t="shared" si="270"/>
        <v>BD MM Leaching</v>
      </c>
      <c r="B911" s="95" t="s">
        <v>1227</v>
      </c>
      <c r="C911" s="95" t="s">
        <v>1332</v>
      </c>
      <c r="D911" t="s">
        <v>369</v>
      </c>
      <c r="E911" t="s">
        <v>64</v>
      </c>
      <c r="F911" t="s">
        <v>63</v>
      </c>
      <c r="G911" t="s">
        <v>1175</v>
      </c>
      <c r="H911" t="s">
        <v>1317</v>
      </c>
      <c r="I911" t="s">
        <v>139</v>
      </c>
      <c r="J911" t="s">
        <v>287</v>
      </c>
      <c r="K911" s="27">
        <f t="shared" ref="K911:AW911" si="322">K1559</f>
        <v>2.6875086183165937E-2</v>
      </c>
      <c r="L911" s="27">
        <f t="shared" si="322"/>
        <v>2.6729002214214575E-2</v>
      </c>
      <c r="M911" s="27">
        <f t="shared" si="322"/>
        <v>2.6740992333189311E-2</v>
      </c>
      <c r="N911" s="27">
        <f t="shared" si="322"/>
        <v>2.6495489531984436E-2</v>
      </c>
      <c r="O911" s="27">
        <f t="shared" si="322"/>
        <v>2.6094526833046999E-2</v>
      </c>
      <c r="P911" s="27">
        <f t="shared" si="322"/>
        <v>2.5544514050244028E-2</v>
      </c>
      <c r="Q911" s="27">
        <f t="shared" si="322"/>
        <v>2.5145143775072754E-2</v>
      </c>
      <c r="R911" s="27">
        <f t="shared" si="322"/>
        <v>2.4781112413324518E-2</v>
      </c>
      <c r="S911" s="27">
        <f t="shared" si="322"/>
        <v>2.2261363297447542E-2</v>
      </c>
      <c r="T911" s="27">
        <f t="shared" si="322"/>
        <v>2.326732754049585E-2</v>
      </c>
      <c r="U911" s="27">
        <f t="shared" si="322"/>
        <v>2.3571460777264748E-2</v>
      </c>
      <c r="V911" s="27">
        <f t="shared" si="322"/>
        <v>2.3338833343161457E-2</v>
      </c>
      <c r="W911" s="27">
        <f t="shared" si="322"/>
        <v>2.3134238751808155E-2</v>
      </c>
      <c r="X911" s="27">
        <f t="shared" si="322"/>
        <v>2.3071008709265216E-2</v>
      </c>
      <c r="Y911" s="27">
        <f t="shared" si="322"/>
        <v>2.3143649238261243E-2</v>
      </c>
      <c r="Z911" s="27">
        <f t="shared" si="322"/>
        <v>2.3278949396695201E-2</v>
      </c>
      <c r="AA911" s="27">
        <f t="shared" si="322"/>
        <v>2.3492345128489588E-2</v>
      </c>
      <c r="AB911" s="27">
        <f t="shared" si="322"/>
        <v>2.3835144398287569E-2</v>
      </c>
      <c r="AC911" s="27">
        <f t="shared" si="322"/>
        <v>2.4295378697531386E-2</v>
      </c>
      <c r="AD911" s="27">
        <f t="shared" si="322"/>
        <v>2.4819194567643824E-2</v>
      </c>
      <c r="AE911" s="27">
        <f t="shared" si="322"/>
        <v>2.5401392072493423E-2</v>
      </c>
      <c r="AF911" s="27">
        <f t="shared" si="322"/>
        <v>2.6012849455983828E-2</v>
      </c>
      <c r="AG911" s="27">
        <f t="shared" si="322"/>
        <v>2.6664067926854041E-2</v>
      </c>
      <c r="AH911" s="27">
        <f t="shared" si="322"/>
        <v>2.734101119130557E-2</v>
      </c>
      <c r="AI911" s="27">
        <f t="shared" si="322"/>
        <v>2.7997936856370267E-2</v>
      </c>
      <c r="AJ911" s="27">
        <f t="shared" si="322"/>
        <v>2.8698310105033351E-2</v>
      </c>
      <c r="AK911" s="27">
        <f t="shared" si="322"/>
        <v>2.9400080296227163E-2</v>
      </c>
      <c r="AL911" s="27">
        <f t="shared" si="322"/>
        <v>3.0099562920322648E-2</v>
      </c>
      <c r="AM911" s="27">
        <f t="shared" si="322"/>
        <v>3.0814857244530154E-2</v>
      </c>
      <c r="AN911" s="27">
        <f t="shared" si="322"/>
        <v>3.1499706541710935E-2</v>
      </c>
      <c r="AO911" s="27">
        <f t="shared" si="322"/>
        <v>3.2216361362909209E-2</v>
      </c>
      <c r="AP911" s="27">
        <f t="shared" si="322"/>
        <v>3.2985480796324254E-2</v>
      </c>
      <c r="AQ911" s="27">
        <f t="shared" si="322"/>
        <v>3.376804159970731E-2</v>
      </c>
      <c r="AR911" s="27">
        <f t="shared" si="322"/>
        <v>3.4565482452675621E-2</v>
      </c>
      <c r="AS911" s="27">
        <f t="shared" si="322"/>
        <v>3.5417207872959197E-2</v>
      </c>
      <c r="AT911" s="27">
        <f t="shared" si="322"/>
        <v>3.6308390334093638E-2</v>
      </c>
      <c r="AU911" s="27">
        <f t="shared" si="322"/>
        <v>3.7228871549923839E-2</v>
      </c>
      <c r="AV911" s="27">
        <f t="shared" si="322"/>
        <v>3.8202529295473395E-2</v>
      </c>
      <c r="AW911" s="27">
        <f t="shared" si="322"/>
        <v>3.9083865804736009E-2</v>
      </c>
      <c r="AY911" s="79"/>
      <c r="AZ911" s="79"/>
    </row>
    <row r="912" spans="1:52" x14ac:dyDescent="0.25">
      <c r="A912" s="95" t="str">
        <f t="shared" si="270"/>
        <v>BD MM Leaching</v>
      </c>
      <c r="B912" s="95" t="s">
        <v>1227</v>
      </c>
      <c r="C912" s="95" t="s">
        <v>1332</v>
      </c>
      <c r="D912" t="s">
        <v>369</v>
      </c>
      <c r="E912" t="s">
        <v>64</v>
      </c>
      <c r="F912" t="s">
        <v>63</v>
      </c>
      <c r="G912" t="s">
        <v>1177</v>
      </c>
      <c r="H912" t="s">
        <v>1318</v>
      </c>
      <c r="I912" t="s">
        <v>139</v>
      </c>
      <c r="J912" t="s">
        <v>287</v>
      </c>
      <c r="K912" s="27">
        <f t="shared" ref="K912:AW912" si="323">K1560</f>
        <v>4.0166140097319695E-3</v>
      </c>
      <c r="L912" s="27">
        <f t="shared" si="323"/>
        <v>3.9947810410006978E-3</v>
      </c>
      <c r="M912" s="27">
        <f t="shared" si="323"/>
        <v>3.9965730233416669E-3</v>
      </c>
      <c r="N912" s="27">
        <f t="shared" si="323"/>
        <v>3.9598814204188986E-3</v>
      </c>
      <c r="O912" s="27">
        <f t="shared" si="323"/>
        <v>3.8999555700251287E-3</v>
      </c>
      <c r="P912" s="27">
        <f t="shared" si="323"/>
        <v>3.8177534504158584E-3</v>
      </c>
      <c r="Q912" s="27">
        <f t="shared" si="323"/>
        <v>3.7580655955978051E-3</v>
      </c>
      <c r="R912" s="27">
        <f t="shared" si="323"/>
        <v>3.7036593154610876E-3</v>
      </c>
      <c r="S912" s="27">
        <f t="shared" si="323"/>
        <v>3.3270703984670008E-3</v>
      </c>
      <c r="T912" s="27">
        <f t="shared" si="323"/>
        <v>3.4774167097077883E-3</v>
      </c>
      <c r="U912" s="27">
        <f t="shared" si="323"/>
        <v>3.5228709200238193E-3</v>
      </c>
      <c r="V912" s="27">
        <f t="shared" si="323"/>
        <v>3.4881036041350764E-3</v>
      </c>
      <c r="W912" s="27">
        <f t="shared" si="323"/>
        <v>3.4575259346777865E-3</v>
      </c>
      <c r="X912" s="27">
        <f t="shared" si="323"/>
        <v>3.448075893365063E-3</v>
      </c>
      <c r="Y912" s="27">
        <f t="shared" si="323"/>
        <v>3.4589323782318001E-3</v>
      </c>
      <c r="Z912" s="27">
        <f t="shared" si="323"/>
        <v>3.4791536533630104E-3</v>
      </c>
      <c r="AA912" s="27">
        <f t="shared" si="323"/>
        <v>3.5110466966113414E-3</v>
      </c>
      <c r="AB912" s="27">
        <f t="shared" si="323"/>
        <v>3.5622797360223518E-3</v>
      </c>
      <c r="AC912" s="27">
        <f t="shared" si="323"/>
        <v>3.6310640190383376E-3</v>
      </c>
      <c r="AD912" s="27">
        <f t="shared" si="323"/>
        <v>3.7093508810068579E-3</v>
      </c>
      <c r="AE912" s="27">
        <f t="shared" si="323"/>
        <v>3.7963631658595345E-3</v>
      </c>
      <c r="AF912" s="27">
        <f t="shared" si="323"/>
        <v>3.8877484837016034E-3</v>
      </c>
      <c r="AG912" s="27">
        <f t="shared" si="323"/>
        <v>3.98507629190532E-3</v>
      </c>
      <c r="AH912" s="27">
        <f t="shared" si="323"/>
        <v>4.0862487972233809E-3</v>
      </c>
      <c r="AI912" s="27">
        <f t="shared" si="323"/>
        <v>4.1844295737116129E-3</v>
      </c>
      <c r="AJ912" s="27">
        <f t="shared" si="323"/>
        <v>4.2891038055800747E-3</v>
      </c>
      <c r="AK912" s="27">
        <f t="shared" si="323"/>
        <v>4.3939868173907288E-3</v>
      </c>
      <c r="AL912" s="27">
        <f t="shared" si="323"/>
        <v>4.4985279410305803E-3</v>
      </c>
      <c r="AM912" s="27">
        <f t="shared" si="323"/>
        <v>4.6054322011364794E-3</v>
      </c>
      <c r="AN912" s="27">
        <f t="shared" si="323"/>
        <v>4.707786301988981E-3</v>
      </c>
      <c r="AO912" s="27">
        <f t="shared" si="323"/>
        <v>4.8148938950716034E-3</v>
      </c>
      <c r="AP912" s="27">
        <f t="shared" si="323"/>
        <v>4.929842582877003E-3</v>
      </c>
      <c r="AQ912" s="27">
        <f t="shared" si="323"/>
        <v>5.046800149632805E-3</v>
      </c>
      <c r="AR912" s="27">
        <f t="shared" si="323"/>
        <v>5.1659816130943592E-3</v>
      </c>
      <c r="AS912" s="27">
        <f t="shared" si="323"/>
        <v>5.2932761725327836E-3</v>
      </c>
      <c r="AT912" s="27">
        <f t="shared" si="323"/>
        <v>5.4264677810814564E-3</v>
      </c>
      <c r="AU912" s="27">
        <f t="shared" si="323"/>
        <v>5.5640382328374224E-3</v>
      </c>
      <c r="AV912" s="27">
        <f t="shared" si="323"/>
        <v>5.7095561788936492E-3</v>
      </c>
      <c r="AW912" s="27">
        <f t="shared" si="323"/>
        <v>5.8412762614364865E-3</v>
      </c>
      <c r="AY912" s="79"/>
      <c r="AZ912" s="79"/>
    </row>
    <row r="913" spans="1:52" x14ac:dyDescent="0.25">
      <c r="A913" s="95" t="str">
        <f t="shared" si="270"/>
        <v>BD MM Leaching</v>
      </c>
      <c r="B913" s="95" t="s">
        <v>1227</v>
      </c>
      <c r="C913" s="95" t="s">
        <v>1332</v>
      </c>
      <c r="D913" t="s">
        <v>369</v>
      </c>
      <c r="E913" t="s">
        <v>64</v>
      </c>
      <c r="F913" t="s">
        <v>63</v>
      </c>
      <c r="G913" t="s">
        <v>1179</v>
      </c>
      <c r="H913" t="s">
        <v>1319</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1.8677293946611211E-2</v>
      </c>
      <c r="S913" s="27">
        <f t="shared" si="324"/>
        <v>1.7926295011943302E-2</v>
      </c>
      <c r="T913" s="27">
        <f t="shared" si="324"/>
        <v>1.8674748698375012E-2</v>
      </c>
      <c r="U913" s="27">
        <f t="shared" si="324"/>
        <v>1.9119559955571311E-2</v>
      </c>
      <c r="V913" s="27">
        <f t="shared" si="324"/>
        <v>1.933187353292521E-2</v>
      </c>
      <c r="W913" s="27">
        <f t="shared" si="324"/>
        <v>1.9567336744090873E-2</v>
      </c>
      <c r="X913" s="27">
        <f t="shared" si="324"/>
        <v>1.9874405903185278E-2</v>
      </c>
      <c r="Y913" s="27">
        <f t="shared" si="324"/>
        <v>2.0244038198599948E-2</v>
      </c>
      <c r="Z913" s="27">
        <f t="shared" si="324"/>
        <v>2.064493630250834E-2</v>
      </c>
      <c r="AA913" s="27">
        <f t="shared" si="324"/>
        <v>2.1086941142640651E-2</v>
      </c>
      <c r="AB913" s="27">
        <f t="shared" si="324"/>
        <v>2.1599318957249428E-2</v>
      </c>
      <c r="AC913" s="27">
        <f t="shared" si="324"/>
        <v>2.2180513768392543E-2</v>
      </c>
      <c r="AD913" s="27">
        <f t="shared" si="324"/>
        <v>2.2805803764739216E-2</v>
      </c>
      <c r="AE913" s="27">
        <f t="shared" si="324"/>
        <v>2.3475090902088748E-2</v>
      </c>
      <c r="AF913" s="27">
        <f t="shared" si="324"/>
        <v>2.4174535529571241E-2</v>
      </c>
      <c r="AG913" s="27">
        <f t="shared" si="324"/>
        <v>2.4911238714913377E-2</v>
      </c>
      <c r="AH913" s="27">
        <f t="shared" si="324"/>
        <v>2.5679011663267932E-2</v>
      </c>
      <c r="AI913" s="27">
        <f t="shared" si="324"/>
        <v>2.645249874928041E-2</v>
      </c>
      <c r="AJ913" s="27">
        <f t="shared" si="324"/>
        <v>2.7269372865090267E-2</v>
      </c>
      <c r="AK913" s="27">
        <f t="shared" si="324"/>
        <v>2.8105461432882069E-2</v>
      </c>
      <c r="AL913" s="27">
        <f t="shared" si="324"/>
        <v>2.8959047781856831E-2</v>
      </c>
      <c r="AM913" s="27">
        <f t="shared" si="324"/>
        <v>2.9842194803075938E-2</v>
      </c>
      <c r="AN913" s="27">
        <f t="shared" si="324"/>
        <v>3.0726207525762706E-2</v>
      </c>
      <c r="AO913" s="27">
        <f t="shared" si="324"/>
        <v>3.1651324084180803E-2</v>
      </c>
      <c r="AP913" s="27">
        <f t="shared" si="324"/>
        <v>3.263300298507002E-2</v>
      </c>
      <c r="AQ913" s="27">
        <f t="shared" si="324"/>
        <v>3.3647129592199072E-2</v>
      </c>
      <c r="AR913" s="27">
        <f t="shared" si="324"/>
        <v>3.4695684340366462E-2</v>
      </c>
      <c r="AS913" s="27">
        <f t="shared" si="324"/>
        <v>3.5807702215394269E-2</v>
      </c>
      <c r="AT913" s="27">
        <f t="shared" si="324"/>
        <v>3.6975350864185588E-2</v>
      </c>
      <c r="AU913" s="27">
        <f t="shared" si="324"/>
        <v>3.8193620446260186E-2</v>
      </c>
      <c r="AV913" s="27">
        <f t="shared" si="324"/>
        <v>3.9482562307511335E-2</v>
      </c>
      <c r="AW913" s="27">
        <f t="shared" si="324"/>
        <v>4.0733932208981263E-2</v>
      </c>
      <c r="AY913" s="79"/>
      <c r="AZ913" s="79"/>
    </row>
    <row r="914" spans="1:52" x14ac:dyDescent="0.25">
      <c r="A914" s="95" t="str">
        <f t="shared" si="270"/>
        <v>BD MM Leaching</v>
      </c>
      <c r="B914" s="95" t="s">
        <v>1227</v>
      </c>
      <c r="C914" s="95" t="s">
        <v>1332</v>
      </c>
      <c r="D914" t="s">
        <v>369</v>
      </c>
      <c r="E914" t="s">
        <v>64</v>
      </c>
      <c r="F914" t="s">
        <v>63</v>
      </c>
      <c r="G914" t="s">
        <v>1181</v>
      </c>
      <c r="H914" t="s">
        <v>1320</v>
      </c>
      <c r="I914" t="s">
        <v>139</v>
      </c>
      <c r="J914" t="s">
        <v>287</v>
      </c>
      <c r="K914" s="27">
        <f t="shared" ref="K914:AW914" si="325">K1562</f>
        <v>7.758579791322931E-2</v>
      </c>
      <c r="L914" s="27">
        <f t="shared" si="325"/>
        <v>7.8607464197542429E-2</v>
      </c>
      <c r="M914" s="27">
        <f t="shared" si="325"/>
        <v>8.024855331382115E-2</v>
      </c>
      <c r="N914" s="27">
        <f t="shared" si="325"/>
        <v>8.0719757945382262E-2</v>
      </c>
      <c r="O914" s="27">
        <f t="shared" si="325"/>
        <v>8.0430818839717685E-2</v>
      </c>
      <c r="P914" s="27">
        <f t="shared" si="325"/>
        <v>7.938481013134728E-2</v>
      </c>
      <c r="Q914" s="27">
        <f t="shared" si="325"/>
        <v>7.8944464359385597E-2</v>
      </c>
      <c r="R914" s="27">
        <f t="shared" si="325"/>
        <v>7.8604018955287347E-2</v>
      </c>
      <c r="S914" s="27">
        <f t="shared" si="325"/>
        <v>6.838761678762284E-2</v>
      </c>
      <c r="T914" s="27">
        <f t="shared" si="325"/>
        <v>7.4574992595892425E-2</v>
      </c>
      <c r="U914" s="27">
        <f t="shared" si="325"/>
        <v>7.755216316581004E-2</v>
      </c>
      <c r="V914" s="27">
        <f t="shared" si="325"/>
        <v>7.7924677783992133E-2</v>
      </c>
      <c r="W914" s="27">
        <f t="shared" si="325"/>
        <v>7.8354110824083251E-2</v>
      </c>
      <c r="X914" s="27">
        <f t="shared" si="325"/>
        <v>7.9443157162657083E-2</v>
      </c>
      <c r="Y914" s="27">
        <f t="shared" si="325"/>
        <v>8.1236326250134938E-2</v>
      </c>
      <c r="Z914" s="27">
        <f t="shared" si="325"/>
        <v>8.3381793031121837E-2</v>
      </c>
      <c r="AA914" s="27">
        <f t="shared" si="325"/>
        <v>8.5974252242443622E-2</v>
      </c>
      <c r="AB914" s="27">
        <f t="shared" si="325"/>
        <v>8.9301533057552729E-2</v>
      </c>
      <c r="AC914" s="27">
        <f t="shared" si="325"/>
        <v>9.3325676960655579E-2</v>
      </c>
      <c r="AD914" s="27">
        <f t="shared" si="325"/>
        <v>9.7779695826372345E-2</v>
      </c>
      <c r="AE914" s="27">
        <f t="shared" si="325"/>
        <v>0.10264881318689535</v>
      </c>
      <c r="AF914" s="27">
        <f t="shared" si="325"/>
        <v>0.1077848208225682</v>
      </c>
      <c r="AG914" s="27">
        <f t="shared" si="325"/>
        <v>0.11325644741449936</v>
      </c>
      <c r="AH914" s="27">
        <f t="shared" si="325"/>
        <v>0.11899390557339033</v>
      </c>
      <c r="AI914" s="27">
        <f t="shared" si="325"/>
        <v>0.12473968814681194</v>
      </c>
      <c r="AJ914" s="27">
        <f t="shared" si="325"/>
        <v>0.13086543937710404</v>
      </c>
      <c r="AK914" s="27">
        <f t="shared" si="325"/>
        <v>0.13713570688007848</v>
      </c>
      <c r="AL914" s="27">
        <f t="shared" si="325"/>
        <v>0.14353189422654788</v>
      </c>
      <c r="AM914" s="27">
        <f t="shared" si="325"/>
        <v>0.15016680935758497</v>
      </c>
      <c r="AN914" s="27">
        <f t="shared" si="325"/>
        <v>0.15676188787571166</v>
      </c>
      <c r="AO914" s="27">
        <f t="shared" si="325"/>
        <v>0.16370376989202984</v>
      </c>
      <c r="AP914" s="27">
        <f t="shared" si="325"/>
        <v>0.17113537656800237</v>
      </c>
      <c r="AQ914" s="27">
        <f t="shared" si="325"/>
        <v>0.17882351737077742</v>
      </c>
      <c r="AR914" s="27">
        <f t="shared" si="325"/>
        <v>0.18678614513935693</v>
      </c>
      <c r="AS914" s="27">
        <f t="shared" si="325"/>
        <v>0.19529177080691471</v>
      </c>
      <c r="AT914" s="27">
        <f t="shared" si="325"/>
        <v>0.20426055038144844</v>
      </c>
      <c r="AU914" s="27">
        <f t="shared" si="325"/>
        <v>0.21363944759847542</v>
      </c>
      <c r="AV914" s="27">
        <f t="shared" si="325"/>
        <v>0.2236051975341104</v>
      </c>
      <c r="AW914" s="27">
        <f t="shared" si="325"/>
        <v>0.23317129202372885</v>
      </c>
      <c r="AY914" s="79"/>
      <c r="AZ914" s="79"/>
    </row>
    <row r="916" spans="1:52" x14ac:dyDescent="0.25">
      <c r="A916" s="95" t="str">
        <f t="shared" ref="A916:A979" si="326">B916&amp;" "&amp;C916</f>
        <v>DS Cattle</v>
      </c>
      <c r="B916" s="95" t="s">
        <v>973</v>
      </c>
      <c r="C916" s="95" t="s">
        <v>1107</v>
      </c>
      <c r="D916" t="s">
        <v>15</v>
      </c>
      <c r="E916" t="s">
        <v>16</v>
      </c>
      <c r="F916" t="s">
        <v>6</v>
      </c>
      <c r="G916" t="s">
        <v>136</v>
      </c>
      <c r="H916" t="s">
        <v>1019</v>
      </c>
      <c r="I916" t="s">
        <v>121</v>
      </c>
      <c r="J916" t="s">
        <v>286</v>
      </c>
      <c r="K916" s="27">
        <f>K1379</f>
        <v>72.246065125367707</v>
      </c>
      <c r="L916" s="27">
        <f t="shared" ref="L916:AW918" si="327">L1379</f>
        <v>72.649957574793405</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74.518042528471327</v>
      </c>
      <c r="S916" s="27">
        <f t="shared" si="327"/>
        <v>72.365714675231743</v>
      </c>
      <c r="T916" s="27">
        <f t="shared" si="327"/>
        <v>73.825045522582627</v>
      </c>
      <c r="U916" s="27">
        <f t="shared" si="327"/>
        <v>74.549470852823731</v>
      </c>
      <c r="V916" s="27">
        <f t="shared" si="327"/>
        <v>74.73866134408884</v>
      </c>
      <c r="W916" s="27">
        <f t="shared" si="327"/>
        <v>75.00766800235165</v>
      </c>
      <c r="X916" s="27">
        <f t="shared" si="327"/>
        <v>75.45906320296173</v>
      </c>
      <c r="Y916" s="27">
        <f t="shared" si="327"/>
        <v>76.055372148787171</v>
      </c>
      <c r="Z916" s="27">
        <f t="shared" si="327"/>
        <v>76.723006485373944</v>
      </c>
      <c r="AA916" s="27">
        <f t="shared" si="327"/>
        <v>77.482992951839307</v>
      </c>
      <c r="AB916" s="27">
        <f t="shared" si="327"/>
        <v>78.40049292820909</v>
      </c>
      <c r="AC916" s="27">
        <f t="shared" si="327"/>
        <v>79.470176515878649</v>
      </c>
      <c r="AD916" s="27">
        <f t="shared" si="327"/>
        <v>80.634435222178453</v>
      </c>
      <c r="AE916" s="27">
        <f t="shared" si="327"/>
        <v>81.892216807263921</v>
      </c>
      <c r="AF916" s="27">
        <f t="shared" si="327"/>
        <v>83.211603764210864</v>
      </c>
      <c r="AG916" s="27">
        <f t="shared" si="327"/>
        <v>84.607353188642591</v>
      </c>
      <c r="AH916" s="27">
        <f t="shared" si="327"/>
        <v>86.06511371010545</v>
      </c>
      <c r="AI916" s="27">
        <f t="shared" si="327"/>
        <v>87.52871170290878</v>
      </c>
      <c r="AJ916" s="27">
        <f t="shared" si="327"/>
        <v>89.080470915368679</v>
      </c>
      <c r="AK916" s="27">
        <f t="shared" si="327"/>
        <v>90.666146577204373</v>
      </c>
      <c r="AL916" s="27">
        <f t="shared" si="327"/>
        <v>92.281705803455623</v>
      </c>
      <c r="AM916" s="27">
        <f t="shared" si="327"/>
        <v>93.953177200375109</v>
      </c>
      <c r="AN916" s="27">
        <f t="shared" si="327"/>
        <v>95.618162408652182</v>
      </c>
      <c r="AO916" s="27">
        <f t="shared" si="327"/>
        <v>97.363125443895129</v>
      </c>
      <c r="AP916" s="27">
        <f t="shared" si="327"/>
        <v>99.220282959393018</v>
      </c>
      <c r="AQ916" s="27">
        <f t="shared" si="327"/>
        <v>101.13698373864543</v>
      </c>
      <c r="AR916" s="27">
        <f t="shared" si="327"/>
        <v>103.1166953994274</v>
      </c>
      <c r="AS916" s="27">
        <f t="shared" si="327"/>
        <v>105.22033839717858</v>
      </c>
      <c r="AT916" s="27">
        <f t="shared" si="327"/>
        <v>107.43022097905694</v>
      </c>
      <c r="AU916" s="27">
        <f t="shared" si="327"/>
        <v>109.73494167523042</v>
      </c>
      <c r="AV916" s="27">
        <f t="shared" si="327"/>
        <v>112.1760298148465</v>
      </c>
      <c r="AW916" s="27">
        <f t="shared" si="327"/>
        <v>114.52480661709059</v>
      </c>
      <c r="AY916" s="79"/>
      <c r="AZ916" s="79"/>
    </row>
    <row r="917" spans="1:52" x14ac:dyDescent="0.25">
      <c r="A917" s="95" t="str">
        <f t="shared" si="326"/>
        <v>DS Cattle</v>
      </c>
      <c r="B917" s="95" t="s">
        <v>973</v>
      </c>
      <c r="C917" s="95" t="s">
        <v>1107</v>
      </c>
      <c r="D917" t="s">
        <v>15</v>
      </c>
      <c r="E917" t="s">
        <v>16</v>
      </c>
      <c r="F917" t="s">
        <v>6</v>
      </c>
      <c r="G917" t="s">
        <v>137</v>
      </c>
      <c r="H917" t="s">
        <v>1019</v>
      </c>
      <c r="I917" t="s">
        <v>121</v>
      </c>
      <c r="J917" t="s">
        <v>286</v>
      </c>
      <c r="K917" s="27">
        <f t="shared" ref="K917:Z918" si="328">K1380</f>
        <v>57.783598896292567</v>
      </c>
      <c r="L917" s="27">
        <f t="shared" si="328"/>
        <v>58.1066387636453</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59.600764035107616</v>
      </c>
      <c r="S917" s="27">
        <f t="shared" si="328"/>
        <v>57.879296587031398</v>
      </c>
      <c r="T917" s="27">
        <f t="shared" si="328"/>
        <v>59.046493557468224</v>
      </c>
      <c r="U917" s="27">
        <f t="shared" si="328"/>
        <v>59.625900929209891</v>
      </c>
      <c r="V917" s="27">
        <f t="shared" si="328"/>
        <v>59.777218616107909</v>
      </c>
      <c r="W917" s="27">
        <f t="shared" si="328"/>
        <v>59.992374594700195</v>
      </c>
      <c r="X917" s="27">
        <f t="shared" si="328"/>
        <v>60.353407948842083</v>
      </c>
      <c r="Y917" s="27">
        <f t="shared" si="328"/>
        <v>60.830345715404938</v>
      </c>
      <c r="Z917" s="27">
        <f t="shared" si="328"/>
        <v>61.364330710266294</v>
      </c>
      <c r="AA917" s="27">
        <f t="shared" si="327"/>
        <v>61.97218046746265</v>
      </c>
      <c r="AB917" s="27">
        <f t="shared" si="327"/>
        <v>62.706012137463084</v>
      </c>
      <c r="AC917" s="27">
        <f t="shared" si="327"/>
        <v>63.561562779128991</v>
      </c>
      <c r="AD917" s="27">
        <f t="shared" si="327"/>
        <v>64.49275616633426</v>
      </c>
      <c r="AE917" s="27">
        <f t="shared" si="327"/>
        <v>65.498750700231739</v>
      </c>
      <c r="AF917" s="27">
        <f t="shared" si="327"/>
        <v>66.554018230400004</v>
      </c>
      <c r="AG917" s="27">
        <f t="shared" si="327"/>
        <v>67.670361726217266</v>
      </c>
      <c r="AH917" s="27">
        <f t="shared" si="327"/>
        <v>68.836302724012626</v>
      </c>
      <c r="AI917" s="27">
        <f t="shared" si="327"/>
        <v>70.006912628023471</v>
      </c>
      <c r="AJ917" s="27">
        <f t="shared" si="327"/>
        <v>71.248035334994583</v>
      </c>
      <c r="AK917" s="27">
        <f t="shared" si="327"/>
        <v>72.516284979651772</v>
      </c>
      <c r="AL917" s="27">
        <f t="shared" si="327"/>
        <v>73.808435993840746</v>
      </c>
      <c r="AM917" s="27">
        <f t="shared" si="327"/>
        <v>75.145306487737145</v>
      </c>
      <c r="AN917" s="27">
        <f t="shared" si="327"/>
        <v>76.476989220580691</v>
      </c>
      <c r="AO917" s="27">
        <f t="shared" si="327"/>
        <v>77.872639543437259</v>
      </c>
      <c r="AP917" s="27">
        <f t="shared" si="327"/>
        <v>79.358024868943161</v>
      </c>
      <c r="AQ917" s="27">
        <f t="shared" si="327"/>
        <v>80.891033882518414</v>
      </c>
      <c r="AR917" s="27">
        <f t="shared" si="327"/>
        <v>82.474440042264703</v>
      </c>
      <c r="AS917" s="27">
        <f t="shared" si="327"/>
        <v>84.156968536960065</v>
      </c>
      <c r="AT917" s="27">
        <f t="shared" si="327"/>
        <v>85.924469209800506</v>
      </c>
      <c r="AU917" s="27">
        <f t="shared" si="327"/>
        <v>87.767822976466917</v>
      </c>
      <c r="AV917" s="27">
        <f t="shared" si="327"/>
        <v>89.72024568191533</v>
      </c>
      <c r="AW917" s="27">
        <f t="shared" si="327"/>
        <v>91.59883625155085</v>
      </c>
      <c r="AY917" s="79"/>
      <c r="AZ917" s="79"/>
    </row>
    <row r="918" spans="1:52" x14ac:dyDescent="0.25">
      <c r="A918" s="95" t="str">
        <f t="shared" si="326"/>
        <v>DS Cattle</v>
      </c>
      <c r="B918" s="95" t="s">
        <v>973</v>
      </c>
      <c r="C918" s="95" t="s">
        <v>1107</v>
      </c>
      <c r="D918" t="s">
        <v>15</v>
      </c>
      <c r="E918" t="s">
        <v>16</v>
      </c>
      <c r="F918" t="s">
        <v>67</v>
      </c>
      <c r="G918" t="s">
        <v>307</v>
      </c>
      <c r="H918" t="s">
        <v>1019</v>
      </c>
      <c r="I918" t="s">
        <v>121</v>
      </c>
      <c r="J918" t="s">
        <v>286</v>
      </c>
      <c r="K918" s="27">
        <f t="shared" si="328"/>
        <v>26.126191807126649</v>
      </c>
      <c r="L918" s="27">
        <f t="shared" si="327"/>
        <v>26.272250579806308</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26.947802192577253</v>
      </c>
      <c r="S918" s="27">
        <f t="shared" si="327"/>
        <v>26.169460420911491</v>
      </c>
      <c r="T918" s="27">
        <f t="shared" si="327"/>
        <v>26.697195150294817</v>
      </c>
      <c r="U918" s="27">
        <f t="shared" si="327"/>
        <v>26.959167551075083</v>
      </c>
      <c r="V918" s="27">
        <f t="shared" si="327"/>
        <v>27.027584108493112</v>
      </c>
      <c r="W918" s="27">
        <f t="shared" si="327"/>
        <v>27.124864417655591</v>
      </c>
      <c r="X918" s="27">
        <f t="shared" si="327"/>
        <v>27.288101509827889</v>
      </c>
      <c r="Y918" s="27">
        <f t="shared" si="327"/>
        <v>27.503743453342821</v>
      </c>
      <c r="Z918" s="27">
        <f t="shared" si="327"/>
        <v>27.745178647140875</v>
      </c>
      <c r="AA918" s="27">
        <f t="shared" si="327"/>
        <v>28.020010946439662</v>
      </c>
      <c r="AB918" s="27">
        <f t="shared" si="327"/>
        <v>28.351804523350385</v>
      </c>
      <c r="AC918" s="27">
        <f t="shared" si="327"/>
        <v>28.738631937907769</v>
      </c>
      <c r="AD918" s="27">
        <f t="shared" si="327"/>
        <v>29.159660352688871</v>
      </c>
      <c r="AE918" s="27">
        <f t="shared" si="327"/>
        <v>29.614509248423072</v>
      </c>
      <c r="AF918" s="27">
        <f t="shared" si="327"/>
        <v>30.09163636455321</v>
      </c>
      <c r="AG918" s="27">
        <f t="shared" si="327"/>
        <v>30.596378278373869</v>
      </c>
      <c r="AH918" s="27">
        <f t="shared" si="327"/>
        <v>31.123545134125884</v>
      </c>
      <c r="AI918" s="27">
        <f t="shared" si="327"/>
        <v>31.652822982298673</v>
      </c>
      <c r="AJ918" s="27">
        <f t="shared" si="327"/>
        <v>32.213982385967945</v>
      </c>
      <c r="AK918" s="27">
        <f t="shared" si="327"/>
        <v>32.787406923527513</v>
      </c>
      <c r="AL918" s="27">
        <f t="shared" si="327"/>
        <v>33.371638191314474</v>
      </c>
      <c r="AM918" s="27">
        <f t="shared" si="327"/>
        <v>33.976088859184969</v>
      </c>
      <c r="AN918" s="27">
        <f t="shared" si="327"/>
        <v>34.578193940368166</v>
      </c>
      <c r="AO918" s="27">
        <f t="shared" si="327"/>
        <v>35.209221234048357</v>
      </c>
      <c r="AP918" s="27">
        <f t="shared" si="327"/>
        <v>35.880821180450241</v>
      </c>
      <c r="AQ918" s="27">
        <f t="shared" si="327"/>
        <v>36.573953631452547</v>
      </c>
      <c r="AR918" s="27">
        <f t="shared" si="327"/>
        <v>37.289872574340869</v>
      </c>
      <c r="AS918" s="27">
        <f t="shared" si="327"/>
        <v>38.050608544633441</v>
      </c>
      <c r="AT918" s="27">
        <f t="shared" si="327"/>
        <v>38.849763711149343</v>
      </c>
      <c r="AU918" s="27">
        <f t="shared" si="327"/>
        <v>39.683214984455297</v>
      </c>
      <c r="AV918" s="27">
        <f t="shared" si="327"/>
        <v>40.565980528060209</v>
      </c>
      <c r="AW918" s="27">
        <f t="shared" si="327"/>
        <v>41.415363717872332</v>
      </c>
      <c r="AY918" s="79"/>
      <c r="AZ918" s="79"/>
    </row>
    <row r="919" spans="1:52" x14ac:dyDescent="0.25">
      <c r="A919" s="95" t="str">
        <f t="shared" si="326"/>
        <v>DS Cattle</v>
      </c>
      <c r="B919" s="95" t="s">
        <v>973</v>
      </c>
      <c r="C919" s="95" t="s">
        <v>1107</v>
      </c>
      <c r="D919" t="s">
        <v>15</v>
      </c>
      <c r="E919" t="s">
        <v>16</v>
      </c>
      <c r="F919" t="s">
        <v>67</v>
      </c>
      <c r="G919" t="s">
        <v>122</v>
      </c>
      <c r="H919" t="s">
        <v>1019</v>
      </c>
      <c r="I919" t="s">
        <v>121</v>
      </c>
      <c r="J919" t="s">
        <v>286</v>
      </c>
      <c r="K919" s="93">
        <f>IF('Net zero activities &amp; levers'!$C$12="Off",('Activity data'!AD8*EF!$H7)*kgtoGg,('Net zero Activity data'!AD8*EF!$H7)*kgtoGg)</f>
        <v>463.23498593143171</v>
      </c>
      <c r="L919" s="93">
        <f>IF('Net zero activities &amp; levers'!$C$12="Off",('Activity data'!AE8*EF!$H7)*kgtoGg,('Net zero Activity data'!AE8*EF!$H7)*kgtoGg)</f>
        <v>459.2174968362159</v>
      </c>
      <c r="M919" s="93">
        <f>IF('Net zero activities &amp; levers'!$C$12="Off",('Activity data'!AF8*EF!$H7)*kgtoGg,('Net zero Activity data'!AF8*EF!$H7)*kgtoGg)</f>
        <v>457.68816035731231</v>
      </c>
      <c r="N919" s="93">
        <f>IF('Net zero activities &amp; levers'!$C$12="Off",('Activity data'!AG8*EF!$H7)*kgtoGg,('Net zero Activity data'!AG8*EF!$H7)*kgtoGg)</f>
        <v>451.57633407663525</v>
      </c>
      <c r="O919" s="93">
        <f>IF('Net zero activities &amp; levers'!$C$12="Off",('Activity data'!AH8*EF!$H7)*kgtoGg,('Net zero Activity data'!AH8*EF!$H7)*kgtoGg)</f>
        <v>442.704868969107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369.40237691087651</v>
      </c>
      <c r="T919" s="93">
        <f>IF('Net zero activities &amp; levers'!$C$12="Off",('Activity data'!AM8*EF!$H7)*kgtoGg,('Net zero Activity data'!AM8*EF!$H7)*kgtoGg)</f>
        <v>387.06361603448636</v>
      </c>
      <c r="U919" s="93">
        <f>IF('Net zero activities &amp; levers'!$C$12="Off",('Activity data'!AN8*EF!$H7)*kgtoGg,('Net zero Activity data'!AN8*EF!$H7)*kgtoGg)</f>
        <v>393.17794041792496</v>
      </c>
      <c r="V919" s="93">
        <f>IF('Net zero activities &amp; levers'!$C$12="Off",('Activity data'!AO8*EF!$H7)*kgtoGg,('Net zero Activity data'!AO8*EF!$H7)*kgtoGg)</f>
        <v>390.52270230053807</v>
      </c>
      <c r="W919" s="93">
        <f>IF('Net zero activities &amp; levers'!$C$12="Off",('Activity data'!AP8*EF!$H7)*kgtoGg,('Net zero Activity data'!AP8*EF!$H7)*kgtoGg)</f>
        <v>388.36285305535796</v>
      </c>
      <c r="X919" s="93">
        <f>IF('Net zero activities &amp; levers'!$C$12="Off",('Activity data'!AQ8*EF!$H7)*kgtoGg,('Net zero Activity data'!AQ8*EF!$H7)*kgtoGg)</f>
        <v>388.50473132162119</v>
      </c>
      <c r="Y919" s="93">
        <f>IF('Net zero activities &amp; levers'!$C$12="Off",('Activity data'!AR8*EF!$H7)*kgtoGg,('Net zero Activity data'!AR8*EF!$H7)*kgtoGg)</f>
        <v>390.78606081827786</v>
      </c>
      <c r="Z919" s="93">
        <f>IF('Net zero activities &amp; levers'!$C$12="Off",('Activity data'!AS8*EF!$H7)*kgtoGg,('Net zero Activity data'!AS8*EF!$H7)*kgtoGg)</f>
        <v>394.02311080220409</v>
      </c>
      <c r="AA919" s="93">
        <f>IF('Net zero activities &amp; levers'!$C$12="Off",('Activity data'!AT8*EF!$H7)*kgtoGg,('Net zero Activity data'!AT8*EF!$H7)*kgtoGg)</f>
        <v>398.47662182088436</v>
      </c>
      <c r="AB919" s="93">
        <f>IF('Net zero activities &amp; levers'!$C$12="Off",('Activity data'!AU8*EF!$H7)*kgtoGg,('Net zero Activity data'!AU8*EF!$H7)*kgtoGg)</f>
        <v>405.00014152902594</v>
      </c>
      <c r="AC919" s="93">
        <f>IF('Net zero activities &amp; levers'!$C$12="Off",('Activity data'!AV8*EF!$H7)*kgtoGg,('Net zero Activity data'!AV8*EF!$H7)*kgtoGg)</f>
        <v>413.40943063236716</v>
      </c>
      <c r="AD919" s="93">
        <f>IF('Net zero activities &amp; levers'!$C$12="Off",('Activity data'!AW8*EF!$H7)*kgtoGg,('Net zero Activity data'!AW8*EF!$H7)*kgtoGg)</f>
        <v>419.27234556371411</v>
      </c>
      <c r="AE919" s="93">
        <f>IF('Net zero activities &amp; levers'!$C$12="Off",('Activity data'!AX8*EF!$H7)*kgtoGg,('Net zero Activity data'!AX8*EF!$H7)*kgtoGg)</f>
        <v>425.8278376253316</v>
      </c>
      <c r="AF919" s="93">
        <f>IF('Net zero activities &amp; levers'!$C$12="Off",('Activity data'!AY8*EF!$H7)*kgtoGg,('Net zero Activity data'!AY8*EF!$H7)*kgtoGg)</f>
        <v>432.58187641621225</v>
      </c>
      <c r="AG919" s="93">
        <f>IF('Net zero activities &amp; levers'!$C$12="Off",('Activity data'!AZ8*EF!$H7)*kgtoGg,('Net zero Activity data'!AZ8*EF!$H7)*kgtoGg)</f>
        <v>439.68449510593507</v>
      </c>
      <c r="AH919" s="93">
        <f>IF('Net zero activities &amp; levers'!$C$12="Off",('Activity data'!BA8*EF!$H7)*kgtoGg,('Net zero Activity data'!BA8*EF!$H7)*kgtoGg)</f>
        <v>446.893496347981</v>
      </c>
      <c r="AI919" s="93">
        <f>IF('Net zero activities &amp; levers'!$C$12="Off",('Activity data'!BB8*EF!$H7)*kgtoGg,('Net zero Activity data'!BB8*EF!$H7)*kgtoGg)</f>
        <v>453.4765954958275</v>
      </c>
      <c r="AJ919" s="93">
        <f>IF('Net zero activities &amp; levers'!$C$12="Off",('Activity data'!BC8*EF!$H7)*kgtoGg,('Net zero Activity data'!BC8*EF!$H7)*kgtoGg)</f>
        <v>460.42055689435347</v>
      </c>
      <c r="AK919" s="93">
        <f>IF('Net zero activities &amp; levers'!$C$12="Off",('Activity data'!BD8*EF!$H7)*kgtoGg,('Net zero Activity data'!BD8*EF!$H7)*kgtoGg)</f>
        <v>467.05009656830129</v>
      </c>
      <c r="AL919" s="93">
        <f>IF('Net zero activities &amp; levers'!$C$12="Off",('Activity data'!BE8*EF!$H7)*kgtoGg,('Net zero Activity data'!BE8*EF!$H7)*kgtoGg)</f>
        <v>473.30134622451675</v>
      </c>
      <c r="AM919" s="93">
        <f>IF('Net zero activities &amp; levers'!$C$12="Off",('Activity data'!BF8*EF!$H7)*kgtoGg,('Net zero Activity data'!BF8*EF!$H7)*kgtoGg)</f>
        <v>479.44152386893921</v>
      </c>
      <c r="AN919" s="93">
        <f>IF('Net zero activities &amp; levers'!$C$12="Off",('Activity data'!BG8*EF!$H7)*kgtoGg,('Net zero Activity data'!BG8*EF!$H7)*kgtoGg)</f>
        <v>487.2386202384439</v>
      </c>
      <c r="AO919" s="93">
        <f>IF('Net zero activities &amp; levers'!$C$12="Off",('Activity data'!BH8*EF!$H7)*kgtoGg,('Net zero Activity data'!BH8*EF!$H7)*kgtoGg)</f>
        <v>495.30323443397566</v>
      </c>
      <c r="AP919" s="93">
        <f>IF('Net zero activities &amp; levers'!$C$12="Off",('Activity data'!BI8*EF!$H7)*kgtoGg,('Net zero Activity data'!BI8*EF!$H7)*kgtoGg)</f>
        <v>503.92844355873905</v>
      </c>
      <c r="AQ919" s="93">
        <f>IF('Net zero activities &amp; levers'!$C$12="Off",('Activity data'!BJ8*EF!$H7)*kgtoGg,('Net zero Activity data'!BJ8*EF!$H7)*kgtoGg)</f>
        <v>512.52009483394647</v>
      </c>
      <c r="AR919" s="93">
        <f>IF('Net zero activities &amp; levers'!$C$12="Off",('Activity data'!BK8*EF!$H7)*kgtoGg,('Net zero Activity data'!BK8*EF!$H7)*kgtoGg)</f>
        <v>521.08933970994713</v>
      </c>
      <c r="AS919" s="93">
        <f>IF('Net zero activities &amp; levers'!$C$12="Off",('Activity data'!BL8*EF!$H7)*kgtoGg,('Net zero Activity data'!BL8*EF!$H7)*kgtoGg)</f>
        <v>530.19934966432822</v>
      </c>
      <c r="AT919" s="93">
        <f>IF('Net zero activities &amp; levers'!$C$12="Off",('Activity data'!BM8*EF!$H7)*kgtoGg,('Net zero Activity data'!BM8*EF!$H7)*kgtoGg)</f>
        <v>539.61424355839688</v>
      </c>
      <c r="AU919" s="93">
        <f>IF('Net zero activities &amp; levers'!$C$12="Off",('Activity data'!BN8*EF!$H7)*kgtoGg,('Net zero Activity data'!BN8*EF!$H7)*kgtoGg)</f>
        <v>549.17033444464153</v>
      </c>
      <c r="AV919" s="93">
        <f>IF('Net zero activities &amp; levers'!$C$12="Off",('Activity data'!BO8*EF!$H7)*kgtoGg,('Net zero Activity data'!BO8*EF!$H7)*kgtoGg)</f>
        <v>559.19282207144863</v>
      </c>
      <c r="AW919" s="93">
        <f>IF('Net zero activities &amp; levers'!$C$12="Off",('Activity data'!BP8*EF!$H7)*kgtoGg,('Net zero Activity data'!BP8*EF!$H7)*kgtoGg)</f>
        <v>567.59543120119042</v>
      </c>
      <c r="AY919" s="79"/>
      <c r="AZ919" s="79"/>
    </row>
    <row r="920" spans="1:52" x14ac:dyDescent="0.25">
      <c r="A920" s="95" t="str">
        <f t="shared" si="326"/>
        <v>DS Cattle</v>
      </c>
      <c r="B920" s="95" t="s">
        <v>973</v>
      </c>
      <c r="C920" s="95" t="s">
        <v>1107</v>
      </c>
      <c r="D920" t="s">
        <v>15</v>
      </c>
      <c r="E920" t="s">
        <v>16</v>
      </c>
      <c r="F920" t="s">
        <v>67</v>
      </c>
      <c r="G920" t="s">
        <v>123</v>
      </c>
      <c r="H920" t="s">
        <v>1019</v>
      </c>
      <c r="I920" t="s">
        <v>121</v>
      </c>
      <c r="J920" t="s">
        <v>286</v>
      </c>
      <c r="K920" s="93">
        <f>IF('Net zero activities &amp; levers'!$C$12="Off",('Activity data'!AD9*EF!$H8)*kgtoGg,('Net zero Activity data'!AD9*EF!$H8)*kgtoGg)</f>
        <v>326.20040935577725</v>
      </c>
      <c r="L920" s="93">
        <f>IF('Net zero activities &amp; levers'!$C$12="Off",('Activity data'!AE9*EF!$H8)*kgtoGg,('Net zero Activity data'!AE9*EF!$H8)*kgtoGg)</f>
        <v>323.37137738012308</v>
      </c>
      <c r="M920" s="93">
        <f>IF('Net zero activities &amp; levers'!$C$12="Off",('Activity data'!AF9*EF!$H8)*kgtoGg,('Net zero Activity data'!AF9*EF!$H8)*kgtoGg)</f>
        <v>322.29445054900742</v>
      </c>
      <c r="N920" s="93">
        <f>IF('Net zero activities &amp; levers'!$C$12="Off",('Activity data'!AG9*EF!$H8)*kgtoGg,('Net zero Activity data'!AG9*EF!$H8)*kgtoGg)</f>
        <v>317.99063003627219</v>
      </c>
      <c r="O920" s="93">
        <f>IF('Net zero activities &amp; levers'!$C$12="Off",('Activity data'!AH9*EF!$H8)*kgtoGg,('Net zero Activity data'!AH9*EF!$H8)*kgtoGg)</f>
        <v>311.74352945546775</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260.12544437470751</v>
      </c>
      <c r="T920" s="93">
        <f>IF('Net zero activities &amp; levers'!$C$12="Off",('Activity data'!AM9*EF!$H8)*kgtoGg,('Net zero Activity data'!AM9*EF!$H8)*kgtoGg)</f>
        <v>272.56212037461688</v>
      </c>
      <c r="U920" s="93">
        <f>IF('Net zero activities &amp; levers'!$C$12="Off",('Activity data'!AN9*EF!$H8)*kgtoGg,('Net zero Activity data'!AN9*EF!$H8)*kgtoGg)</f>
        <v>276.86769999918118</v>
      </c>
      <c r="V920" s="93">
        <f>IF('Net zero activities &amp; levers'!$C$12="Off",('Activity data'!AO9*EF!$H8)*kgtoGg,('Net zero Activity data'!AO9*EF!$H8)*kgtoGg)</f>
        <v>274.99793673186855</v>
      </c>
      <c r="W920" s="93">
        <f>IF('Net zero activities &amp; levers'!$C$12="Off",('Activity data'!AP9*EF!$H8)*kgtoGg,('Net zero Activity data'!AP9*EF!$H8)*kgtoGg)</f>
        <v>273.47701596957364</v>
      </c>
      <c r="X920" s="93">
        <f>IF('Net zero activities &amp; levers'!$C$12="Off",('Activity data'!AQ9*EF!$H8)*kgtoGg,('Net zero Activity data'!AQ9*EF!$H8)*kgtoGg)</f>
        <v>273.5769236836698</v>
      </c>
      <c r="Y920" s="93">
        <f>IF('Net zero activities &amp; levers'!$C$12="Off",('Activity data'!AR9*EF!$H8)*kgtoGg,('Net zero Activity data'!AR9*EF!$H8)*kgtoGg)</f>
        <v>275.18338830375563</v>
      </c>
      <c r="Z920" s="93">
        <f>IF('Net zero activities &amp; levers'!$C$12="Off",('Activity data'!AS9*EF!$H8)*kgtoGg,('Net zero Activity data'!AS9*EF!$H8)*kgtoGg)</f>
        <v>277.46285134504268</v>
      </c>
      <c r="AA920" s="93">
        <f>IF('Net zero activities &amp; levers'!$C$12="Off",('Activity data'!AT9*EF!$H8)*kgtoGg,('Net zero Activity data'!AT9*EF!$H8)*kgtoGg)</f>
        <v>280.59892085940152</v>
      </c>
      <c r="AB920" s="93">
        <f>IF('Net zero activities &amp; levers'!$C$12="Off",('Activity data'!AU9*EF!$H8)*kgtoGg,('Net zero Activity data'!AU9*EF!$H8)*kgtoGg)</f>
        <v>285.19264729169487</v>
      </c>
      <c r="AC920" s="93">
        <f>IF('Net zero activities &amp; levers'!$C$12="Off",('Activity data'!AV9*EF!$H8)*kgtoGg,('Net zero Activity data'!AV9*EF!$H8)*kgtoGg)</f>
        <v>291.11429317598692</v>
      </c>
      <c r="AD920" s="93">
        <f>IF('Net zero activities &amp; levers'!$C$12="Off",('Activity data'!AW9*EF!$H8)*kgtoGg,('Net zero Activity data'!AW9*EF!$H8)*kgtoGg)</f>
        <v>295.24283551131606</v>
      </c>
      <c r="AE920" s="93">
        <f>IF('Net zero activities &amp; levers'!$C$12="Off",('Activity data'!AX9*EF!$H8)*kgtoGg,('Net zero Activity data'!AX9*EF!$H8)*kgtoGg)</f>
        <v>299.85907620766255</v>
      </c>
      <c r="AF920" s="93">
        <f>IF('Net zero activities &amp; levers'!$C$12="Off",('Activity data'!AY9*EF!$H8)*kgtoGg,('Net zero Activity data'!AY9*EF!$H8)*kgtoGg)</f>
        <v>304.61512936707601</v>
      </c>
      <c r="AG920" s="93">
        <f>IF('Net zero activities &amp; levers'!$C$12="Off",('Activity data'!AZ9*EF!$H8)*kgtoGg,('Net zero Activity data'!AZ9*EF!$H8)*kgtoGg)</f>
        <v>309.61664521637437</v>
      </c>
      <c r="AH920" s="93">
        <f>IF('Net zero activities &amp; levers'!$C$12="Off",('Activity data'!BA9*EF!$H8)*kgtoGg,('Net zero Activity data'!BA9*EF!$H8)*kgtoGg)</f>
        <v>314.69307343880962</v>
      </c>
      <c r="AI920" s="93">
        <f>IF('Net zero activities &amp; levers'!$C$12="Off",('Activity data'!BB9*EF!$H8)*kgtoGg,('Net zero Activity data'!BB9*EF!$H8)*kgtoGg)</f>
        <v>319.32875446911731</v>
      </c>
      <c r="AJ920" s="93">
        <f>IF('Net zero activities &amp; levers'!$C$12="Off",('Activity data'!BC9*EF!$H8)*kgtoGg,('Net zero Activity data'!BC9*EF!$H8)*kgtoGg)</f>
        <v>324.21854716514042</v>
      </c>
      <c r="AK920" s="93">
        <f>IF('Net zero activities &amp; levers'!$C$12="Off",('Activity data'!BD9*EF!$H8)*kgtoGg,('Net zero Activity data'!BD9*EF!$H8)*kgtoGg)</f>
        <v>328.88693064471261</v>
      </c>
      <c r="AL920" s="93">
        <f>IF('Net zero activities &amp; levers'!$C$12="Off",('Activity data'!BE9*EF!$H8)*kgtoGg,('Net zero Activity data'!BE9*EF!$H8)*kgtoGg)</f>
        <v>333.28893018872913</v>
      </c>
      <c r="AM920" s="93">
        <f>IF('Net zero activities &amp; levers'!$C$12="Off",('Activity data'!BF9*EF!$H8)*kgtoGg,('Net zero Activity data'!BF9*EF!$H8)*kgtoGg)</f>
        <v>337.61271514011941</v>
      </c>
      <c r="AN920" s="93">
        <f>IF('Net zero activities &amp; levers'!$C$12="Off",('Activity data'!BG9*EF!$H8)*kgtoGg,('Net zero Activity data'!BG9*EF!$H8)*kgtoGg)</f>
        <v>343.10326767773648</v>
      </c>
      <c r="AO920" s="93">
        <f>IF('Net zero activities &amp; levers'!$C$12="Off",('Activity data'!BH9*EF!$H8)*kgtoGg,('Net zero Activity data'!BH9*EF!$H8)*kgtoGg)</f>
        <v>348.78220068533165</v>
      </c>
      <c r="AP920" s="93">
        <f>IF('Net zero activities &amp; levers'!$C$12="Off",('Activity data'!BI9*EF!$H8)*kgtoGg,('Net zero Activity data'!BI9*EF!$H8)*kgtoGg)</f>
        <v>354.85589294244767</v>
      </c>
      <c r="AQ920" s="93">
        <f>IF('Net zero activities &amp; levers'!$C$12="Off",('Activity data'!BJ9*EF!$H8)*kgtoGg,('Net zero Activity data'!BJ9*EF!$H8)*kgtoGg)</f>
        <v>360.90595446226047</v>
      </c>
      <c r="AR920" s="93">
        <f>IF('Net zero activities &amp; levers'!$C$12="Off",('Activity data'!BK9*EF!$H8)*kgtoGg,('Net zero Activity data'!BK9*EF!$H8)*kgtoGg)</f>
        <v>366.94023786337442</v>
      </c>
      <c r="AS920" s="93">
        <f>IF('Net zero activities &amp; levers'!$C$12="Off",('Activity data'!BL9*EF!$H8)*kgtoGg,('Net zero Activity data'!BL9*EF!$H8)*kgtoGg)</f>
        <v>373.35531674688991</v>
      </c>
      <c r="AT920" s="93">
        <f>IF('Net zero activities &amp; levers'!$C$12="Off",('Activity data'!BM9*EF!$H8)*kgtoGg,('Net zero Activity data'!BM9*EF!$H8)*kgtoGg)</f>
        <v>379.98508853779043</v>
      </c>
      <c r="AU920" s="93">
        <f>IF('Net zero activities &amp; levers'!$C$12="Off",('Activity data'!BN9*EF!$H8)*kgtoGg,('Net zero Activity data'!BN9*EF!$H8)*kgtoGg)</f>
        <v>386.71428830379313</v>
      </c>
      <c r="AV920" s="93">
        <f>IF('Net zero activities &amp; levers'!$C$12="Off",('Activity data'!BO9*EF!$H8)*kgtoGg,('Net zero Activity data'!BO9*EF!$H8)*kgtoGg)</f>
        <v>393.77191492077668</v>
      </c>
      <c r="AW920" s="93">
        <f>IF('Net zero activities &amp; levers'!$C$12="Off",('Activity data'!BP9*EF!$H8)*kgtoGg,('Net zero Activity data'!BP9*EF!$H8)*kgtoGg)</f>
        <v>399.6888569070714</v>
      </c>
      <c r="AY920" s="79"/>
      <c r="AZ920" s="79"/>
    </row>
    <row r="921" spans="1:52" x14ac:dyDescent="0.25">
      <c r="A921" s="95" t="str">
        <f t="shared" si="326"/>
        <v>DS Cattle</v>
      </c>
      <c r="B921" s="95" t="s">
        <v>973</v>
      </c>
      <c r="C921" s="95" t="s">
        <v>1107</v>
      </c>
      <c r="D921" t="s">
        <v>15</v>
      </c>
      <c r="E921" t="s">
        <v>16</v>
      </c>
      <c r="F921" t="s">
        <v>67</v>
      </c>
      <c r="G921" t="s">
        <v>135</v>
      </c>
      <c r="H921" t="s">
        <v>1019</v>
      </c>
      <c r="I921" t="s">
        <v>121</v>
      </c>
      <c r="J921" t="s">
        <v>286</v>
      </c>
      <c r="K921" s="93">
        <f>IF('Net zero activities &amp; levers'!$C$12="Off",('Activity data'!AD10*EF!$H9)*kgtoGg,('Net zero Activity data'!AD10*EF!$H9)*kgtoGg)</f>
        <v>31.891995988947254</v>
      </c>
      <c r="L921" s="93">
        <f>IF('Net zero activities &amp; levers'!$C$12="Off",('Activity data'!AE10*EF!$H9)*kgtoGg,('Net zero Activity data'!AE10*EF!$H9)*kgtoGg)</f>
        <v>32.967337371253521</v>
      </c>
      <c r="M921" s="93">
        <f>IF('Net zero activities &amp; levers'!$C$12="Off",('Activity data'!AF10*EF!$H9)*kgtoGg,('Net zero Activity data'!AF10*EF!$H9)*kgtoGg)</f>
        <v>34.243655078433662</v>
      </c>
      <c r="N921" s="93">
        <f>IF('Net zero activities &amp; levers'!$C$12="Off",('Activity data'!AG10*EF!$H9)*kgtoGg,('Net zero Activity data'!AG10*EF!$H9)*kgtoGg)</f>
        <v>35.195504797614646</v>
      </c>
      <c r="O921" s="93">
        <f>IF('Net zero activities &amp; levers'!$C$12="Off",('Activity data'!AH10*EF!$H9)*kgtoGg,('Net zero Activity data'!AH10*EF!$H9)*kgtoGg)</f>
        <v>35.929559405213325</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35.164164958187662</v>
      </c>
      <c r="T921" s="93">
        <f>IF('Net zero activities &amp; levers'!$C$12="Off",('Activity data'!AM10*EF!$H9)*kgtoGg,('Net zero Activity data'!AM10*EF!$H9)*kgtoGg)</f>
        <v>37.733078614995847</v>
      </c>
      <c r="U921" s="93">
        <f>IF('Net zero activities &amp; levers'!$C$12="Off",('Activity data'!AN10*EF!$H9)*kgtoGg,('Net zero Activity data'!AN10*EF!$H9)*kgtoGg)</f>
        <v>39.239907769283455</v>
      </c>
      <c r="V921" s="93">
        <f>IF('Net zero activities &amp; levers'!$C$12="Off",('Activity data'!AO10*EF!$H9)*kgtoGg,('Net zero Activity data'!AO10*EF!$H9)*kgtoGg)</f>
        <v>39.889255441564949</v>
      </c>
      <c r="W921" s="93">
        <f>IF('Net zero activities &amp; levers'!$C$12="Off",('Activity data'!AP10*EF!$H9)*kgtoGg,('Net zero Activity data'!AP10*EF!$H9)*kgtoGg)</f>
        <v>40.588307761995488</v>
      </c>
      <c r="X921" s="93">
        <f>IF('Net zero activities &amp; levers'!$C$12="Off",('Activity data'!AQ10*EF!$H9)*kgtoGg,('Net zero Activity data'!AQ10*EF!$H9)*kgtoGg)</f>
        <v>41.534201946049016</v>
      </c>
      <c r="Y921" s="93">
        <f>IF('Net zero activities &amp; levers'!$C$12="Off",('Activity data'!AR10*EF!$H9)*kgtoGg,('Net zero Activity data'!AR10*EF!$H9)*kgtoGg)</f>
        <v>42.726423600286481</v>
      </c>
      <c r="Z921" s="93">
        <f>IF('Net zero activities &amp; levers'!$C$12="Off",('Activity data'!AS10*EF!$H9)*kgtoGg,('Net zero Activity data'!AS10*EF!$H9)*kgtoGg)</f>
        <v>44.049081565207047</v>
      </c>
      <c r="AA921" s="93">
        <f>IF('Net zero activities &amp; levers'!$C$12="Off",('Activity data'!AT10*EF!$H9)*kgtoGg,('Net zero Activity data'!AT10*EF!$H9)*kgtoGg)</f>
        <v>45.539986739615941</v>
      </c>
      <c r="AB921" s="93">
        <f>IF('Net zero activities &amp; levers'!$C$12="Off",('Activity data'!AU10*EF!$H9)*kgtoGg,('Net zero Activity data'!AU10*EF!$H9)*kgtoGg)</f>
        <v>47.309041836934135</v>
      </c>
      <c r="AC921" s="93">
        <f>IF('Net zero activities &amp; levers'!$C$12="Off",('Activity data'!AV10*EF!$H9)*kgtoGg,('Net zero Activity data'!AV10*EF!$H9)*kgtoGg)</f>
        <v>49.351300675084218</v>
      </c>
      <c r="AD921" s="93">
        <f>IF('Net zero activities &amp; levers'!$C$12="Off",('Activity data'!AW10*EF!$H9)*kgtoGg,('Net zero Activity data'!AW10*EF!$H9)*kgtoGg)</f>
        <v>51.711027137708825</v>
      </c>
      <c r="AE921" s="93">
        <f>IF('Net zero activities &amp; levers'!$C$12="Off",('Activity data'!AX10*EF!$H9)*kgtoGg,('Net zero Activity data'!AX10*EF!$H9)*kgtoGg)</f>
        <v>54.264579364554088</v>
      </c>
      <c r="AF921" s="93">
        <f>IF('Net zero activities &amp; levers'!$C$12="Off",('Activity data'!AY10*EF!$H9)*kgtoGg,('Net zero Activity data'!AY10*EF!$H9)*kgtoGg)</f>
        <v>56.961553434617372</v>
      </c>
      <c r="AG921" s="93">
        <f>IF('Net zero activities &amp; levers'!$C$12="Off",('Activity data'!AZ10*EF!$H9)*kgtoGg,('Net zero Activity data'!AZ10*EF!$H9)*kgtoGg)</f>
        <v>59.831551165418354</v>
      </c>
      <c r="AH921" s="93">
        <f>IF('Net zero activities &amp; levers'!$C$12="Off",('Activity data'!BA10*EF!$H9)*kgtoGg,('Net zero Activity data'!BA10*EF!$H9)*kgtoGg)</f>
        <v>62.852420493056009</v>
      </c>
      <c r="AI921" s="93">
        <f>IF('Net zero activities &amp; levers'!$C$12="Off",('Activity data'!BB10*EF!$H9)*kgtoGg,('Net zero Activity data'!BB10*EF!$H9)*kgtoGg)</f>
        <v>65.927060453070922</v>
      </c>
      <c r="AJ921" s="93">
        <f>IF('Net zero activities &amp; levers'!$C$12="Off",('Activity data'!BC10*EF!$H9)*kgtoGg,('Net zero Activity data'!BC10*EF!$H9)*kgtoGg)</f>
        <v>69.203040648572085</v>
      </c>
      <c r="AK921" s="93">
        <f>IF('Net zero activities &amp; levers'!$C$12="Off",('Activity data'!BD10*EF!$H9)*kgtoGg,('Net zero Activity data'!BD10*EF!$H9)*kgtoGg)</f>
        <v>72.58973333609724</v>
      </c>
      <c r="AL921" s="93">
        <f>IF('Net zero activities &amp; levers'!$C$12="Off",('Activity data'!BE10*EF!$H9)*kgtoGg,('Net zero Activity data'!BE10*EF!$H9)*kgtoGg)</f>
        <v>76.081547595026791</v>
      </c>
      <c r="AM921" s="93">
        <f>IF('Net zero activities &amp; levers'!$C$12="Off",('Activity data'!BF10*EF!$H9)*kgtoGg,('Net zero Activity data'!BF10*EF!$H9)*kgtoGg)</f>
        <v>79.726894187226051</v>
      </c>
      <c r="AN921" s="93">
        <f>IF('Net zero activities &amp; levers'!$C$12="Off",('Activity data'!BG10*EF!$H9)*kgtoGg,('Net zero Activity data'!BG10*EF!$H9)*kgtoGg)</f>
        <v>83.3095791235083</v>
      </c>
      <c r="AO921" s="93">
        <f>IF('Net zero activities &amp; levers'!$C$12="Off",('Activity data'!BH10*EF!$H9)*kgtoGg,('Net zero Activity data'!BH10*EF!$H9)*kgtoGg)</f>
        <v>87.086258080455181</v>
      </c>
      <c r="AP921" s="93">
        <f>IF('Net zero activities &amp; levers'!$C$12="Off",('Activity data'!BI10*EF!$H9)*kgtoGg,('Net zero Activity data'!BI10*EF!$H9)*kgtoGg)</f>
        <v>91.121139259350954</v>
      </c>
      <c r="AQ921" s="93">
        <f>IF('Net zero activities &amp; levers'!$C$12="Off",('Activity data'!BJ10*EF!$H9)*kgtoGg,('Net zero Activity data'!BJ10*EF!$H9)*kgtoGg)</f>
        <v>95.32019758274437</v>
      </c>
      <c r="AR921" s="93">
        <f>IF('Net zero activities &amp; levers'!$C$12="Off",('Activity data'!BK10*EF!$H9)*kgtoGg,('Net zero Activity data'!BK10*EF!$H9)*kgtoGg)</f>
        <v>99.693624550303667</v>
      </c>
      <c r="AS921" s="93">
        <f>IF('Net zero activities &amp; levers'!$C$12="Off",('Activity data'!BL10*EF!$H9)*kgtoGg,('Net zero Activity data'!BL10*EF!$H9)*kgtoGg)</f>
        <v>104.36104732075913</v>
      </c>
      <c r="AT921" s="93">
        <f>IF('Net zero activities &amp; levers'!$C$12="Off",('Activity data'!BM10*EF!$H9)*kgtoGg,('Net zero Activity data'!BM10*EF!$H9)*kgtoGg)</f>
        <v>109.29369918471791</v>
      </c>
      <c r="AU921" s="93">
        <f>IF('Net zero activities &amp; levers'!$C$12="Off",('Activity data'!BN10*EF!$H9)*kgtoGg,('Net zero Activity data'!BN10*EF!$H9)*kgtoGg)</f>
        <v>114.47360844232533</v>
      </c>
      <c r="AV921" s="93">
        <f>IF('Net zero activities &amp; levers'!$C$12="Off",('Activity data'!BO10*EF!$H9)*kgtoGg,('Net zero Activity data'!BO10*EF!$H9)*kgtoGg)</f>
        <v>119.9848328319804</v>
      </c>
      <c r="AW921" s="93">
        <f>IF('Net zero activities &amp; levers'!$C$12="Off",('Activity data'!BP10*EF!$H9)*kgtoGg,('Net zero Activity data'!BP10*EF!$H9)*kgtoGg)</f>
        <v>125.38797876262088</v>
      </c>
      <c r="AY921" s="79"/>
      <c r="AZ921" s="79"/>
    </row>
    <row r="922" spans="1:52" x14ac:dyDescent="0.25">
      <c r="A922" s="95" t="str">
        <f t="shared" si="326"/>
        <v>DS Sheep</v>
      </c>
      <c r="B922" s="95" t="s">
        <v>973</v>
      </c>
      <c r="C922" s="95" t="s">
        <v>152</v>
      </c>
      <c r="D922" t="s">
        <v>15</v>
      </c>
      <c r="E922" t="s">
        <v>16</v>
      </c>
      <c r="F922" t="s">
        <v>18</v>
      </c>
      <c r="G922" t="s">
        <v>122</v>
      </c>
      <c r="H922" t="s">
        <v>1019</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134.514372062219</v>
      </c>
      <c r="T922" s="93">
        <f>IF('Net zero activities &amp; levers'!$C$12="Off",('Activity data'!AM11*EF!$H10)*kgtoGg,('Net zero Activity data'!AM11*EF!$H10)*kgtoGg)</f>
        <v>134.61119272537138</v>
      </c>
      <c r="U922" s="93">
        <f>IF('Net zero activities &amp; levers'!$C$12="Off",('Activity data'!AN11*EF!$H10)*kgtoGg,('Net zero Activity data'!AN11*EF!$H10)*kgtoGg)</f>
        <v>134.57715264233437</v>
      </c>
      <c r="V922" s="93">
        <f>IF('Net zero activities &amp; levers'!$C$12="Off",('Activity data'!AO11*EF!$H10)*kgtoGg,('Net zero Activity data'!AO11*EF!$H10)*kgtoGg)</f>
        <v>134.57470202786035</v>
      </c>
      <c r="W922" s="93">
        <f>IF('Net zero activities &amp; levers'!$C$12="Off",('Activity data'!AP11*EF!$H10)*kgtoGg,('Net zero Activity data'!AP11*EF!$H10)*kgtoGg)</f>
        <v>134.71744668818661</v>
      </c>
      <c r="X922" s="93">
        <f>IF('Net zero activities &amp; levers'!$C$12="Off",('Activity data'!AQ11*EF!$H10)*kgtoGg,('Net zero Activity data'!AQ11*EF!$H10)*kgtoGg)</f>
        <v>134.95106147738375</v>
      </c>
      <c r="Y922" s="93">
        <f>IF('Net zero activities &amp; levers'!$C$12="Off",('Activity data'!AR11*EF!$H10)*kgtoGg,('Net zero Activity data'!AR11*EF!$H10)*kgtoGg)</f>
        <v>135.17521745945572</v>
      </c>
      <c r="Z922" s="93">
        <f>IF('Net zero activities &amp; levers'!$C$12="Off",('Activity data'!AS11*EF!$H10)*kgtoGg,('Net zero Activity data'!AS11*EF!$H10)*kgtoGg)</f>
        <v>135.39063780811901</v>
      </c>
      <c r="AA922" s="93">
        <f>IF('Net zero activities &amp; levers'!$C$12="Off",('Activity data'!AT11*EF!$H10)*kgtoGg,('Net zero Activity data'!AT11*EF!$H10)*kgtoGg)</f>
        <v>135.59702853009694</v>
      </c>
      <c r="AB922" s="93">
        <f>IF('Net zero activities &amp; levers'!$C$12="Off",('Activity data'!AU11*EF!$H10)*kgtoGg,('Net zero Activity data'!AU11*EF!$H10)*kgtoGg)</f>
        <v>135.7986907607312</v>
      </c>
      <c r="AC922" s="93">
        <f>IF('Net zero activities &amp; levers'!$C$12="Off",('Activity data'!AV11*EF!$H10)*kgtoGg,('Net zero Activity data'!AV11*EF!$H10)*kgtoGg)</f>
        <v>135.99857025620054</v>
      </c>
      <c r="AD922" s="93">
        <f>IF('Net zero activities &amp; levers'!$C$12="Off",('Activity data'!AW11*EF!$H10)*kgtoGg,('Net zero Activity data'!AW11*EF!$H10)*kgtoGg)</f>
        <v>136.19466148301387</v>
      </c>
      <c r="AE922" s="93">
        <f>IF('Net zero activities &amp; levers'!$C$12="Off",('Activity data'!AX11*EF!$H10)*kgtoGg,('Net zero Activity data'!AX11*EF!$H10)*kgtoGg)</f>
        <v>136.38978391312594</v>
      </c>
      <c r="AF922" s="93">
        <f>IF('Net zero activities &amp; levers'!$C$12="Off",('Activity data'!AY11*EF!$H10)*kgtoGg,('Net zero Activity data'!AY11*EF!$H10)*kgtoGg)</f>
        <v>136.58332287316895</v>
      </c>
      <c r="AG922" s="93">
        <f>IF('Net zero activities &amp; levers'!$C$12="Off",('Activity data'!AZ11*EF!$H10)*kgtoGg,('Net zero Activity data'!AZ11*EF!$H10)*kgtoGg)</f>
        <v>136.77372760735147</v>
      </c>
      <c r="AH922" s="93">
        <f>IF('Net zero activities &amp; levers'!$C$12="Off",('Activity data'!BA11*EF!$H10)*kgtoGg,('Net zero Activity data'!BA11*EF!$H10)*kgtoGg)</f>
        <v>136.96183641513412</v>
      </c>
      <c r="AI922" s="93">
        <f>IF('Net zero activities &amp; levers'!$C$12="Off",('Activity data'!BB11*EF!$H10)*kgtoGg,('Net zero Activity data'!BB11*EF!$H10)*kgtoGg)</f>
        <v>137.1478500354736</v>
      </c>
      <c r="AJ922" s="93">
        <f>IF('Net zero activities &amp; levers'!$C$12="Off",('Activity data'!BC11*EF!$H10)*kgtoGg,('Net zero Activity data'!BC11*EF!$H10)*kgtoGg)</f>
        <v>137.33239997388901</v>
      </c>
      <c r="AK922" s="93">
        <f>IF('Net zero activities &amp; levers'!$C$12="Off",('Activity data'!BD11*EF!$H10)*kgtoGg,('Net zero Activity data'!BD11*EF!$H10)*kgtoGg)</f>
        <v>137.50983936953097</v>
      </c>
      <c r="AL922" s="93">
        <f>IF('Net zero activities &amp; levers'!$C$12="Off",('Activity data'!BE11*EF!$H10)*kgtoGg,('Net zero Activity data'!BE11*EF!$H10)*kgtoGg)</f>
        <v>137.67996062186128</v>
      </c>
      <c r="AM922" s="93">
        <f>IF('Net zero activities &amp; levers'!$C$12="Off",('Activity data'!BF11*EF!$H10)*kgtoGg,('Net zero Activity data'!BF11*EF!$H10)*kgtoGg)</f>
        <v>137.84435369829882</v>
      </c>
      <c r="AN922" s="93">
        <f>IF('Net zero activities &amp; levers'!$C$12="Off",('Activity data'!BG11*EF!$H10)*kgtoGg,('Net zero Activity data'!BG11*EF!$H10)*kgtoGg)</f>
        <v>138.00175275471773</v>
      </c>
      <c r="AO922" s="93">
        <f>IF('Net zero activities &amp; levers'!$C$12="Off",('Activity data'!BH11*EF!$H10)*kgtoGg,('Net zero Activity data'!BH11*EF!$H10)*kgtoGg)</f>
        <v>138.15244332532626</v>
      </c>
      <c r="AP922" s="93">
        <f>IF('Net zero activities &amp; levers'!$C$12="Off",('Activity data'!BI11*EF!$H10)*kgtoGg,('Net zero Activity data'!BI11*EF!$H10)*kgtoGg)</f>
        <v>138.29574669703695</v>
      </c>
      <c r="AQ922" s="93">
        <f>IF('Net zero activities &amp; levers'!$C$12="Off",('Activity data'!BJ11*EF!$H10)*kgtoGg,('Net zero Activity data'!BJ11*EF!$H10)*kgtoGg)</f>
        <v>138.4296121873767</v>
      </c>
      <c r="AR922" s="93">
        <f>IF('Net zero activities &amp; levers'!$C$12="Off",('Activity data'!BK11*EF!$H10)*kgtoGg,('Net zero Activity data'!BK11*EF!$H10)*kgtoGg)</f>
        <v>138.55213947392693</v>
      </c>
      <c r="AS922" s="93">
        <f>IF('Net zero activities &amp; levers'!$C$12="Off",('Activity data'!BL11*EF!$H10)*kgtoGg,('Net zero Activity data'!BL11*EF!$H10)*kgtoGg)</f>
        <v>138.66320476976824</v>
      </c>
      <c r="AT922" s="93">
        <f>IF('Net zero activities &amp; levers'!$C$12="Off",('Activity data'!BM11*EF!$H10)*kgtoGg,('Net zero Activity data'!BM11*EF!$H10)*kgtoGg)</f>
        <v>138.76195815463774</v>
      </c>
      <c r="AU922" s="93">
        <f>IF('Net zero activities &amp; levers'!$C$12="Off",('Activity data'!BN11*EF!$H10)*kgtoGg,('Net zero Activity data'!BN11*EF!$H10)*kgtoGg)</f>
        <v>138.84835200114654</v>
      </c>
      <c r="AV922" s="93">
        <f>IF('Net zero activities &amp; levers'!$C$12="Off",('Activity data'!BO11*EF!$H10)*kgtoGg,('Net zero Activity data'!BO11*EF!$H10)*kgtoGg)</f>
        <v>138.92403962400931</v>
      </c>
      <c r="AW922" s="93">
        <f>IF('Net zero activities &amp; levers'!$C$12="Off",('Activity data'!BP11*EF!$H10)*kgtoGg,('Net zero Activity data'!BP11*EF!$H10)*kgtoGg)</f>
        <v>138.97919020206226</v>
      </c>
      <c r="AY922" s="79"/>
      <c r="AZ922" s="79"/>
    </row>
    <row r="923" spans="1:52" x14ac:dyDescent="0.25">
      <c r="A923" s="95" t="str">
        <f t="shared" si="326"/>
        <v>DS Sheep</v>
      </c>
      <c r="B923" s="95" t="s">
        <v>973</v>
      </c>
      <c r="C923" s="95" t="s">
        <v>152</v>
      </c>
      <c r="D923" t="s">
        <v>15</v>
      </c>
      <c r="E923" t="s">
        <v>16</v>
      </c>
      <c r="F923" t="s">
        <v>18</v>
      </c>
      <c r="G923" t="s">
        <v>123</v>
      </c>
      <c r="H923" t="s">
        <v>1019</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14.577835829783805</v>
      </c>
      <c r="T923" s="93">
        <f>IF('Net zero activities &amp; levers'!$C$12="Off",('Activity data'!AM12*EF!$H11)*kgtoGg,('Net zero Activity data'!AM12*EF!$H11)*kgtoGg)</f>
        <v>14.588328654533516</v>
      </c>
      <c r="U923" s="93">
        <f>IF('Net zero activities &amp; levers'!$C$12="Off",('Activity data'!AN12*EF!$H11)*kgtoGg,('Net zero Activity data'!AN12*EF!$H11)*kgtoGg)</f>
        <v>14.584639600832128</v>
      </c>
      <c r="V923" s="93">
        <f>IF('Net zero activities &amp; levers'!$C$12="Off",('Activity data'!AO12*EF!$H11)*kgtoGg,('Net zero Activity data'!AO12*EF!$H11)*kgtoGg)</f>
        <v>14.584374018389626</v>
      </c>
      <c r="W923" s="93">
        <f>IF('Net zero activities &amp; levers'!$C$12="Off",('Activity data'!AP12*EF!$H11)*kgtoGg,('Net zero Activity data'!AP12*EF!$H11)*kgtoGg)</f>
        <v>14.599843801966744</v>
      </c>
      <c r="X923" s="93">
        <f>IF('Net zero activities &amp; levers'!$C$12="Off",('Activity data'!AQ12*EF!$H11)*kgtoGg,('Net zero Activity data'!AQ12*EF!$H11)*kgtoGg)</f>
        <v>14.625161528185249</v>
      </c>
      <c r="Y923" s="93">
        <f>IF('Net zero activities &amp; levers'!$C$12="Off",('Activity data'!AR12*EF!$H11)*kgtoGg,('Net zero Activity data'!AR12*EF!$H11)*kgtoGg)</f>
        <v>14.649454167379202</v>
      </c>
      <c r="Z923" s="93">
        <f>IF('Net zero activities &amp; levers'!$C$12="Off",('Activity data'!AS12*EF!$H11)*kgtoGg,('Net zero Activity data'!AS12*EF!$H11)*kgtoGg)</f>
        <v>14.672800092644023</v>
      </c>
      <c r="AA923" s="93">
        <f>IF('Net zero activities &amp; levers'!$C$12="Off",('Activity data'!AT12*EF!$H11)*kgtoGg,('Net zero Activity data'!AT12*EF!$H11)*kgtoGg)</f>
        <v>14.695167442806378</v>
      </c>
      <c r="AB923" s="93">
        <f>IF('Net zero activities &amp; levers'!$C$12="Off",('Activity data'!AU12*EF!$H11)*kgtoGg,('Net zero Activity data'!AU12*EF!$H11)*kgtoGg)</f>
        <v>14.717022348317101</v>
      </c>
      <c r="AC923" s="93">
        <f>IF('Net zero activities &amp; levers'!$C$12="Off",('Activity data'!AV12*EF!$H11)*kgtoGg,('Net zero Activity data'!AV12*EF!$H11)*kgtoGg)</f>
        <v>14.738684052014786</v>
      </c>
      <c r="AD923" s="93">
        <f>IF('Net zero activities &amp; levers'!$C$12="Off",('Activity data'!AW12*EF!$H11)*kgtoGg,('Net zero Activity data'!AW12*EF!$H11)*kgtoGg)</f>
        <v>14.759935206581549</v>
      </c>
      <c r="AE923" s="93">
        <f>IF('Net zero activities &amp; levers'!$C$12="Off",('Activity data'!AX12*EF!$H11)*kgtoGg,('Net zero Activity data'!AX12*EF!$H11)*kgtoGg)</f>
        <v>14.781081368952709</v>
      </c>
      <c r="AF923" s="93">
        <f>IF('Net zero activities &amp; levers'!$C$12="Off",('Activity data'!AY12*EF!$H11)*kgtoGg,('Net zero Activity data'!AY12*EF!$H11)*kgtoGg)</f>
        <v>14.802055924629695</v>
      </c>
      <c r="AG923" s="93">
        <f>IF('Net zero activities &amp; levers'!$C$12="Off",('Activity data'!AZ12*EF!$H11)*kgtoGg,('Net zero Activity data'!AZ12*EF!$H11)*kgtoGg)</f>
        <v>14.822690812289457</v>
      </c>
      <c r="AH923" s="93">
        <f>IF('Net zero activities &amp; levers'!$C$12="Off",('Activity data'!BA12*EF!$H11)*kgtoGg,('Net zero Activity data'!BA12*EF!$H11)*kgtoGg)</f>
        <v>14.843076881643613</v>
      </c>
      <c r="AI923" s="93">
        <f>IF('Net zero activities &amp; levers'!$C$12="Off",('Activity data'!BB12*EF!$H11)*kgtoGg,('Net zero Activity data'!BB12*EF!$H11)*kgtoGg)</f>
        <v>14.863235887538975</v>
      </c>
      <c r="AJ923" s="93">
        <f>IF('Net zero activities &amp; levers'!$C$12="Off",('Activity data'!BC12*EF!$H11)*kgtoGg,('Net zero Activity data'!BC12*EF!$H11)*kgtoGg)</f>
        <v>14.883236268638564</v>
      </c>
      <c r="AK923" s="93">
        <f>IF('Net zero activities &amp; levers'!$C$12="Off",('Activity data'!BD12*EF!$H11)*kgtoGg,('Net zero Activity data'!BD12*EF!$H11)*kgtoGg)</f>
        <v>14.902466053082772</v>
      </c>
      <c r="AL923" s="93">
        <f>IF('Net zero activities &amp; levers'!$C$12="Off",('Activity data'!BE12*EF!$H11)*kgtoGg,('Net zero Activity data'!BE12*EF!$H11)*kgtoGg)</f>
        <v>14.920902742409034</v>
      </c>
      <c r="AM923" s="93">
        <f>IF('Net zero activities &amp; levers'!$C$12="Off",('Activity data'!BF12*EF!$H11)*kgtoGg,('Net zero Activity data'!BF12*EF!$H11)*kgtoGg)</f>
        <v>14.938718647454118</v>
      </c>
      <c r="AN923" s="93">
        <f>IF('Net zero activities &amp; levers'!$C$12="Off",('Activity data'!BG12*EF!$H11)*kgtoGg,('Net zero Activity data'!BG12*EF!$H11)*kgtoGg)</f>
        <v>14.95577658385943</v>
      </c>
      <c r="AO923" s="93">
        <f>IF('Net zero activities &amp; levers'!$C$12="Off",('Activity data'!BH12*EF!$H11)*kgtoGg,('Net zero Activity data'!BH12*EF!$H11)*kgtoGg)</f>
        <v>14.972107496056765</v>
      </c>
      <c r="AP923" s="93">
        <f>IF('Net zero activities &amp; levers'!$C$12="Off",('Activity data'!BI12*EF!$H11)*kgtoGg,('Net zero Activity data'!BI12*EF!$H11)*kgtoGg)</f>
        <v>14.98763782931875</v>
      </c>
      <c r="AQ923" s="93">
        <f>IF('Net zero activities &amp; levers'!$C$12="Off",('Activity data'!BJ12*EF!$H11)*kgtoGg,('Net zero Activity data'!BJ12*EF!$H11)*kgtoGg)</f>
        <v>15.002145343360027</v>
      </c>
      <c r="AR923" s="93">
        <f>IF('Net zero activities &amp; levers'!$C$12="Off",('Activity data'!BK12*EF!$H11)*kgtoGg,('Net zero Activity data'!BK12*EF!$H11)*kgtoGg)</f>
        <v>15.015424092988152</v>
      </c>
      <c r="AS923" s="93">
        <f>IF('Net zero activities &amp; levers'!$C$12="Off",('Activity data'!BL12*EF!$H11)*kgtoGg,('Net zero Activity data'!BL12*EF!$H11)*kgtoGg)</f>
        <v>15.027460662942268</v>
      </c>
      <c r="AT923" s="93">
        <f>IF('Net zero activities &amp; levers'!$C$12="Off",('Activity data'!BM12*EF!$H11)*kgtoGg,('Net zero Activity data'!BM12*EF!$H11)*kgtoGg)</f>
        <v>15.038162944120053</v>
      </c>
      <c r="AU923" s="93">
        <f>IF('Net zero activities &amp; levers'!$C$12="Off",('Activity data'!BN12*EF!$H11)*kgtoGg,('Net zero Activity data'!BN12*EF!$H11)*kgtoGg)</f>
        <v>15.047525774959613</v>
      </c>
      <c r="AV923" s="93">
        <f>IF('Net zero activities &amp; levers'!$C$12="Off",('Activity data'!BO12*EF!$H11)*kgtoGg,('Net zero Activity data'!BO12*EF!$H11)*kgtoGg)</f>
        <v>15.055728331485913</v>
      </c>
      <c r="AW923" s="93">
        <f>IF('Net zero activities &amp; levers'!$C$12="Off",('Activity data'!BP12*EF!$H11)*kgtoGg,('Net zero Activity data'!BP12*EF!$H11)*kgtoGg)</f>
        <v>15.061705210093363</v>
      </c>
      <c r="AY923" s="79"/>
      <c r="AZ923" s="79"/>
    </row>
    <row r="924" spans="1:52" x14ac:dyDescent="0.25">
      <c r="A924" s="95" t="str">
        <f t="shared" si="326"/>
        <v>DS Goats</v>
      </c>
      <c r="B924" s="95" t="s">
        <v>973</v>
      </c>
      <c r="C924" s="95" t="s">
        <v>153</v>
      </c>
      <c r="D924" t="s">
        <v>15</v>
      </c>
      <c r="E924" t="s">
        <v>16</v>
      </c>
      <c r="F924" t="s">
        <v>19</v>
      </c>
      <c r="G924" t="s">
        <v>122</v>
      </c>
      <c r="H924" t="s">
        <v>1019</v>
      </c>
      <c r="I924" t="s">
        <v>121</v>
      </c>
      <c r="J924" t="s">
        <v>286</v>
      </c>
      <c r="K924" s="27">
        <f t="shared" ref="K924:Z927" si="329">K1387</f>
        <v>15.123414197798356</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15.545788610572219</v>
      </c>
      <c r="R924" s="27">
        <f t="shared" si="329"/>
        <v>15.648067752449878</v>
      </c>
      <c r="S924" s="27">
        <f t="shared" si="329"/>
        <v>15.609698922895241</v>
      </c>
      <c r="T924" s="27">
        <f t="shared" si="329"/>
        <v>15.636532010302831</v>
      </c>
      <c r="U924" s="27">
        <f t="shared" si="329"/>
        <v>15.639135853628233</v>
      </c>
      <c r="V924" s="27">
        <f t="shared" si="329"/>
        <v>15.646294761850147</v>
      </c>
      <c r="W924" s="27">
        <f t="shared" si="329"/>
        <v>15.677946241783271</v>
      </c>
      <c r="X924" s="27">
        <f t="shared" si="329"/>
        <v>15.724503798989753</v>
      </c>
      <c r="Y924" s="27">
        <f t="shared" si="329"/>
        <v>15.768451676063824</v>
      </c>
      <c r="Z924" s="27">
        <f t="shared" si="329"/>
        <v>15.809996509627668</v>
      </c>
      <c r="AA924" s="27">
        <f t="shared" ref="L924:AW927" si="330">AA1387</f>
        <v>15.849159564668597</v>
      </c>
      <c r="AB924" s="27">
        <f t="shared" si="330"/>
        <v>15.886751198222623</v>
      </c>
      <c r="AC924" s="27">
        <f t="shared" si="330"/>
        <v>15.923335433500936</v>
      </c>
      <c r="AD924" s="27">
        <f t="shared" si="330"/>
        <v>15.958613587829067</v>
      </c>
      <c r="AE924" s="27">
        <f t="shared" si="330"/>
        <v>15.993115538730159</v>
      </c>
      <c r="AF924" s="27">
        <f t="shared" si="330"/>
        <v>16.026773849205178</v>
      </c>
      <c r="AG924" s="27">
        <f t="shared" si="330"/>
        <v>16.059358210664367</v>
      </c>
      <c r="AH924" s="27">
        <f t="shared" si="330"/>
        <v>16.091045965246145</v>
      </c>
      <c r="AI924" s="27">
        <f t="shared" si="330"/>
        <v>16.121901844149729</v>
      </c>
      <c r="AJ924" s="27">
        <f t="shared" si="330"/>
        <v>16.152061326115707</v>
      </c>
      <c r="AK924" s="27">
        <f t="shared" si="330"/>
        <v>16.180589301116473</v>
      </c>
      <c r="AL924" s="27">
        <f t="shared" si="330"/>
        <v>16.207479025870157</v>
      </c>
      <c r="AM924" s="27">
        <f t="shared" si="330"/>
        <v>16.233026710727977</v>
      </c>
      <c r="AN924" s="27">
        <f t="shared" si="330"/>
        <v>16.257041914334369</v>
      </c>
      <c r="AO924" s="27">
        <f t="shared" si="330"/>
        <v>16.279596122288691</v>
      </c>
      <c r="AP924" s="27">
        <f t="shared" si="330"/>
        <v>16.300596548995752</v>
      </c>
      <c r="AQ924" s="27">
        <f t="shared" si="330"/>
        <v>16.31971904310852</v>
      </c>
      <c r="AR924" s="27">
        <f t="shared" si="330"/>
        <v>16.336665838044137</v>
      </c>
      <c r="AS924" s="27">
        <f t="shared" si="330"/>
        <v>16.351438090046905</v>
      </c>
      <c r="AT924" s="27">
        <f t="shared" si="330"/>
        <v>16.363914421549605</v>
      </c>
      <c r="AU924" s="27">
        <f t="shared" si="330"/>
        <v>16.374107486259209</v>
      </c>
      <c r="AV924" s="27">
        <f t="shared" si="330"/>
        <v>16.382312930249284</v>
      </c>
      <c r="AW924" s="27">
        <f t="shared" si="330"/>
        <v>16.386910096993194</v>
      </c>
      <c r="AY924" s="79"/>
      <c r="AZ924" s="79"/>
    </row>
    <row r="925" spans="1:52" x14ac:dyDescent="0.25">
      <c r="A925" s="95" t="str">
        <f t="shared" si="326"/>
        <v>DS Goats</v>
      </c>
      <c r="B925" s="95" t="s">
        <v>973</v>
      </c>
      <c r="C925" s="95" t="s">
        <v>153</v>
      </c>
      <c r="D925" t="s">
        <v>15</v>
      </c>
      <c r="E925" t="s">
        <v>16</v>
      </c>
      <c r="F925" t="s">
        <v>19</v>
      </c>
      <c r="G925" t="s">
        <v>123</v>
      </c>
      <c r="H925" t="s">
        <v>1019</v>
      </c>
      <c r="I925" t="s">
        <v>121</v>
      </c>
      <c r="J925" t="s">
        <v>286</v>
      </c>
      <c r="K925" s="27">
        <f t="shared" si="329"/>
        <v>22.381101687842737</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23.100753199022172</v>
      </c>
      <c r="T925" s="27">
        <f t="shared" si="330"/>
        <v>23.140463415909274</v>
      </c>
      <c r="U925" s="27">
        <f t="shared" si="330"/>
        <v>23.144316836934628</v>
      </c>
      <c r="V925" s="27">
        <f t="shared" si="330"/>
        <v>23.154911286758789</v>
      </c>
      <c r="W925" s="27">
        <f t="shared" si="330"/>
        <v>23.201752230324114</v>
      </c>
      <c r="X925" s="27">
        <f t="shared" si="330"/>
        <v>23.270652639223016</v>
      </c>
      <c r="Y925" s="27">
        <f t="shared" si="330"/>
        <v>23.335690989220911</v>
      </c>
      <c r="Z925" s="27">
        <f t="shared" si="330"/>
        <v>23.397173081322329</v>
      </c>
      <c r="AA925" s="27">
        <f t="shared" si="330"/>
        <v>23.455130385527173</v>
      </c>
      <c r="AB925" s="27">
        <f t="shared" si="330"/>
        <v>23.510762147124183</v>
      </c>
      <c r="AC925" s="27">
        <f t="shared" si="330"/>
        <v>23.564903062609726</v>
      </c>
      <c r="AD925" s="27">
        <f t="shared" si="330"/>
        <v>23.617111112263775</v>
      </c>
      <c r="AE925" s="27">
        <f t="shared" si="330"/>
        <v>23.668170460466953</v>
      </c>
      <c r="AF925" s="27">
        <f t="shared" si="330"/>
        <v>23.717981307378224</v>
      </c>
      <c r="AG925" s="27">
        <f t="shared" si="330"/>
        <v>23.766202819909285</v>
      </c>
      <c r="AH925" s="27">
        <f t="shared" si="330"/>
        <v>23.813097446233641</v>
      </c>
      <c r="AI925" s="27">
        <f t="shared" si="330"/>
        <v>23.858760981886149</v>
      </c>
      <c r="AJ925" s="27">
        <f t="shared" si="330"/>
        <v>23.903393921505796</v>
      </c>
      <c r="AK925" s="27">
        <f t="shared" si="330"/>
        <v>23.94561239817315</v>
      </c>
      <c r="AL925" s="27">
        <f t="shared" si="330"/>
        <v>23.985406432522741</v>
      </c>
      <c r="AM925" s="27">
        <f t="shared" si="330"/>
        <v>24.023214385489801</v>
      </c>
      <c r="AN925" s="27">
        <f t="shared" si="330"/>
        <v>24.058754423403148</v>
      </c>
      <c r="AO925" s="27">
        <f t="shared" si="330"/>
        <v>24.092132337616977</v>
      </c>
      <c r="AP925" s="27">
        <f t="shared" si="330"/>
        <v>24.123210814968164</v>
      </c>
      <c r="AQ925" s="27">
        <f t="shared" si="330"/>
        <v>24.151510144713775</v>
      </c>
      <c r="AR925" s="27">
        <f t="shared" si="330"/>
        <v>24.176589662855413</v>
      </c>
      <c r="AS925" s="27">
        <f t="shared" si="330"/>
        <v>24.198451080516016</v>
      </c>
      <c r="AT925" s="27">
        <f t="shared" si="330"/>
        <v>24.21691477134674</v>
      </c>
      <c r="AU925" s="27">
        <f t="shared" si="330"/>
        <v>24.231999461535917</v>
      </c>
      <c r="AV925" s="27">
        <f t="shared" si="330"/>
        <v>24.244142676945735</v>
      </c>
      <c r="AW925" s="27">
        <f t="shared" si="330"/>
        <v>24.250946012159979</v>
      </c>
      <c r="AY925" s="79"/>
      <c r="AZ925" s="79"/>
    </row>
    <row r="926" spans="1:52" x14ac:dyDescent="0.25">
      <c r="A926" s="95" t="str">
        <f t="shared" si="326"/>
        <v>DS Horses</v>
      </c>
      <c r="B926" s="95" t="s">
        <v>973</v>
      </c>
      <c r="C926" s="95" t="s">
        <v>3</v>
      </c>
      <c r="D926" t="s">
        <v>15</v>
      </c>
      <c r="E926" t="s">
        <v>16</v>
      </c>
      <c r="F926" t="s">
        <v>20</v>
      </c>
      <c r="G926" t="s">
        <v>3</v>
      </c>
      <c r="H926" t="s">
        <v>1019</v>
      </c>
      <c r="I926" t="s">
        <v>121</v>
      </c>
      <c r="J926" t="s">
        <v>286</v>
      </c>
      <c r="K926" s="27">
        <f t="shared" si="329"/>
        <v>5.5526214800767892</v>
      </c>
      <c r="L926" s="27">
        <f t="shared" si="330"/>
        <v>5.579523571019652</v>
      </c>
      <c r="M926" s="27">
        <f t="shared" si="330"/>
        <v>5.6203482259438013</v>
      </c>
      <c r="N926" s="27">
        <f t="shared" si="330"/>
        <v>5.629075655008374</v>
      </c>
      <c r="O926" s="27">
        <f t="shared" si="330"/>
        <v>5.6165815405282276</v>
      </c>
      <c r="P926" s="27">
        <f t="shared" si="330"/>
        <v>5.5833231296706103</v>
      </c>
      <c r="Q926" s="27">
        <f t="shared" si="330"/>
        <v>5.5648827699457346</v>
      </c>
      <c r="R926" s="27">
        <f t="shared" si="330"/>
        <v>5.5483103177944031</v>
      </c>
      <c r="S926" s="27">
        <f t="shared" si="330"/>
        <v>5.2971852508905934</v>
      </c>
      <c r="T926" s="27">
        <f t="shared" si="330"/>
        <v>5.4545032105207021</v>
      </c>
      <c r="U926" s="27">
        <f t="shared" si="330"/>
        <v>5.5329638064801401</v>
      </c>
      <c r="V926" s="27">
        <f t="shared" si="330"/>
        <v>5.544813640469159</v>
      </c>
      <c r="W926" s="27">
        <f t="shared" si="330"/>
        <v>5.5552394312209037</v>
      </c>
      <c r="X926" s="27">
        <f t="shared" si="330"/>
        <v>5.5805371243140618</v>
      </c>
      <c r="Y926" s="27">
        <f t="shared" si="330"/>
        <v>5.6237182797404808</v>
      </c>
      <c r="Z926" s="27">
        <f t="shared" si="330"/>
        <v>5.6758191216830927</v>
      </c>
      <c r="AA926" s="27">
        <f t="shared" si="330"/>
        <v>5.7392036522982304</v>
      </c>
      <c r="AB926" s="27">
        <f t="shared" si="330"/>
        <v>5.8209863133515896</v>
      </c>
      <c r="AC926" s="27">
        <f t="shared" si="330"/>
        <v>5.9200988769206573</v>
      </c>
      <c r="AD926" s="27">
        <f t="shared" si="330"/>
        <v>6.0298529321871719</v>
      </c>
      <c r="AE926" s="27">
        <f t="shared" si="330"/>
        <v>6.1497995952254207</v>
      </c>
      <c r="AF926" s="27">
        <f t="shared" si="330"/>
        <v>6.2762315807434783</v>
      </c>
      <c r="AG926" s="27">
        <f t="shared" si="330"/>
        <v>6.4109152413607369</v>
      </c>
      <c r="AH926" s="27">
        <f t="shared" si="330"/>
        <v>6.552086974601302</v>
      </c>
      <c r="AI926" s="27">
        <f t="shared" si="330"/>
        <v>6.6933077398392395</v>
      </c>
      <c r="AJ926" s="27">
        <f t="shared" si="330"/>
        <v>6.8438679121481307</v>
      </c>
      <c r="AK926" s="27">
        <f t="shared" si="330"/>
        <v>6.9980784680830306</v>
      </c>
      <c r="AL926" s="27">
        <f t="shared" si="330"/>
        <v>7.1555200224058177</v>
      </c>
      <c r="AM926" s="27">
        <f t="shared" si="330"/>
        <v>7.3189945558292679</v>
      </c>
      <c r="AN926" s="27">
        <f t="shared" si="330"/>
        <v>7.4816205294730294</v>
      </c>
      <c r="AO926" s="27">
        <f t="shared" si="330"/>
        <v>7.6530966093944661</v>
      </c>
      <c r="AP926" s="27">
        <f t="shared" si="330"/>
        <v>7.8370750081366163</v>
      </c>
      <c r="AQ926" s="27">
        <f t="shared" si="330"/>
        <v>8.0278701064246079</v>
      </c>
      <c r="AR926" s="27">
        <f t="shared" si="330"/>
        <v>8.2260903165664789</v>
      </c>
      <c r="AS926" s="27">
        <f t="shared" si="330"/>
        <v>8.4385648916420113</v>
      </c>
      <c r="AT926" s="27">
        <f t="shared" si="330"/>
        <v>8.6634503637197486</v>
      </c>
      <c r="AU926" s="27">
        <f t="shared" si="330"/>
        <v>8.8995458740132776</v>
      </c>
      <c r="AV926" s="27">
        <f t="shared" si="330"/>
        <v>9.151348341874078</v>
      </c>
      <c r="AW926" s="27">
        <f t="shared" si="330"/>
        <v>9.3946927055732683</v>
      </c>
      <c r="AY926" s="79"/>
      <c r="AZ926" s="79"/>
    </row>
    <row r="927" spans="1:52" x14ac:dyDescent="0.25">
      <c r="A927" s="95" t="str">
        <f t="shared" si="326"/>
        <v>DS Mules&amp;Asses</v>
      </c>
      <c r="B927" s="95" t="s">
        <v>973</v>
      </c>
      <c r="C927" s="95" t="s">
        <v>1322</v>
      </c>
      <c r="D927" t="s">
        <v>15</v>
      </c>
      <c r="E927" t="s">
        <v>16</v>
      </c>
      <c r="F927" t="s">
        <v>140</v>
      </c>
      <c r="G927" t="s">
        <v>124</v>
      </c>
      <c r="H927" t="s">
        <v>1019</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5">
      <c r="A928" s="95" t="str">
        <f t="shared" si="326"/>
        <v>DS Swine</v>
      </c>
      <c r="B928" s="95" t="s">
        <v>973</v>
      </c>
      <c r="C928" s="95" t="s">
        <v>155</v>
      </c>
      <c r="D928" t="s">
        <v>15</v>
      </c>
      <c r="E928" t="s">
        <v>16</v>
      </c>
      <c r="F928" t="s">
        <v>21</v>
      </c>
      <c r="G928" t="s">
        <v>122</v>
      </c>
      <c r="H928" t="s">
        <v>1019</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1.8300977880312248</v>
      </c>
      <c r="M928" s="93">
        <f>IF('Net zero activities &amp; levers'!$C$12="Off",('Activity data'!AF17*EF!$H16)*kgtoGg,('Net zero Activity data'!AF17*EF!$H16)*kgtoGg)</f>
        <v>1.8309187348828144</v>
      </c>
      <c r="N928" s="93">
        <f>IF('Net zero activities &amp; levers'!$C$12="Off",('Activity data'!AG17*EF!$H16)*kgtoGg,('Net zero Activity data'!AG17*EF!$H16)*kgtoGg)</f>
        <v>1.8141094978660446</v>
      </c>
      <c r="O928" s="93">
        <f>IF('Net zero activities &amp; levers'!$C$12="Off",('Activity data'!AH17*EF!$H16)*kgtoGg,('Net zero Activity data'!AH17*EF!$H16)*kgtoGg)</f>
        <v>1.7866561368117291</v>
      </c>
      <c r="P928" s="93">
        <f>IF('Net zero activities &amp; levers'!$C$12="Off",('Activity data'!AI17*EF!$H16)*kgtoGg,('Net zero Activity data'!AI17*EF!$H16)*kgtoGg)</f>
        <v>1.7489975228040082</v>
      </c>
      <c r="Q928" s="93">
        <f>IF('Net zero activities &amp; levers'!$C$12="Off",('Activity data'!AJ17*EF!$H16)*kgtoGg,('Net zero Activity data'!AJ17*EF!$H16)*kgtoGg)</f>
        <v>1.7216531928010093</v>
      </c>
      <c r="R928" s="93">
        <f>IF('Net zero activities &amp; levers'!$C$12="Off",('Activity data'!AK17*EF!$H16)*kgtoGg,('Net zero Activity data'!AK17*EF!$H16)*kgtoGg)</f>
        <v>1.6967284692901876</v>
      </c>
      <c r="S928" s="93">
        <f>IF('Net zero activities &amp; levers'!$C$12="Off",('Activity data'!AL17*EF!$H16)*kgtoGg,('Net zero Activity data'!AL17*EF!$H16)*kgtoGg)</f>
        <v>1.524204734718916</v>
      </c>
      <c r="T928" s="93">
        <f>IF('Net zero activities &amp; levers'!$C$12="Off",('Activity data'!AM17*EF!$H16)*kgtoGg,('Net zero Activity data'!AM17*EF!$H16)*kgtoGg)</f>
        <v>1.593081714161948</v>
      </c>
      <c r="U928" s="93">
        <f>IF('Net zero activities &amp; levers'!$C$12="Off",('Activity data'!AN17*EF!$H16)*kgtoGg,('Net zero Activity data'!AN17*EF!$H16)*kgtoGg)</f>
        <v>1.6139052959558671</v>
      </c>
      <c r="V928" s="93">
        <f>IF('Net zero activities &amp; levers'!$C$12="Off",('Activity data'!AO17*EF!$H16)*kgtoGg,('Net zero Activity data'!AO17*EF!$H16)*kgtoGg)</f>
        <v>1.5979776175047269</v>
      </c>
      <c r="W928" s="93">
        <f>IF('Net zero activities &amp; levers'!$C$12="Off",('Activity data'!AP17*EF!$H16)*kgtoGg,('Net zero Activity data'!AP17*EF!$H16)*kgtoGg)</f>
        <v>1.5839693089985563</v>
      </c>
      <c r="X928" s="93">
        <f>IF('Net zero activities &amp; levers'!$C$12="Off",('Activity data'!AQ17*EF!$H16)*kgtoGg,('Net zero Activity data'!AQ17*EF!$H16)*kgtoGg)</f>
        <v>1.5796400354975273</v>
      </c>
      <c r="Y928" s="93">
        <f>IF('Net zero activities &amp; levers'!$C$12="Off",('Activity data'!AR17*EF!$H16)*kgtoGg,('Net zero Activity data'!AR17*EF!$H16)*kgtoGg)</f>
        <v>1.5846136319816619</v>
      </c>
      <c r="Z928" s="93">
        <f>IF('Net zero activities &amp; levers'!$C$12="Off",('Activity data'!AS17*EF!$H16)*kgtoGg,('Net zero Activity data'!AS17*EF!$H16)*kgtoGg)</f>
        <v>1.5938774465709915</v>
      </c>
      <c r="AA928" s="93">
        <f>IF('Net zero activities &amp; levers'!$C$12="Off",('Activity data'!AT17*EF!$H16)*kgtoGg,('Net zero Activity data'!AT17*EF!$H16)*kgtoGg)</f>
        <v>1.6084883569821753</v>
      </c>
      <c r="AB928" s="93">
        <f>IF('Net zero activities &amp; levers'!$C$12="Off",('Activity data'!AU17*EF!$H16)*kgtoGg,('Net zero Activity data'!AU17*EF!$H16)*kgtoGg)</f>
        <v>1.6319593485428836</v>
      </c>
      <c r="AC928" s="93">
        <f>IF('Net zero activities &amp; levers'!$C$12="Off",('Activity data'!AV17*EF!$H16)*kgtoGg,('Net zero Activity data'!AV17*EF!$H16)*kgtoGg)</f>
        <v>1.6634709540368702</v>
      </c>
      <c r="AD928" s="93">
        <f>IF('Net zero activities &amp; levers'!$C$12="Off",('Activity data'!AW17*EF!$H16)*kgtoGg,('Net zero Activity data'!AW17*EF!$H16)*kgtoGg)</f>
        <v>1.6993359016898217</v>
      </c>
      <c r="AE928" s="93">
        <f>IF('Net zero activities &amp; levers'!$C$12="Off",('Activity data'!AX17*EF!$H16)*kgtoGg,('Net zero Activity data'!AX17*EF!$H16)*kgtoGg)</f>
        <v>1.7391981590716521</v>
      </c>
      <c r="AF928" s="93">
        <f>IF('Net zero activities &amp; levers'!$C$12="Off",('Activity data'!AY17*EF!$H16)*kgtoGg,('Net zero Activity data'!AY17*EF!$H16)*kgtoGg)</f>
        <v>1.7810637998476497</v>
      </c>
      <c r="AG928" s="93">
        <f>IF('Net zero activities &amp; levers'!$C$12="Off",('Activity data'!AZ17*EF!$H16)*kgtoGg,('Net zero Activity data'!AZ17*EF!$H16)*kgtoGg)</f>
        <v>1.8256518272462501</v>
      </c>
      <c r="AH928" s="93">
        <f>IF('Net zero activities &amp; levers'!$C$12="Off",('Activity data'!BA17*EF!$H16)*kgtoGg,('Net zero Activity data'!BA17*EF!$H16)*kgtoGg)</f>
        <v>1.8720011956576361</v>
      </c>
      <c r="AI928" s="93">
        <f>IF('Net zero activities &amp; levers'!$C$12="Off",('Activity data'!BB17*EF!$H16)*kgtoGg,('Net zero Activity data'!BB17*EF!$H16)*kgtoGg)</f>
        <v>1.9169799867438404</v>
      </c>
      <c r="AJ928" s="93">
        <f>IF('Net zero activities &amp; levers'!$C$12="Off",('Activity data'!BC17*EF!$H16)*kgtoGg,('Net zero Activity data'!BC17*EF!$H16)*kgtoGg)</f>
        <v>1.9649335737465348</v>
      </c>
      <c r="AK928" s="93">
        <f>IF('Net zero activities &amp; levers'!$C$12="Off",('Activity data'!BD17*EF!$H16)*kgtoGg,('Net zero Activity data'!BD17*EF!$H16)*kgtoGg)</f>
        <v>2.0129828074709066</v>
      </c>
      <c r="AL928" s="93">
        <f>IF('Net zero activities &amp; levers'!$C$12="Off",('Activity data'!BE17*EF!$H16)*kgtoGg,('Net zero Activity data'!BE17*EF!$H16)*kgtoGg)</f>
        <v>2.0608754146421031</v>
      </c>
      <c r="AM928" s="93">
        <f>IF('Net zero activities &amp; levers'!$C$12="Off",('Activity data'!BF17*EF!$H16)*kgtoGg,('Net zero Activity data'!BF17*EF!$H16)*kgtoGg)</f>
        <v>2.1098506270361996</v>
      </c>
      <c r="AN928" s="93">
        <f>IF('Net zero activities &amp; levers'!$C$12="Off",('Activity data'!BG17*EF!$H16)*kgtoGg,('Net zero Activity data'!BG17*EF!$H16)*kgtoGg)</f>
        <v>2.1567413105664199</v>
      </c>
      <c r="AO928" s="93">
        <f>IF('Net zero activities &amp; levers'!$C$12="Off",('Activity data'!BH17*EF!$H16)*kgtoGg,('Net zero Activity data'!BH17*EF!$H16)*kgtoGg)</f>
        <v>2.2058096743065145</v>
      </c>
      <c r="AP928" s="93">
        <f>IF('Net zero activities &amp; levers'!$C$12="Off",('Activity data'!BI17*EF!$H16)*kgtoGg,('Net zero Activity data'!BI17*EF!$H16)*kgtoGg)</f>
        <v>2.258470217432818</v>
      </c>
      <c r="AQ928" s="93">
        <f>IF('Net zero activities &amp; levers'!$C$12="Off",('Activity data'!BJ17*EF!$H16)*kgtoGg,('Net zero Activity data'!BJ17*EF!$H16)*kgtoGg)</f>
        <v>2.3120510725576544</v>
      </c>
      <c r="AR928" s="93">
        <f>IF('Net zero activities &amp; levers'!$C$12="Off",('Activity data'!BK17*EF!$H16)*kgtoGg,('Net zero Activity data'!BK17*EF!$H16)*kgtoGg)</f>
        <v>2.3666507440832505</v>
      </c>
      <c r="AS928" s="93">
        <f>IF('Net zero activities &amp; levers'!$C$12="Off",('Activity data'!BL17*EF!$H16)*kgtoGg,('Net zero Activity data'!BL17*EF!$H16)*kgtoGg)</f>
        <v>2.4249672048017872</v>
      </c>
      <c r="AT928" s="93">
        <f>IF('Net zero activities &amp; levers'!$C$12="Off",('Activity data'!BM17*EF!$H16)*kgtoGg,('Net zero Activity data'!BM17*EF!$H16)*kgtoGg)</f>
        <v>2.4859852344978988</v>
      </c>
      <c r="AU928" s="93">
        <f>IF('Net zero activities &amp; levers'!$C$12="Off",('Activity data'!BN17*EF!$H16)*kgtoGg,('Net zero Activity data'!BN17*EF!$H16)*kgtoGg)</f>
        <v>2.5490093093778539</v>
      </c>
      <c r="AV928" s="93">
        <f>IF('Net zero activities &amp; levers'!$C$12="Off",('Activity data'!BO17*EF!$H16)*kgtoGg,('Net zero Activity data'!BO17*EF!$H16)*kgtoGg)</f>
        <v>2.6156743076501083</v>
      </c>
      <c r="AW928" s="93">
        <f>IF('Net zero activities &amp; levers'!$C$12="Off",('Activity data'!BP17*EF!$H16)*kgtoGg,('Net zero Activity data'!BP17*EF!$H16)*kgtoGg)</f>
        <v>2.6760181986485878</v>
      </c>
      <c r="AY928" s="79"/>
      <c r="AZ928" s="79"/>
    </row>
    <row r="929" spans="1:52" x14ac:dyDescent="0.25">
      <c r="A929" s="95" t="str">
        <f t="shared" si="326"/>
        <v>DS Swine</v>
      </c>
      <c r="B929" s="95" t="s">
        <v>973</v>
      </c>
      <c r="C929" s="95" t="s">
        <v>155</v>
      </c>
      <c r="D929" t="s">
        <v>15</v>
      </c>
      <c r="E929" t="s">
        <v>16</v>
      </c>
      <c r="F929" t="s">
        <v>21</v>
      </c>
      <c r="G929" t="s">
        <v>123</v>
      </c>
      <c r="H929" t="s">
        <v>1019</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0.25358132281546891</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0.25136595935447836</v>
      </c>
      <c r="O929" s="93">
        <f>IF('Net zero activities &amp; levers'!$C$12="Off",('Activity data'!AH18*EF!$H17)*kgtoGg,('Net zero Activity data'!AH18*EF!$H17)*kgtoGg)</f>
        <v>0.24756197704412694</v>
      </c>
      <c r="P929" s="93">
        <f>IF('Net zero activities &amp; levers'!$C$12="Off",('Activity data'!AI18*EF!$H17)*kgtoGg,('Net zero Activity data'!AI18*EF!$H17)*kgtoGg)</f>
        <v>0.24234393830437845</v>
      </c>
      <c r="Q929" s="93">
        <f>IF('Net zero activities &amp; levers'!$C$12="Off",('Activity data'!AJ18*EF!$H17)*kgtoGg,('Net zero Activity data'!AJ18*EF!$H17)*kgtoGg)</f>
        <v>0.23855506351363698</v>
      </c>
      <c r="R929" s="93">
        <f>IF('Net zero activities &amp; levers'!$C$12="Off",('Activity data'!AK18*EF!$H17)*kgtoGg,('Net zero Activity data'!AK18*EF!$H17)*kgtoGg)</f>
        <v>0.2351014533295149</v>
      </c>
      <c r="S929" s="93">
        <f>IF('Net zero activities &amp; levers'!$C$12="Off",('Activity data'!AL18*EF!$H17)*kgtoGg,('Net zero Activity data'!AL18*EF!$H17)*kgtoGg)</f>
        <v>0.21119628437309981</v>
      </c>
      <c r="T929" s="93">
        <f>IF('Net zero activities &amp; levers'!$C$12="Off",('Activity data'!AM18*EF!$H17)*kgtoGg,('Net zero Activity data'!AM18*EF!$H17)*kgtoGg)</f>
        <v>0.22073999054712201</v>
      </c>
      <c r="U929" s="93">
        <f>IF('Net zero activities &amp; levers'!$C$12="Off",('Activity data'!AN18*EF!$H17)*kgtoGg,('Net zero Activity data'!AN18*EF!$H17)*kgtoGg)</f>
        <v>0.22362533987194619</v>
      </c>
      <c r="V929" s="93">
        <f>IF('Net zero activities &amp; levers'!$C$12="Off",('Activity data'!AO18*EF!$H17)*kgtoGg,('Net zero Activity data'!AO18*EF!$H17)*kgtoGg)</f>
        <v>0.22141837486852711</v>
      </c>
      <c r="W929" s="93">
        <f>IF('Net zero activities &amp; levers'!$C$12="Off",('Activity data'!AP18*EF!$H17)*kgtoGg,('Net zero Activity data'!AP18*EF!$H17)*kgtoGg)</f>
        <v>0.21947736088302675</v>
      </c>
      <c r="X929" s="93">
        <f>IF('Net zero activities &amp; levers'!$C$12="Off",('Activity data'!AQ18*EF!$H17)*kgtoGg,('Net zero Activity data'!AQ18*EF!$H17)*kgtoGg)</f>
        <v>0.2188774897130813</v>
      </c>
      <c r="Y929" s="93">
        <f>IF('Net zero activities &amp; levers'!$C$12="Off",('Activity data'!AR18*EF!$H17)*kgtoGg,('Net zero Activity data'!AR18*EF!$H17)*kgtoGg)</f>
        <v>0.21956663932237841</v>
      </c>
      <c r="Z929" s="93">
        <f>IF('Net zero activities &amp; levers'!$C$12="Off",('Activity data'!AS18*EF!$H17)*kgtoGg,('Net zero Activity data'!AS18*EF!$H17)*kgtoGg)</f>
        <v>0.22085024852252202</v>
      </c>
      <c r="AA929" s="93">
        <f>IF('Net zero activities &amp; levers'!$C$12="Off",('Activity data'!AT18*EF!$H17)*kgtoGg,('Net zero Activity data'!AT18*EF!$H17)*kgtoGg)</f>
        <v>0.22287476000701054</v>
      </c>
      <c r="AB929" s="93">
        <f>IF('Net zero activities &amp; levers'!$C$12="Off",('Activity data'!AU18*EF!$H17)*kgtoGg,('Net zero Activity data'!AU18*EF!$H17)*kgtoGg)</f>
        <v>0.22612693873028961</v>
      </c>
      <c r="AC929" s="93">
        <f>IF('Net zero activities &amp; levers'!$C$12="Off",('Activity data'!AV18*EF!$H17)*kgtoGg,('Net zero Activity data'!AV18*EF!$H17)*kgtoGg)</f>
        <v>0.23049323798351176</v>
      </c>
      <c r="AD929" s="93">
        <f>IF('Net zero activities &amp; levers'!$C$12="Off",('Activity data'!AW18*EF!$H17)*kgtoGg,('Net zero Activity data'!AW18*EF!$H17)*kgtoGg)</f>
        <v>0.23546274339902665</v>
      </c>
      <c r="AE929" s="93">
        <f>IF('Net zero activities &amp; levers'!$C$12="Off",('Activity data'!AX18*EF!$H17)*kgtoGg,('Net zero Activity data'!AX18*EF!$H17)*kgtoGg)</f>
        <v>0.24098612254488616</v>
      </c>
      <c r="AF929" s="93">
        <f>IF('Net zero activities &amp; levers'!$C$12="Off",('Activity data'!AY18*EF!$H17)*kgtoGg,('Net zero Activity data'!AY18*EF!$H17)*kgtoGg)</f>
        <v>0.24678709374867933</v>
      </c>
      <c r="AG929" s="93">
        <f>IF('Net zero activities &amp; levers'!$C$12="Off",('Activity data'!AZ18*EF!$H17)*kgtoGg,('Net zero Activity data'!AZ18*EF!$H17)*kgtoGg)</f>
        <v>0.25296528326588152</v>
      </c>
      <c r="AH929" s="93">
        <f>IF('Net zero activities &amp; levers'!$C$12="Off",('Activity data'!BA18*EF!$H17)*kgtoGg,('Net zero Activity data'!BA18*EF!$H17)*kgtoGg)</f>
        <v>0.25938752705541407</v>
      </c>
      <c r="AI929" s="93">
        <f>IF('Net zero activities &amp; levers'!$C$12="Off",('Activity data'!BB18*EF!$H17)*kgtoGg,('Net zero Activity data'!BB18*EF!$H17)*kgtoGg)</f>
        <v>0.26561986142403288</v>
      </c>
      <c r="AJ929" s="93">
        <f>IF('Net zero activities &amp; levers'!$C$12="Off",('Activity data'!BC18*EF!$H17)*kgtoGg,('Net zero Activity data'!BC18*EF!$H17)*kgtoGg)</f>
        <v>0.27226438834790373</v>
      </c>
      <c r="AK929" s="93">
        <f>IF('Net zero activities &amp; levers'!$C$12="Off",('Activity data'!BD18*EF!$H17)*kgtoGg,('Net zero Activity data'!BD18*EF!$H17)*kgtoGg)</f>
        <v>0.27892216823692451</v>
      </c>
      <c r="AL929" s="93">
        <f>IF('Net zero activities &amp; levers'!$C$12="Off",('Activity data'!BE18*EF!$H17)*kgtoGg,('Net zero Activity data'!BE18*EF!$H17)*kgtoGg)</f>
        <v>0.28555824569627086</v>
      </c>
      <c r="AM929" s="93">
        <f>IF('Net zero activities &amp; levers'!$C$12="Off",('Activity data'!BF18*EF!$H17)*kgtoGg,('Net zero Activity data'!BF18*EF!$H17)*kgtoGg)</f>
        <v>0.29234433069417909</v>
      </c>
      <c r="AN929" s="93">
        <f>IF('Net zero activities &amp; levers'!$C$12="Off",('Activity data'!BG18*EF!$H17)*kgtoGg,('Net zero Activity data'!BG18*EF!$H17)*kgtoGg)</f>
        <v>0.298841579986036</v>
      </c>
      <c r="AO929" s="93">
        <f>IF('Net zero activities &amp; levers'!$C$12="Off",('Activity data'!BH18*EF!$H17)*kgtoGg,('Net zero Activity data'!BH18*EF!$H17)*kgtoGg)</f>
        <v>0.30564057218578583</v>
      </c>
      <c r="AP929" s="93">
        <f>IF('Net zero activities &amp; levers'!$C$12="Off",('Activity data'!BI18*EF!$H17)*kgtoGg,('Net zero Activity data'!BI18*EF!$H17)*kgtoGg)</f>
        <v>0.3129373025973966</v>
      </c>
      <c r="AQ929" s="93">
        <f>IF('Net zero activities &amp; levers'!$C$12="Off",('Activity data'!BJ18*EF!$H17)*kgtoGg,('Net zero Activity data'!BJ18*EF!$H17)*kgtoGg)</f>
        <v>0.32036155293472796</v>
      </c>
      <c r="AR929" s="93">
        <f>IF('Net zero activities &amp; levers'!$C$12="Off",('Activity data'!BK18*EF!$H17)*kgtoGg,('Net zero Activity data'!BK18*EF!$H17)*kgtoGg)</f>
        <v>0.32792697212778937</v>
      </c>
      <c r="AS929" s="93">
        <f>IF('Net zero activities &amp; levers'!$C$12="Off",('Activity data'!BL18*EF!$H17)*kgtoGg,('Net zero Activity data'!BL18*EF!$H17)*kgtoGg)</f>
        <v>0.33600739566998233</v>
      </c>
      <c r="AT929" s="93">
        <f>IF('Net zero activities &amp; levers'!$C$12="Off",('Activity data'!BM18*EF!$H17)*kgtoGg,('Net zero Activity data'!BM18*EF!$H17)*kgtoGg)</f>
        <v>0.34446215299886757</v>
      </c>
      <c r="AU929" s="93">
        <f>IF('Net zero activities &amp; levers'!$C$12="Off",('Activity data'!BN18*EF!$H17)*kgtoGg,('Net zero Activity data'!BN18*EF!$H17)*kgtoGg)</f>
        <v>0.35319487120758841</v>
      </c>
      <c r="AV929" s="93">
        <f>IF('Net zero activities &amp; levers'!$C$12="Off",('Activity data'!BO18*EF!$H17)*kgtoGg,('Net zero Activity data'!BO18*EF!$H17)*kgtoGg)</f>
        <v>0.3624320816768471</v>
      </c>
      <c r="AW929" s="93">
        <f>IF('Net zero activities &amp; levers'!$C$12="Off",('Activity data'!BP18*EF!$H17)*kgtoGg,('Net zero Activity data'!BP18*EF!$H17)*kgtoGg)</f>
        <v>0.37079342925253511</v>
      </c>
      <c r="AY929" s="79"/>
      <c r="AZ929" s="79"/>
    </row>
    <row r="930" spans="1:52" x14ac:dyDescent="0.25">
      <c r="A930" s="95" t="str">
        <f t="shared" si="326"/>
        <v>DS Cattle MMCH4</v>
      </c>
      <c r="B930" s="95" t="s">
        <v>973</v>
      </c>
      <c r="C930" s="95" t="s">
        <v>1228</v>
      </c>
      <c r="D930" t="s">
        <v>15</v>
      </c>
      <c r="E930" t="s">
        <v>22</v>
      </c>
      <c r="F930" t="s">
        <v>6</v>
      </c>
      <c r="G930" t="s">
        <v>136</v>
      </c>
      <c r="H930" t="s">
        <v>1226</v>
      </c>
      <c r="I930" t="s">
        <v>121</v>
      </c>
      <c r="J930" t="s">
        <v>286</v>
      </c>
      <c r="K930" s="27">
        <f t="shared" ref="K930:Z932" si="331">K1393</f>
        <v>7.351330651107908</v>
      </c>
      <c r="L930" s="27">
        <f t="shared" si="331"/>
        <v>7.3924283487896005</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7.5825135825669054</v>
      </c>
      <c r="S930" s="27">
        <f t="shared" si="331"/>
        <v>7.3635054789242087</v>
      </c>
      <c r="T930" s="27">
        <f t="shared" si="331"/>
        <v>7.5119983216779529</v>
      </c>
      <c r="U930" s="27">
        <f t="shared" si="331"/>
        <v>7.5857115422581893</v>
      </c>
      <c r="V930" s="27">
        <f t="shared" si="331"/>
        <v>7.6049624433961522</v>
      </c>
      <c r="W930" s="27">
        <f t="shared" si="331"/>
        <v>7.6323349638068887</v>
      </c>
      <c r="X930" s="27">
        <f t="shared" si="331"/>
        <v>7.6782662594179314</v>
      </c>
      <c r="Y930" s="27">
        <f t="shared" si="331"/>
        <v>7.7389431173667962</v>
      </c>
      <c r="Z930" s="27">
        <f t="shared" si="331"/>
        <v>7.8068776236096697</v>
      </c>
      <c r="AA930" s="27">
        <f t="shared" ref="L930:AW932" si="332">AA1393</f>
        <v>7.88420933428013</v>
      </c>
      <c r="AB930" s="27">
        <f t="shared" si="332"/>
        <v>7.9775686845364202</v>
      </c>
      <c r="AC930" s="27">
        <f t="shared" si="332"/>
        <v>8.0864133355409642</v>
      </c>
      <c r="AD930" s="27">
        <f t="shared" si="332"/>
        <v>8.2048813891102359</v>
      </c>
      <c r="AE930" s="27">
        <f t="shared" si="332"/>
        <v>8.3328657755649527</v>
      </c>
      <c r="AF930" s="27">
        <f t="shared" si="332"/>
        <v>8.4671187588996872</v>
      </c>
      <c r="AG930" s="27">
        <f t="shared" si="332"/>
        <v>8.6091419335499069</v>
      </c>
      <c r="AH930" s="27">
        <f t="shared" si="332"/>
        <v>8.7574749892645496</v>
      </c>
      <c r="AI930" s="27">
        <f t="shared" si="332"/>
        <v>8.9064020314048324</v>
      </c>
      <c r="AJ930" s="27">
        <f t="shared" si="332"/>
        <v>9.0642998358305835</v>
      </c>
      <c r="AK930" s="27">
        <f t="shared" si="332"/>
        <v>9.2256487767776196</v>
      </c>
      <c r="AL930" s="27">
        <f t="shared" si="332"/>
        <v>9.3900384918162416</v>
      </c>
      <c r="AM930" s="27">
        <f t="shared" si="332"/>
        <v>9.5601174973828691</v>
      </c>
      <c r="AN930" s="27">
        <f t="shared" si="332"/>
        <v>9.7295365069027504</v>
      </c>
      <c r="AO930" s="27">
        <f t="shared" si="332"/>
        <v>9.9070935852539623</v>
      </c>
      <c r="AP930" s="27">
        <f t="shared" si="332"/>
        <v>10.096066907799957</v>
      </c>
      <c r="AQ930" s="27">
        <f t="shared" si="332"/>
        <v>10.291098999348057</v>
      </c>
      <c r="AR930" s="27">
        <f t="shared" si="332"/>
        <v>10.492542704095264</v>
      </c>
      <c r="AS930" s="27">
        <f t="shared" si="332"/>
        <v>10.706596925892969</v>
      </c>
      <c r="AT930" s="27">
        <f t="shared" si="332"/>
        <v>10.931461457010631</v>
      </c>
      <c r="AU930" s="27">
        <f t="shared" si="332"/>
        <v>11.165976151570428</v>
      </c>
      <c r="AV930" s="27">
        <f t="shared" si="332"/>
        <v>11.414366787540366</v>
      </c>
      <c r="AW930" s="27">
        <f t="shared" si="332"/>
        <v>11.653364369886001</v>
      </c>
      <c r="AY930" s="79"/>
      <c r="AZ930" s="79"/>
    </row>
    <row r="931" spans="1:52" x14ac:dyDescent="0.25">
      <c r="A931" s="95" t="str">
        <f t="shared" si="326"/>
        <v>DS Cattle MMCH4</v>
      </c>
      <c r="B931" s="95" t="s">
        <v>973</v>
      </c>
      <c r="C931" s="95" t="s">
        <v>1228</v>
      </c>
      <c r="D931" t="s">
        <v>15</v>
      </c>
      <c r="E931" t="s">
        <v>22</v>
      </c>
      <c r="F931" t="s">
        <v>6</v>
      </c>
      <c r="G931" t="s">
        <v>137</v>
      </c>
      <c r="H931" t="s">
        <v>1226</v>
      </c>
      <c r="I931" t="s">
        <v>121</v>
      </c>
      <c r="J931" t="s">
        <v>286</v>
      </c>
      <c r="K931" s="27">
        <f t="shared" si="331"/>
        <v>2.0944490884992821</v>
      </c>
      <c r="L931" s="27">
        <f t="shared" si="332"/>
        <v>2.1061581299686476</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2.1603148348588097</v>
      </c>
      <c r="S931" s="27">
        <f t="shared" si="332"/>
        <v>2.0979177880086217</v>
      </c>
      <c r="T931" s="27">
        <f t="shared" si="332"/>
        <v>2.1402245095961443</v>
      </c>
      <c r="U931" s="27">
        <f t="shared" si="332"/>
        <v>2.1612259574947443</v>
      </c>
      <c r="V931" s="27">
        <f t="shared" si="332"/>
        <v>2.1667106832205718</v>
      </c>
      <c r="W931" s="27">
        <f t="shared" si="332"/>
        <v>2.1745093190247649</v>
      </c>
      <c r="X931" s="27">
        <f t="shared" si="332"/>
        <v>2.1875954886982294</v>
      </c>
      <c r="Y931" s="27">
        <f t="shared" si="332"/>
        <v>2.2048827793746253</v>
      </c>
      <c r="Z931" s="27">
        <f t="shared" si="332"/>
        <v>2.224237828335264</v>
      </c>
      <c r="AA931" s="27">
        <f t="shared" si="332"/>
        <v>2.2462702111259123</v>
      </c>
      <c r="AB931" s="27">
        <f t="shared" si="332"/>
        <v>2.2728689883170463</v>
      </c>
      <c r="AC931" s="27">
        <f t="shared" si="332"/>
        <v>2.3038796435172904</v>
      </c>
      <c r="AD931" s="27">
        <f t="shared" si="332"/>
        <v>2.3376320780887165</v>
      </c>
      <c r="AE931" s="27">
        <f t="shared" si="332"/>
        <v>2.3740957870788466</v>
      </c>
      <c r="AF931" s="27">
        <f t="shared" si="332"/>
        <v>2.4123454662075314</v>
      </c>
      <c r="AG931" s="27">
        <f t="shared" si="332"/>
        <v>2.4528089309609635</v>
      </c>
      <c r="AH931" s="27">
        <f t="shared" si="332"/>
        <v>2.495070128025882</v>
      </c>
      <c r="AI931" s="27">
        <f t="shared" si="332"/>
        <v>2.537500556266326</v>
      </c>
      <c r="AJ931" s="27">
        <f t="shared" si="332"/>
        <v>2.5824868217808161</v>
      </c>
      <c r="AK931" s="27">
        <f t="shared" si="332"/>
        <v>2.6284563419038043</v>
      </c>
      <c r="AL931" s="27">
        <f t="shared" si="332"/>
        <v>2.6752922013096669</v>
      </c>
      <c r="AM931" s="27">
        <f t="shared" si="332"/>
        <v>2.7237489821413385</v>
      </c>
      <c r="AN931" s="27">
        <f t="shared" si="332"/>
        <v>2.772017725162697</v>
      </c>
      <c r="AO931" s="27">
        <f t="shared" si="332"/>
        <v>2.8226050648646934</v>
      </c>
      <c r="AP931" s="27">
        <f t="shared" si="332"/>
        <v>2.8764449779282546</v>
      </c>
      <c r="AQ931" s="27">
        <f t="shared" si="332"/>
        <v>2.9320110795984959</v>
      </c>
      <c r="AR931" s="27">
        <f t="shared" si="332"/>
        <v>2.989403897826326</v>
      </c>
      <c r="AS931" s="27">
        <f t="shared" si="332"/>
        <v>3.0503895466851563</v>
      </c>
      <c r="AT931" s="27">
        <f t="shared" si="332"/>
        <v>3.1144551335274819</v>
      </c>
      <c r="AU931" s="27">
        <f t="shared" si="332"/>
        <v>3.1812701241151289</v>
      </c>
      <c r="AV931" s="27">
        <f t="shared" si="332"/>
        <v>3.2520384741988773</v>
      </c>
      <c r="AW931" s="27">
        <f t="shared" si="332"/>
        <v>3.3201306730475184</v>
      </c>
      <c r="AY931" s="79"/>
      <c r="AZ931" s="79"/>
    </row>
    <row r="932" spans="1:52" x14ac:dyDescent="0.25">
      <c r="A932" s="95" t="str">
        <f t="shared" si="326"/>
        <v>DS Cattle MMCH4</v>
      </c>
      <c r="B932" s="95" t="s">
        <v>973</v>
      </c>
      <c r="C932" s="95" t="s">
        <v>1228</v>
      </c>
      <c r="D932" t="s">
        <v>15</v>
      </c>
      <c r="E932" t="s">
        <v>22</v>
      </c>
      <c r="F932" t="s">
        <v>67</v>
      </c>
      <c r="G932" t="s">
        <v>307</v>
      </c>
      <c r="H932" t="s">
        <v>1226</v>
      </c>
      <c r="I932" t="s">
        <v>121</v>
      </c>
      <c r="J932" t="s">
        <v>286</v>
      </c>
      <c r="K932" s="27">
        <f t="shared" si="331"/>
        <v>0.43258377187145641</v>
      </c>
      <c r="L932" s="27">
        <f t="shared" si="332"/>
        <v>0.43500213637199753</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0.44618756541973903</v>
      </c>
      <c r="S932" s="27">
        <f t="shared" si="332"/>
        <v>0.4333001908694058</v>
      </c>
      <c r="T932" s="27">
        <f t="shared" si="332"/>
        <v>0.44203814554223075</v>
      </c>
      <c r="U932" s="27">
        <f t="shared" si="332"/>
        <v>0.44637574706075117</v>
      </c>
      <c r="V932" s="27">
        <f t="shared" si="332"/>
        <v>0.44750855251073168</v>
      </c>
      <c r="W932" s="27">
        <f t="shared" si="332"/>
        <v>0.44911926881324493</v>
      </c>
      <c r="X932" s="27">
        <f t="shared" si="332"/>
        <v>0.45182206291207566</v>
      </c>
      <c r="Y932" s="27">
        <f t="shared" si="332"/>
        <v>0.45539254903527465</v>
      </c>
      <c r="Z932" s="27">
        <f t="shared" si="332"/>
        <v>0.45939010625933163</v>
      </c>
      <c r="AA932" s="27">
        <f t="shared" si="332"/>
        <v>0.46394063522813239</v>
      </c>
      <c r="AB932" s="27">
        <f t="shared" si="332"/>
        <v>0.46943429913607365</v>
      </c>
      <c r="AC932" s="27">
        <f t="shared" si="332"/>
        <v>0.47583918444380807</v>
      </c>
      <c r="AD932" s="27">
        <f t="shared" si="332"/>
        <v>0.48281035196319333</v>
      </c>
      <c r="AE932" s="27">
        <f t="shared" si="332"/>
        <v>0.49034150125585807</v>
      </c>
      <c r="AF932" s="27">
        <f t="shared" si="332"/>
        <v>0.49824152162933733</v>
      </c>
      <c r="AG932" s="27">
        <f t="shared" si="332"/>
        <v>0.50659877332962533</v>
      </c>
      <c r="AH932" s="27">
        <f t="shared" si="332"/>
        <v>0.51532732544890569</v>
      </c>
      <c r="AI932" s="27">
        <f t="shared" si="332"/>
        <v>0.52409083027275605</v>
      </c>
      <c r="AJ932" s="27">
        <f t="shared" si="332"/>
        <v>0.53338221315980094</v>
      </c>
      <c r="AK932" s="27">
        <f t="shared" si="332"/>
        <v>0.54287667569656828</v>
      </c>
      <c r="AL932" s="27">
        <f t="shared" si="332"/>
        <v>0.55255007040063653</v>
      </c>
      <c r="AM932" s="27">
        <f t="shared" si="332"/>
        <v>0.56255824731933757</v>
      </c>
      <c r="AN932" s="27">
        <f t="shared" si="332"/>
        <v>0.57252758724472796</v>
      </c>
      <c r="AO932" s="27">
        <f t="shared" si="332"/>
        <v>0.58297580598510912</v>
      </c>
      <c r="AP932" s="27">
        <f t="shared" si="332"/>
        <v>0.59409580541510443</v>
      </c>
      <c r="AQ932" s="27">
        <f t="shared" si="332"/>
        <v>0.60557232875515321</v>
      </c>
      <c r="AR932" s="27">
        <f t="shared" si="332"/>
        <v>0.61742613886858821</v>
      </c>
      <c r="AS932" s="27">
        <f t="shared" si="332"/>
        <v>0.63002200580001311</v>
      </c>
      <c r="AT932" s="27">
        <f t="shared" si="332"/>
        <v>0.64325399761857238</v>
      </c>
      <c r="AU932" s="27">
        <f t="shared" si="332"/>
        <v>0.65705384637339226</v>
      </c>
      <c r="AV932" s="27">
        <f t="shared" si="332"/>
        <v>0.6716702149337197</v>
      </c>
      <c r="AW932" s="27">
        <f t="shared" si="332"/>
        <v>0.6857338560003412</v>
      </c>
      <c r="AY932" s="79"/>
      <c r="AZ932" s="79"/>
    </row>
    <row r="933" spans="1:52" x14ac:dyDescent="0.25">
      <c r="A933" s="95" t="str">
        <f t="shared" si="326"/>
        <v>DS Cattle MMCH4</v>
      </c>
      <c r="B933" s="95" t="s">
        <v>973</v>
      </c>
      <c r="C933" s="95" t="s">
        <v>1228</v>
      </c>
      <c r="D933" t="s">
        <v>15</v>
      </c>
      <c r="E933" t="s">
        <v>22</v>
      </c>
      <c r="F933" t="s">
        <v>67</v>
      </c>
      <c r="G933" t="s">
        <v>122</v>
      </c>
      <c r="H933" t="s">
        <v>1226</v>
      </c>
      <c r="I933" t="s">
        <v>121</v>
      </c>
      <c r="J933" t="s">
        <v>286</v>
      </c>
      <c r="K933" s="93">
        <f>IF('Net zero activities &amp; levers'!$C$12="Off",('Activity data'!AD8*EF!$H21)*kgtoGg,('Net zero Activity data'!AD8*EF!$H21)*kgtoGg)</f>
        <v>9.4871637196006511E-2</v>
      </c>
      <c r="L933" s="93">
        <f>IF('Net zero activities &amp; levers'!$C$12="Off",('Activity data'!AE8*EF!$H21)*kgtoGg,('Net zero Activity data'!AE8*EF!$H21)*kgtoGg)</f>
        <v>9.404884578461549E-2</v>
      </c>
      <c r="M933" s="93">
        <f>IF('Net zero activities &amp; levers'!$C$12="Off",('Activity data'!AF8*EF!$H21)*kgtoGg,('Net zero Activity data'!AF8*EF!$H21)*kgtoGg)</f>
        <v>9.3735634002294205E-2</v>
      </c>
      <c r="N933" s="93">
        <f>IF('Net zero activities &amp; levers'!$C$12="Off",('Activity data'!AG8*EF!$H21)*kgtoGg,('Net zero Activity data'!AG8*EF!$H21)*kgtoGg)</f>
        <v>9.2483917307495084E-2</v>
      </c>
      <c r="O933" s="93">
        <f>IF('Net zero activities &amp; levers'!$C$12="Off",('Activity data'!AH8*EF!$H21)*kgtoGg,('Net zero Activity data'!AH8*EF!$H21)*kgtoGg)</f>
        <v>9.0667019955957301E-2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7.5654493606876719E-2</v>
      </c>
      <c r="T933" s="93">
        <f>IF('Net zero activities &amp; levers'!$C$12="Off",('Activity data'!AM8*EF!$H21)*kgtoGg,('Net zero Activity data'!AM8*EF!$H21)*kgtoGg)</f>
        <v>7.9271557778310117E-2</v>
      </c>
      <c r="U933" s="93">
        <f>IF('Net zero activities &amp; levers'!$C$12="Off",('Activity data'!AN8*EF!$H21)*kgtoGg,('Net zero Activity data'!AN8*EF!$H21)*kgtoGg)</f>
        <v>8.0523786090551941E-2</v>
      </c>
      <c r="V933" s="93">
        <f>IF('Net zero activities &amp; levers'!$C$12="Off",('Activity data'!AO8*EF!$H21)*kgtoGg,('Net zero Activity data'!AO8*EF!$H21)*kgtoGg)</f>
        <v>7.9979986949743884E-2</v>
      </c>
      <c r="W933" s="93">
        <f>IF('Net zero activities &amp; levers'!$C$12="Off",('Activity data'!AP8*EF!$H21)*kgtoGg,('Net zero Activity data'!AP8*EF!$H21)*kgtoGg)</f>
        <v>7.953764463923213E-2</v>
      </c>
      <c r="X933" s="93">
        <f>IF('Net zero activities &amp; levers'!$C$12="Off",('Activity data'!AQ8*EF!$H21)*kgtoGg,('Net zero Activity data'!AQ8*EF!$H21)*kgtoGg)</f>
        <v>7.9566701648766641E-2</v>
      </c>
      <c r="Y933" s="93">
        <f>IF('Net zero activities &amp; levers'!$C$12="Off",('Activity data'!AR8*EF!$H21)*kgtoGg,('Net zero Activity data'!AR8*EF!$H21)*kgtoGg)</f>
        <v>8.0033923406415561E-2</v>
      </c>
      <c r="Z933" s="93">
        <f>IF('Net zero activities &amp; levers'!$C$12="Off",('Activity data'!AS8*EF!$H21)*kgtoGg,('Net zero Activity data'!AS8*EF!$H21)*kgtoGg)</f>
        <v>8.0696879014232822E-2</v>
      </c>
      <c r="AA933" s="93">
        <f>IF('Net zero activities &amp; levers'!$C$12="Off",('Activity data'!AT8*EF!$H21)*kgtoGg,('Net zero Activity data'!AT8*EF!$H21)*kgtoGg)</f>
        <v>8.1608968762296855E-2</v>
      </c>
      <c r="AB933" s="93">
        <f>IF('Net zero activities &amp; levers'!$C$12="Off",('Activity data'!AU8*EF!$H21)*kgtoGg,('Net zero Activity data'!AU8*EF!$H21)*kgtoGg)</f>
        <v>8.294500125938338E-2</v>
      </c>
      <c r="AC933" s="93">
        <f>IF('Net zero activities &amp; levers'!$C$12="Off",('Activity data'!AV8*EF!$H21)*kgtoGg,('Net zero Activity data'!AV8*EF!$H21)*kgtoGg)</f>
        <v>8.4667243855728658E-2</v>
      </c>
      <c r="AD933" s="93">
        <f>IF('Net zero activities &amp; levers'!$C$12="Off",('Activity data'!AW8*EF!$H21)*kgtoGg,('Net zero Activity data'!AW8*EF!$H21)*kgtoGg)</f>
        <v>8.5867982908629403E-2</v>
      </c>
      <c r="AE933" s="93">
        <f>IF('Net zero activities &amp; levers'!$C$12="Off",('Activity data'!AX8*EF!$H21)*kgtoGg,('Net zero Activity data'!AX8*EF!$H21)*kgtoGg)</f>
        <v>8.7210563420463058E-2</v>
      </c>
      <c r="AF933" s="93">
        <f>IF('Net zero activities &amp; levers'!$C$12="Off",('Activity data'!AY8*EF!$H21)*kgtoGg,('Net zero Activity data'!AY8*EF!$H21)*kgtoGg)</f>
        <v>8.8593806779096215E-2</v>
      </c>
      <c r="AG933" s="93">
        <f>IF('Net zero activities &amp; levers'!$C$12="Off",('Activity data'!AZ8*EF!$H21)*kgtoGg,('Net zero Activity data'!AZ8*EF!$H21)*kgtoGg)</f>
        <v>9.0048440137839775E-2</v>
      </c>
      <c r="AH933" s="93">
        <f>IF('Net zero activities &amp; levers'!$C$12="Off",('Activity data'!BA8*EF!$H21)*kgtoGg,('Net zero Activity data'!BA8*EF!$H21)*kgtoGg)</f>
        <v>9.1524860898689164E-2</v>
      </c>
      <c r="AI933" s="93">
        <f>IF('Net zero activities &amp; levers'!$C$12="Off",('Activity data'!BB8*EF!$H21)*kgtoGg,('Net zero Activity data'!BB8*EF!$H21)*kgtoGg)</f>
        <v>9.2873095408058187E-2</v>
      </c>
      <c r="AJ933" s="93">
        <f>IF('Net zero activities &amp; levers'!$C$12="Off",('Activity data'!BC8*EF!$H21)*kgtoGg,('Net zero Activity data'!BC8*EF!$H21)*kgtoGg)</f>
        <v>9.4295235372679823E-2</v>
      </c>
      <c r="AK933" s="93">
        <f>IF('Net zero activities &amp; levers'!$C$12="Off",('Activity data'!BD8*EF!$H21)*kgtoGg,('Net zero Activity data'!BD8*EF!$H21)*kgtoGg)</f>
        <v>9.5652981013283067E-2</v>
      </c>
      <c r="AL933" s="93">
        <f>IF('Net zero activities &amp; levers'!$C$12="Off",('Activity data'!BE8*EF!$H21)*kgtoGg,('Net zero Activity data'!BE8*EF!$H21)*kgtoGg)</f>
        <v>9.6933251950102856E-2</v>
      </c>
      <c r="AM933" s="93">
        <f>IF('Net zero activities &amp; levers'!$C$12="Off",('Activity data'!BF8*EF!$H21)*kgtoGg,('Net zero Activity data'!BF8*EF!$H21)*kgtoGg)</f>
        <v>9.8190775072259484E-2</v>
      </c>
      <c r="AN933" s="93">
        <f>IF('Net zero activities &amp; levers'!$C$12="Off",('Activity data'!BG8*EF!$H21)*kgtoGg,('Net zero Activity data'!BG8*EF!$H21)*kgtoGg)</f>
        <v>9.9787639127038461E-2</v>
      </c>
      <c r="AO933" s="93">
        <f>IF('Net zero activities &amp; levers'!$C$12="Off",('Activity data'!BH8*EF!$H21)*kgtoGg,('Net zero Activity data'!BH8*EF!$H21)*kgtoGg)</f>
        <v>0.1014392914748115</v>
      </c>
      <c r="AP933" s="93">
        <f>IF('Net zero activities &amp; levers'!$C$12="Off",('Activity data'!BI8*EF!$H21)*kgtoGg,('Net zero Activity data'!BI8*EF!$H21)*kgtoGg)</f>
        <v>0.10320575500989811</v>
      </c>
      <c r="AQ933" s="93">
        <f>IF('Net zero activities &amp; levers'!$C$12="Off",('Activity data'!BJ8*EF!$H21)*kgtoGg,('Net zero Activity data'!BJ8*EF!$H21)*kgtoGg)</f>
        <v>0.10496534581683413</v>
      </c>
      <c r="AR933" s="93">
        <f>IF('Net zero activities &amp; levers'!$C$12="Off",('Activity data'!BK8*EF!$H21)*kgtoGg,('Net zero Activity data'!BK8*EF!$H21)*kgtoGg)</f>
        <v>0.10672034773942209</v>
      </c>
      <c r="AS933" s="93">
        <f>IF('Net zero activities &amp; levers'!$C$12="Off",('Activity data'!BL8*EF!$H21)*kgtoGg,('Net zero Activity data'!BL8*EF!$H21)*kgtoGg)</f>
        <v>0.10858609964826429</v>
      </c>
      <c r="AT933" s="93">
        <f>IF('Net zero activities &amp; levers'!$C$12="Off",('Activity data'!BM8*EF!$H21)*kgtoGg,('Net zero Activity data'!BM8*EF!$H21)*kgtoGg)</f>
        <v>0.11051429251988212</v>
      </c>
      <c r="AU933" s="93">
        <f>IF('Net zero activities &amp; levers'!$C$12="Off",('Activity data'!BN8*EF!$H21)*kgtoGg,('Net zero Activity data'!BN8*EF!$H21)*kgtoGg)</f>
        <v>0.11247140287446589</v>
      </c>
      <c r="AV933" s="93">
        <f>IF('Net zero activities &amp; levers'!$C$12="Off",('Activity data'!BO8*EF!$H21)*kgtoGg,('Net zero Activity data'!BO8*EF!$H21)*kgtoGg)</f>
        <v>0.11452403240118444</v>
      </c>
      <c r="AW933" s="93">
        <f>IF('Net zero activities &amp; levers'!$C$12="Off",('Activity data'!BP8*EF!$H21)*kgtoGg,('Net zero Activity data'!BP8*EF!$H21)*kgtoGg)</f>
        <v>0.1162449069229001</v>
      </c>
      <c r="AY933" s="79"/>
      <c r="AZ933" s="79"/>
    </row>
    <row r="934" spans="1:52" x14ac:dyDescent="0.25">
      <c r="A934" s="95" t="str">
        <f t="shared" si="326"/>
        <v>DS Cattle MMCH4</v>
      </c>
      <c r="B934" s="95" t="s">
        <v>973</v>
      </c>
      <c r="C934" s="95" t="s">
        <v>1228</v>
      </c>
      <c r="D934" t="s">
        <v>15</v>
      </c>
      <c r="E934" t="s">
        <v>22</v>
      </c>
      <c r="F934" t="s">
        <v>67</v>
      </c>
      <c r="G934" t="s">
        <v>123</v>
      </c>
      <c r="H934" t="s">
        <v>1226</v>
      </c>
      <c r="I934" t="s">
        <v>121</v>
      </c>
      <c r="J934" t="s">
        <v>286</v>
      </c>
      <c r="K934" s="93">
        <f>IF('Net zero activities &amp; levers'!$C$12="Off",('Activity data'!AD9*EF!$H22)*kgtoGg,('Net zero Activity data'!AD9*EF!$H22)*kgtoGg)</f>
        <v>6.9689449734106276E-2</v>
      </c>
      <c r="L934" s="93">
        <f>IF('Net zero activities &amp; levers'!$C$12="Off",('Activity data'!AE9*EF!$H22)*kgtoGg,('Net zero Activity data'!AE9*EF!$H22)*kgtoGg)</f>
        <v>6.9085055392440989E-2</v>
      </c>
      <c r="M934" s="93">
        <f>IF('Net zero activities &amp; levers'!$C$12="Off",('Activity data'!AF9*EF!$H22)*kgtoGg,('Net zero Activity data'!AF9*EF!$H22)*kgtoGg)</f>
        <v>6.8854980763127779E-2</v>
      </c>
      <c r="N934" s="93">
        <f>IF('Net zero activities &amp; levers'!$C$12="Off",('Activity data'!AG9*EF!$H22)*kgtoGg,('Net zero Activity data'!AG9*EF!$H22)*kgtoGg)</f>
        <v>6.7935512624264269E-2</v>
      </c>
      <c r="O934" s="93">
        <f>IF('Net zero activities &amp; levers'!$C$12="Off",('Activity data'!AH9*EF!$H22)*kgtoGg,('Net zero Activity data'!AH9*EF!$H22)*kgtoGg)</f>
        <v>6.6600882165738229E-2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5.5573195374324494E-2</v>
      </c>
      <c r="T934" s="93">
        <f>IF('Net zero activities &amp; levers'!$C$12="Off",('Activity data'!AM9*EF!$H22)*kgtoGg,('Net zero Activity data'!AM9*EF!$H22)*kgtoGg)</f>
        <v>5.8230166616839892E-2</v>
      </c>
      <c r="U934" s="93">
        <f>IF('Net zero activities &amp; levers'!$C$12="Off",('Activity data'!AN9*EF!$H22)*kgtoGg,('Net zero Activity data'!AN9*EF!$H22)*kgtoGg)</f>
        <v>5.9150010572323733E-2</v>
      </c>
      <c r="V934" s="93">
        <f>IF('Net zero activities &amp; levers'!$C$12="Off",('Activity data'!AO9*EF!$H22)*kgtoGg,('Net zero Activity data'!AO9*EF!$H22)*kgtoGg)</f>
        <v>5.8750554380685591E-2</v>
      </c>
      <c r="W934" s="93">
        <f>IF('Net zero activities &amp; levers'!$C$12="Off",('Activity data'!AP9*EF!$H22)*kgtoGg,('Net zero Activity data'!AP9*EF!$H22)*kgtoGg)</f>
        <v>5.8425624895701689E-2</v>
      </c>
      <c r="X934" s="93">
        <f>IF('Net zero activities &amp; levers'!$C$12="Off",('Activity data'!AQ9*EF!$H22)*kgtoGg,('Net zero Activity data'!AQ9*EF!$H22)*kgtoGg)</f>
        <v>5.8446969177989083E-2</v>
      </c>
      <c r="Y934" s="93">
        <f>IF('Net zero activities &amp; levers'!$C$12="Off",('Activity data'!AR9*EF!$H22)*kgtoGg,('Net zero Activity data'!AR9*EF!$H22)*kgtoGg)</f>
        <v>5.8790174251251236E-2</v>
      </c>
      <c r="Z934" s="93">
        <f>IF('Net zero activities &amp; levers'!$C$12="Off",('Activity data'!AS9*EF!$H22)*kgtoGg,('Net zero Activity data'!AS9*EF!$H22)*kgtoGg)</f>
        <v>5.9277158695416256E-2</v>
      </c>
      <c r="AA934" s="93">
        <f>IF('Net zero activities &amp; levers'!$C$12="Off",('Activity data'!AT9*EF!$H22)*kgtoGg,('Net zero Activity data'!AT9*EF!$H22)*kgtoGg)</f>
        <v>5.9947148531465801E-2</v>
      </c>
      <c r="AB934" s="93">
        <f>IF('Net zero activities &amp; levers'!$C$12="Off",('Activity data'!AU9*EF!$H22)*kgtoGg,('Net zero Activity data'!AU9*EF!$H22)*kgtoGg)</f>
        <v>6.0928552165899576E-2</v>
      </c>
      <c r="AC934" s="93">
        <f>IF('Net zero activities &amp; levers'!$C$12="Off",('Activity data'!AV9*EF!$H22)*kgtoGg,('Net zero Activity data'!AV9*EF!$H22)*kgtoGg)</f>
        <v>6.2193652488770283E-2</v>
      </c>
      <c r="AD934" s="93">
        <f>IF('Net zero activities &amp; levers'!$C$12="Off",('Activity data'!AW9*EF!$H22)*kgtoGg,('Net zero Activity data'!AW9*EF!$H22)*kgtoGg)</f>
        <v>6.3075674200886653E-2</v>
      </c>
      <c r="AE934" s="93">
        <f>IF('Net zero activities &amp; levers'!$C$12="Off",('Activity data'!AX9*EF!$H22)*kgtoGg,('Net zero Activity data'!AX9*EF!$H22)*kgtoGg)</f>
        <v>6.4061887782297905E-2</v>
      </c>
      <c r="AF934" s="93">
        <f>IF('Net zero activities &amp; levers'!$C$12="Off",('Activity data'!AY9*EF!$H22)*kgtoGg,('Net zero Activity data'!AY9*EF!$H22)*kgtoGg)</f>
        <v>6.5077970895866852E-2</v>
      </c>
      <c r="AG934" s="93">
        <f>IF('Net zero activities &amp; levers'!$C$12="Off",('Activity data'!AZ9*EF!$H22)*kgtoGg,('Net zero Activity data'!AZ9*EF!$H22)*kgtoGg)</f>
        <v>6.6146494654198057E-2</v>
      </c>
      <c r="AH934" s="93">
        <f>IF('Net zero activities &amp; levers'!$C$12="Off",('Activity data'!BA9*EF!$H22)*kgtoGg,('Net zero Activity data'!BA9*EF!$H22)*kgtoGg)</f>
        <v>6.7231022690612471E-2</v>
      </c>
      <c r="AI934" s="93">
        <f>IF('Net zero activities &amp; levers'!$C$12="Off",('Activity data'!BB9*EF!$H22)*kgtoGg,('Net zero Activity data'!BB9*EF!$H22)*kgtoGg)</f>
        <v>6.8221389504630262E-2</v>
      </c>
      <c r="AJ934" s="93">
        <f>IF('Net zero activities &amp; levers'!$C$12="Off",('Activity data'!BC9*EF!$H22)*kgtoGg,('Net zero Activity data'!BC9*EF!$H22)*kgtoGg)</f>
        <v>6.9266044730455056E-2</v>
      </c>
      <c r="AK934" s="93">
        <f>IF('Net zero activities &amp; levers'!$C$12="Off",('Activity data'!BD9*EF!$H22)*kgtoGg,('Net zero Activity data'!BD9*EF!$H22)*kgtoGg)</f>
        <v>7.026339809516019E-2</v>
      </c>
      <c r="AL934" s="93">
        <f>IF('Net zero activities &amp; levers'!$C$12="Off",('Activity data'!BE9*EF!$H22)*kgtoGg,('Net zero Activity data'!BE9*EF!$H22)*kgtoGg)</f>
        <v>7.1203841200544876E-2</v>
      </c>
      <c r="AM934" s="93">
        <f>IF('Net zero activities &amp; levers'!$C$12="Off",('Activity data'!BF9*EF!$H22)*kgtoGg,('Net zero Activity data'!BF9*EF!$H22)*kgtoGg)</f>
        <v>7.2127574541732534E-2</v>
      </c>
      <c r="AN934" s="93">
        <f>IF('Net zero activities &amp; levers'!$C$12="Off",('Activity data'!BG9*EF!$H22)*kgtoGg,('Net zero Activity data'!BG9*EF!$H22)*kgtoGg)</f>
        <v>7.3300576089579794E-2</v>
      </c>
      <c r="AO934" s="93">
        <f>IF('Net zero activities &amp; levers'!$C$12="Off",('Activity data'!BH9*EF!$H22)*kgtoGg,('Net zero Activity data'!BH9*EF!$H22)*kgtoGg)</f>
        <v>7.4513823237729482E-2</v>
      </c>
      <c r="AP934" s="93">
        <f>IF('Net zero activities &amp; levers'!$C$12="Off",('Activity data'!BI9*EF!$H22)*kgtoGg,('Net zero Activity data'!BI9*EF!$H22)*kgtoGg)</f>
        <v>7.5811406745023818E-2</v>
      </c>
      <c r="AQ934" s="93">
        <f>IF('Net zero activities &amp; levers'!$C$12="Off",('Activity data'!BJ9*EF!$H22)*kgtoGg,('Net zero Activity data'!BJ9*EF!$H22)*kgtoGg)</f>
        <v>7.7103941782015115E-2</v>
      </c>
      <c r="AR934" s="93">
        <f>IF('Net zero activities &amp; levers'!$C$12="Off",('Activity data'!BK9*EF!$H22)*kgtoGg,('Net zero Activity data'!BK9*EF!$H22)*kgtoGg)</f>
        <v>7.8393105982004302E-2</v>
      </c>
      <c r="AS934" s="93">
        <f>IF('Net zero activities &amp; levers'!$C$12="Off",('Activity data'!BL9*EF!$H22)*kgtoGg,('Net zero Activity data'!BL9*EF!$H22)*kgtoGg)</f>
        <v>7.9763623322175625E-2</v>
      </c>
      <c r="AT934" s="93">
        <f>IF('Net zero activities &amp; levers'!$C$12="Off",('Activity data'!BM9*EF!$H22)*kgtoGg,('Net zero Activity data'!BM9*EF!$H22)*kgtoGg)</f>
        <v>8.1180007651315583E-2</v>
      </c>
      <c r="AU934" s="93">
        <f>IF('Net zero activities &amp; levers'!$C$12="Off",('Activity data'!BN9*EF!$H22)*kgtoGg,('Net zero Activity data'!BN9*EF!$H22)*kgtoGg)</f>
        <v>8.2617633771312649E-2</v>
      </c>
      <c r="AV934" s="93">
        <f>IF('Net zero activities &amp; levers'!$C$12="Off",('Activity data'!BO9*EF!$H22)*kgtoGg,('Net zero Activity data'!BO9*EF!$H22)*kgtoGg)</f>
        <v>8.4125424997993567E-2</v>
      </c>
      <c r="AW934" s="93">
        <f>IF('Net zero activities &amp; levers'!$C$12="Off",('Activity data'!BP9*EF!$H22)*kgtoGg,('Net zero Activity data'!BP9*EF!$H22)*kgtoGg)</f>
        <v>8.5389520380178607E-2</v>
      </c>
      <c r="AY934" s="79"/>
      <c r="AZ934" s="79"/>
    </row>
    <row r="935" spans="1:52" x14ac:dyDescent="0.25">
      <c r="A935" s="95" t="str">
        <f t="shared" si="326"/>
        <v>DS Cattle MMCH4</v>
      </c>
      <c r="B935" s="95" t="s">
        <v>973</v>
      </c>
      <c r="C935" s="95" t="s">
        <v>1228</v>
      </c>
      <c r="D935" t="s">
        <v>15</v>
      </c>
      <c r="E935" t="s">
        <v>22</v>
      </c>
      <c r="F935" t="s">
        <v>67</v>
      </c>
      <c r="G935" t="s">
        <v>135</v>
      </c>
      <c r="H935" t="s">
        <v>1226</v>
      </c>
      <c r="I935" t="s">
        <v>121</v>
      </c>
      <c r="J935" t="s">
        <v>286</v>
      </c>
      <c r="K935" s="93">
        <f>IF('Net zero activities &amp; levers'!$C$12="Off",('Activity data'!AD10*EF!$H23)*kgtoGg,('Net zero Activity data'!AD10*EF!$H23)*kgtoGg)</f>
        <v>0.47107022937833815</v>
      </c>
      <c r="L935" s="93">
        <f>IF('Net zero activities &amp; levers'!$C$12="Off",('Activity data'!AE10*EF!$H23)*kgtoGg,('Net zero Activity data'!AE10*EF!$H23)*kgtoGg)</f>
        <v>0.48695387967725917</v>
      </c>
      <c r="M935" s="93">
        <f>IF('Net zero activities &amp; levers'!$C$12="Off",('Activity data'!AF10*EF!$H23)*kgtoGg,('Net zero Activity data'!AF10*EF!$H23)*kgtoGg)</f>
        <v>0.50580611066616787</v>
      </c>
      <c r="N935" s="93">
        <f>IF('Net zero activities &amp; levers'!$C$12="Off",('Activity data'!AG10*EF!$H23)*kgtoGg,('Net zero Activity data'!AG10*EF!$H23)*kgtoGg)</f>
        <v>0.5198656905589939</v>
      </c>
      <c r="O935" s="93">
        <f>IF('Net zero activities &amp; levers'!$C$12="Off",('Activity data'!AH10*EF!$H23)*kgtoGg,('Net zero Activity data'!AH10*EF!$H23)*kgtoGg)</f>
        <v>0.53070826286138517</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0.51940277612263608</v>
      </c>
      <c r="T935" s="93">
        <f>IF('Net zero activities &amp; levers'!$C$12="Off",('Activity data'!AM10*EF!$H23)*kgtoGg,('Net zero Activity data'!AM10*EF!$H23)*kgtoGg)</f>
        <v>0.55734768073083851</v>
      </c>
      <c r="U935" s="93">
        <f>IF('Net zero activities &amp; levers'!$C$12="Off",('Activity data'!AN10*EF!$H23)*kgtoGg,('Net zero Activity data'!AN10*EF!$H23)*kgtoGg)</f>
        <v>0.57960474973304943</v>
      </c>
      <c r="V935" s="93">
        <f>IF('Net zero activities &amp; levers'!$C$12="Off",('Activity data'!AO10*EF!$H23)*kgtoGg,('Net zero Activity data'!AO10*EF!$H23)*kgtoGg)</f>
        <v>0.58919613300783547</v>
      </c>
      <c r="W935" s="93">
        <f>IF('Net zero activities &amp; levers'!$C$12="Off",('Activity data'!AP10*EF!$H23)*kgtoGg,('Net zero Activity data'!AP10*EF!$H23)*kgtoGg)</f>
        <v>0.59952169359823548</v>
      </c>
      <c r="X935" s="93">
        <f>IF('Net zero activities &amp; levers'!$C$12="Off",('Activity data'!AQ10*EF!$H23)*kgtoGg,('Net zero Activity data'!AQ10*EF!$H23)*kgtoGg)</f>
        <v>0.61349330548493453</v>
      </c>
      <c r="Y935" s="93">
        <f>IF('Net zero activities &amp; levers'!$C$12="Off",('Activity data'!AR10*EF!$H23)*kgtoGg,('Net zero Activity data'!AR10*EF!$H23)*kgtoGg)</f>
        <v>0.63110337066637079</v>
      </c>
      <c r="Z935" s="93">
        <f>IF('Net zero activities &amp; levers'!$C$12="Off",('Activity data'!AS10*EF!$H23)*kgtoGg,('Net zero Activity data'!AS10*EF!$H23)*kgtoGg)</f>
        <v>0.65064008423990027</v>
      </c>
      <c r="AA935" s="93">
        <f>IF('Net zero activities &amp; levers'!$C$12="Off",('Activity data'!AT10*EF!$H23)*kgtoGg,('Net zero Activity data'!AT10*EF!$H23)*kgtoGg)</f>
        <v>0.67266194335256146</v>
      </c>
      <c r="AB935" s="93">
        <f>IF('Net zero activities &amp; levers'!$C$12="Off",('Activity data'!AU10*EF!$H23)*kgtoGg,('Net zero Activity data'!AU10*EF!$H23)*kgtoGg)</f>
        <v>0.69879229877984206</v>
      </c>
      <c r="AC935" s="93">
        <f>IF('Net zero activities &amp; levers'!$C$12="Off",('Activity data'!AV10*EF!$H23)*kgtoGg,('Net zero Activity data'!AV10*EF!$H23)*kgtoGg)</f>
        <v>0.72895809146559021</v>
      </c>
      <c r="AD935" s="93">
        <f>IF('Net zero activities &amp; levers'!$C$12="Off",('Activity data'!AW10*EF!$H23)*kgtoGg,('Net zero Activity data'!AW10*EF!$H23)*kgtoGg)</f>
        <v>0.76381313429213382</v>
      </c>
      <c r="AE935" s="93">
        <f>IF('Net zero activities &amp; levers'!$C$12="Off",('Activity data'!AX10*EF!$H23)*kgtoGg,('Net zero Activity data'!AX10*EF!$H23)*kgtoGg)</f>
        <v>0.80153113832193645</v>
      </c>
      <c r="AF935" s="93">
        <f>IF('Net zero activities &amp; levers'!$C$12="Off",('Activity data'!AY10*EF!$H23)*kgtoGg,('Net zero Activity data'!AY10*EF!$H23)*kgtoGg)</f>
        <v>0.84136759742134326</v>
      </c>
      <c r="AG935" s="93">
        <f>IF('Net zero activities &amp; levers'!$C$12="Off",('Activity data'!AZ10*EF!$H23)*kgtoGg,('Net zero Activity data'!AZ10*EF!$H23)*kgtoGg)</f>
        <v>0.88375975405626439</v>
      </c>
      <c r="AH935" s="93">
        <f>IF('Net zero activities &amp; levers'!$C$12="Off",('Activity data'!BA10*EF!$H23)*kgtoGg,('Net zero Activity data'!BA10*EF!$H23)*kgtoGg)</f>
        <v>0.92838040456636217</v>
      </c>
      <c r="AI935" s="93">
        <f>IF('Net zero activities &amp; levers'!$C$12="Off",('Activity data'!BB10*EF!$H23)*kgtoGg,('Net zero Activity data'!BB10*EF!$H23)*kgtoGg)</f>
        <v>0.97379529022362832</v>
      </c>
      <c r="AJ935" s="93">
        <f>IF('Net zero activities &amp; levers'!$C$12="Off",('Activity data'!BC10*EF!$H23)*kgtoGg,('Net zero Activity data'!BC10*EF!$H23)*kgtoGg)</f>
        <v>1.0221841318210139</v>
      </c>
      <c r="AK935" s="93">
        <f>IF('Net zero activities &amp; levers'!$C$12="Off",('Activity data'!BD10*EF!$H23)*kgtoGg,('Net zero Activity data'!BD10*EF!$H23)*kgtoGg)</f>
        <v>1.072208285270027</v>
      </c>
      <c r="AL935" s="93">
        <f>IF('Net zero activities &amp; levers'!$C$12="Off",('Activity data'!BE10*EF!$H23)*kgtoGg,('Net zero Activity data'!BE10*EF!$H23)*kgtoGg)</f>
        <v>1.123785168211771</v>
      </c>
      <c r="AM935" s="93">
        <f>IF('Net zero activities &amp; levers'!$C$12="Off",('Activity data'!BF10*EF!$H23)*kgtoGg,('Net zero Activity data'!BF10*EF!$H23)*kgtoGg)</f>
        <v>1.1776298462289758</v>
      </c>
      <c r="AN935" s="93">
        <f>IF('Net zero activities &amp; levers'!$C$12="Off",('Activity data'!BG10*EF!$H23)*kgtoGg,('Net zero Activity data'!BG10*EF!$H23)*kgtoGg)</f>
        <v>1.2305489615866252</v>
      </c>
      <c r="AO935" s="93">
        <f>IF('Net zero activities &amp; levers'!$C$12="Off",('Activity data'!BH10*EF!$H23)*kgtoGg,('Net zero Activity data'!BH10*EF!$H23)*kgtoGg)</f>
        <v>1.2863335234294737</v>
      </c>
      <c r="AP935" s="93">
        <f>IF('Net zero activities &amp; levers'!$C$12="Off",('Activity data'!BI10*EF!$H23)*kgtoGg,('Net zero Activity data'!BI10*EF!$H23)*kgtoGg)</f>
        <v>1.3459319381262367</v>
      </c>
      <c r="AQ935" s="93">
        <f>IF('Net zero activities &amp; levers'!$C$12="Off",('Activity data'!BJ10*EF!$H23)*kgtoGg,('Net zero Activity data'!BJ10*EF!$H23)*kgtoGg)</f>
        <v>1.4079553802544587</v>
      </c>
      <c r="AR935" s="93">
        <f>IF('Net zero activities &amp; levers'!$C$12="Off",('Activity data'!BK10*EF!$H23)*kgtoGg,('Net zero Activity data'!BK10*EF!$H23)*kgtoGg)</f>
        <v>1.4725543863966755</v>
      </c>
      <c r="AS935" s="93">
        <f>IF('Net zero activities &amp; levers'!$C$12="Off",('Activity data'!BL10*EF!$H23)*kgtoGg,('Net zero Activity data'!BL10*EF!$H23)*kgtoGg)</f>
        <v>1.5414959451453387</v>
      </c>
      <c r="AT935" s="93">
        <f>IF('Net zero activities &amp; levers'!$C$12="Off",('Activity data'!BM10*EF!$H23)*kgtoGg,('Net zero Activity data'!BM10*EF!$H23)*kgtoGg)</f>
        <v>1.6143551492479555</v>
      </c>
      <c r="AU935" s="93">
        <f>IF('Net zero activities &amp; levers'!$C$12="Off",('Activity data'!BN10*EF!$H23)*kgtoGg,('Net zero Activity data'!BN10*EF!$H23)*kgtoGg)</f>
        <v>1.6908665423569276</v>
      </c>
      <c r="AV935" s="93">
        <f>IF('Net zero activities &amp; levers'!$C$12="Off",('Activity data'!BO10*EF!$H23)*kgtoGg,('Net zero Activity data'!BO10*EF!$H23)*kgtoGg)</f>
        <v>1.7722717243433437</v>
      </c>
      <c r="AW935" s="93">
        <f>IF('Net zero activities &amp; levers'!$C$12="Off",('Activity data'!BP10*EF!$H23)*kgtoGg,('Net zero Activity data'!BP10*EF!$H23)*kgtoGg)</f>
        <v>1.852080501247541</v>
      </c>
      <c r="AY935" s="79"/>
      <c r="AZ935" s="79"/>
    </row>
    <row r="936" spans="1:52" x14ac:dyDescent="0.25">
      <c r="A936" s="95" t="str">
        <f t="shared" si="326"/>
        <v>DS Sheep MMCH4</v>
      </c>
      <c r="B936" s="95" t="s">
        <v>973</v>
      </c>
      <c r="C936" s="95" t="s">
        <v>1323</v>
      </c>
      <c r="D936" t="s">
        <v>15</v>
      </c>
      <c r="E936" t="s">
        <v>22</v>
      </c>
      <c r="F936" t="s">
        <v>18</v>
      </c>
      <c r="G936" t="s">
        <v>122</v>
      </c>
      <c r="H936" t="s">
        <v>1226</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3.6577867645106926E-2</v>
      </c>
      <c r="T936" s="93">
        <f>IF('Net zero activities &amp; levers'!$C$12="Off",('Activity data'!AM11*EF!$H24)*kgtoGg,IF('Net zero activities &amp; levers'!$C$12="PB",('Activity data'!AM11*EF!$H24)*kgtoGg,IF('Net zero activities &amp; levers'!$C$12="MS",('Net zero Activity data'!AM11*EF!$H24)*kgtoGg,"ERROR")))</f>
        <v>3.6604195637780168E-2</v>
      </c>
      <c r="U936" s="93">
        <f>IF('Net zero activities &amp; levers'!$C$12="Off",('Activity data'!AN11*EF!$H24)*kgtoGg,IF('Net zero activities &amp; levers'!$C$12="PB",('Activity data'!AN11*EF!$H24)*kgtoGg,IF('Net zero activities &amp; levers'!$C$12="MS",('Net zero Activity data'!AN11*EF!$H24)*kgtoGg,"ERROR")))</f>
        <v>3.6594939276300961E-2</v>
      </c>
      <c r="V936" s="93">
        <f>IF('Net zero activities &amp; levers'!$C$12="Off",('Activity data'!AO11*EF!$H24)*kgtoGg,IF('Net zero activities &amp; levers'!$C$12="PB",('Activity data'!AO11*EF!$H24)*kgtoGg,IF('Net zero activities &amp; levers'!$C$12="MS",('Net zero Activity data'!AO11*EF!$H24)*kgtoGg,"ERROR")))</f>
        <v>3.6594272892103465E-2</v>
      </c>
      <c r="W936" s="93">
        <f>IF('Net zero activities &amp; levers'!$C$12="Off",('Activity data'!AP11*EF!$H24)*kgtoGg,IF('Net zero activities &amp; levers'!$C$12="PB",('Activity data'!AP11*EF!$H24)*kgtoGg,IF('Net zero activities &amp; levers'!$C$12="MS",('Net zero Activity data'!AP11*EF!$H24)*kgtoGg,"ERROR")))</f>
        <v>3.663308878376182E-2</v>
      </c>
      <c r="X936" s="93">
        <f>IF('Net zero activities &amp; levers'!$C$12="Off",('Activity data'!AQ11*EF!$H24)*kgtoGg,IF('Net zero activities &amp; levers'!$C$12="PB",('Activity data'!AQ11*EF!$H24)*kgtoGg,IF('Net zero activities &amp; levers'!$C$12="MS",('Net zero Activity data'!AQ11*EF!$H24)*kgtoGg,"ERROR")))</f>
        <v>3.66966145669788E-2</v>
      </c>
      <c r="Y936" s="93">
        <f>IF('Net zero activities &amp; levers'!$C$12="Off",('Activity data'!AR11*EF!$H24)*kgtoGg,IF('Net zero activities &amp; levers'!$C$12="PB",('Activity data'!AR11*EF!$H24)*kgtoGg,IF('Net zero activities &amp; levers'!$C$12="MS",('Net zero Activity data'!AR11*EF!$H24)*kgtoGg,"ERROR")))</f>
        <v>3.6757568260761757E-2</v>
      </c>
      <c r="Z936" s="93">
        <f>IF('Net zero activities &amp; levers'!$C$12="Off",('Activity data'!AS11*EF!$H24)*kgtoGg,IF('Net zero activities &amp; levers'!$C$12="PB",('Activity data'!AS11*EF!$H24)*kgtoGg,IF('Net zero activities &amp; levers'!$C$12="MS",('Net zero Activity data'!AS11*EF!$H24)*kgtoGg,"ERROR")))</f>
        <v>3.6816146514376355E-2</v>
      </c>
      <c r="AA936" s="93">
        <f>IF('Net zero activities &amp; levers'!$C$12="Off",('Activity data'!AT11*EF!$H24)*kgtoGg,IF('Net zero activities &amp; levers'!$C$12="PB",('Activity data'!AT11*EF!$H24)*kgtoGg,IF('Net zero activities &amp; levers'!$C$12="MS",('Net zero Activity data'!AT11*EF!$H24)*kgtoGg,"ERROR")))</f>
        <v>3.6872269383598041E-2</v>
      </c>
      <c r="AB936" s="93">
        <f>IF('Net zero activities &amp; levers'!$C$12="Off",('Activity data'!AU11*EF!$H24)*kgtoGg,IF('Net zero activities &amp; levers'!$C$12="PB",('Activity data'!AU11*EF!$H24)*kgtoGg,IF('Net zero activities &amp; levers'!$C$12="MS",('Net zero Activity data'!AU11*EF!$H24)*kgtoGg,"ERROR")))</f>
        <v>3.6927106456158189E-2</v>
      </c>
      <c r="AC936" s="93">
        <f>IF('Net zero activities &amp; levers'!$C$12="Off",('Activity data'!AV11*EF!$H24)*kgtoGg,IF('Net zero activities &amp; levers'!$C$12="PB",('Activity data'!AV11*EF!$H24)*kgtoGg,IF('Net zero activities &amp; levers'!$C$12="MS",('Net zero Activity data'!AV11*EF!$H24)*kgtoGg,"ERROR")))</f>
        <v>3.6981458757835407E-2</v>
      </c>
      <c r="AD936" s="93">
        <f>IF('Net zero activities &amp; levers'!$C$12="Off",('Activity data'!AW11*EF!$H24)*kgtoGg,IF('Net zero activities &amp; levers'!$C$12="PB",('Activity data'!AW11*EF!$H24)*kgtoGg,IF('Net zero activities &amp; levers'!$C$12="MS",('Net zero Activity data'!AW11*EF!$H24)*kgtoGg,"ERROR")))</f>
        <v>3.7034780933234084E-2</v>
      </c>
      <c r="AE936" s="93">
        <f>IF('Net zero activities &amp; levers'!$C$12="Off",('Activity data'!AX11*EF!$H24)*kgtoGg,IF('Net zero activities &amp; levers'!$C$12="PB",('Activity data'!AX11*EF!$H24)*kgtoGg,IF('Net zero activities &amp; levers'!$C$12="MS",('Net zero Activity data'!AX11*EF!$H24)*kgtoGg,"ERROR")))</f>
        <v>3.7087839668251105E-2</v>
      </c>
      <c r="AF936" s="93">
        <f>IF('Net zero activities &amp; levers'!$C$12="Off",('Activity data'!AY11*EF!$H24)*kgtoGg,IF('Net zero activities &amp; levers'!$C$12="PB",('Activity data'!AY11*EF!$H24)*kgtoGg,IF('Net zero activities &amp; levers'!$C$12="MS",('Net zero Activity data'!AY11*EF!$H24)*kgtoGg,"ERROR")))</f>
        <v>3.7140467817616069E-2</v>
      </c>
      <c r="AG936" s="93">
        <f>IF('Net zero activities &amp; levers'!$C$12="Off",('Activity data'!AZ11*EF!$H24)*kgtoGg,IF('Net zero activities &amp; levers'!$C$12="PB",('Activity data'!AZ11*EF!$H24)*kgtoGg,IF('Net zero activities &amp; levers'!$C$12="MS",('Net zero Activity data'!AZ11*EF!$H24)*kgtoGg,"ERROR")))</f>
        <v>3.7192243691518308E-2</v>
      </c>
      <c r="AH936" s="93">
        <f>IF('Net zero activities &amp; levers'!$C$12="Off",('Activity data'!BA11*EF!$H24)*kgtoGg,IF('Net zero activities &amp; levers'!$C$12="PB",('Activity data'!BA11*EF!$H24)*kgtoGg,IF('Net zero activities &amp; levers'!$C$12="MS",('Net zero Activity data'!BA11*EF!$H24)*kgtoGg,"ERROR")))</f>
        <v>3.7243395244831647E-2</v>
      </c>
      <c r="AI936" s="93">
        <f>IF('Net zero activities &amp; levers'!$C$12="Off",('Activity data'!BB11*EF!$H24)*kgtoGg,IF('Net zero activities &amp; levers'!$C$12="PB",('Activity data'!BB11*EF!$H24)*kgtoGg,IF('Net zero activities &amp; levers'!$C$12="MS",('Net zero Activity data'!BB11*EF!$H24)*kgtoGg,"ERROR")))</f>
        <v>3.7293977063567109E-2</v>
      </c>
      <c r="AJ936" s="93">
        <f>IF('Net zero activities &amp; levers'!$C$12="Off",('Activity data'!BC11*EF!$H24)*kgtoGg,IF('Net zero activities &amp; levers'!$C$12="PB",('Activity data'!BC11*EF!$H24)*kgtoGg,IF('Net zero activities &amp; levers'!$C$12="MS",('Net zero Activity data'!BC11*EF!$H24)*kgtoGg,"ERROR")))</f>
        <v>3.7344160870083701E-2</v>
      </c>
      <c r="AK936" s="93">
        <f>IF('Net zero activities &amp; levers'!$C$12="Off",('Activity data'!BD11*EF!$H24)*kgtoGg,IF('Net zero activities &amp; levers'!$C$12="PB",('Activity data'!BD11*EF!$H24)*kgtoGg,IF('Net zero activities &amp; levers'!$C$12="MS",('Net zero Activity data'!BD11*EF!$H24)*kgtoGg,"ERROR")))</f>
        <v>3.7392411139770994E-2</v>
      </c>
      <c r="AL936" s="93">
        <f>IF('Net zero activities &amp; levers'!$C$12="Off",('Activity data'!BE11*EF!$H24)*kgtoGg,IF('Net zero activities &amp; levers'!$C$12="PB",('Activity data'!BE11*EF!$H24)*kgtoGg,IF('Net zero activities &amp; levers'!$C$12="MS",('Net zero Activity data'!BE11*EF!$H24)*kgtoGg,"ERROR")))</f>
        <v>3.743867142078007E-2</v>
      </c>
      <c r="AM936" s="93">
        <f>IF('Net zero activities &amp; levers'!$C$12="Off",('Activity data'!BF11*EF!$H24)*kgtoGg,IF('Net zero activities &amp; levers'!$C$12="PB",('Activity data'!BF11*EF!$H24)*kgtoGg,IF('Net zero activities &amp; levers'!$C$12="MS",('Net zero Activity data'!BF11*EF!$H24)*kgtoGg,"ERROR")))</f>
        <v>3.7483374065557115E-2</v>
      </c>
      <c r="AN936" s="93">
        <f>IF('Net zero activities &amp; levers'!$C$12="Off",('Activity data'!BG11*EF!$H24)*kgtoGg,IF('Net zero activities &amp; levers'!$C$12="PB",('Activity data'!BG11*EF!$H24)*kgtoGg,IF('Net zero activities &amp; levers'!$C$12="MS",('Net zero Activity data'!BG11*EF!$H24)*kgtoGg,"ERROR")))</f>
        <v>3.7526174858995696E-2</v>
      </c>
      <c r="AO936" s="93">
        <f>IF('Net zero activities &amp; levers'!$C$12="Off",('Activity data'!BH11*EF!$H24)*kgtoGg,IF('Net zero activities &amp; levers'!$C$12="PB",('Activity data'!BH11*EF!$H24)*kgtoGg,IF('Net zero activities &amp; levers'!$C$12="MS",('Net zero Activity data'!BH11*EF!$H24)*kgtoGg,"ERROR")))</f>
        <v>3.7567151445085212E-2</v>
      </c>
      <c r="AP936" s="93">
        <f>IF('Net zero activities &amp; levers'!$C$12="Off",('Activity data'!BI11*EF!$H24)*kgtoGg,IF('Net zero activities &amp; levers'!$C$12="PB",('Activity data'!BI11*EF!$H24)*kgtoGg,IF('Net zero activities &amp; levers'!$C$12="MS",('Net zero Activity data'!BI11*EF!$H24)*kgtoGg,"ERROR")))</f>
        <v>3.7606119264532091E-2</v>
      </c>
      <c r="AQ936" s="93">
        <f>IF('Net zero activities &amp; levers'!$C$12="Off",('Activity data'!BJ11*EF!$H24)*kgtoGg,IF('Net zero activities &amp; levers'!$C$12="PB",('Activity data'!BJ11*EF!$H24)*kgtoGg,IF('Net zero activities &amp; levers'!$C$12="MS",('Net zero Activity data'!BJ11*EF!$H24)*kgtoGg,"ERROR")))</f>
        <v>3.7642520684787982E-2</v>
      </c>
      <c r="AR936" s="93">
        <f>IF('Net zero activities &amp; levers'!$C$12="Off",('Activity data'!BK11*EF!$H24)*kgtoGg,IF('Net zero activities &amp; levers'!$C$12="PB",('Activity data'!BK11*EF!$H24)*kgtoGg,IF('Net zero activities &amp; levers'!$C$12="MS",('Net zero Activity data'!BK11*EF!$H24)*kgtoGg,"ERROR")))</f>
        <v>3.7675838960014932E-2</v>
      </c>
      <c r="AS936" s="93">
        <f>IF('Net zero activities &amp; levers'!$C$12="Off",('Activity data'!BL11*EF!$H24)*kgtoGg,IF('Net zero activities &amp; levers'!$C$12="PB",('Activity data'!BL11*EF!$H24)*kgtoGg,IF('Net zero activities &amp; levers'!$C$12="MS",('Net zero Activity data'!BL11*EF!$H24)*kgtoGg,"ERROR")))</f>
        <v>3.7706040429411586E-2</v>
      </c>
      <c r="AT936" s="93">
        <f>IF('Net zero activities &amp; levers'!$C$12="Off",('Activity data'!BM11*EF!$H24)*kgtoGg,IF('Net zero activities &amp; levers'!$C$12="PB",('Activity data'!BM11*EF!$H24)*kgtoGg,IF('Net zero activities &amp; levers'!$C$12="MS",('Net zero Activity data'!BM11*EF!$H24)*kgtoGg,"ERROR")))</f>
        <v>3.7732893978113372E-2</v>
      </c>
      <c r="AU936" s="93">
        <f>IF('Net zero activities &amp; levers'!$C$12="Off",('Activity data'!BN11*EF!$H24)*kgtoGg,IF('Net zero activities &amp; levers'!$C$12="PB",('Activity data'!BN11*EF!$H24)*kgtoGg,IF('Net zero activities &amp; levers'!$C$12="MS",('Net zero Activity data'!BN11*EF!$H24)*kgtoGg,"ERROR")))</f>
        <v>3.7756386655025911E-2</v>
      </c>
      <c r="AV936" s="93">
        <f>IF('Net zero activities &amp; levers'!$C$12="Off",('Activity data'!BO11*EF!$H24)*kgtoGg,IF('Net zero activities &amp; levers'!$C$12="PB",('Activity data'!BO11*EF!$H24)*kgtoGg,IF('Net zero activities &amp; levers'!$C$12="MS",('Net zero Activity data'!BO11*EF!$H24)*kgtoGg,"ERROR")))</f>
        <v>3.7776968038330937E-2</v>
      </c>
      <c r="AW936" s="93">
        <f>IF('Net zero activities &amp; levers'!$C$12="Off",('Activity data'!BP11*EF!$H24)*kgtoGg,IF('Net zero activities &amp; levers'!$C$12="PB",('Activity data'!BP11*EF!$H24)*kgtoGg,IF('Net zero activities &amp; levers'!$C$12="MS",('Net zero Activity data'!BP11*EF!$H24)*kgtoGg,"ERROR")))</f>
        <v>3.7791964878546927E-2</v>
      </c>
      <c r="AY936" s="79"/>
      <c r="AZ936" s="79"/>
    </row>
    <row r="937" spans="1:52" x14ac:dyDescent="0.25">
      <c r="A937" s="95" t="str">
        <f t="shared" si="326"/>
        <v>DS Sheep MMCH4</v>
      </c>
      <c r="B937" s="95" t="s">
        <v>973</v>
      </c>
      <c r="C937" s="95" t="s">
        <v>1323</v>
      </c>
      <c r="D937" t="s">
        <v>15</v>
      </c>
      <c r="E937" t="s">
        <v>22</v>
      </c>
      <c r="F937" t="s">
        <v>18</v>
      </c>
      <c r="G937" t="s">
        <v>123</v>
      </c>
      <c r="H937" t="s">
        <v>1226</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4.1773668344855536E-3</v>
      </c>
      <c r="T937" s="93">
        <f>IF('Net zero activities &amp; levers'!$C$12="Off",('Activity data'!AM12*EF!$H25)*kgtoGg,IF('Net zero activities &amp; levers'!$C$12="PB",('Activity data'!AM12*EF!$H25)*kgtoGg,IF('Net zero activities &amp; levers'!$C$12="MS",('Net zero Activity data'!AM12*EF!$H25)*kgtoGg,"ERROR")))</f>
        <v>4.1803736167419408E-3</v>
      </c>
      <c r="U937" s="93">
        <f>IF('Net zero activities &amp; levers'!$C$12="Off",('Activity data'!AN12*EF!$H25)*kgtoGg,IF('Net zero activities &amp; levers'!$C$12="PB",('Activity data'!AN12*EF!$H25)*kgtoGg,IF('Net zero activities &amp; levers'!$C$12="MS",('Net zero Activity data'!AN12*EF!$H25)*kgtoGg,"ERROR")))</f>
        <v>4.1793164961403135E-3</v>
      </c>
      <c r="V937" s="93">
        <f>IF('Net zero activities &amp; levers'!$C$12="Off",('Activity data'!AO12*EF!$H25)*kgtoGg,IF('Net zero activities &amp; levers'!$C$12="PB",('Activity data'!AO12*EF!$H25)*kgtoGg,IF('Net zero activities &amp; levers'!$C$12="MS",('Net zero Activity data'!AO12*EF!$H25)*kgtoGg,"ERROR")))</f>
        <v>4.1792403918886204E-3</v>
      </c>
      <c r="W937" s="93">
        <f>IF('Net zero activities &amp; levers'!$C$12="Off",('Activity data'!AP12*EF!$H25)*kgtoGg,IF('Net zero activities &amp; levers'!$C$12="PB",('Activity data'!AP12*EF!$H25)*kgtoGg,IF('Net zero activities &amp; levers'!$C$12="MS",('Net zero Activity data'!AP12*EF!$H25)*kgtoGg,"ERROR")))</f>
        <v>4.1836733517330218E-3</v>
      </c>
      <c r="X937" s="93">
        <f>IF('Net zero activities &amp; levers'!$C$12="Off",('Activity data'!AQ12*EF!$H25)*kgtoGg,IF('Net zero activities &amp; levers'!$C$12="PB",('Activity data'!AQ12*EF!$H25)*kgtoGg,IF('Net zero activities &amp; levers'!$C$12="MS",('Net zero Activity data'!AQ12*EF!$H25)*kgtoGg,"ERROR")))</f>
        <v>4.190928298973798E-3</v>
      </c>
      <c r="Y937" s="93">
        <f>IF('Net zero activities &amp; levers'!$C$12="Off",('Activity data'!AR12*EF!$H25)*kgtoGg,IF('Net zero activities &amp; levers'!$C$12="PB",('Activity data'!AR12*EF!$H25)*kgtoGg,IF('Net zero activities &amp; levers'!$C$12="MS",('Net zero Activity data'!AR12*EF!$H25)*kgtoGg,"ERROR")))</f>
        <v>4.197889501341273E-3</v>
      </c>
      <c r="Z937" s="93">
        <f>IF('Net zero activities &amp; levers'!$C$12="Off",('Activity data'!AS12*EF!$H25)*kgtoGg,IF('Net zero activities &amp; levers'!$C$12="PB",('Activity data'!AS12*EF!$H25)*kgtoGg,IF('Net zero activities &amp; levers'!$C$12="MS",('Net zero Activity data'!AS12*EF!$H25)*kgtoGg,"ERROR")))</f>
        <v>4.204579417118921E-3</v>
      </c>
      <c r="AA937" s="93">
        <f>IF('Net zero activities &amp; levers'!$C$12="Off",('Activity data'!AT12*EF!$H25)*kgtoGg,IF('Net zero activities &amp; levers'!$C$12="PB",('Activity data'!AT12*EF!$H25)*kgtoGg,IF('Net zero activities &amp; levers'!$C$12="MS",('Net zero Activity data'!AT12*EF!$H25)*kgtoGg,"ERROR")))</f>
        <v>4.2109889162952416E-3</v>
      </c>
      <c r="AB937" s="93">
        <f>IF('Net zero activities &amp; levers'!$C$12="Off",('Activity data'!AU12*EF!$H25)*kgtoGg,IF('Net zero activities &amp; levers'!$C$12="PB",('Activity data'!AU12*EF!$H25)*kgtoGg,IF('Net zero activities &amp; levers'!$C$12="MS",('Net zero Activity data'!AU12*EF!$H25)*kgtoGg,"ERROR")))</f>
        <v>4.2172515713640264E-3</v>
      </c>
      <c r="AC937" s="93">
        <f>IF('Net zero activities &amp; levers'!$C$12="Off",('Activity data'!AV12*EF!$H25)*kgtoGg,IF('Net zero activities &amp; levers'!$C$12="PB",('Activity data'!AV12*EF!$H25)*kgtoGg,IF('Net zero activities &amp; levers'!$C$12="MS",('Net zero Activity data'!AV12*EF!$H25)*kgtoGg,"ERROR")))</f>
        <v>4.2234588632873099E-3</v>
      </c>
      <c r="AD937" s="93">
        <f>IF('Net zero activities &amp; levers'!$C$12="Off",('Activity data'!AW12*EF!$H25)*kgtoGg,IF('Net zero activities &amp; levers'!$C$12="PB",('Activity data'!AW12*EF!$H25)*kgtoGg,IF('Net zero activities &amp; levers'!$C$12="MS",('Net zero Activity data'!AW12*EF!$H25)*kgtoGg,"ERROR")))</f>
        <v>4.2295485098794577E-3</v>
      </c>
      <c r="AE937" s="93">
        <f>IF('Net zero activities &amp; levers'!$C$12="Off",('Activity data'!AX12*EF!$H25)*kgtoGg,IF('Net zero activities &amp; levers'!$C$12="PB",('Activity data'!AX12*EF!$H25)*kgtoGg,IF('Net zero activities &amp; levers'!$C$12="MS",('Net zero Activity data'!AX12*EF!$H25)*kgtoGg,"ERROR")))</f>
        <v>4.2356080703243246E-3</v>
      </c>
      <c r="AF937" s="93">
        <f>IF('Net zero activities &amp; levers'!$C$12="Off",('Activity data'!AY12*EF!$H25)*kgtoGg,IF('Net zero activities &amp; levers'!$C$12="PB",('Activity data'!AY12*EF!$H25)*kgtoGg,IF('Net zero activities &amp; levers'!$C$12="MS",('Net zero Activity data'!AY12*EF!$H25)*kgtoGg,"ERROR")))</f>
        <v>4.2416184558353278E-3</v>
      </c>
      <c r="AG937" s="93">
        <f>IF('Net zero activities &amp; levers'!$C$12="Off",('Activity data'!AZ12*EF!$H25)*kgtoGg,IF('Net zero activities &amp; levers'!$C$12="PB",('Activity data'!AZ12*EF!$H25)*kgtoGg,IF('Net zero activities &amp; levers'!$C$12="MS",('Net zero Activity data'!AZ12*EF!$H25)*kgtoGg,"ERROR")))</f>
        <v>4.247531507426093E-3</v>
      </c>
      <c r="AH937" s="93">
        <f>IF('Net zero activities &amp; levers'!$C$12="Off",('Activity data'!BA12*EF!$H25)*kgtoGg,IF('Net zero activities &amp; levers'!$C$12="PB",('Activity data'!BA12*EF!$H25)*kgtoGg,IF('Net zero activities &amp; levers'!$C$12="MS",('Net zero Activity data'!BA12*EF!$H25)*kgtoGg,"ERROR")))</f>
        <v>4.2533732586297656E-3</v>
      </c>
      <c r="AI937" s="93">
        <f>IF('Net zero activities &amp; levers'!$C$12="Off",('Activity data'!BB12*EF!$H25)*kgtoGg,IF('Net zero activities &amp; levers'!$C$12="PB",('Activity data'!BB12*EF!$H25)*kgtoGg,IF('Net zero activities &amp; levers'!$C$12="MS",('Net zero Activity data'!BB12*EF!$H25)*kgtoGg,"ERROR")))</f>
        <v>4.2591499434289888E-3</v>
      </c>
      <c r="AJ937" s="93">
        <f>IF('Net zero activities &amp; levers'!$C$12="Off",('Activity data'!BC12*EF!$H25)*kgtoGg,IF('Net zero activities &amp; levers'!$C$12="PB",('Activity data'!BC12*EF!$H25)*kgtoGg,IF('Net zero activities &amp; levers'!$C$12="MS",('Net zero Activity data'!BC12*EF!$H25)*kgtoGg,"ERROR")))</f>
        <v>4.2648811733356808E-3</v>
      </c>
      <c r="AK937" s="93">
        <f>IF('Net zero activities &amp; levers'!$C$12="Off",('Activity data'!BD12*EF!$H25)*kgtoGg,IF('Net zero activities &amp; levers'!$C$12="PB",('Activity data'!BD12*EF!$H25)*kgtoGg,IF('Net zero activities &amp; levers'!$C$12="MS",('Net zero Activity data'!BD12*EF!$H25)*kgtoGg,"ERROR")))</f>
        <v>4.2703915841202098E-3</v>
      </c>
      <c r="AL937" s="93">
        <f>IF('Net zero activities &amp; levers'!$C$12="Off",('Activity data'!BE12*EF!$H25)*kgtoGg,IF('Net zero activities &amp; levers'!$C$12="PB",('Activity data'!BE12*EF!$H25)*kgtoGg,IF('Net zero activities &amp; levers'!$C$12="MS",('Net zero Activity data'!BE12*EF!$H25)*kgtoGg,"ERROR")))</f>
        <v>4.2756747287123493E-3</v>
      </c>
      <c r="AM937" s="93">
        <f>IF('Net zero activities &amp; levers'!$C$12="Off",('Activity data'!BF12*EF!$H25)*kgtoGg,IF('Net zero activities &amp; levers'!$C$12="PB",('Activity data'!BF12*EF!$H25)*kgtoGg,IF('Net zero activities &amp; levers'!$C$12="MS",('Net zero Activity data'!BF12*EF!$H25)*kgtoGg,"ERROR")))</f>
        <v>4.2807799838222773E-3</v>
      </c>
      <c r="AN937" s="93">
        <f>IF('Net zero activities &amp; levers'!$C$12="Off",('Activity data'!BG12*EF!$H25)*kgtoGg,IF('Net zero activities &amp; levers'!$C$12="PB",('Activity data'!BG12*EF!$H25)*kgtoGg,IF('Net zero activities &amp; levers'!$C$12="MS",('Net zero Activity data'!BG12*EF!$H25)*kgtoGg,"ERROR")))</f>
        <v>4.2856680384441249E-3</v>
      </c>
      <c r="AO937" s="93">
        <f>IF('Net zero activities &amp; levers'!$C$12="Off",('Activity data'!BH12*EF!$H25)*kgtoGg,IF('Net zero activities &amp; levers'!$C$12="PB",('Activity data'!BH12*EF!$H25)*kgtoGg,IF('Net zero activities &amp; levers'!$C$12="MS",('Net zero Activity data'!BH12*EF!$H25)*kgtoGg,"ERROR")))</f>
        <v>4.2903477598915749E-3</v>
      </c>
      <c r="AP937" s="93">
        <f>IF('Net zero activities &amp; levers'!$C$12="Off",('Activity data'!BI12*EF!$H25)*kgtoGg,IF('Net zero activities &amp; levers'!$C$12="PB",('Activity data'!BI12*EF!$H25)*kgtoGg,IF('Net zero activities &amp; levers'!$C$12="MS",('Net zero Activity data'!BI12*EF!$H25)*kgtoGg,"ERROR")))</f>
        <v>4.2947980706135938E-3</v>
      </c>
      <c r="AQ937" s="93">
        <f>IF('Net zero activities &amp; levers'!$C$12="Off",('Activity data'!BJ12*EF!$H25)*kgtoGg,IF('Net zero activities &amp; levers'!$C$12="PB",('Activity data'!BJ12*EF!$H25)*kgtoGg,IF('Net zero activities &amp; levers'!$C$12="MS",('Net zero Activity data'!BJ12*EF!$H25)*kgtoGg,"ERROR")))</f>
        <v>4.2989552863151904E-3</v>
      </c>
      <c r="AR937" s="93">
        <f>IF('Net zero activities &amp; levers'!$C$12="Off",('Activity data'!BK12*EF!$H25)*kgtoGg,IF('Net zero activities &amp; levers'!$C$12="PB",('Activity data'!BK12*EF!$H25)*kgtoGg,IF('Net zero activities &amp; levers'!$C$12="MS",('Net zero Activity data'!BK12*EF!$H25)*kgtoGg,"ERROR")))</f>
        <v>4.3027603921585852E-3</v>
      </c>
      <c r="AS937" s="93">
        <f>IF('Net zero activities &amp; levers'!$C$12="Off",('Activity data'!BL12*EF!$H25)*kgtoGg,IF('Net zero activities &amp; levers'!$C$12="PB",('Activity data'!BL12*EF!$H25)*kgtoGg,IF('Net zero activities &amp; levers'!$C$12="MS",('Net zero Activity data'!BL12*EF!$H25)*kgtoGg,"ERROR")))</f>
        <v>4.3062095439198199E-3</v>
      </c>
      <c r="AT937" s="93">
        <f>IF('Net zero activities &amp; levers'!$C$12="Off",('Activity data'!BM12*EF!$H25)*kgtoGg,IF('Net zero activities &amp; levers'!$C$12="PB",('Activity data'!BM12*EF!$H25)*kgtoGg,IF('Net zero activities &amp; levers'!$C$12="MS",('Net zero Activity data'!BM12*EF!$H25)*kgtoGg,"ERROR")))</f>
        <v>4.3092763471797441E-3</v>
      </c>
      <c r="AU937" s="93">
        <f>IF('Net zero activities &amp; levers'!$C$12="Off",('Activity data'!BN12*EF!$H25)*kgtoGg,IF('Net zero activities &amp; levers'!$C$12="PB",('Activity data'!BN12*EF!$H25)*kgtoGg,IF('Net zero activities &amp; levers'!$C$12="MS",('Net zero Activity data'!BN12*EF!$H25)*kgtoGg,"ERROR")))</f>
        <v>4.3119593228616469E-3</v>
      </c>
      <c r="AV937" s="93">
        <f>IF('Net zero activities &amp; levers'!$C$12="Off",('Activity data'!BO12*EF!$H25)*kgtoGg,IF('Net zero activities &amp; levers'!$C$12="PB",('Activity data'!BO12*EF!$H25)*kgtoGg,IF('Net zero activities &amp; levers'!$C$12="MS",('Net zero Activity data'!BO12*EF!$H25)*kgtoGg,"ERROR")))</f>
        <v>4.3143098149368113E-3</v>
      </c>
      <c r="AW937" s="93">
        <f>IF('Net zero activities &amp; levers'!$C$12="Off",('Activity data'!BP12*EF!$H25)*kgtoGg,IF('Net zero activities &amp; levers'!$C$12="PB",('Activity data'!BP12*EF!$H25)*kgtoGg,IF('Net zero activities &amp; levers'!$C$12="MS",('Net zero Activity data'!BP12*EF!$H25)*kgtoGg,"ERROR")))</f>
        <v>4.3160225255723297E-3</v>
      </c>
      <c r="AY937" s="79"/>
      <c r="AZ937" s="79"/>
    </row>
    <row r="938" spans="1:52" x14ac:dyDescent="0.25">
      <c r="A938" s="95" t="str">
        <f t="shared" si="326"/>
        <v>DS Goats MMCH4</v>
      </c>
      <c r="B938" s="95" t="s">
        <v>973</v>
      </c>
      <c r="C938" s="95" t="s">
        <v>1324</v>
      </c>
      <c r="D938" t="s">
        <v>15</v>
      </c>
      <c r="E938" t="s">
        <v>22</v>
      </c>
      <c r="F938" t="s">
        <v>19</v>
      </c>
      <c r="G938" t="s">
        <v>122</v>
      </c>
      <c r="H938" t="s">
        <v>1226</v>
      </c>
      <c r="I938" t="s">
        <v>121</v>
      </c>
      <c r="J938" t="s">
        <v>286</v>
      </c>
      <c r="K938" s="27">
        <f t="shared" ref="K938:Z941" si="333">K1401</f>
        <v>1.5789672763163298E-2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1.623065478441902E-2</v>
      </c>
      <c r="R938" s="27">
        <f t="shared" si="333"/>
        <v>1.6337439810579345E-2</v>
      </c>
      <c r="S938" s="27">
        <f t="shared" si="333"/>
        <v>1.6297380650984187E-2</v>
      </c>
      <c r="T938" s="27">
        <f t="shared" si="333"/>
        <v>1.6325395863941383E-2</v>
      </c>
      <c r="U938" s="27">
        <f t="shared" si="333"/>
        <v>1.6328114418990985E-2</v>
      </c>
      <c r="V938" s="27">
        <f t="shared" si="333"/>
        <v>1.6335588711282864E-2</v>
      </c>
      <c r="W938" s="27">
        <f t="shared" si="333"/>
        <v>1.6368634589950044E-2</v>
      </c>
      <c r="X938" s="27">
        <f t="shared" si="333"/>
        <v>1.641724322972727E-2</v>
      </c>
      <c r="Y938" s="27">
        <f t="shared" si="333"/>
        <v>1.6463127220508685E-2</v>
      </c>
      <c r="Z938" s="27">
        <f t="shared" si="333"/>
        <v>1.6506502302245762E-2</v>
      </c>
      <c r="AA938" s="27">
        <f t="shared" ref="L938:AW941" si="334">AA1401</f>
        <v>1.6547390676749981E-2</v>
      </c>
      <c r="AB938" s="27">
        <f t="shared" si="334"/>
        <v>1.6586638401151873E-2</v>
      </c>
      <c r="AC938" s="27">
        <f t="shared" si="334"/>
        <v>1.6624834346576634E-2</v>
      </c>
      <c r="AD938" s="27">
        <f t="shared" si="334"/>
        <v>1.6661666671952648E-2</v>
      </c>
      <c r="AE938" s="27">
        <f t="shared" si="334"/>
        <v>1.669768859843657E-2</v>
      </c>
      <c r="AF938" s="27">
        <f t="shared" si="334"/>
        <v>1.6732829718107738E-2</v>
      </c>
      <c r="AG938" s="27">
        <f t="shared" si="334"/>
        <v>1.6766849576183976E-2</v>
      </c>
      <c r="AH938" s="27">
        <f t="shared" si="334"/>
        <v>1.6799933327571178E-2</v>
      </c>
      <c r="AI938" s="27">
        <f t="shared" si="334"/>
        <v>1.6832148555186801E-2</v>
      </c>
      <c r="AJ938" s="27">
        <f t="shared" si="334"/>
        <v>1.6863636706256461E-2</v>
      </c>
      <c r="AK938" s="27">
        <f t="shared" si="334"/>
        <v>1.6893421474693429E-2</v>
      </c>
      <c r="AL938" s="27">
        <f t="shared" si="334"/>
        <v>1.6921495820142095E-2</v>
      </c>
      <c r="AM938" s="27">
        <f t="shared" si="334"/>
        <v>1.6948169002433171E-2</v>
      </c>
      <c r="AN938" s="27">
        <f t="shared" si="334"/>
        <v>1.6973242190360595E-2</v>
      </c>
      <c r="AO938" s="27">
        <f t="shared" si="334"/>
        <v>1.699679001880551E-2</v>
      </c>
      <c r="AP938" s="27">
        <f t="shared" si="334"/>
        <v>1.701871561452447E-2</v>
      </c>
      <c r="AQ938" s="27">
        <f t="shared" si="334"/>
        <v>1.7038680545756732E-2</v>
      </c>
      <c r="AR938" s="27">
        <f t="shared" si="334"/>
        <v>1.7056373927880512E-2</v>
      </c>
      <c r="AS938" s="27">
        <f t="shared" si="334"/>
        <v>1.7071796968078184E-2</v>
      </c>
      <c r="AT938" s="27">
        <f t="shared" si="334"/>
        <v>1.7084822941521471E-2</v>
      </c>
      <c r="AU938" s="27">
        <f t="shared" si="334"/>
        <v>1.7095465059373528E-2</v>
      </c>
      <c r="AV938" s="27">
        <f t="shared" si="334"/>
        <v>1.7104031992328298E-2</v>
      </c>
      <c r="AW938" s="27">
        <f t="shared" si="334"/>
        <v>1.7108831686205268E-2</v>
      </c>
      <c r="AY938" s="79"/>
      <c r="AZ938" s="79"/>
    </row>
    <row r="939" spans="1:52" x14ac:dyDescent="0.25">
      <c r="A939" s="95" t="str">
        <f t="shared" si="326"/>
        <v>DS Goats MMCH4</v>
      </c>
      <c r="B939" s="95" t="s">
        <v>973</v>
      </c>
      <c r="C939" s="95" t="s">
        <v>1324</v>
      </c>
      <c r="D939" t="s">
        <v>15</v>
      </c>
      <c r="E939" t="s">
        <v>22</v>
      </c>
      <c r="F939" t="s">
        <v>19</v>
      </c>
      <c r="G939" t="s">
        <v>123</v>
      </c>
      <c r="H939" t="s">
        <v>1226</v>
      </c>
      <c r="I939" t="s">
        <v>121</v>
      </c>
      <c r="J939" t="s">
        <v>286</v>
      </c>
      <c r="K939" s="27">
        <f t="shared" si="333"/>
        <v>2.6592218800664796E-2</v>
      </c>
      <c r="L939" s="27">
        <f t="shared" si="334"/>
        <v>2.6661345733624896E-2</v>
      </c>
      <c r="M939" s="27">
        <f t="shared" si="334"/>
        <v>2.6756703894783639E-2</v>
      </c>
      <c r="N939" s="27">
        <f t="shared" si="334"/>
        <v>2.6872875319249701E-2</v>
      </c>
      <c r="O939" s="27">
        <f t="shared" si="334"/>
        <v>2.7009694315810229E-2</v>
      </c>
      <c r="P939" s="27">
        <f t="shared" si="334"/>
        <v>2.7166328132291764E-2</v>
      </c>
      <c r="Q939" s="27">
        <f t="shared" si="334"/>
        <v>2.7334899828466049E-2</v>
      </c>
      <c r="R939" s="27">
        <f t="shared" si="334"/>
        <v>2.7514742110372921E-2</v>
      </c>
      <c r="S939" s="27">
        <f t="shared" si="334"/>
        <v>2.7447276371664872E-2</v>
      </c>
      <c r="T939" s="27">
        <f t="shared" si="334"/>
        <v>2.7494458266051122E-2</v>
      </c>
      <c r="U939" s="27">
        <f t="shared" si="334"/>
        <v>2.7499036727668718E-2</v>
      </c>
      <c r="V939" s="27">
        <f t="shared" si="334"/>
        <v>2.7511624576637288E-2</v>
      </c>
      <c r="W939" s="27">
        <f t="shared" si="334"/>
        <v>2.7567278879874528E-2</v>
      </c>
      <c r="X939" s="27">
        <f t="shared" si="334"/>
        <v>2.7649143248056639E-2</v>
      </c>
      <c r="Y939" s="27">
        <f t="shared" si="334"/>
        <v>2.7726418891485655E-2</v>
      </c>
      <c r="Z939" s="27">
        <f t="shared" si="334"/>
        <v>2.7799469149166745E-2</v>
      </c>
      <c r="AA939" s="27">
        <f t="shared" si="334"/>
        <v>2.7868331412338937E-2</v>
      </c>
      <c r="AB939" s="27">
        <f t="shared" si="334"/>
        <v>2.7934430570337832E-2</v>
      </c>
      <c r="AC939" s="27">
        <f t="shared" si="334"/>
        <v>2.7998758372013564E-2</v>
      </c>
      <c r="AD939" s="27">
        <f t="shared" si="334"/>
        <v>2.8060789629407407E-2</v>
      </c>
      <c r="AE939" s="27">
        <f t="shared" si="334"/>
        <v>2.8121456051381433E-2</v>
      </c>
      <c r="AF939" s="27">
        <f t="shared" si="334"/>
        <v>2.8180639060251388E-2</v>
      </c>
      <c r="AG939" s="27">
        <f t="shared" si="334"/>
        <v>2.8237933693465157E-2</v>
      </c>
      <c r="AH939" s="27">
        <f t="shared" si="334"/>
        <v>2.8293651780143172E-2</v>
      </c>
      <c r="AI939" s="27">
        <f t="shared" si="334"/>
        <v>2.8347907140233115E-2</v>
      </c>
      <c r="AJ939" s="27">
        <f t="shared" si="334"/>
        <v>2.8400937992451046E-2</v>
      </c>
      <c r="AK939" s="27">
        <f t="shared" si="334"/>
        <v>2.845110008834013E-2</v>
      </c>
      <c r="AL939" s="27">
        <f t="shared" si="334"/>
        <v>2.8498381570866985E-2</v>
      </c>
      <c r="AM939" s="27">
        <f t="shared" si="334"/>
        <v>2.8543303280786723E-2</v>
      </c>
      <c r="AN939" s="27">
        <f t="shared" si="334"/>
        <v>2.8585530356002101E-2</v>
      </c>
      <c r="AO939" s="27">
        <f t="shared" si="334"/>
        <v>2.8625188493043956E-2</v>
      </c>
      <c r="AP939" s="27">
        <f t="shared" si="334"/>
        <v>2.8662114542585253E-2</v>
      </c>
      <c r="AQ939" s="27">
        <f t="shared" si="334"/>
        <v>2.8695738533888428E-2</v>
      </c>
      <c r="AR939" s="27">
        <f t="shared" si="334"/>
        <v>2.8725536889802242E-2</v>
      </c>
      <c r="AS939" s="27">
        <f t="shared" si="334"/>
        <v>2.8751511643406051E-2</v>
      </c>
      <c r="AT939" s="27">
        <f t="shared" si="334"/>
        <v>2.8773449370747915E-2</v>
      </c>
      <c r="AU939" s="27">
        <f t="shared" si="334"/>
        <v>2.8791372321442913E-2</v>
      </c>
      <c r="AV939" s="27">
        <f t="shared" si="334"/>
        <v>2.8805800344049892E-2</v>
      </c>
      <c r="AW939" s="27">
        <f t="shared" si="334"/>
        <v>2.8813883761082477E-2</v>
      </c>
      <c r="AY939" s="79"/>
      <c r="AZ939" s="79"/>
    </row>
    <row r="940" spans="1:52" x14ac:dyDescent="0.25">
      <c r="A940" s="95" t="str">
        <f t="shared" si="326"/>
        <v>DS Horses MMCH4</v>
      </c>
      <c r="B940" s="95" t="s">
        <v>973</v>
      </c>
      <c r="C940" s="95" t="s">
        <v>1325</v>
      </c>
      <c r="D940" t="s">
        <v>15</v>
      </c>
      <c r="E940" t="s">
        <v>22</v>
      </c>
      <c r="F940" t="s">
        <v>20</v>
      </c>
      <c r="G940" t="s">
        <v>3</v>
      </c>
      <c r="H940" t="s">
        <v>1226</v>
      </c>
      <c r="I940" t="s">
        <v>121</v>
      </c>
      <c r="J940" t="s">
        <v>286</v>
      </c>
      <c r="K940" s="27">
        <f t="shared" si="333"/>
        <v>4.1336182129460544E-3</v>
      </c>
      <c r="L940" s="27">
        <f t="shared" si="334"/>
        <v>4.1536453250924079E-3</v>
      </c>
      <c r="M940" s="27">
        <f t="shared" si="334"/>
        <v>4.1840370126470525E-3</v>
      </c>
      <c r="N940" s="27">
        <f t="shared" si="334"/>
        <v>4.1905340987284569E-3</v>
      </c>
      <c r="O940" s="27">
        <f t="shared" si="334"/>
        <v>4.1812329246154589E-3</v>
      </c>
      <c r="P940" s="27">
        <f t="shared" si="334"/>
        <v>4.1564738854214548E-3</v>
      </c>
      <c r="Q940" s="27">
        <f t="shared" si="334"/>
        <v>4.1427460620707141E-3</v>
      </c>
      <c r="R940" s="27">
        <f t="shared" si="334"/>
        <v>4.130408792135833E-3</v>
      </c>
      <c r="S940" s="27">
        <f t="shared" si="334"/>
        <v>3.9434601312185527E-3</v>
      </c>
      <c r="T940" s="27">
        <f t="shared" si="334"/>
        <v>4.0605746122765228E-3</v>
      </c>
      <c r="U940" s="27">
        <f t="shared" si="334"/>
        <v>4.1189841670463273E-3</v>
      </c>
      <c r="V940" s="27">
        <f t="shared" si="334"/>
        <v>4.1278057101270405E-3</v>
      </c>
      <c r="W940" s="27">
        <f t="shared" si="334"/>
        <v>4.1355671321311174E-3</v>
      </c>
      <c r="X940" s="27">
        <f t="shared" si="334"/>
        <v>4.1543998592115791E-3</v>
      </c>
      <c r="Y940" s="27">
        <f t="shared" si="334"/>
        <v>4.1865458304734694E-3</v>
      </c>
      <c r="Z940" s="27">
        <f t="shared" si="334"/>
        <v>4.2253320128085251E-3</v>
      </c>
      <c r="AA940" s="27">
        <f t="shared" si="334"/>
        <v>4.272518274488683E-3</v>
      </c>
      <c r="AB940" s="27">
        <f t="shared" si="334"/>
        <v>4.3334009221617396E-3</v>
      </c>
      <c r="AC940" s="27">
        <f t="shared" si="334"/>
        <v>4.4071847194853781E-3</v>
      </c>
      <c r="AD940" s="27">
        <f t="shared" si="334"/>
        <v>4.4888905161837847E-3</v>
      </c>
      <c r="AE940" s="27">
        <f t="shared" si="334"/>
        <v>4.5781841431122572E-3</v>
      </c>
      <c r="AF940" s="27">
        <f t="shared" si="334"/>
        <v>4.6723057323312554E-3</v>
      </c>
      <c r="AG940" s="27">
        <f t="shared" si="334"/>
        <v>4.7725702352352153E-3</v>
      </c>
      <c r="AH940" s="27">
        <f t="shared" si="334"/>
        <v>4.8776647477587476E-3</v>
      </c>
      <c r="AI940" s="27">
        <f t="shared" si="334"/>
        <v>4.9827957618803235E-3</v>
      </c>
      <c r="AJ940" s="27">
        <f t="shared" si="334"/>
        <v>5.0948794457102743E-3</v>
      </c>
      <c r="AK940" s="27">
        <f t="shared" si="334"/>
        <v>5.2096806373507004E-3</v>
      </c>
      <c r="AL940" s="27">
        <f t="shared" si="334"/>
        <v>5.326887127790998E-3</v>
      </c>
      <c r="AM940" s="27">
        <f t="shared" si="334"/>
        <v>5.4485848360062324E-3</v>
      </c>
      <c r="AN940" s="27">
        <f t="shared" si="334"/>
        <v>5.5696508386077004E-3</v>
      </c>
      <c r="AO940" s="27">
        <f t="shared" si="334"/>
        <v>5.6973052536603251E-3</v>
      </c>
      <c r="AP940" s="27">
        <f t="shared" si="334"/>
        <v>5.8342669505017037E-3</v>
      </c>
      <c r="AQ940" s="27">
        <f t="shared" si="334"/>
        <v>5.9763033014494302E-3</v>
      </c>
      <c r="AR940" s="27">
        <f t="shared" si="334"/>
        <v>6.1238672356661557E-3</v>
      </c>
      <c r="AS940" s="27">
        <f t="shared" si="334"/>
        <v>6.2820427526668306E-3</v>
      </c>
      <c r="AT940" s="27">
        <f t="shared" si="334"/>
        <v>6.4494574929913678E-3</v>
      </c>
      <c r="AU940" s="27">
        <f t="shared" si="334"/>
        <v>6.6252174839876625E-3</v>
      </c>
      <c r="AV940" s="27">
        <f t="shared" si="334"/>
        <v>6.8126704322840365E-3</v>
      </c>
      <c r="AW940" s="27">
        <f t="shared" si="334"/>
        <v>6.9938267919267671E-3</v>
      </c>
      <c r="AY940" s="79"/>
      <c r="AZ940" s="79"/>
    </row>
    <row r="941" spans="1:52" x14ac:dyDescent="0.25">
      <c r="A941" s="95" t="str">
        <f t="shared" si="326"/>
        <v>DS Mules MMCH4</v>
      </c>
      <c r="B941" s="95" t="s">
        <v>973</v>
      </c>
      <c r="C941" s="95" t="s">
        <v>1326</v>
      </c>
      <c r="D941" t="s">
        <v>15</v>
      </c>
      <c r="E941" t="s">
        <v>22</v>
      </c>
      <c r="F941" t="s">
        <v>140</v>
      </c>
      <c r="G941" t="s">
        <v>124</v>
      </c>
      <c r="H941" t="s">
        <v>1226</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5">
      <c r="A942" s="95" t="str">
        <f t="shared" si="326"/>
        <v>DS Swine MMCH4</v>
      </c>
      <c r="B942" s="95" t="s">
        <v>973</v>
      </c>
      <c r="C942" s="95" t="s">
        <v>1229</v>
      </c>
      <c r="D942" t="s">
        <v>15</v>
      </c>
      <c r="E942" t="s">
        <v>22</v>
      </c>
      <c r="F942" t="s">
        <v>21</v>
      </c>
      <c r="G942" t="s">
        <v>122</v>
      </c>
      <c r="H942" t="s">
        <v>1226</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22.60295118682059</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21.780600237355966</v>
      </c>
      <c r="R942" s="93">
        <f>IF('Net zero activities &amp; levers'!$C$12="Off",('Activity data'!AK17*EF!$H30)*kgtoGg,IF('Net zero activities &amp; levers'!$C$12="PB",('Activity data'!AK17*EF!$H30)*kgtoGg,IF('Net zero activities &amp; levers'!$C$12="MS",('Net zero Activity data'!AK17*EF!$H30)*kgtoGg,"ERROR")))</f>
        <v>21.465278056857684</v>
      </c>
      <c r="S942" s="93">
        <f>IF('Net zero activities &amp; levers'!$C$12="Off",('Activity data'!AL17*EF!$H30)*kgtoGg,IF('Net zero activities &amp; levers'!$C$12="PB",('Activity data'!AL17*EF!$H30)*kgtoGg,IF('Net zero activities &amp; levers'!$C$12="MS",('Net zero Activity data'!AL17*EF!$H30)*kgtoGg,"ERROR")))</f>
        <v>19.28268372841509</v>
      </c>
      <c r="T942" s="93">
        <f>IF('Net zero activities &amp; levers'!$C$12="Off",('Activity data'!AM17*EF!$H30)*kgtoGg,IF('Net zero activities &amp; levers'!$C$12="PB",('Activity data'!AM17*EF!$H30)*kgtoGg,IF('Net zero activities &amp; levers'!$C$12="MS",('Net zero Activity data'!AM17*EF!$H30)*kgtoGg,"ERROR")))</f>
        <v>20.154045022941879</v>
      </c>
      <c r="U942" s="93">
        <f>IF('Net zero activities &amp; levers'!$C$12="Off",('Activity data'!AN17*EF!$H30)*kgtoGg,IF('Net zero activities &amp; levers'!$C$12="PB",('Activity data'!AN17*EF!$H30)*kgtoGg,IF('Net zero activities &amp; levers'!$C$12="MS",('Net zero Activity data'!AN17*EF!$H30)*kgtoGg,"ERROR")))</f>
        <v>20.417483741296842</v>
      </c>
      <c r="V942" s="93">
        <f>IF('Net zero activities &amp; levers'!$C$12="Off",('Activity data'!AO17*EF!$H30)*kgtoGg,IF('Net zero activities &amp; levers'!$C$12="PB",('Activity data'!AO17*EF!$H30)*kgtoGg,IF('Net zero activities &amp; levers'!$C$12="MS",('Net zero Activity data'!AO17*EF!$H30)*kgtoGg,"ERROR")))</f>
        <v>20.215982998578138</v>
      </c>
      <c r="W942" s="93">
        <f>IF('Net zero activities &amp; levers'!$C$12="Off",('Activity data'!AP17*EF!$H30)*kgtoGg,IF('Net zero activities &amp; levers'!$C$12="PB",('Activity data'!AP17*EF!$H30)*kgtoGg,IF('Net zero activities &amp; levers'!$C$12="MS",('Net zero Activity data'!AP17*EF!$H30)*kgtoGg,"ERROR")))</f>
        <v>20.038764166788877</v>
      </c>
      <c r="X942" s="93">
        <f>IF('Net zero activities &amp; levers'!$C$12="Off",('Activity data'!AQ17*EF!$H30)*kgtoGg,IF('Net zero activities &amp; levers'!$C$12="PB",('Activity data'!AQ17*EF!$H30)*kgtoGg,IF('Net zero activities &amp; levers'!$C$12="MS",('Net zero Activity data'!AQ17*EF!$H30)*kgtoGg,"ERROR")))</f>
        <v>19.983994613990216</v>
      </c>
      <c r="Y942" s="93">
        <f>IF('Net zero activities &amp; levers'!$C$12="Off",('Activity data'!AR17*EF!$H30)*kgtoGg,IF('Net zero activities &amp; levers'!$C$12="PB",('Activity data'!AR17*EF!$H30)*kgtoGg,IF('Net zero activities &amp; levers'!$C$12="MS",('Net zero Activity data'!AR17*EF!$H30)*kgtoGg,"ERROR")))</f>
        <v>20.046915484009698</v>
      </c>
      <c r="Z942" s="93">
        <f>IF('Net zero activities &amp; levers'!$C$12="Off",('Activity data'!AS17*EF!$H30)*kgtoGg,IF('Net zero activities &amp; levers'!$C$12="PB",('Activity data'!AS17*EF!$H30)*kgtoGg,IF('Net zero activities &amp; levers'!$C$12="MS",('Net zero Activity data'!AS17*EF!$H30)*kgtoGg,"ERROR")))</f>
        <v>20.164111817793334</v>
      </c>
      <c r="AA942" s="93">
        <f>IF('Net zero activities &amp; levers'!$C$12="Off",('Activity data'!AT17*EF!$H30)*kgtoGg,IF('Net zero activities &amp; levers'!$C$12="PB",('Activity data'!AT17*EF!$H30)*kgtoGg,IF('Net zero activities &amp; levers'!$C$12="MS",('Net zero Activity data'!AT17*EF!$H30)*kgtoGg,"ERROR")))</f>
        <v>20.348954154275784</v>
      </c>
      <c r="AB942" s="93">
        <f>IF('Net zero activities &amp; levers'!$C$12="Off",('Activity data'!AU17*EF!$H30)*kgtoGg,IF('Net zero activities &amp; levers'!$C$12="PB",('Activity data'!AU17*EF!$H30)*kgtoGg,IF('Net zero activities &amp; levers'!$C$12="MS",('Net zero Activity data'!AU17*EF!$H30)*kgtoGg,"ERROR")))</f>
        <v>20.645885200839494</v>
      </c>
      <c r="AC942" s="93">
        <f>IF('Net zero activities &amp; levers'!$C$12="Off",('Activity data'!AV17*EF!$H30)*kgtoGg,IF('Net zero activities &amp; levers'!$C$12="PB",('Activity data'!AV17*EF!$H30)*kgtoGg,IF('Net zero activities &amp; levers'!$C$12="MS",('Net zero Activity data'!AV17*EF!$H30)*kgtoGg,"ERROR")))</f>
        <v>21.044537894059989</v>
      </c>
      <c r="AD942" s="93">
        <f>IF('Net zero activities &amp; levers'!$C$12="Off",('Activity data'!AW17*EF!$H30)*kgtoGg,IF('Net zero activities &amp; levers'!$C$12="PB",('Activity data'!AW17*EF!$H30)*kgtoGg,IF('Net zero activities &amp; levers'!$C$12="MS",('Net zero Activity data'!AW17*EF!$H30)*kgtoGg,"ERROR")))</f>
        <v>21.498264632191113</v>
      </c>
      <c r="AE942" s="93">
        <f>IF('Net zero activities &amp; levers'!$C$12="Off",('Activity data'!AX17*EF!$H30)*kgtoGg,IF('Net zero activities &amp; levers'!$C$12="PB",('Activity data'!AX17*EF!$H30)*kgtoGg,IF('Net zero activities &amp; levers'!$C$12="MS",('Net zero Activity data'!AX17*EF!$H30)*kgtoGg,"ERROR")))</f>
        <v>22.002561256053959</v>
      </c>
      <c r="AF942" s="93">
        <f>IF('Net zero activities &amp; levers'!$C$12="Off",('Activity data'!AY17*EF!$H30)*kgtoGg,IF('Net zero activities &amp; levers'!$C$12="PB",('Activity data'!AY17*EF!$H30)*kgtoGg,IF('Net zero activities &amp; levers'!$C$12="MS",('Net zero Activity data'!AY17*EF!$H30)*kgtoGg,"ERROR")))</f>
        <v>22.532202643318037</v>
      </c>
      <c r="AG942" s="93">
        <f>IF('Net zero activities &amp; levers'!$C$12="Off",('Activity data'!AZ17*EF!$H30)*kgtoGg,IF('Net zero activities &amp; levers'!$C$12="PB",('Activity data'!AZ17*EF!$H30)*kgtoGg,IF('Net zero activities &amp; levers'!$C$12="MS",('Net zero Activity data'!AZ17*EF!$H30)*kgtoGg,"ERROR")))</f>
        <v>23.096284889499795</v>
      </c>
      <c r="AH942" s="93">
        <f>IF('Net zero activities &amp; levers'!$C$12="Off",('Activity data'!BA17*EF!$H30)*kgtoGg,IF('Net zero activities &amp; levers'!$C$12="PB",('Activity data'!BA17*EF!$H30)*kgtoGg,IF('Net zero activities &amp; levers'!$C$12="MS",('Net zero Activity data'!BA17*EF!$H30)*kgtoGg,"ERROR")))</f>
        <v>23.682649825738739</v>
      </c>
      <c r="AI942" s="93">
        <f>IF('Net zero activities &amp; levers'!$C$12="Off",('Activity data'!BB17*EF!$H30)*kgtoGg,IF('Net zero activities &amp; levers'!$C$12="PB",('Activity data'!BB17*EF!$H30)*kgtoGg,IF('Net zero activities &amp; levers'!$C$12="MS",('Net zero Activity data'!BB17*EF!$H30)*kgtoGg,"ERROR")))</f>
        <v>24.251675615546215</v>
      </c>
      <c r="AJ942" s="93">
        <f>IF('Net zero activities &amp; levers'!$C$12="Off",('Activity data'!BC17*EF!$H30)*kgtoGg,IF('Net zero activities &amp; levers'!$C$12="PB",('Activity data'!BC17*EF!$H30)*kgtoGg,IF('Net zero activities &amp; levers'!$C$12="MS",('Net zero Activity data'!BC17*EF!$H30)*kgtoGg,"ERROR")))</f>
        <v>24.858335489218973</v>
      </c>
      <c r="AK942" s="93">
        <f>IF('Net zero activities &amp; levers'!$C$12="Off",('Activity data'!BD17*EF!$H30)*kgtoGg,IF('Net zero activities &amp; levers'!$C$12="PB",('Activity data'!BD17*EF!$H30)*kgtoGg,IF('Net zero activities &amp; levers'!$C$12="MS",('Net zero Activity data'!BD17*EF!$H30)*kgtoGg,"ERROR")))</f>
        <v>25.466205387661859</v>
      </c>
      <c r="AL942" s="93">
        <f>IF('Net zero activities &amp; levers'!$C$12="Off",('Activity data'!BE17*EF!$H30)*kgtoGg,IF('Net zero activities &amp; levers'!$C$12="PB",('Activity data'!BE17*EF!$H30)*kgtoGg,IF('Net zero activities &amp; levers'!$C$12="MS",('Net zero Activity data'!BE17*EF!$H30)*kgtoGg,"ERROR")))</f>
        <v>26.072093806701385</v>
      </c>
      <c r="AM942" s="93">
        <f>IF('Net zero activities &amp; levers'!$C$12="Off",('Activity data'!BF17*EF!$H30)*kgtoGg,IF('Net zero activities &amp; levers'!$C$12="PB",('Activity data'!BF17*EF!$H30)*kgtoGg,IF('Net zero activities &amp; levers'!$C$12="MS",('Net zero Activity data'!BF17*EF!$H30)*kgtoGg,"ERROR")))</f>
        <v>26.691678242844393</v>
      </c>
      <c r="AN942" s="93">
        <f>IF('Net zero activities &amp; levers'!$C$12="Off",('Activity data'!BG17*EF!$H30)*kgtoGg,IF('Net zero activities &amp; levers'!$C$12="PB",('Activity data'!BG17*EF!$H30)*kgtoGg,IF('Net zero activities &amp; levers'!$C$12="MS",('Net zero Activity data'!BG17*EF!$H30)*kgtoGg,"ERROR")))</f>
        <v>27.284891345865745</v>
      </c>
      <c r="AO942" s="93">
        <f>IF('Net zero activities &amp; levers'!$C$12="Off",('Activity data'!BH17*EF!$H30)*kgtoGg,IF('Net zero activities &amp; levers'!$C$12="PB",('Activity data'!BH17*EF!$H30)*kgtoGg,IF('Net zero activities &amp; levers'!$C$12="MS",('Net zero Activity data'!BH17*EF!$H30)*kgtoGg,"ERROR")))</f>
        <v>27.905654237830884</v>
      </c>
      <c r="AP942" s="93">
        <f>IF('Net zero activities &amp; levers'!$C$12="Off",('Activity data'!BI17*EF!$H30)*kgtoGg,IF('Net zero activities &amp; levers'!$C$12="PB",('Activity data'!BI17*EF!$H30)*kgtoGg,IF('Net zero activities &amp; levers'!$C$12="MS",('Net zero Activity data'!BI17*EF!$H30)*kgtoGg,"ERROR")))</f>
        <v>28.571861719635045</v>
      </c>
      <c r="AQ942" s="93">
        <f>IF('Net zero activities &amp; levers'!$C$12="Off",('Activity data'!BJ17*EF!$H30)*kgtoGg,IF('Net zero activities &amp; levers'!$C$12="PB",('Activity data'!BJ17*EF!$H30)*kgtoGg,IF('Net zero activities &amp; levers'!$C$12="MS",('Net zero Activity data'!BJ17*EF!$H30)*kgtoGg,"ERROR")))</f>
        <v>29.249712050194997</v>
      </c>
      <c r="AR942" s="93">
        <f>IF('Net zero activities &amp; levers'!$C$12="Off",('Activity data'!BK17*EF!$H30)*kgtoGg,IF('Net zero activities &amp; levers'!$C$12="PB",('Activity data'!BK17*EF!$H30)*kgtoGg,IF('Net zero activities &amp; levers'!$C$12="MS",('Net zero Activity data'!BK17*EF!$H30)*kgtoGg,"ERROR")))</f>
        <v>29.940451406740536</v>
      </c>
      <c r="AS942" s="93">
        <f>IF('Net zero activities &amp; levers'!$C$12="Off",('Activity data'!BL17*EF!$H30)*kgtoGg,IF('Net zero activities &amp; levers'!$C$12="PB",('Activity data'!BL17*EF!$H30)*kgtoGg,IF('Net zero activities &amp; levers'!$C$12="MS",('Net zero Activity data'!BL17*EF!$H30)*kgtoGg,"ERROR")))</f>
        <v>30.678211789307159</v>
      </c>
      <c r="AT942" s="93">
        <f>IF('Net zero activities &amp; levers'!$C$12="Off",('Activity data'!BM17*EF!$H30)*kgtoGg,IF('Net zero activities &amp; levers'!$C$12="PB",('Activity data'!BM17*EF!$H30)*kgtoGg,IF('Net zero activities &amp; levers'!$C$12="MS",('Net zero Activity data'!BM17*EF!$H30)*kgtoGg,"ERROR")))</f>
        <v>31.450149667179016</v>
      </c>
      <c r="AU942" s="93">
        <f>IF('Net zero activities &amp; levers'!$C$12="Off",('Activity data'!BN17*EF!$H30)*kgtoGg,IF('Net zero activities &amp; levers'!$C$12="PB",('Activity data'!BN17*EF!$H30)*kgtoGg,IF('Net zero activities &amp; levers'!$C$12="MS",('Net zero Activity data'!BN17*EF!$H30)*kgtoGg,"ERROR")))</f>
        <v>32.247465982700263</v>
      </c>
      <c r="AV942" s="93">
        <f>IF('Net zero activities &amp; levers'!$C$12="Off",('Activity data'!BO17*EF!$H30)*kgtoGg,IF('Net zero activities &amp; levers'!$C$12="PB",('Activity data'!BO17*EF!$H30)*kgtoGg,IF('Net zero activities &amp; levers'!$C$12="MS",('Net zero Activity data'!BO17*EF!$H30)*kgtoGg,"ERROR")))</f>
        <v>33.090843547510339</v>
      </c>
      <c r="AW942" s="93">
        <f>IF('Net zero activities &amp; levers'!$C$12="Off",('Activity data'!BP17*EF!$H30)*kgtoGg,IF('Net zero activities &amp; levers'!$C$12="PB",('Activity data'!BP17*EF!$H30)*kgtoGg,IF('Net zero activities &amp; levers'!$C$12="MS",('Net zero Activity data'!BP17*EF!$H30)*kgtoGg,"ERROR")))</f>
        <v>33.85425291015099</v>
      </c>
      <c r="AY942" s="79"/>
      <c r="AZ942" s="79"/>
    </row>
    <row r="943" spans="1:52" x14ac:dyDescent="0.25">
      <c r="A943" s="95" t="str">
        <f t="shared" si="326"/>
        <v>DS Swine MMCH4</v>
      </c>
      <c r="B943" s="95" t="s">
        <v>973</v>
      </c>
      <c r="C943" s="95" t="s">
        <v>1229</v>
      </c>
      <c r="D943" t="s">
        <v>15</v>
      </c>
      <c r="E943" t="s">
        <v>22</v>
      </c>
      <c r="F943" t="s">
        <v>21</v>
      </c>
      <c r="G943" t="s">
        <v>123</v>
      </c>
      <c r="H943" t="s">
        <v>1226</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7.6831311787104603E-2</v>
      </c>
      <c r="O943" s="93">
        <f>IF('Net zero activities &amp; levers'!$C$12="Off",('Activity data'!AH18*EF!$H31)*kgtoGg,IF('Net zero activities &amp; levers'!$C$12="PB",('Activity data'!AH18*EF!$H31)*kgtoGg,IF('Net zero activities &amp; levers'!$C$12="MS",('Net zero Activity data'!AH18*EF!$H31)*kgtoGg,"ERROR")))</f>
        <v>7.5668604825231994E-2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7.291559489708703E-2</v>
      </c>
      <c r="R943" s="93">
        <f>IF('Net zero activities &amp; levers'!$C$12="Off",('Activity data'!AK18*EF!$H31)*kgtoGg,IF('Net zero activities &amp; levers'!$C$12="PB",('Activity data'!AK18*EF!$H31)*kgtoGg,IF('Net zero activities &amp; levers'!$C$12="MS",('Net zero Activity data'!AK18*EF!$H31)*kgtoGg,"ERROR")))</f>
        <v>7.1859980996426709E-2</v>
      </c>
      <c r="S943" s="93">
        <f>IF('Net zero activities &amp; levers'!$C$12="Off",('Activity data'!AL18*EF!$H31)*kgtoGg,IF('Net zero activities &amp; levers'!$C$12="PB",('Activity data'!AL18*EF!$H31)*kgtoGg,IF('Net zero activities &amp; levers'!$C$12="MS",('Net zero Activity data'!AL18*EF!$H31)*kgtoGg,"ERROR")))</f>
        <v>6.455324187339509E-2</v>
      </c>
      <c r="T943" s="93">
        <f>IF('Net zero activities &amp; levers'!$C$12="Off",('Activity data'!AM18*EF!$H31)*kgtoGg,IF('Net zero activities &amp; levers'!$C$12="PB",('Activity data'!AM18*EF!$H31)*kgtoGg,IF('Net zero activities &amp; levers'!$C$12="MS",('Net zero Activity data'!AM18*EF!$H31)*kgtoGg,"ERROR")))</f>
        <v>6.7470325262664888E-2</v>
      </c>
      <c r="U943" s="93">
        <f>IF('Net zero activities &amp; levers'!$C$12="Off",('Activity data'!AN18*EF!$H31)*kgtoGg,IF('Net zero activities &amp; levers'!$C$12="PB",('Activity data'!AN18*EF!$H31)*kgtoGg,IF('Net zero activities &amp; levers'!$C$12="MS",('Net zero Activity data'!AN18*EF!$H31)*kgtoGg,"ERROR")))</f>
        <v>6.8352247278516104E-2</v>
      </c>
      <c r="V943" s="93">
        <f>IF('Net zero activities &amp; levers'!$C$12="Off",('Activity data'!AO18*EF!$H31)*kgtoGg,IF('Net zero activities &amp; levers'!$C$12="PB",('Activity data'!AO18*EF!$H31)*kgtoGg,IF('Net zero activities &amp; levers'!$C$12="MS",('Net zero Activity data'!AO18*EF!$H31)*kgtoGg,"ERROR")))</f>
        <v>6.767767695596183E-2</v>
      </c>
      <c r="W943" s="93">
        <f>IF('Net zero activities &amp; levers'!$C$12="Off",('Activity data'!AP18*EF!$H31)*kgtoGg,IF('Net zero activities &amp; levers'!$C$12="PB",('Activity data'!AP18*EF!$H31)*kgtoGg,IF('Net zero activities &amp; levers'!$C$12="MS",('Net zero Activity data'!AP18*EF!$H31)*kgtoGg,"ERROR")))</f>
        <v>6.7084395944141104E-2</v>
      </c>
      <c r="X943" s="93">
        <f>IF('Net zero activities &amp; levers'!$C$12="Off",('Activity data'!AQ18*EF!$H31)*kgtoGg,IF('Net zero activities &amp; levers'!$C$12="PB",('Activity data'!AQ18*EF!$H31)*kgtoGg,IF('Net zero activities &amp; levers'!$C$12="MS",('Net zero Activity data'!AQ18*EF!$H31)*kgtoGg,"ERROR")))</f>
        <v>6.6901042203608638E-2</v>
      </c>
      <c r="Y943" s="93">
        <f>IF('Net zero activities &amp; levers'!$C$12="Off",('Activity data'!AR18*EF!$H31)*kgtoGg,IF('Net zero activities &amp; levers'!$C$12="PB",('Activity data'!AR18*EF!$H31)*kgtoGg,IF('Net zero activities &amp; levers'!$C$12="MS",('Net zero Activity data'!AR18*EF!$H31)*kgtoGg,"ERROR")))</f>
        <v>6.7111684363095322E-2</v>
      </c>
      <c r="Z943" s="93">
        <f>IF('Net zero activities &amp; levers'!$C$12="Off",('Activity data'!AS18*EF!$H31)*kgtoGg,IF('Net zero activities &amp; levers'!$C$12="PB",('Activity data'!AS18*EF!$H31)*kgtoGg,IF('Net zero activities &amp; levers'!$C$12="MS",('Net zero Activity data'!AS18*EF!$H31)*kgtoGg,"ERROR")))</f>
        <v>6.7504026185839727E-2</v>
      </c>
      <c r="AA943" s="93">
        <f>IF('Net zero activities &amp; levers'!$C$12="Off",('Activity data'!AT18*EF!$H31)*kgtoGg,IF('Net zero activities &amp; levers'!$C$12="PB",('Activity data'!AT18*EF!$H31)*kgtoGg,IF('Net zero activities &amp; levers'!$C$12="MS",('Net zero Activity data'!AT18*EF!$H31)*kgtoGg,"ERROR")))</f>
        <v>6.8122828642149871E-2</v>
      </c>
      <c r="AB943" s="93">
        <f>IF('Net zero activities &amp; levers'!$C$12="Off",('Activity data'!AU18*EF!$H31)*kgtoGg,IF('Net zero activities &amp; levers'!$C$12="PB",('Activity data'!AU18*EF!$H31)*kgtoGg,IF('Net zero activities &amp; levers'!$C$12="MS",('Net zero Activity data'!AU18*EF!$H31)*kgtoGg,"ERROR")))</f>
        <v>6.9116873969995066E-2</v>
      </c>
      <c r="AC943" s="93">
        <f>IF('Net zero activities &amp; levers'!$C$12="Off",('Activity data'!AV18*EF!$H31)*kgtoGg,IF('Net zero activities &amp; levers'!$C$12="PB",('Activity data'!AV18*EF!$H31)*kgtoGg,IF('Net zero activities &amp; levers'!$C$12="MS",('Net zero Activity data'!AV18*EF!$H31)*kgtoGg,"ERROR")))</f>
        <v>7.0451456027731174E-2</v>
      </c>
      <c r="AD943" s="93">
        <f>IF('Net zero activities &amp; levers'!$C$12="Off",('Activity data'!AW18*EF!$H31)*kgtoGg,IF('Net zero activities &amp; levers'!$C$12="PB",('Activity data'!AW18*EF!$H31)*kgtoGg,IF('Net zero activities &amp; levers'!$C$12="MS",('Net zero Activity data'!AW18*EF!$H31)*kgtoGg,"ERROR")))</f>
        <v>7.1970411183742145E-2</v>
      </c>
      <c r="AE943" s="93">
        <f>IF('Net zero activities &amp; levers'!$C$12="Off",('Activity data'!AX18*EF!$H31)*kgtoGg,IF('Net zero activities &amp; levers'!$C$12="PB",('Activity data'!AX18*EF!$H31)*kgtoGg,IF('Net zero activities &amp; levers'!$C$12="MS",('Net zero Activity data'!AX18*EF!$H31)*kgtoGg,"ERROR")))</f>
        <v>7.3658660723829941E-2</v>
      </c>
      <c r="AF943" s="93">
        <f>IF('Net zero activities &amp; levers'!$C$12="Off",('Activity data'!AY18*EF!$H31)*kgtoGg,IF('Net zero activities &amp; levers'!$C$12="PB",('Activity data'!AY18*EF!$H31)*kgtoGg,IF('Net zero activities &amp; levers'!$C$12="MS",('Net zero Activity data'!AY18*EF!$H31)*kgtoGg,"ERROR")))</f>
        <v>7.5431757719028575E-2</v>
      </c>
      <c r="AG943" s="93">
        <f>IF('Net zero activities &amp; levers'!$C$12="Off",('Activity data'!AZ18*EF!$H31)*kgtoGg,IF('Net zero activities &amp; levers'!$C$12="PB",('Activity data'!AZ18*EF!$H31)*kgtoGg,IF('Net zero activities &amp; levers'!$C$12="MS",('Net zero Activity data'!AZ18*EF!$H31)*kgtoGg,"ERROR")))</f>
        <v>7.7320153452066526E-2</v>
      </c>
      <c r="AH943" s="93">
        <f>IF('Net zero activities &amp; levers'!$C$12="Off",('Activity data'!BA18*EF!$H31)*kgtoGg,IF('Net zero activities &amp; levers'!$C$12="PB",('Activity data'!BA18*EF!$H31)*kgtoGg,IF('Net zero activities &amp; levers'!$C$12="MS",('Net zero Activity data'!BA18*EF!$H31)*kgtoGg,"ERROR")))</f>
        <v>7.9283145641754912E-2</v>
      </c>
      <c r="AI943" s="93">
        <f>IF('Net zero activities &amp; levers'!$C$12="Off",('Activity data'!BB18*EF!$H31)*kgtoGg,IF('Net zero activities &amp; levers'!$C$12="PB",('Activity data'!BB18*EF!$H31)*kgtoGg,IF('Net zero activities &amp; levers'!$C$12="MS",('Net zero Activity data'!BB18*EF!$H31)*kgtoGg,"ERROR")))</f>
        <v>8.1188091030010831E-2</v>
      </c>
      <c r="AJ943" s="93">
        <f>IF('Net zero activities &amp; levers'!$C$12="Off",('Activity data'!BC18*EF!$H31)*kgtoGg,IF('Net zero activities &amp; levers'!$C$12="PB",('Activity data'!BC18*EF!$H31)*kgtoGg,IF('Net zero activities &amp; levers'!$C$12="MS",('Net zero Activity data'!BC18*EF!$H31)*kgtoGg,"ERROR")))</f>
        <v>8.3219025214881143E-2</v>
      </c>
      <c r="AK943" s="93">
        <f>IF('Net zero activities &amp; levers'!$C$12="Off",('Activity data'!BD18*EF!$H31)*kgtoGg,IF('Net zero activities &amp; levers'!$C$12="PB",('Activity data'!BD18*EF!$H31)*kgtoGg,IF('Net zero activities &amp; levers'!$C$12="MS",('Net zero Activity data'!BD18*EF!$H31)*kgtoGg,"ERROR")))</f>
        <v>8.525401023742317E-2</v>
      </c>
      <c r="AL943" s="93">
        <f>IF('Net zero activities &amp; levers'!$C$12="Off",('Activity data'!BE18*EF!$H31)*kgtoGg,IF('Net zero activities &amp; levers'!$C$12="PB",('Activity data'!BE18*EF!$H31)*kgtoGg,IF('Net zero activities &amp; levers'!$C$12="MS",('Net zero Activity data'!BE18*EF!$H31)*kgtoGg,"ERROR")))</f>
        <v>8.7282361799551011E-2</v>
      </c>
      <c r="AM943" s="93">
        <f>IF('Net zero activities &amp; levers'!$C$12="Off",('Activity data'!BF18*EF!$H31)*kgtoGg,IF('Net zero activities &amp; levers'!$C$12="PB",('Activity data'!BF18*EF!$H31)*kgtoGg,IF('Net zero activities &amp; levers'!$C$12="MS",('Net zero Activity data'!BF18*EF!$H31)*kgtoGg,"ERROR")))</f>
        <v>8.9356563945406475E-2</v>
      </c>
      <c r="AN943" s="93">
        <f>IF('Net zero activities &amp; levers'!$C$12="Off",('Activity data'!BG18*EF!$H31)*kgtoGg,IF('Net zero activities &amp; levers'!$C$12="PB",('Activity data'!BG18*EF!$H31)*kgtoGg,IF('Net zero activities &amp; levers'!$C$12="MS",('Net zero Activity data'!BG18*EF!$H31)*kgtoGg,"ERROR")))</f>
        <v>9.1342481956672425E-2</v>
      </c>
      <c r="AO943" s="93">
        <f>IF('Net zero activities &amp; levers'!$C$12="Off",('Activity data'!BH18*EF!$H31)*kgtoGg,IF('Net zero activities &amp; levers'!$C$12="PB",('Activity data'!BH18*EF!$H31)*kgtoGg,IF('Net zero activities &amp; levers'!$C$12="MS",('Net zero Activity data'!BH18*EF!$H31)*kgtoGg,"ERROR")))</f>
        <v>9.3420629255847557E-2</v>
      </c>
      <c r="AP943" s="93">
        <f>IF('Net zero activities &amp; levers'!$C$12="Off",('Activity data'!BI18*EF!$H31)*kgtoGg,IF('Net zero activities &amp; levers'!$C$12="PB",('Activity data'!BI18*EF!$H31)*kgtoGg,IF('Net zero activities &amp; levers'!$C$12="MS",('Net zero Activity data'!BI18*EF!$H31)*kgtoGg,"ERROR")))</f>
        <v>9.5650912826147239E-2</v>
      </c>
      <c r="AQ943" s="93">
        <f>IF('Net zero activities &amp; levers'!$C$12="Off",('Activity data'!BJ18*EF!$H31)*kgtoGg,IF('Net zero activities &amp; levers'!$C$12="PB",('Activity data'!BJ18*EF!$H31)*kgtoGg,IF('Net zero activities &amp; levers'!$C$12="MS",('Net zero Activity data'!BJ18*EF!$H31)*kgtoGg,"ERROR")))</f>
        <v>9.7920173524444973E-2</v>
      </c>
      <c r="AR943" s="93">
        <f>IF('Net zero activities &amp; levers'!$C$12="Off",('Activity data'!BK18*EF!$H31)*kgtoGg,IF('Net zero activities &amp; levers'!$C$12="PB",('Activity data'!BK18*EF!$H31)*kgtoGg,IF('Net zero activities &amp; levers'!$C$12="MS",('Net zero Activity data'!BK18*EF!$H31)*kgtoGg,"ERROR")))</f>
        <v>0.10023258321712952</v>
      </c>
      <c r="AS943" s="93">
        <f>IF('Net zero activities &amp; levers'!$C$12="Off",('Activity data'!BL18*EF!$H31)*kgtoGg,IF('Net zero activities &amp; levers'!$C$12="PB",('Activity data'!BL18*EF!$H31)*kgtoGg,IF('Net zero activities &amp; levers'!$C$12="MS",('Net zero Activity data'!BL18*EF!$H31)*kgtoGg,"ERROR")))</f>
        <v>0.1027024066655249</v>
      </c>
      <c r="AT943" s="93">
        <f>IF('Net zero activities &amp; levers'!$C$12="Off",('Activity data'!BM18*EF!$H31)*kgtoGg,IF('Net zero activities &amp; levers'!$C$12="PB",('Activity data'!BM18*EF!$H31)*kgtoGg,IF('Net zero activities &amp; levers'!$C$12="MS",('Net zero Activity data'!BM18*EF!$H31)*kgtoGg,"ERROR")))</f>
        <v>0.10528664718117813</v>
      </c>
      <c r="AU943" s="93">
        <f>IF('Net zero activities &amp; levers'!$C$12="Off",('Activity data'!BN18*EF!$H31)*kgtoGg,IF('Net zero activities &amp; levers'!$C$12="PB",('Activity data'!BN18*EF!$H31)*kgtoGg,IF('Net zero activities &amp; levers'!$C$12="MS",('Net zero Activity data'!BN18*EF!$H31)*kgtoGg,"ERROR")))</f>
        <v>0.10795584788427327</v>
      </c>
      <c r="AV943" s="93">
        <f>IF('Net zero activities &amp; levers'!$C$12="Off",('Activity data'!BO18*EF!$H31)*kgtoGg,IF('Net zero activities &amp; levers'!$C$12="PB",('Activity data'!BO18*EF!$H31)*kgtoGg,IF('Net zero activities &amp; levers'!$C$12="MS",('Net zero Activity data'!BO18*EF!$H31)*kgtoGg,"ERROR")))</f>
        <v>0.11077924926857086</v>
      </c>
      <c r="AW943" s="93">
        <f>IF('Net zero activities &amp; levers'!$C$12="Off",('Activity data'!BP18*EF!$H31)*kgtoGg,IF('Net zero activities &amp; levers'!$C$12="PB",('Activity data'!BP18*EF!$H31)*kgtoGg,IF('Net zero activities &amp; levers'!$C$12="MS",('Net zero Activity data'!BP18*EF!$H31)*kgtoGg,"ERROR")))</f>
        <v>0.11333493860772317</v>
      </c>
      <c r="AY943" s="79"/>
      <c r="AZ943" s="79"/>
    </row>
    <row r="944" spans="1:52" x14ac:dyDescent="0.25">
      <c r="A944" s="95" t="str">
        <f t="shared" si="326"/>
        <v>DS Poultry MMCH4</v>
      </c>
      <c r="B944" s="95" t="s">
        <v>973</v>
      </c>
      <c r="C944" s="95" t="s">
        <v>1230</v>
      </c>
      <c r="D944" t="s">
        <v>15</v>
      </c>
      <c r="E944" t="s">
        <v>22</v>
      </c>
      <c r="F944" t="s">
        <v>28</v>
      </c>
      <c r="G944" t="s">
        <v>131</v>
      </c>
      <c r="H944" t="s">
        <v>1226</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0.59573243019488353</v>
      </c>
      <c r="T944" s="93">
        <f>IF('Net zero activities &amp; levers'!$C$12="Off",('Activity data'!AM19*EF!$H32)*kgtoGg,IF('Net zero activities &amp; levers'!$C$12="PB",('Activity data'!AM19*EF!$H32)*kgtoGg,IF('Net zero activities &amp; levers'!$C$12="MS",('Net zero Activity data'!AM19*EF!$H32)*kgtoGg,"ERROR")))</f>
        <v>0.62060528502680601</v>
      </c>
      <c r="U944" s="93">
        <f>IF('Net zero activities &amp; levers'!$C$12="Off",('Activity data'!AN19*EF!$H32)*kgtoGg,IF('Net zero activities &amp; levers'!$C$12="PB",('Activity data'!AN19*EF!$H32)*kgtoGg,IF('Net zero activities &amp; levers'!$C$12="MS",('Net zero Activity data'!AN19*EF!$H32)*kgtoGg,"ERROR")))</f>
        <v>0.63538739650332932</v>
      </c>
      <c r="V944" s="93">
        <f>IF('Net zero activities &amp; levers'!$C$12="Off",('Activity data'!AO19*EF!$H32)*kgtoGg,IF('Net zero activities &amp; levers'!$C$12="PB",('Activity data'!AO19*EF!$H32)*kgtoGg,IF('Net zero activities &amp; levers'!$C$12="MS",('Net zero Activity data'!AO19*EF!$H32)*kgtoGg,"ERROR")))</f>
        <v>0.64244306993256506</v>
      </c>
      <c r="W944" s="93">
        <f>IF('Net zero activities &amp; levers'!$C$12="Off",('Activity data'!AP19*EF!$H32)*kgtoGg,IF('Net zero activities &amp; levers'!$C$12="PB",('Activity data'!AP19*EF!$H32)*kgtoGg,IF('Net zero activities &amp; levers'!$C$12="MS",('Net zero Activity data'!AP19*EF!$H32)*kgtoGg,"ERROR")))</f>
        <v>0.65026805947534316</v>
      </c>
      <c r="X944" s="93">
        <f>IF('Net zero activities &amp; levers'!$C$12="Off",('Activity data'!AQ19*EF!$H32)*kgtoGg,IF('Net zero activities &amp; levers'!$C$12="PB",('Activity data'!AQ19*EF!$H32)*kgtoGg,IF('Net zero activities &amp; levers'!$C$12="MS",('Net zero Activity data'!AQ19*EF!$H32)*kgtoGg,"ERROR")))</f>
        <v>0.66047268102504608</v>
      </c>
      <c r="Y944" s="93">
        <f>IF('Net zero activities &amp; levers'!$C$12="Off",('Activity data'!AR19*EF!$H32)*kgtoGg,IF('Net zero activities &amp; levers'!$C$12="PB",('Activity data'!AR19*EF!$H32)*kgtoGg,IF('Net zero activities &amp; levers'!$C$12="MS",('Net zero Activity data'!AR19*EF!$H32)*kgtoGg,"ERROR")))</f>
        <v>0.67275642094337218</v>
      </c>
      <c r="Z944" s="93">
        <f>IF('Net zero activities &amp; levers'!$C$12="Off",('Activity data'!AS19*EF!$H32)*kgtoGg,IF('Net zero activities &amp; levers'!$C$12="PB",('Activity data'!AS19*EF!$H32)*kgtoGg,IF('Net zero activities &amp; levers'!$C$12="MS",('Net zero Activity data'!AS19*EF!$H32)*kgtoGg,"ERROR")))</f>
        <v>0.68607919631568115</v>
      </c>
      <c r="AA944" s="93">
        <f>IF('Net zero activities &amp; levers'!$C$12="Off",('Activity data'!AT19*EF!$H32)*kgtoGg,IF('Net zero activities &amp; levers'!$C$12="PB",('Activity data'!AT19*EF!$H32)*kgtoGg,IF('Net zero activities &amp; levers'!$C$12="MS",('Net zero Activity data'!AT19*EF!$H32)*kgtoGg,"ERROR")))</f>
        <v>0.70076804403320936</v>
      </c>
      <c r="AB944" s="93">
        <f>IF('Net zero activities &amp; levers'!$C$12="Off",('Activity data'!AU19*EF!$H32)*kgtoGg,IF('Net zero activities &amp; levers'!$C$12="PB",('Activity data'!AU19*EF!$H32)*kgtoGg,IF('Net zero activities &amp; levers'!$C$12="MS",('Net zero Activity data'!AU19*EF!$H32)*kgtoGg,"ERROR")))</f>
        <v>0.71779554918535993</v>
      </c>
      <c r="AC944" s="93">
        <f>IF('Net zero activities &amp; levers'!$C$12="Off",('Activity data'!AV19*EF!$H32)*kgtoGg,IF('Net zero activities &amp; levers'!$C$12="PB",('Activity data'!AV19*EF!$H32)*kgtoGg,IF('Net zero activities &amp; levers'!$C$12="MS",('Net zero Activity data'!AV19*EF!$H32)*kgtoGg,"ERROR")))</f>
        <v>0.73711000301021679</v>
      </c>
      <c r="AD944" s="93">
        <f>IF('Net zero activities &amp; levers'!$C$12="Off",('Activity data'!AW19*EF!$H32)*kgtoGg,IF('Net zero activities &amp; levers'!$C$12="PB",('Activity data'!AW19*EF!$H32)*kgtoGg,IF('Net zero activities &amp; levers'!$C$12="MS",('Net zero Activity data'!AW19*EF!$H32)*kgtoGg,"ERROR")))</f>
        <v>0.75788984228274747</v>
      </c>
      <c r="AE944" s="93">
        <f>IF('Net zero activities &amp; levers'!$C$12="Off",('Activity data'!AX19*EF!$H32)*kgtoGg,IF('Net zero activities &amp; levers'!$C$12="PB",('Activity data'!AX19*EF!$H32)*kgtoGg,IF('Net zero activities &amp; levers'!$C$12="MS",('Net zero Activity data'!AX19*EF!$H32)*kgtoGg,"ERROR")))</f>
        <v>0.78013180876638377</v>
      </c>
      <c r="AF944" s="93">
        <f>IF('Net zero activities &amp; levers'!$C$12="Off",('Activity data'!AY19*EF!$H32)*kgtoGg,IF('Net zero activities &amp; levers'!$C$12="PB",('Activity data'!AY19*EF!$H32)*kgtoGg,IF('Net zero activities &amp; levers'!$C$12="MS",('Net zero Activity data'!AY19*EF!$H32)*kgtoGg,"ERROR")))</f>
        <v>0.80337597870999389</v>
      </c>
      <c r="AG944" s="93">
        <f>IF('Net zero activities &amp; levers'!$C$12="Off",('Activity data'!AZ19*EF!$H32)*kgtoGg,IF('Net zero activities &amp; levers'!$C$12="PB",('Activity data'!AZ19*EF!$H32)*kgtoGg,IF('Net zero activities &amp; levers'!$C$12="MS",('Net zero Activity data'!AZ19*EF!$H32)*kgtoGg,"ERROR")))</f>
        <v>0.82785833709156575</v>
      </c>
      <c r="AH944" s="93">
        <f>IF('Net zero activities &amp; levers'!$C$12="Off",('Activity data'!BA19*EF!$H32)*kgtoGg,IF('Net zero activities &amp; levers'!$C$12="PB",('Activity data'!BA19*EF!$H32)*kgtoGg,IF('Net zero activities &amp; levers'!$C$12="MS",('Net zero Activity data'!BA19*EF!$H32)*kgtoGg,"ERROR")))</f>
        <v>0.85337321588031811</v>
      </c>
      <c r="AI944" s="93">
        <f>IF('Net zero activities &amp; levers'!$C$12="Off",('Activity data'!BB19*EF!$H32)*kgtoGg,IF('Net zero activities &amp; levers'!$C$12="PB",('Activity data'!BB19*EF!$H32)*kgtoGg,IF('Net zero activities &amp; levers'!$C$12="MS",('Net zero Activity data'!BB19*EF!$H32)*kgtoGg,"ERROR")))</f>
        <v>0.87907798873871268</v>
      </c>
      <c r="AJ944" s="93">
        <f>IF('Net zero activities &amp; levers'!$C$12="Off",('Activity data'!BC19*EF!$H32)*kgtoGg,IF('Net zero activities &amp; levers'!$C$12="PB",('Activity data'!BC19*EF!$H32)*kgtoGg,IF('Net zero activities &amp; levers'!$C$12="MS",('Net zero Activity data'!BC19*EF!$H32)*kgtoGg,"ERROR")))</f>
        <v>0.90622461339542404</v>
      </c>
      <c r="AK944" s="93">
        <f>IF('Net zero activities &amp; levers'!$C$12="Off",('Activity data'!BD19*EF!$H32)*kgtoGg,IF('Net zero activities &amp; levers'!$C$12="PB",('Activity data'!BD19*EF!$H32)*kgtoGg,IF('Net zero activities &amp; levers'!$C$12="MS",('Net zero Activity data'!BD19*EF!$H32)*kgtoGg,"ERROR")))</f>
        <v>0.93400977893113157</v>
      </c>
      <c r="AL944" s="93">
        <f>IF('Net zero activities &amp; levers'!$C$12="Off",('Activity data'!BE19*EF!$H32)*kgtoGg,IF('Net zero activities &amp; levers'!$C$12="PB",('Activity data'!BE19*EF!$H32)*kgtoGg,IF('Net zero activities &amp; levers'!$C$12="MS",('Net zero Activity data'!BE19*EF!$H32)*kgtoGg,"ERROR")))</f>
        <v>0.96237643638695936</v>
      </c>
      <c r="AM944" s="93">
        <f>IF('Net zero activities &amp; levers'!$C$12="Off",('Activity data'!BF19*EF!$H32)*kgtoGg,IF('Net zero activities &amp; levers'!$C$12="PB",('Activity data'!BF19*EF!$H32)*kgtoGg,IF('Net zero activities &amp; levers'!$C$12="MS",('Net zero Activity data'!BF19*EF!$H32)*kgtoGg,"ERROR")))</f>
        <v>0.99172546365777581</v>
      </c>
      <c r="AN944" s="93">
        <f>IF('Net zero activities &amp; levers'!$C$12="Off",('Activity data'!BG19*EF!$H32)*kgtoGg,IF('Net zero activities &amp; levers'!$C$12="PB",('Activity data'!BG19*EF!$H32)*kgtoGg,IF('Net zero activities &amp; levers'!$C$12="MS",('Net zero Activity data'!BG19*EF!$H32)*kgtoGg,"ERROR")))</f>
        <v>1.0211032601995891</v>
      </c>
      <c r="AO944" s="93">
        <f>IF('Net zero activities &amp; levers'!$C$12="Off",('Activity data'!BH19*EF!$H32)*kgtoGg,IF('Net zero activities &amp; levers'!$C$12="PB",('Activity data'!BH19*EF!$H32)*kgtoGg,IF('Net zero activities &amp; levers'!$C$12="MS",('Net zero Activity data'!BH19*EF!$H32)*kgtoGg,"ERROR")))</f>
        <v>1.0518470326965137</v>
      </c>
      <c r="AP944" s="93">
        <f>IF('Net zero activities &amp; levers'!$C$12="Off",('Activity data'!BI19*EF!$H32)*kgtoGg,IF('Net zero activities &amp; levers'!$C$12="PB",('Activity data'!BI19*EF!$H32)*kgtoGg,IF('Net zero activities &amp; levers'!$C$12="MS",('Net zero Activity data'!BI19*EF!$H32)*kgtoGg,"ERROR")))</f>
        <v>1.0844705032412159</v>
      </c>
      <c r="AQ944" s="93">
        <f>IF('Net zero activities &amp; levers'!$C$12="Off",('Activity data'!BJ19*EF!$H32)*kgtoGg,IF('Net zero activities &amp; levers'!$C$12="PB",('Activity data'!BJ19*EF!$H32)*kgtoGg,IF('Net zero activities &amp; levers'!$C$12="MS",('Net zero Activity data'!BJ19*EF!$H32)*kgtoGg,"ERROR")))</f>
        <v>1.1181722864478278</v>
      </c>
      <c r="AR944" s="93">
        <f>IF('Net zero activities &amp; levers'!$C$12="Off",('Activity data'!BK19*EF!$H32)*kgtoGg,IF('Net zero activities &amp; levers'!$C$12="PB",('Activity data'!BK19*EF!$H32)*kgtoGg,IF('Net zero activities &amp; levers'!$C$12="MS",('Net zero Activity data'!BK19*EF!$H32)*kgtoGg,"ERROR")))</f>
        <v>1.1530181967657136</v>
      </c>
      <c r="AS944" s="93">
        <f>IF('Net zero activities &amp; levers'!$C$12="Off",('Activity data'!BL19*EF!$H32)*kgtoGg,IF('Net zero activities &amp; levers'!$C$12="PB",('Activity data'!BL19*EF!$H32)*kgtoGg,IF('Net zero activities &amp; levers'!$C$12="MS",('Net zero Activity data'!BL19*EF!$H32)*kgtoGg,"ERROR")))</f>
        <v>1.1899731342287589</v>
      </c>
      <c r="AT944" s="93">
        <f>IF('Net zero activities &amp; levers'!$C$12="Off",('Activity data'!BM19*EF!$H32)*kgtoGg,IF('Net zero activities &amp; levers'!$C$12="PB",('Activity data'!BM19*EF!$H32)*kgtoGg,IF('Net zero activities &amp; levers'!$C$12="MS",('Net zero Activity data'!BM19*EF!$H32)*kgtoGg,"ERROR")))</f>
        <v>1.2287768115471775</v>
      </c>
      <c r="AU944" s="93">
        <f>IF('Net zero activities &amp; levers'!$C$12="Off",('Activity data'!BN19*EF!$H32)*kgtoGg,IF('Net zero activities &amp; levers'!$C$12="PB",('Activity data'!BN19*EF!$H32)*kgtoGg,IF('Net zero activities &amp; levers'!$C$12="MS",('Net zero Activity data'!BN19*EF!$H32)*kgtoGg,"ERROR")))</f>
        <v>1.2692627400827883</v>
      </c>
      <c r="AV944" s="93">
        <f>IF('Net zero activities &amp; levers'!$C$12="Off",('Activity data'!BO19*EF!$H32)*kgtoGg,IF('Net zero activities &amp; levers'!$C$12="PB",('Activity data'!BO19*EF!$H32)*kgtoGg,IF('Net zero activities &amp; levers'!$C$12="MS",('Net zero Activity data'!BO19*EF!$H32)*kgtoGg,"ERROR")))</f>
        <v>1.3120972726435587</v>
      </c>
      <c r="AW944" s="93">
        <f>IF('Net zero activities &amp; levers'!$C$12="Off",('Activity data'!BP19*EF!$H32)*kgtoGg,IF('Net zero activities &amp; levers'!$C$12="PB",('Activity data'!BP19*EF!$H32)*kgtoGg,IF('Net zero activities &amp; levers'!$C$12="MS",('Net zero Activity data'!BP19*EF!$H32)*kgtoGg,"ERROR")))</f>
        <v>1.3536832016924076</v>
      </c>
      <c r="AY944" s="79"/>
      <c r="AZ944" s="79"/>
    </row>
    <row r="945" spans="1:52" x14ac:dyDescent="0.25">
      <c r="A945" s="95" t="str">
        <f t="shared" si="326"/>
        <v>DS Poultry MMCH4</v>
      </c>
      <c r="B945" s="95" t="s">
        <v>973</v>
      </c>
      <c r="C945" s="95" t="s">
        <v>1230</v>
      </c>
      <c r="D945" t="s">
        <v>15</v>
      </c>
      <c r="E945" t="s">
        <v>22</v>
      </c>
      <c r="F945" t="s">
        <v>28</v>
      </c>
      <c r="G945" t="s">
        <v>132</v>
      </c>
      <c r="H945" t="s">
        <v>1226</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2.2858678822724814</v>
      </c>
      <c r="N945" s="93">
        <f>IF('Net zero activities &amp; levers'!$C$12="Off",('Activity data'!AG20*EF!$H33)*kgtoGg,IF('Net zero activities &amp; levers'!$C$12="PB",('Activity data'!AG20*EF!$H33)*kgtoGg,IF('Net zero activities &amp; levers'!$C$12="MS",('Net zero Activity data'!AG20*EF!$H33)*kgtoGg,"ERROR")))</f>
        <v>2.2992900748078591</v>
      </c>
      <c r="O945" s="93">
        <f>IF('Net zero activities &amp; levers'!$C$12="Off",('Activity data'!AH20*EF!$H33)*kgtoGg,IF('Net zero activities &amp; levers'!$C$12="PB",('Activity data'!AH20*EF!$H33)*kgtoGg,IF('Net zero activities &amp; levers'!$C$12="MS",('Net zero Activity data'!AH20*EF!$H33)*kgtoGg,"ERROR")))</f>
        <v>2.2910596881616558</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2.2487211059946204</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1.9480109024353172</v>
      </c>
      <c r="T945" s="93">
        <f>IF('Net zero activities &amp; levers'!$C$12="Off",('Activity data'!AM20*EF!$H33)*kgtoGg,IF('Net zero activities &amp; levers'!$C$12="PB",('Activity data'!AM20*EF!$H33)*kgtoGg,IF('Net zero activities &amp; levers'!$C$12="MS",('Net zero Activity data'!AM20*EF!$H33)*kgtoGg,"ERROR")))</f>
        <v>2.1242573648526935</v>
      </c>
      <c r="U945" s="93">
        <f>IF('Net zero activities &amp; levers'!$C$12="Off",('Activity data'!AN20*EF!$H33)*kgtoGg,IF('Net zero activities &amp; levers'!$C$12="PB",('Activity data'!AN20*EF!$H33)*kgtoGg,IF('Net zero activities &amp; levers'!$C$12="MS",('Net zero Activity data'!AN20*EF!$H33)*kgtoGg,"ERROR")))</f>
        <v>2.2090616174503466</v>
      </c>
      <c r="V945" s="93">
        <f>IF('Net zero activities &amp; levers'!$C$12="Off",('Activity data'!AO20*EF!$H33)*kgtoGg,IF('Net zero activities &amp; levers'!$C$12="PB",('Activity data'!AO20*EF!$H33)*kgtoGg,IF('Net zero activities &amp; levers'!$C$12="MS",('Net zero Activity data'!AO20*EF!$H33)*kgtoGg,"ERROR")))</f>
        <v>2.219672639907655</v>
      </c>
      <c r="W945" s="93">
        <f>IF('Net zero activities &amp; levers'!$C$12="Off",('Activity data'!AP20*EF!$H33)*kgtoGg,IF('Net zero activities &amp; levers'!$C$12="PB",('Activity data'!AP20*EF!$H33)*kgtoGg,IF('Net zero activities &amp; levers'!$C$12="MS",('Net zero Activity data'!AP20*EF!$H33)*kgtoGg,"ERROR")))</f>
        <v>2.2319049749890385</v>
      </c>
      <c r="X945" s="93">
        <f>IF('Net zero activities &amp; levers'!$C$12="Off",('Activity data'!AQ20*EF!$H33)*kgtoGg,IF('Net zero activities &amp; levers'!$C$12="PB",('Activity data'!AQ20*EF!$H33)*kgtoGg,IF('Net zero activities &amp; levers'!$C$12="MS",('Net zero Activity data'!AQ20*EF!$H33)*kgtoGg,"ERROR")))</f>
        <v>2.2629262949362925</v>
      </c>
      <c r="Y945" s="93">
        <f>IF('Net zero activities &amp; levers'!$C$12="Off",('Activity data'!AR20*EF!$H33)*kgtoGg,IF('Net zero activities &amp; levers'!$C$12="PB",('Activity data'!AR20*EF!$H33)*kgtoGg,IF('Net zero activities &amp; levers'!$C$12="MS",('Net zero Activity data'!AR20*EF!$H33)*kgtoGg,"ERROR")))</f>
        <v>2.3140044447008137</v>
      </c>
      <c r="Z945" s="93">
        <f>IF('Net zero activities &amp; levers'!$C$12="Off",('Activity data'!AS20*EF!$H33)*kgtoGg,IF('Net zero activities &amp; levers'!$C$12="PB",('Activity data'!AS20*EF!$H33)*kgtoGg,IF('Net zero activities &amp; levers'!$C$12="MS",('Net zero Activity data'!AS20*EF!$H33)*kgtoGg,"ERROR")))</f>
        <v>2.3751177408865005</v>
      </c>
      <c r="AA945" s="93">
        <f>IF('Net zero activities &amp; levers'!$C$12="Off",('Activity data'!AT20*EF!$H33)*kgtoGg,IF('Net zero activities &amp; levers'!$C$12="PB",('Activity data'!AT20*EF!$H33)*kgtoGg,IF('Net zero activities &amp; levers'!$C$12="MS",('Net zero Activity data'!AT20*EF!$H33)*kgtoGg,"ERROR")))</f>
        <v>2.4489635487241519</v>
      </c>
      <c r="AB945" s="93">
        <f>IF('Net zero activities &amp; levers'!$C$12="Off",('Activity data'!AU20*EF!$H33)*kgtoGg,IF('Net zero activities &amp; levers'!$C$12="PB",('Activity data'!AU20*EF!$H33)*kgtoGg,IF('Net zero activities &amp; levers'!$C$12="MS",('Net zero Activity data'!AU20*EF!$H33)*kgtoGg,"ERROR")))</f>
        <v>2.5437406386090786</v>
      </c>
      <c r="AC945" s="93">
        <f>IF('Net zero activities &amp; levers'!$C$12="Off",('Activity data'!AV20*EF!$H33)*kgtoGg,IF('Net zero activities &amp; levers'!$C$12="PB",('Activity data'!AV20*EF!$H33)*kgtoGg,IF('Net zero activities &amp; levers'!$C$12="MS",('Net zero Activity data'!AV20*EF!$H33)*kgtoGg,"ERROR")))</f>
        <v>2.6583677679701894</v>
      </c>
      <c r="AD945" s="93">
        <f>IF('Net zero activities &amp; levers'!$C$12="Off",('Activity data'!AW20*EF!$H33)*kgtoGg,IF('Net zero activities &amp; levers'!$C$12="PB",('Activity data'!AW20*EF!$H33)*kgtoGg,IF('Net zero activities &amp; levers'!$C$12="MS",('Net zero Activity data'!AW20*EF!$H33)*kgtoGg,"ERROR")))</f>
        <v>2.7852398205087883</v>
      </c>
      <c r="AE945" s="93">
        <f>IF('Net zero activities &amp; levers'!$C$12="Off",('Activity data'!AX20*EF!$H33)*kgtoGg,IF('Net zero activities &amp; levers'!$C$12="PB",('Activity data'!AX20*EF!$H33)*kgtoGg,IF('Net zero activities &amp; levers'!$C$12="MS",('Net zero Activity data'!AX20*EF!$H33)*kgtoGg,"ERROR")))</f>
        <v>2.9239358907782309</v>
      </c>
      <c r="AF945" s="93">
        <f>IF('Net zero activities &amp; levers'!$C$12="Off",('Activity data'!AY20*EF!$H33)*kgtoGg,IF('Net zero activities &amp; levers'!$C$12="PB",('Activity data'!AY20*EF!$H33)*kgtoGg,IF('Net zero activities &amp; levers'!$C$12="MS",('Net zero Activity data'!AY20*EF!$H33)*kgtoGg,"ERROR")))</f>
        <v>3.0702342900973978</v>
      </c>
      <c r="AG945" s="93">
        <f>IF('Net zero activities &amp; levers'!$C$12="Off",('Activity data'!AZ20*EF!$H33)*kgtoGg,IF('Net zero activities &amp; levers'!$C$12="PB",('Activity data'!AZ20*EF!$H33)*kgtoGg,IF('Net zero activities &amp; levers'!$C$12="MS",('Net zero Activity data'!AZ20*EF!$H33)*kgtoGg,"ERROR")))</f>
        <v>3.2260927445342245</v>
      </c>
      <c r="AH945" s="93">
        <f>IF('Net zero activities &amp; levers'!$C$12="Off",('Activity data'!BA20*EF!$H33)*kgtoGg,IF('Net zero activities &amp; levers'!$C$12="PB",('Activity data'!BA20*EF!$H33)*kgtoGg,IF('Net zero activities &amp; levers'!$C$12="MS",('Net zero Activity data'!BA20*EF!$H33)*kgtoGg,"ERROR")))</f>
        <v>3.3895233708783912</v>
      </c>
      <c r="AI945" s="93">
        <f>IF('Net zero activities &amp; levers'!$C$12="Off",('Activity data'!BB20*EF!$H33)*kgtoGg,IF('Net zero activities &amp; levers'!$C$12="PB",('Activity data'!BB20*EF!$H33)*kgtoGg,IF('Net zero activities &amp; levers'!$C$12="MS",('Net zero Activity data'!BB20*EF!$H33)*kgtoGg,"ERROR")))</f>
        <v>3.5531911169091885</v>
      </c>
      <c r="AJ945" s="93">
        <f>IF('Net zero activities &amp; levers'!$C$12="Off",('Activity data'!BC20*EF!$H33)*kgtoGg,IF('Net zero activities &amp; levers'!$C$12="PB",('Activity data'!BC20*EF!$H33)*kgtoGg,IF('Net zero activities &amp; levers'!$C$12="MS",('Net zero Activity data'!BC20*EF!$H33)*kgtoGg,"ERROR")))</f>
        <v>3.7276822125599338</v>
      </c>
      <c r="AK945" s="93">
        <f>IF('Net zero activities &amp; levers'!$C$12="Off",('Activity data'!BD20*EF!$H33)*kgtoGg,IF('Net zero activities &amp; levers'!$C$12="PB",('Activity data'!BD20*EF!$H33)*kgtoGg,IF('Net zero activities &amp; levers'!$C$12="MS",('Net zero Activity data'!BD20*EF!$H33)*kgtoGg,"ERROR")))</f>
        <v>3.9062898323416295</v>
      </c>
      <c r="AL945" s="93">
        <f>IF('Net zero activities &amp; levers'!$C$12="Off",('Activity data'!BE20*EF!$H33)*kgtoGg,IF('Net zero activities &amp; levers'!$C$12="PB",('Activity data'!BE20*EF!$H33)*kgtoGg,IF('Net zero activities &amp; levers'!$C$12="MS",('Net zero Activity data'!BE20*EF!$H33)*kgtoGg,"ERROR")))</f>
        <v>4.0884842597865152</v>
      </c>
      <c r="AM945" s="93">
        <f>IF('Net zero activities &amp; levers'!$C$12="Off",('Activity data'!BF20*EF!$H33)*kgtoGg,IF('Net zero activities &amp; levers'!$C$12="PB",('Activity data'!BF20*EF!$H33)*kgtoGg,IF('Net zero activities &amp; levers'!$C$12="MS",('Net zero Activity data'!BF20*EF!$H33)*kgtoGg,"ERROR")))</f>
        <v>4.2774788120039364</v>
      </c>
      <c r="AN945" s="93">
        <f>IF('Net zero activities &amp; levers'!$C$12="Off",('Activity data'!BG20*EF!$H33)*kgtoGg,IF('Net zero activities &amp; levers'!$C$12="PB",('Activity data'!BG20*EF!$H33)*kgtoGg,IF('Net zero activities &amp; levers'!$C$12="MS",('Net zero Activity data'!BG20*EF!$H33)*kgtoGg,"ERROR")))</f>
        <v>4.4653386243384539</v>
      </c>
      <c r="AO945" s="93">
        <f>IF('Net zero activities &amp; levers'!$C$12="Off",('Activity data'!BH20*EF!$H33)*kgtoGg,IF('Net zero activities &amp; levers'!$C$12="PB",('Activity data'!BH20*EF!$H33)*kgtoGg,IF('Net zero activities &amp; levers'!$C$12="MS",('Net zero Activity data'!BH20*EF!$H33)*kgtoGg,"ERROR")))</f>
        <v>4.6630770817729719</v>
      </c>
      <c r="AP945" s="93">
        <f>IF('Net zero activities &amp; levers'!$C$12="Off",('Activity data'!BI20*EF!$H33)*kgtoGg,IF('Net zero activities &amp; levers'!$C$12="PB",('Activity data'!BI20*EF!$H33)*kgtoGg,IF('Net zero activities &amp; levers'!$C$12="MS",('Net zero Activity data'!BI20*EF!$H33)*kgtoGg,"ERROR")))</f>
        <v>4.8747652719370373</v>
      </c>
      <c r="AQ945" s="93">
        <f>IF('Net zero activities &amp; levers'!$C$12="Off",('Activity data'!BJ20*EF!$H33)*kgtoGg,IF('Net zero activities &amp; levers'!$C$12="PB",('Activity data'!BJ20*EF!$H33)*kgtoGg,IF('Net zero activities &amp; levers'!$C$12="MS",('Net zero Activity data'!BJ20*EF!$H33)*kgtoGg,"ERROR")))</f>
        <v>5.0937607978342658</v>
      </c>
      <c r="AR945" s="93">
        <f>IF('Net zero activities &amp; levers'!$C$12="Off",('Activity data'!BK20*EF!$H33)*kgtoGg,IF('Net zero activities &amp; levers'!$C$12="PB",('Activity data'!BK20*EF!$H33)*kgtoGg,IF('Net zero activities &amp; levers'!$C$12="MS",('Net zero Activity data'!BK20*EF!$H33)*kgtoGg,"ERROR")))</f>
        <v>5.3205750433635002</v>
      </c>
      <c r="AS945" s="93">
        <f>IF('Net zero activities &amp; levers'!$C$12="Off",('Activity data'!BL20*EF!$H33)*kgtoGg,IF('Net zero activities &amp; levers'!$C$12="PB",('Activity data'!BL20*EF!$H33)*kgtoGg,IF('Net zero activities &amp; levers'!$C$12="MS",('Net zero Activity data'!BL20*EF!$H33)*kgtoGg,"ERROR")))</f>
        <v>5.5628565017727221</v>
      </c>
      <c r="AT945" s="93">
        <f>IF('Net zero activities &amp; levers'!$C$12="Off",('Activity data'!BM20*EF!$H33)*kgtoGg,IF('Net zero activities &amp; levers'!$C$12="PB",('Activity data'!BM20*EF!$H33)*kgtoGg,IF('Net zero activities &amp; levers'!$C$12="MS",('Net zero Activity data'!BM20*EF!$H33)*kgtoGg,"ERROR")))</f>
        <v>5.8183308290473201</v>
      </c>
      <c r="AU945" s="93">
        <f>IF('Net zero activities &amp; levers'!$C$12="Off",('Activity data'!BN20*EF!$H33)*kgtoGg,IF('Net zero activities &amp; levers'!$C$12="PB",('Activity data'!BN20*EF!$H33)*kgtoGg,IF('Net zero activities &amp; levers'!$C$12="MS",('Net zero Activity data'!BN20*EF!$H33)*kgtoGg,"ERROR")))</f>
        <v>6.0854872952292993</v>
      </c>
      <c r="AV945" s="93">
        <f>IF('Net zero activities &amp; levers'!$C$12="Off",('Activity data'!BO20*EF!$H33)*kgtoGg,IF('Net zero activities &amp; levers'!$C$12="PB",('Activity data'!BO20*EF!$H33)*kgtoGg,IF('Net zero activities &amp; levers'!$C$12="MS",('Net zero Activity data'!BO20*EF!$H33)*kgtoGg,"ERROR")))</f>
        <v>6.3693601721837521</v>
      </c>
      <c r="AW945" s="93">
        <f>IF('Net zero activities &amp; levers'!$C$12="Off",('Activity data'!BP20*EF!$H33)*kgtoGg,IF('Net zero activities &amp; levers'!$C$12="PB",('Activity data'!BP20*EF!$H33)*kgtoGg,IF('Net zero activities &amp; levers'!$C$12="MS",('Net zero Activity data'!BP20*EF!$H33)*kgtoGg,"ERROR")))</f>
        <v>6.641848924312276</v>
      </c>
      <c r="AY945" s="79"/>
      <c r="AZ945" s="79"/>
    </row>
    <row r="946" spans="1:52" x14ac:dyDescent="0.25">
      <c r="A946" s="95" t="str">
        <f t="shared" si="326"/>
        <v>DS Poultry MMCH4</v>
      </c>
      <c r="B946" s="95" t="s">
        <v>973</v>
      </c>
      <c r="C946" s="95" t="s">
        <v>1230</v>
      </c>
      <c r="D946" t="s">
        <v>15</v>
      </c>
      <c r="E946" t="s">
        <v>22</v>
      </c>
      <c r="F946" t="s">
        <v>28</v>
      </c>
      <c r="G946" t="s">
        <v>134</v>
      </c>
      <c r="H946" t="s">
        <v>1226</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2.4944242822745922E-2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2.4822184591453505E-2</v>
      </c>
      <c r="T946" s="93">
        <f>IF('Net zero activities &amp; levers'!$C$12="Off",('Activity data'!AM21*EF!$H34)*kgtoGg,IF('Net zero activities &amp; levers'!$C$12="PB",('Activity data'!AM21*EF!$H34)*kgtoGg,IF('Net zero activities &amp; levers'!$C$12="MS",('Net zero Activity data'!AM21*EF!$H34)*kgtoGg,"ERROR")))</f>
        <v>2.5858553542783609E-2</v>
      </c>
      <c r="U946" s="93">
        <f>IF('Net zero activities &amp; levers'!$C$12="Off",('Activity data'!AN21*EF!$H34)*kgtoGg,IF('Net zero activities &amp; levers'!$C$12="PB",('Activity data'!AN21*EF!$H34)*kgtoGg,IF('Net zero activities &amp; levers'!$C$12="MS",('Net zero Activity data'!AN21*EF!$H34)*kgtoGg,"ERROR")))</f>
        <v>2.6474474854305419E-2</v>
      </c>
      <c r="V946" s="93">
        <f>IF('Net zero activities &amp; levers'!$C$12="Off",('Activity data'!AO21*EF!$H34)*kgtoGg,IF('Net zero activities &amp; levers'!$C$12="PB",('Activity data'!AO21*EF!$H34)*kgtoGg,IF('Net zero activities &amp; levers'!$C$12="MS",('Net zero Activity data'!AO21*EF!$H34)*kgtoGg,"ERROR")))</f>
        <v>2.6768461247190234E-2</v>
      </c>
      <c r="W946" s="93">
        <f>IF('Net zero activities &amp; levers'!$C$12="Off",('Activity data'!AP21*EF!$H34)*kgtoGg,IF('Net zero activities &amp; levers'!$C$12="PB",('Activity data'!AP21*EF!$H34)*kgtoGg,IF('Net zero activities &amp; levers'!$C$12="MS",('Net zero Activity data'!AP21*EF!$H34)*kgtoGg,"ERROR")))</f>
        <v>2.709450247813933E-2</v>
      </c>
      <c r="X946" s="93">
        <f>IF('Net zero activities &amp; levers'!$C$12="Off",('Activity data'!AQ21*EF!$H34)*kgtoGg,IF('Net zero activities &amp; levers'!$C$12="PB",('Activity data'!AQ21*EF!$H34)*kgtoGg,IF('Net zero activities &amp; levers'!$C$12="MS",('Net zero Activity data'!AQ21*EF!$H34)*kgtoGg,"ERROR")))</f>
        <v>2.751969504271028E-2</v>
      </c>
      <c r="Y946" s="93">
        <f>IF('Net zero activities &amp; levers'!$C$12="Off",('Activity data'!AR21*EF!$H34)*kgtoGg,IF('Net zero activities &amp; levers'!$C$12="PB",('Activity data'!AR21*EF!$H34)*kgtoGg,IF('Net zero activities &amp; levers'!$C$12="MS",('Net zero Activity data'!AR21*EF!$H34)*kgtoGg,"ERROR")))</f>
        <v>2.8031517539307202E-2</v>
      </c>
      <c r="Z946" s="93">
        <f>IF('Net zero activities &amp; levers'!$C$12="Off",('Activity data'!AS21*EF!$H34)*kgtoGg,IF('Net zero activities &amp; levers'!$C$12="PB",('Activity data'!AS21*EF!$H34)*kgtoGg,IF('Net zero activities &amp; levers'!$C$12="MS",('Net zero Activity data'!AS21*EF!$H34)*kgtoGg,"ERROR")))</f>
        <v>2.8586633179820076E-2</v>
      </c>
      <c r="AA946" s="93">
        <f>IF('Net zero activities &amp; levers'!$C$12="Off",('Activity data'!AT21*EF!$H34)*kgtoGg,IF('Net zero activities &amp; levers'!$C$12="PB",('Activity data'!AT21*EF!$H34)*kgtoGg,IF('Net zero activities &amp; levers'!$C$12="MS",('Net zero Activity data'!AT21*EF!$H34)*kgtoGg,"ERROR")))</f>
        <v>2.9198668501383751E-2</v>
      </c>
      <c r="AB946" s="93">
        <f>IF('Net zero activities &amp; levers'!$C$12="Off",('Activity data'!AU21*EF!$H34)*kgtoGg,IF('Net zero activities &amp; levers'!$C$12="PB",('Activity data'!AU21*EF!$H34)*kgtoGg,IF('Net zero activities &amp; levers'!$C$12="MS",('Net zero Activity data'!AU21*EF!$H34)*kgtoGg,"ERROR")))</f>
        <v>2.9908147882723356E-2</v>
      </c>
      <c r="AC946" s="93">
        <f>IF('Net zero activities &amp; levers'!$C$12="Off",('Activity data'!AV21*EF!$H34)*kgtoGg,IF('Net zero activities &amp; levers'!$C$12="PB",('Activity data'!AV21*EF!$H34)*kgtoGg,IF('Net zero activities &amp; levers'!$C$12="MS",('Net zero Activity data'!AV21*EF!$H34)*kgtoGg,"ERROR")))</f>
        <v>3.0712916792092395E-2</v>
      </c>
      <c r="AD946" s="93">
        <f>IF('Net zero activities &amp; levers'!$C$12="Off",('Activity data'!AW21*EF!$H34)*kgtoGg,IF('Net zero activities &amp; levers'!$C$12="PB",('Activity data'!AW21*EF!$H34)*kgtoGg,IF('Net zero activities &amp; levers'!$C$12="MS",('Net zero Activity data'!AW21*EF!$H34)*kgtoGg,"ERROR")))</f>
        <v>3.1578743428447839E-2</v>
      </c>
      <c r="AE946" s="93">
        <f>IF('Net zero activities &amp; levers'!$C$12="Off",('Activity data'!AX21*EF!$H34)*kgtoGg,IF('Net zero activities &amp; levers'!$C$12="PB",('Activity data'!AX21*EF!$H34)*kgtoGg,IF('Net zero activities &amp; levers'!$C$12="MS",('Net zero Activity data'!AX21*EF!$H34)*kgtoGg,"ERROR")))</f>
        <v>3.250549203193269E-2</v>
      </c>
      <c r="AF946" s="93">
        <f>IF('Net zero activities &amp; levers'!$C$12="Off",('Activity data'!AY21*EF!$H34)*kgtoGg,IF('Net zero activities &amp; levers'!$C$12="PB",('Activity data'!AY21*EF!$H34)*kgtoGg,IF('Net zero activities &amp; levers'!$C$12="MS",('Net zero Activity data'!AY21*EF!$H34)*kgtoGg,"ERROR")))</f>
        <v>3.3473999112916437E-2</v>
      </c>
      <c r="AG946" s="93">
        <f>IF('Net zero activities &amp; levers'!$C$12="Off",('Activity data'!AZ21*EF!$H34)*kgtoGg,IF('Net zero activities &amp; levers'!$C$12="PB",('Activity data'!AZ21*EF!$H34)*kgtoGg,IF('Net zero activities &amp; levers'!$C$12="MS",('Net zero Activity data'!AZ21*EF!$H34)*kgtoGg,"ERROR")))</f>
        <v>3.4494097378815265E-2</v>
      </c>
      <c r="AH946" s="93">
        <f>IF('Net zero activities &amp; levers'!$C$12="Off",('Activity data'!BA21*EF!$H34)*kgtoGg,IF('Net zero activities &amp; levers'!$C$12="PB",('Activity data'!BA21*EF!$H34)*kgtoGg,IF('Net zero activities &amp; levers'!$C$12="MS",('Net zero Activity data'!BA21*EF!$H34)*kgtoGg,"ERROR")))</f>
        <v>3.5557217328346623E-2</v>
      </c>
      <c r="AI946" s="93">
        <f>IF('Net zero activities &amp; levers'!$C$12="Off",('Activity data'!BB21*EF!$H34)*kgtoGg,IF('Net zero activities &amp; levers'!$C$12="PB",('Activity data'!BB21*EF!$H34)*kgtoGg,IF('Net zero activities &amp; levers'!$C$12="MS",('Net zero Activity data'!BB21*EF!$H34)*kgtoGg,"ERROR")))</f>
        <v>3.6628249530779734E-2</v>
      </c>
      <c r="AJ946" s="93">
        <f>IF('Net zero activities &amp; levers'!$C$12="Off",('Activity data'!BC21*EF!$H34)*kgtoGg,IF('Net zero activities &amp; levers'!$C$12="PB",('Activity data'!BC21*EF!$H34)*kgtoGg,IF('Net zero activities &amp; levers'!$C$12="MS",('Net zero Activity data'!BC21*EF!$H34)*kgtoGg,"ERROR")))</f>
        <v>3.7759358891476039E-2</v>
      </c>
      <c r="AK946" s="93">
        <f>IF('Net zero activities &amp; levers'!$C$12="Off",('Activity data'!BD21*EF!$H34)*kgtoGg,IF('Net zero activities &amp; levers'!$C$12="PB",('Activity data'!BD21*EF!$H34)*kgtoGg,IF('Net zero activities &amp; levers'!$C$12="MS",('Net zero Activity data'!BD21*EF!$H34)*kgtoGg,"ERROR")))</f>
        <v>3.8917074122130517E-2</v>
      </c>
      <c r="AL946" s="93">
        <f>IF('Net zero activities &amp; levers'!$C$12="Off",('Activity data'!BE21*EF!$H34)*kgtoGg,IF('Net zero activities &amp; levers'!$C$12="PB",('Activity data'!BE21*EF!$H34)*kgtoGg,IF('Net zero activities &amp; levers'!$C$12="MS",('Net zero Activity data'!BE21*EF!$H34)*kgtoGg,"ERROR")))</f>
        <v>4.0099018182790006E-2</v>
      </c>
      <c r="AM946" s="93">
        <f>IF('Net zero activities &amp; levers'!$C$12="Off",('Activity data'!BF21*EF!$H34)*kgtoGg,IF('Net zero activities &amp; levers'!$C$12="PB",('Activity data'!BF21*EF!$H34)*kgtoGg,IF('Net zero activities &amp; levers'!$C$12="MS",('Net zero Activity data'!BF21*EF!$H34)*kgtoGg,"ERROR")))</f>
        <v>4.1321894319074036E-2</v>
      </c>
      <c r="AN946" s="93">
        <f>IF('Net zero activities &amp; levers'!$C$12="Off",('Activity data'!BG21*EF!$H34)*kgtoGg,IF('Net zero activities &amp; levers'!$C$12="PB",('Activity data'!BG21*EF!$H34)*kgtoGg,IF('Net zero activities &amp; levers'!$C$12="MS",('Net zero Activity data'!BG21*EF!$H34)*kgtoGg,"ERROR")))</f>
        <v>4.2545969174982913E-2</v>
      </c>
      <c r="AO946" s="93">
        <f>IF('Net zero activities &amp; levers'!$C$12="Off",('Activity data'!BH21*EF!$H34)*kgtoGg,IF('Net zero activities &amp; levers'!$C$12="PB",('Activity data'!BH21*EF!$H34)*kgtoGg,IF('Net zero activities &amp; levers'!$C$12="MS",('Net zero Activity data'!BH21*EF!$H34)*kgtoGg,"ERROR")))</f>
        <v>4.382695969568811E-2</v>
      </c>
      <c r="AP946" s="93">
        <f>IF('Net zero activities &amp; levers'!$C$12="Off",('Activity data'!BI21*EF!$H34)*kgtoGg,IF('Net zero activities &amp; levers'!$C$12="PB",('Activity data'!BI21*EF!$H34)*kgtoGg,IF('Net zero activities &amp; levers'!$C$12="MS",('Net zero Activity data'!BI21*EF!$H34)*kgtoGg,"ERROR")))</f>
        <v>4.5186270968384026E-2</v>
      </c>
      <c r="AQ946" s="93">
        <f>IF('Net zero activities &amp; levers'!$C$12="Off",('Activity data'!BJ21*EF!$H34)*kgtoGg,IF('Net zero activities &amp; levers'!$C$12="PB",('Activity data'!BJ21*EF!$H34)*kgtoGg,IF('Net zero activities &amp; levers'!$C$12="MS",('Net zero Activity data'!BJ21*EF!$H34)*kgtoGg,"ERROR")))</f>
        <v>4.6590511935326193E-2</v>
      </c>
      <c r="AR946" s="93">
        <f>IF('Net zero activities &amp; levers'!$C$12="Off",('Activity data'!BK21*EF!$H34)*kgtoGg,IF('Net zero activities &amp; levers'!$C$12="PB",('Activity data'!BK21*EF!$H34)*kgtoGg,IF('Net zero activities &amp; levers'!$C$12="MS",('Net zero Activity data'!BK21*EF!$H34)*kgtoGg,"ERROR")))</f>
        <v>4.8042424865238111E-2</v>
      </c>
      <c r="AS946" s="93">
        <f>IF('Net zero activities &amp; levers'!$C$12="Off",('Activity data'!BL21*EF!$H34)*kgtoGg,IF('Net zero activities &amp; levers'!$C$12="PB",('Activity data'!BL21*EF!$H34)*kgtoGg,IF('Net zero activities &amp; levers'!$C$12="MS",('Net zero Activity data'!BL21*EF!$H34)*kgtoGg,"ERROR")))</f>
        <v>4.958221392619834E-2</v>
      </c>
      <c r="AT946" s="93">
        <f>IF('Net zero activities &amp; levers'!$C$12="Off",('Activity data'!BM21*EF!$H34)*kgtoGg,IF('Net zero activities &amp; levers'!$C$12="PB",('Activity data'!BM21*EF!$H34)*kgtoGg,IF('Net zero activities &amp; levers'!$C$12="MS",('Net zero Activity data'!BM21*EF!$H34)*kgtoGg,"ERROR")))</f>
        <v>5.1199033814465784E-2</v>
      </c>
      <c r="AU946" s="93">
        <f>IF('Net zero activities &amp; levers'!$C$12="Off",('Activity data'!BN21*EF!$H34)*kgtoGg,IF('Net zero activities &amp; levers'!$C$12="PB",('Activity data'!BN21*EF!$H34)*kgtoGg,IF('Net zero activities &amp; levers'!$C$12="MS",('Net zero Activity data'!BN21*EF!$H34)*kgtoGg,"ERROR")))</f>
        <v>5.2885947503449555E-2</v>
      </c>
      <c r="AV946" s="93">
        <f>IF('Net zero activities &amp; levers'!$C$12="Off",('Activity data'!BO21*EF!$H34)*kgtoGg,IF('Net zero activities &amp; levers'!$C$12="PB",('Activity data'!BO21*EF!$H34)*kgtoGg,IF('Net zero activities &amp; levers'!$C$12="MS",('Net zero Activity data'!BO21*EF!$H34)*kgtoGg,"ERROR")))</f>
        <v>5.4670719693481661E-2</v>
      </c>
      <c r="AW946" s="93">
        <f>IF('Net zero activities &amp; levers'!$C$12="Off",('Activity data'!BP21*EF!$H34)*kgtoGg,IF('Net zero activities &amp; levers'!$C$12="PB",('Activity data'!BP21*EF!$H34)*kgtoGg,IF('Net zero activities &amp; levers'!$C$12="MS",('Net zero Activity data'!BP21*EF!$H34)*kgtoGg,"ERROR")))</f>
        <v>5.6403466737183702E-2</v>
      </c>
      <c r="AY946" s="79"/>
      <c r="AZ946" s="79"/>
    </row>
    <row r="947" spans="1:52" x14ac:dyDescent="0.25">
      <c r="A947" s="95" t="str">
        <f t="shared" si="326"/>
        <v>DS Poultry MMCH4</v>
      </c>
      <c r="B947" s="95" t="s">
        <v>973</v>
      </c>
      <c r="C947" s="95" t="s">
        <v>1230</v>
      </c>
      <c r="D947" t="s">
        <v>15</v>
      </c>
      <c r="E947" t="s">
        <v>22</v>
      </c>
      <c r="F947" t="s">
        <v>28</v>
      </c>
      <c r="G947" t="s">
        <v>133</v>
      </c>
      <c r="H947" t="s">
        <v>1226</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9.5244495094686812E-2</v>
      </c>
      <c r="N947" s="93">
        <f>IF('Net zero activities &amp; levers'!$C$12="Off",('Activity data'!AG22*EF!$H35)*kgtoGg,IF('Net zero activities &amp; levers'!$C$12="PB",('Activity data'!AG22*EF!$H35)*kgtoGg,IF('Net zero activities &amp; levers'!$C$12="MS",('Net zero Activity data'!AG22*EF!$H35)*kgtoGg,"ERROR")))</f>
        <v>9.5803753116994184E-2</v>
      </c>
      <c r="O947" s="93">
        <f>IF('Net zero activities &amp; levers'!$C$12="Off",('Activity data'!AH22*EF!$H35)*kgtoGg,IF('Net zero activities &amp; levers'!$C$12="PB",('Activity data'!AH22*EF!$H35)*kgtoGg,IF('Net zero activities &amp; levers'!$C$12="MS",('Net zero Activity data'!AH22*EF!$H35)*kgtoGg,"ERROR")))</f>
        <v>9.5460820340069058E-2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9.3696712749775937E-2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8.1167120934804951E-2</v>
      </c>
      <c r="T947" s="93">
        <f>IF('Net zero activities &amp; levers'!$C$12="Off",('Activity data'!AM22*EF!$H35)*kgtoGg,IF('Net zero activities &amp; levers'!$C$12="PB",('Activity data'!AM22*EF!$H35)*kgtoGg,IF('Net zero activities &amp; levers'!$C$12="MS",('Net zero Activity data'!AM22*EF!$H35)*kgtoGg,"ERROR")))</f>
        <v>8.8510723535528968E-2</v>
      </c>
      <c r="U947" s="93">
        <f>IF('Net zero activities &amp; levers'!$C$12="Off",('Activity data'!AN22*EF!$H35)*kgtoGg,IF('Net zero activities &amp; levers'!$C$12="PB",('Activity data'!AN22*EF!$H35)*kgtoGg,IF('Net zero activities &amp; levers'!$C$12="MS",('Net zero Activity data'!AN22*EF!$H35)*kgtoGg,"ERROR")))</f>
        <v>9.2044234060431204E-2</v>
      </c>
      <c r="V947" s="93">
        <f>IF('Net zero activities &amp; levers'!$C$12="Off",('Activity data'!AO22*EF!$H35)*kgtoGg,IF('Net zero activities &amp; levers'!$C$12="PB",('Activity data'!AO22*EF!$H35)*kgtoGg,IF('Net zero activities &amp; levers'!$C$12="MS",('Net zero Activity data'!AO22*EF!$H35)*kgtoGg,"ERROR")))</f>
        <v>9.2486359996152387E-2</v>
      </c>
      <c r="W947" s="93">
        <f>IF('Net zero activities &amp; levers'!$C$12="Off",('Activity data'!AP22*EF!$H35)*kgtoGg,IF('Net zero activities &amp; levers'!$C$12="PB",('Activity data'!AP22*EF!$H35)*kgtoGg,IF('Net zero activities &amp; levers'!$C$12="MS",('Net zero Activity data'!AP22*EF!$H35)*kgtoGg,"ERROR")))</f>
        <v>9.299604062454335E-2</v>
      </c>
      <c r="X947" s="93">
        <f>IF('Net zero activities &amp; levers'!$C$12="Off",('Activity data'!AQ22*EF!$H35)*kgtoGg,IF('Net zero activities &amp; levers'!$C$12="PB",('Activity data'!AQ22*EF!$H35)*kgtoGg,IF('Net zero activities &amp; levers'!$C$12="MS",('Net zero Activity data'!AQ22*EF!$H35)*kgtoGg,"ERROR")))</f>
        <v>9.4288595622345608E-2</v>
      </c>
      <c r="Y947" s="93">
        <f>IF('Net zero activities &amp; levers'!$C$12="Off",('Activity data'!AR22*EF!$H35)*kgtoGg,IF('Net zero activities &amp; levers'!$C$12="PB",('Activity data'!AR22*EF!$H35)*kgtoGg,IF('Net zero activities &amp; levers'!$C$12="MS",('Net zero Activity data'!AR22*EF!$H35)*kgtoGg,"ERROR")))</f>
        <v>9.6416851862533987E-2</v>
      </c>
      <c r="Z947" s="93">
        <f>IF('Net zero activities &amp; levers'!$C$12="Off",('Activity data'!AS22*EF!$H35)*kgtoGg,IF('Net zero activities &amp; levers'!$C$12="PB",('Activity data'!AS22*EF!$H35)*kgtoGg,IF('Net zero activities &amp; levers'!$C$12="MS",('Net zero Activity data'!AS22*EF!$H35)*kgtoGg,"ERROR")))</f>
        <v>9.8963239203604281E-2</v>
      </c>
      <c r="AA947" s="93">
        <f>IF('Net zero activities &amp; levers'!$C$12="Off",('Activity data'!AT22*EF!$H35)*kgtoGg,IF('Net zero activities &amp; levers'!$C$12="PB",('Activity data'!AT22*EF!$H35)*kgtoGg,IF('Net zero activities &amp; levers'!$C$12="MS",('Net zero Activity data'!AT22*EF!$H35)*kgtoGg,"ERROR")))</f>
        <v>0.1020401478635064</v>
      </c>
      <c r="AB947" s="93">
        <f>IF('Net zero activities &amp; levers'!$C$12="Off",('Activity data'!AU22*EF!$H35)*kgtoGg,IF('Net zero activities &amp; levers'!$C$12="PB",('Activity data'!AU22*EF!$H35)*kgtoGg,IF('Net zero activities &amp; levers'!$C$12="MS",('Net zero Activity data'!AU22*EF!$H35)*kgtoGg,"ERROR")))</f>
        <v>0.10598919327537835</v>
      </c>
      <c r="AC947" s="93">
        <f>IF('Net zero activities &amp; levers'!$C$12="Off",('Activity data'!AV22*EF!$H35)*kgtoGg,IF('Net zero activities &amp; levers'!$C$12="PB",('Activity data'!AV22*EF!$H35)*kgtoGg,IF('Net zero activities &amp; levers'!$C$12="MS",('Net zero Activity data'!AV22*EF!$H35)*kgtoGg,"ERROR")))</f>
        <v>0.11076532366542467</v>
      </c>
      <c r="AD947" s="93">
        <f>IF('Net zero activities &amp; levers'!$C$12="Off",('Activity data'!AW22*EF!$H35)*kgtoGg,IF('Net zero activities &amp; levers'!$C$12="PB",('Activity data'!AW22*EF!$H35)*kgtoGg,IF('Net zero activities &amp; levers'!$C$12="MS",('Net zero Activity data'!AW22*EF!$H35)*kgtoGg,"ERROR")))</f>
        <v>0.11605165918786628</v>
      </c>
      <c r="AE947" s="93">
        <f>IF('Net zero activities &amp; levers'!$C$12="Off",('Activity data'!AX22*EF!$H35)*kgtoGg,IF('Net zero activities &amp; levers'!$C$12="PB",('Activity data'!AX22*EF!$H35)*kgtoGg,IF('Net zero activities &amp; levers'!$C$12="MS",('Net zero Activity data'!AX22*EF!$H35)*kgtoGg,"ERROR")))</f>
        <v>0.12183066211575974</v>
      </c>
      <c r="AF947" s="93">
        <f>IF('Net zero activities &amp; levers'!$C$12="Off",('Activity data'!AY22*EF!$H35)*kgtoGg,IF('Net zero activities &amp; levers'!$C$12="PB",('Activity data'!AY22*EF!$H35)*kgtoGg,IF('Net zero activities &amp; levers'!$C$12="MS",('Net zero Activity data'!AY22*EF!$H35)*kgtoGg,"ERROR")))</f>
        <v>0.12792642875405835</v>
      </c>
      <c r="AG947" s="93">
        <f>IF('Net zero activities &amp; levers'!$C$12="Off",('Activity data'!AZ22*EF!$H35)*kgtoGg,IF('Net zero activities &amp; levers'!$C$12="PB",('Activity data'!AZ22*EF!$H35)*kgtoGg,IF('Net zero activities &amp; levers'!$C$12="MS",('Net zero Activity data'!AZ22*EF!$H35)*kgtoGg,"ERROR")))</f>
        <v>0.13442053102225948</v>
      </c>
      <c r="AH947" s="93">
        <f>IF('Net zero activities &amp; levers'!$C$12="Off",('Activity data'!BA22*EF!$H35)*kgtoGg,IF('Net zero activities &amp; levers'!$C$12="PB",('Activity data'!BA22*EF!$H35)*kgtoGg,IF('Net zero activities &amp; levers'!$C$12="MS",('Net zero Activity data'!BA22*EF!$H35)*kgtoGg,"ERROR")))</f>
        <v>0.1412301404532664</v>
      </c>
      <c r="AI947" s="93">
        <f>IF('Net zero activities &amp; levers'!$C$12="Off",('Activity data'!BB22*EF!$H35)*kgtoGg,IF('Net zero activities &amp; levers'!$C$12="PB",('Activity data'!BB22*EF!$H35)*kgtoGg,IF('Net zero activities &amp; levers'!$C$12="MS",('Net zero Activity data'!BB22*EF!$H35)*kgtoGg,"ERROR")))</f>
        <v>0.14804962987121634</v>
      </c>
      <c r="AJ947" s="93">
        <f>IF('Net zero activities &amp; levers'!$C$12="Off",('Activity data'!BC22*EF!$H35)*kgtoGg,IF('Net zero activities &amp; levers'!$C$12="PB",('Activity data'!BC22*EF!$H35)*kgtoGg,IF('Net zero activities &amp; levers'!$C$12="MS",('Net zero Activity data'!BC22*EF!$H35)*kgtoGg,"ERROR")))</f>
        <v>0.15532009218999737</v>
      </c>
      <c r="AK947" s="93">
        <f>IF('Net zero activities &amp; levers'!$C$12="Off",('Activity data'!BD22*EF!$H35)*kgtoGg,IF('Net zero activities &amp; levers'!$C$12="PB",('Activity data'!BD22*EF!$H35)*kgtoGg,IF('Net zero activities &amp; levers'!$C$12="MS",('Net zero Activity data'!BD22*EF!$H35)*kgtoGg,"ERROR")))</f>
        <v>0.16276207634756804</v>
      </c>
      <c r="AL947" s="93">
        <f>IF('Net zero activities &amp; levers'!$C$12="Off",('Activity data'!BE22*EF!$H35)*kgtoGg,IF('Net zero activities &amp; levers'!$C$12="PB",('Activity data'!BE22*EF!$H35)*kgtoGg,IF('Net zero activities &amp; levers'!$C$12="MS",('Net zero Activity data'!BE22*EF!$H35)*kgtoGg,"ERROR")))</f>
        <v>0.17035351082443828</v>
      </c>
      <c r="AM947" s="93">
        <f>IF('Net zero activities &amp; levers'!$C$12="Off",('Activity data'!BF22*EF!$H35)*kgtoGg,IF('Net zero activities &amp; levers'!$C$12="PB",('Activity data'!BF22*EF!$H35)*kgtoGg,IF('Net zero activities &amp; levers'!$C$12="MS",('Net zero Activity data'!BF22*EF!$H35)*kgtoGg,"ERROR")))</f>
        <v>0.17822828383349751</v>
      </c>
      <c r="AN947" s="93">
        <f>IF('Net zero activities &amp; levers'!$C$12="Off",('Activity data'!BG22*EF!$H35)*kgtoGg,IF('Net zero activities &amp; levers'!$C$12="PB",('Activity data'!BG22*EF!$H35)*kgtoGg,IF('Net zero activities &amp; levers'!$C$12="MS",('Net zero Activity data'!BG22*EF!$H35)*kgtoGg,"ERROR")))</f>
        <v>0.18605577601410239</v>
      </c>
      <c r="AO947" s="93">
        <f>IF('Net zero activities &amp; levers'!$C$12="Off",('Activity data'!BH22*EF!$H35)*kgtoGg,IF('Net zero activities &amp; levers'!$C$12="PB",('Activity data'!BH22*EF!$H35)*kgtoGg,IF('Net zero activities &amp; levers'!$C$12="MS",('Net zero Activity data'!BH22*EF!$H35)*kgtoGg,"ERROR")))</f>
        <v>0.19429487840720733</v>
      </c>
      <c r="AP947" s="93">
        <f>IF('Net zero activities &amp; levers'!$C$12="Off",('Activity data'!BI22*EF!$H35)*kgtoGg,IF('Net zero activities &amp; levers'!$C$12="PB",('Activity data'!BI22*EF!$H35)*kgtoGg,IF('Net zero activities &amp; levers'!$C$12="MS",('Net zero Activity data'!BI22*EF!$H35)*kgtoGg,"ERROR")))</f>
        <v>0.20311521966404342</v>
      </c>
      <c r="AQ947" s="93">
        <f>IF('Net zero activities &amp; levers'!$C$12="Off",('Activity data'!BJ22*EF!$H35)*kgtoGg,IF('Net zero activities &amp; levers'!$C$12="PB",('Activity data'!BJ22*EF!$H35)*kgtoGg,IF('Net zero activities &amp; levers'!$C$12="MS",('Net zero Activity data'!BJ22*EF!$H35)*kgtoGg,"ERROR")))</f>
        <v>0.21224003324309459</v>
      </c>
      <c r="AR947" s="93">
        <f>IF('Net zero activities &amp; levers'!$C$12="Off",('Activity data'!BK22*EF!$H35)*kgtoGg,IF('Net zero activities &amp; levers'!$C$12="PB",('Activity data'!BK22*EF!$H35)*kgtoGg,IF('Net zero activities &amp; levers'!$C$12="MS",('Net zero Activity data'!BK22*EF!$H35)*kgtoGg,"ERROR")))</f>
        <v>0.22169062680681273</v>
      </c>
      <c r="AS947" s="93">
        <f>IF('Net zero activities &amp; levers'!$C$12="Off",('Activity data'!BL22*EF!$H35)*kgtoGg,IF('Net zero activities &amp; levers'!$C$12="PB",('Activity data'!BL22*EF!$H35)*kgtoGg,IF('Net zero activities &amp; levers'!$C$12="MS",('Net zero Activity data'!BL22*EF!$H35)*kgtoGg,"ERROR")))</f>
        <v>0.23178568757386364</v>
      </c>
      <c r="AT947" s="93">
        <f>IF('Net zero activities &amp; levers'!$C$12="Off",('Activity data'!BM22*EF!$H35)*kgtoGg,IF('Net zero activities &amp; levers'!$C$12="PB",('Activity data'!BM22*EF!$H35)*kgtoGg,IF('Net zero activities &amp; levers'!$C$12="MS",('Net zero Activity data'!BM22*EF!$H35)*kgtoGg,"ERROR")))</f>
        <v>0.24243045121030524</v>
      </c>
      <c r="AU947" s="93">
        <f>IF('Net zero activities &amp; levers'!$C$12="Off",('Activity data'!BN22*EF!$H35)*kgtoGg,IF('Net zero activities &amp; levers'!$C$12="PB",('Activity data'!BN22*EF!$H35)*kgtoGg,IF('Net zero activities &amp; levers'!$C$12="MS",('Net zero Activity data'!BN22*EF!$H35)*kgtoGg,"ERROR")))</f>
        <v>0.25356197063455443</v>
      </c>
      <c r="AV947" s="93">
        <f>IF('Net zero activities &amp; levers'!$C$12="Off",('Activity data'!BO22*EF!$H35)*kgtoGg,IF('Net zero activities &amp; levers'!$C$12="PB",('Activity data'!BO22*EF!$H35)*kgtoGg,IF('Net zero activities &amp; levers'!$C$12="MS",('Net zero Activity data'!BO22*EF!$H35)*kgtoGg,"ERROR")))</f>
        <v>0.26539000717432326</v>
      </c>
      <c r="AW947" s="93">
        <f>IF('Net zero activities &amp; levers'!$C$12="Off",('Activity data'!BP22*EF!$H35)*kgtoGg,IF('Net zero activities &amp; levers'!$C$12="PB",('Activity data'!BP22*EF!$H35)*kgtoGg,IF('Net zero activities &amp; levers'!$C$12="MS",('Net zero Activity data'!BP22*EF!$H35)*kgtoGg,"ERROR")))</f>
        <v>0.27674370517967845</v>
      </c>
      <c r="AY947" s="79"/>
      <c r="AZ947" s="79"/>
    </row>
    <row r="948" spans="1:52" x14ac:dyDescent="0.25">
      <c r="A948" s="95" t="str">
        <f t="shared" si="326"/>
        <v>DS Cattle MMN2O</v>
      </c>
      <c r="B948" s="95" t="s">
        <v>973</v>
      </c>
      <c r="C948" s="95" t="s">
        <v>1231</v>
      </c>
      <c r="D948" t="s">
        <v>15</v>
      </c>
      <c r="E948" t="s">
        <v>657</v>
      </c>
      <c r="F948" t="s">
        <v>6</v>
      </c>
      <c r="G948" t="s">
        <v>136</v>
      </c>
      <c r="H948" t="s">
        <v>1226</v>
      </c>
      <c r="I948" t="s">
        <v>139</v>
      </c>
      <c r="J948" t="s">
        <v>287</v>
      </c>
      <c r="K948" s="27">
        <f t="shared" ref="K948:Z950" si="335">K1411</f>
        <v>5.9474079071945893E-2</v>
      </c>
      <c r="L948" s="27">
        <f t="shared" si="335"/>
        <v>5.9806569587962537E-2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6.1344406036983781E-2</v>
      </c>
      <c r="S948" s="27">
        <f t="shared" si="335"/>
        <v>5.9572576433389555E-2</v>
      </c>
      <c r="T948" s="27">
        <f t="shared" si="335"/>
        <v>6.0773920175181823E-2</v>
      </c>
      <c r="U948" s="27">
        <f t="shared" si="335"/>
        <v>6.1370278320054004E-2</v>
      </c>
      <c r="V948" s="27">
        <f t="shared" si="335"/>
        <v>6.1526022860848524E-2</v>
      </c>
      <c r="W948" s="27">
        <f t="shared" si="335"/>
        <v>6.174747330575011E-2</v>
      </c>
      <c r="X948" s="27">
        <f t="shared" si="335"/>
        <v>6.2119068821813103E-2</v>
      </c>
      <c r="Y948" s="27">
        <f t="shared" si="335"/>
        <v>6.2609959575984822E-2</v>
      </c>
      <c r="Z948" s="27">
        <f t="shared" si="335"/>
        <v>6.3159566495841341E-2</v>
      </c>
      <c r="AA948" s="27">
        <f t="shared" ref="L948:AW950" si="336">AA1411</f>
        <v>6.3785199118486416E-2</v>
      </c>
      <c r="AB948" s="27">
        <f t="shared" si="336"/>
        <v>6.4540499300557705E-2</v>
      </c>
      <c r="AC948" s="27">
        <f t="shared" si="336"/>
        <v>6.5421079387025072E-2</v>
      </c>
      <c r="AD948" s="27">
        <f t="shared" si="336"/>
        <v>6.6379515175029838E-2</v>
      </c>
      <c r="AE948" s="27">
        <f t="shared" si="336"/>
        <v>6.7414940444444876E-2</v>
      </c>
      <c r="AF948" s="27">
        <f t="shared" si="336"/>
        <v>6.8501080209535048E-2</v>
      </c>
      <c r="AG948" s="27">
        <f t="shared" si="336"/>
        <v>6.9650082739835181E-2</v>
      </c>
      <c r="AH948" s="27">
        <f t="shared" si="336"/>
        <v>7.085013376505013E-2</v>
      </c>
      <c r="AI948" s="27">
        <f t="shared" si="336"/>
        <v>7.2054990287027845E-2</v>
      </c>
      <c r="AJ948" s="27">
        <f t="shared" si="336"/>
        <v>7.3332422489630317E-2</v>
      </c>
      <c r="AK948" s="27">
        <f t="shared" si="336"/>
        <v>7.4637775238334716E-2</v>
      </c>
      <c r="AL948" s="27">
        <f t="shared" si="336"/>
        <v>7.596772859981879E-2</v>
      </c>
      <c r="AM948" s="27">
        <f t="shared" si="336"/>
        <v>7.734370972563348E-2</v>
      </c>
      <c r="AN948" s="27">
        <f t="shared" si="336"/>
        <v>7.871435132056126E-2</v>
      </c>
      <c r="AO948" s="27">
        <f t="shared" si="336"/>
        <v>8.0150831900584182E-2</v>
      </c>
      <c r="AP948" s="27">
        <f t="shared" si="336"/>
        <v>8.1679672713355286E-2</v>
      </c>
      <c r="AQ948" s="27">
        <f t="shared" si="336"/>
        <v>8.3257530462489515E-2</v>
      </c>
      <c r="AR948" s="27">
        <f t="shared" si="336"/>
        <v>8.4887259744612836E-2</v>
      </c>
      <c r="AS948" s="27">
        <f t="shared" si="336"/>
        <v>8.6619011221600456E-2</v>
      </c>
      <c r="AT948" s="27">
        <f t="shared" si="336"/>
        <v>8.8438220768671E-2</v>
      </c>
      <c r="AU948" s="27">
        <f t="shared" si="336"/>
        <v>9.0335502519381064E-2</v>
      </c>
      <c r="AV948" s="27">
        <f t="shared" si="336"/>
        <v>9.2345044060296602E-2</v>
      </c>
      <c r="AW948" s="27">
        <f t="shared" si="336"/>
        <v>9.4278593479446449E-2</v>
      </c>
      <c r="AY948" s="79"/>
      <c r="AZ948" s="79"/>
    </row>
    <row r="949" spans="1:52" x14ac:dyDescent="0.25">
      <c r="A949" s="95" t="str">
        <f t="shared" si="326"/>
        <v>DS Cattle MMN2O</v>
      </c>
      <c r="B949" s="95" t="s">
        <v>973</v>
      </c>
      <c r="C949" s="95" t="s">
        <v>1231</v>
      </c>
      <c r="D949" t="s">
        <v>15</v>
      </c>
      <c r="E949" t="s">
        <v>657</v>
      </c>
      <c r="F949" t="s">
        <v>6</v>
      </c>
      <c r="G949" t="s">
        <v>137</v>
      </c>
      <c r="H949" t="s">
        <v>1226</v>
      </c>
      <c r="I949" t="s">
        <v>139</v>
      </c>
      <c r="J949" t="s">
        <v>287</v>
      </c>
      <c r="K949" s="27">
        <f t="shared" si="335"/>
        <v>0.26041511380118898</v>
      </c>
      <c r="L949" s="27">
        <f t="shared" si="336"/>
        <v>0.26187096745907495</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0.26860458755254507</v>
      </c>
      <c r="S949" s="27">
        <f t="shared" si="336"/>
        <v>0.26084639751318123</v>
      </c>
      <c r="T949" s="27">
        <f t="shared" si="336"/>
        <v>0.26610663982571414</v>
      </c>
      <c r="U949" s="27">
        <f t="shared" si="336"/>
        <v>0.26871787276259229</v>
      </c>
      <c r="V949" s="27">
        <f t="shared" si="336"/>
        <v>0.26939982081370628</v>
      </c>
      <c r="W949" s="27">
        <f t="shared" si="336"/>
        <v>0.27036947084797774</v>
      </c>
      <c r="X949" s="27">
        <f t="shared" si="336"/>
        <v>0.27199655091569075</v>
      </c>
      <c r="Y949" s="27">
        <f t="shared" si="336"/>
        <v>0.27414598094649351</v>
      </c>
      <c r="Z949" s="27">
        <f t="shared" si="336"/>
        <v>0.27655250746718535</v>
      </c>
      <c r="AA949" s="27">
        <f t="shared" si="336"/>
        <v>0.27929192257316399</v>
      </c>
      <c r="AB949" s="27">
        <f t="shared" si="336"/>
        <v>0.28259910422166357</v>
      </c>
      <c r="AC949" s="27">
        <f t="shared" si="336"/>
        <v>0.28645484048537356</v>
      </c>
      <c r="AD949" s="27">
        <f t="shared" si="336"/>
        <v>0.29065147822569842</v>
      </c>
      <c r="AE949" s="27">
        <f t="shared" si="336"/>
        <v>0.29518522458335378</v>
      </c>
      <c r="AF949" s="27">
        <f t="shared" si="336"/>
        <v>0.2999410310614633</v>
      </c>
      <c r="AG949" s="27">
        <f t="shared" si="336"/>
        <v>0.30497209046339202</v>
      </c>
      <c r="AH949" s="27">
        <f t="shared" si="336"/>
        <v>0.31022667244557844</v>
      </c>
      <c r="AI949" s="27">
        <f t="shared" si="336"/>
        <v>0.31550229593031343</v>
      </c>
      <c r="AJ949" s="27">
        <f t="shared" si="336"/>
        <v>0.32109570162242335</v>
      </c>
      <c r="AK949" s="27">
        <f t="shared" si="336"/>
        <v>0.32681136111491149</v>
      </c>
      <c r="AL949" s="27">
        <f t="shared" si="336"/>
        <v>0.33263473764104773</v>
      </c>
      <c r="AM949" s="27">
        <f t="shared" si="336"/>
        <v>0.33865965281516675</v>
      </c>
      <c r="AN949" s="27">
        <f t="shared" si="336"/>
        <v>0.34466118814776064</v>
      </c>
      <c r="AO949" s="27">
        <f t="shared" si="336"/>
        <v>0.35095100817620256</v>
      </c>
      <c r="AP949" s="27">
        <f t="shared" si="336"/>
        <v>0.35764523968771644</v>
      </c>
      <c r="AQ949" s="27">
        <f t="shared" si="336"/>
        <v>0.36455409833193048</v>
      </c>
      <c r="AR949" s="27">
        <f t="shared" si="336"/>
        <v>0.37169008333736225</v>
      </c>
      <c r="AS949" s="27">
        <f t="shared" si="336"/>
        <v>0.37927278600367109</v>
      </c>
      <c r="AT949" s="27">
        <f t="shared" si="336"/>
        <v>0.38723843538607666</v>
      </c>
      <c r="AU949" s="27">
        <f t="shared" si="336"/>
        <v>0.39554593422815865</v>
      </c>
      <c r="AV949" s="27">
        <f t="shared" si="336"/>
        <v>0.4043449773950597</v>
      </c>
      <c r="AW949" s="27">
        <f t="shared" si="336"/>
        <v>0.41281127901561981</v>
      </c>
      <c r="AY949" s="79"/>
      <c r="AZ949" s="79"/>
    </row>
    <row r="950" spans="1:52" x14ac:dyDescent="0.25">
      <c r="A950" s="95" t="str">
        <f t="shared" si="326"/>
        <v>DS Cattle MMN2O</v>
      </c>
      <c r="B950" s="95" t="s">
        <v>973</v>
      </c>
      <c r="C950" s="95" t="s">
        <v>1231</v>
      </c>
      <c r="D950" t="s">
        <v>15</v>
      </c>
      <c r="E950" t="s">
        <v>657</v>
      </c>
      <c r="F950" t="s">
        <v>67</v>
      </c>
      <c r="G950" t="s">
        <v>307</v>
      </c>
      <c r="H950" t="s">
        <v>1226</v>
      </c>
      <c r="I950" t="s">
        <v>139</v>
      </c>
      <c r="J950" t="s">
        <v>287</v>
      </c>
      <c r="K950" s="27">
        <f t="shared" si="335"/>
        <v>1.1586934798802538E-2</v>
      </c>
      <c r="L950" s="27">
        <f t="shared" si="336"/>
        <v>1.1651711689683767E-2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1.1951318021451862E-2</v>
      </c>
      <c r="S950" s="27">
        <f t="shared" si="336"/>
        <v>1.1606124377232515E-2</v>
      </c>
      <c r="T950" s="27">
        <f t="shared" si="336"/>
        <v>1.1840174098124497E-2</v>
      </c>
      <c r="U950" s="27">
        <f t="shared" si="336"/>
        <v>1.1956358544343662E-2</v>
      </c>
      <c r="V950" s="27">
        <f t="shared" si="336"/>
        <v>1.198670120567806E-2</v>
      </c>
      <c r="W950" s="27">
        <f t="shared" si="336"/>
        <v>1.2029844906367174E-2</v>
      </c>
      <c r="X950" s="27">
        <f t="shared" si="336"/>
        <v>1.2102240361384485E-2</v>
      </c>
      <c r="Y950" s="27">
        <f t="shared" si="336"/>
        <v>1.2197877305254469E-2</v>
      </c>
      <c r="Z950" s="27">
        <f t="shared" si="336"/>
        <v>1.2304953524755821E-2</v>
      </c>
      <c r="AA950" s="27">
        <f t="shared" si="336"/>
        <v>1.2426841320577307E-2</v>
      </c>
      <c r="AB950" s="27">
        <f t="shared" si="336"/>
        <v>1.2573991374848796E-2</v>
      </c>
      <c r="AC950" s="27">
        <f t="shared" si="336"/>
        <v>1.2745548870252437E-2</v>
      </c>
      <c r="AD950" s="27">
        <f t="shared" si="336"/>
        <v>1.2932274468323759E-2</v>
      </c>
      <c r="AE950" s="27">
        <f t="shared" si="336"/>
        <v>1.3133999409221648E-2</v>
      </c>
      <c r="AF950" s="27">
        <f t="shared" si="336"/>
        <v>1.3345604714202703E-2</v>
      </c>
      <c r="AG950" s="27">
        <f t="shared" si="336"/>
        <v>1.3569457148910296E-2</v>
      </c>
      <c r="AH950" s="27">
        <f t="shared" si="336"/>
        <v>1.3803255018526413E-2</v>
      </c>
      <c r="AI950" s="27">
        <f t="shared" si="336"/>
        <v>1.4037989110754724E-2</v>
      </c>
      <c r="AJ950" s="27">
        <f t="shared" si="336"/>
        <v>1.4286862634690086E-2</v>
      </c>
      <c r="AK950" s="27">
        <f t="shared" si="336"/>
        <v>1.4541175730826956E-2</v>
      </c>
      <c r="AL950" s="27">
        <f t="shared" si="336"/>
        <v>1.4800281598886257E-2</v>
      </c>
      <c r="AM950" s="27">
        <f t="shared" si="336"/>
        <v>1.5068354746684156E-2</v>
      </c>
      <c r="AN950" s="27">
        <f t="shared" si="336"/>
        <v>1.533538762959342E-2</v>
      </c>
      <c r="AO950" s="27">
        <f t="shared" si="336"/>
        <v>1.5615247479131181E-2</v>
      </c>
      <c r="AP950" s="27">
        <f t="shared" si="336"/>
        <v>1.5913101251593929E-2</v>
      </c>
      <c r="AQ950" s="27">
        <f t="shared" si="336"/>
        <v>1.6220504664076991E-2</v>
      </c>
      <c r="AR950" s="27">
        <f t="shared" si="336"/>
        <v>1.6538013858440784E-2</v>
      </c>
      <c r="AS950" s="27">
        <f t="shared" si="336"/>
        <v>1.6875399350821628E-2</v>
      </c>
      <c r="AT950" s="27">
        <f t="shared" si="336"/>
        <v>1.7229823710747674E-2</v>
      </c>
      <c r="AU950" s="27">
        <f t="shared" si="336"/>
        <v>1.7599458352989747E-2</v>
      </c>
      <c r="AV950" s="27">
        <f t="shared" si="336"/>
        <v>1.7990963815090407E-2</v>
      </c>
      <c r="AW950" s="27">
        <f t="shared" si="336"/>
        <v>1.836766424323575E-2</v>
      </c>
      <c r="AY950" s="79"/>
      <c r="AZ950" s="79"/>
    </row>
    <row r="951" spans="1:52" x14ac:dyDescent="0.25">
      <c r="A951" s="95" t="str">
        <f t="shared" si="326"/>
        <v>DS Cattle MMN2O</v>
      </c>
      <c r="B951" s="95" t="s">
        <v>973</v>
      </c>
      <c r="C951" s="95" t="s">
        <v>1231</v>
      </c>
      <c r="D951" t="s">
        <v>15</v>
      </c>
      <c r="E951" t="s">
        <v>657</v>
      </c>
      <c r="F951" t="s">
        <v>67</v>
      </c>
      <c r="G951" t="s">
        <v>122</v>
      </c>
      <c r="H951" t="s">
        <v>1226</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0.51896282251134851</v>
      </c>
      <c r="N951" s="93">
        <f>IF('Net zero activities &amp; levers'!$C$12="Off",('Activity data'!AG8*EF!$H39*EF!$H57)*NtoN2O*kgtoGg,('Net zero Activity data'!AG8*EF!$H39*EF!$H57)*NtoN2O*kgtoGg)</f>
        <v>0.51203275332440912</v>
      </c>
      <c r="O951" s="93">
        <f>IF('Net zero activities &amp; levers'!$C$12="Off",('Activity data'!AH8*EF!$H39*EF!$H57)*NtoN2O*kgtoGg,('Net zero Activity data'!AH8*EF!$H39*EF!$H57)*NtoN2O*kgtoGg)</f>
        <v>0.50197358865556663</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0.41885745966075799</v>
      </c>
      <c r="T951" s="93">
        <f>IF('Net zero activities &amp; levers'!$C$12="Off",('Activity data'!AM8*EF!$H39*EF!$H57)*NtoN2O*kgtoGg,('Net zero Activity data'!AM8*EF!$H39*EF!$H57)*NtoN2O*kgtoGg)</f>
        <v>0.43888316121589754</v>
      </c>
      <c r="U951" s="93">
        <f>IF('Net zero activities &amp; levers'!$C$12="Off",('Activity data'!AN8*EF!$H39*EF!$H57)*NtoN2O*kgtoGg,('Net zero Activity data'!AN8*EF!$H39*EF!$H57)*NtoN2O*kgtoGg)</f>
        <v>0.44581606294816456</v>
      </c>
      <c r="V951" s="93">
        <f>IF('Net zero activities &amp; levers'!$C$12="Off",('Activity data'!AO8*EF!$H39*EF!$H57)*NtoN2O*kgtoGg,('Net zero Activity data'!AO8*EF!$H39*EF!$H57)*NtoN2O*kgtoGg)</f>
        <v>0.4428053451992871</v>
      </c>
      <c r="W951" s="93">
        <f>IF('Net zero activities &amp; levers'!$C$12="Off",('Activity data'!AP8*EF!$H39*EF!$H57)*NtoN2O*kgtoGg,('Net zero Activity data'!AP8*EF!$H39*EF!$H57)*NtoN2O*kgtoGg)</f>
        <v>0.44035633830428106</v>
      </c>
      <c r="X951" s="93">
        <f>IF('Net zero activities &amp; levers'!$C$12="Off",('Activity data'!AQ8*EF!$H39*EF!$H57)*NtoN2O*kgtoGg,('Net zero Activity data'!AQ8*EF!$H39*EF!$H57)*NtoN2O*kgtoGg)</f>
        <v>0.44051721103792468</v>
      </c>
      <c r="Y951" s="93">
        <f>IF('Net zero activities &amp; levers'!$C$12="Off",('Activity data'!AR8*EF!$H39*EF!$H57)*NtoN2O*kgtoGg,('Net zero Activity data'!AR8*EF!$H39*EF!$H57)*NtoN2O*kgtoGg)</f>
        <v>0.44310396179359002</v>
      </c>
      <c r="Z951" s="93">
        <f>IF('Net zero activities &amp; levers'!$C$12="Off",('Activity data'!AS8*EF!$H39*EF!$H57)*NtoN2O*kgtoGg,('Net zero Activity data'!AS8*EF!$H39*EF!$H57)*NtoN2O*kgtoGg)</f>
        <v>0.4467743835824281</v>
      </c>
      <c r="AA951" s="93">
        <f>IF('Net zero activities &amp; levers'!$C$12="Off",('Activity data'!AT8*EF!$H39*EF!$H57)*NtoN2O*kgtoGg,('Net zero Activity data'!AT8*EF!$H39*EF!$H57)*NtoN2O*kgtoGg)</f>
        <v>0.45182412453822507</v>
      </c>
      <c r="AB951" s="93">
        <f>IF('Net zero activities &amp; levers'!$C$12="Off",('Activity data'!AU8*EF!$H39*EF!$H57)*NtoN2O*kgtoGg,('Net zero Activity data'!AU8*EF!$H39*EF!$H57)*NtoN2O*kgtoGg)</f>
        <v>0.4592210041031291</v>
      </c>
      <c r="AC951" s="93">
        <f>IF('Net zero activities &amp; levers'!$C$12="Off",('Activity data'!AV8*EF!$H39*EF!$H57)*NtoN2O*kgtoGg,('Net zero Activity data'!AV8*EF!$H39*EF!$H57)*NtoN2O*kgtoGg)</f>
        <v>0.46875611727926397</v>
      </c>
      <c r="AD951" s="93">
        <f>IF('Net zero activities &amp; levers'!$C$12="Off",('Activity data'!AW8*EF!$H39*EF!$H57)*NtoN2O*kgtoGg,('Net zero Activity data'!AW8*EF!$H39*EF!$H57)*NtoN2O*kgtoGg)</f>
        <v>0.47540395120736983</v>
      </c>
      <c r="AE951" s="93">
        <f>IF('Net zero activities &amp; levers'!$C$12="Off",('Activity data'!AX8*EF!$H39*EF!$H57)*NtoN2O*kgtoGg,('Net zero Activity data'!AX8*EF!$H39*EF!$H57)*NtoN2O*kgtoGg)</f>
        <v>0.48283708354051091</v>
      </c>
      <c r="AF951" s="93">
        <f>IF('Net zero activities &amp; levers'!$C$12="Off",('Activity data'!AY8*EF!$H39*EF!$H57)*NtoN2O*kgtoGg,('Net zero Activity data'!AY8*EF!$H39*EF!$H57)*NtoN2O*kgtoGg)</f>
        <v>0.49049534376627268</v>
      </c>
      <c r="AG951" s="93">
        <f>IF('Net zero activities &amp; levers'!$C$12="Off",('Activity data'!AZ8*EF!$H39*EF!$H57)*NtoN2O*kgtoGg,('Net zero Activity data'!AZ8*EF!$H39*EF!$H57)*NtoN2O*kgtoGg)</f>
        <v>0.49854885128886806</v>
      </c>
      <c r="AH951" s="93">
        <f>IF('Net zero activities &amp; levers'!$C$12="Off",('Activity data'!BA8*EF!$H39*EF!$H57)*NtoN2O*kgtoGg,('Net zero Activity data'!BA8*EF!$H39*EF!$H57)*NtoN2O*kgtoGg)</f>
        <v>0.50672298371374713</v>
      </c>
      <c r="AI951" s="93">
        <f>IF('Net zero activities &amp; levers'!$C$12="Off",('Activity data'!BB8*EF!$H39*EF!$H57)*NtoN2O*kgtoGg,('Net zero Activity data'!BB8*EF!$H39*EF!$H57)*NtoN2O*kgtoGg)</f>
        <v>0.51418741913189581</v>
      </c>
      <c r="AJ951" s="93">
        <f>IF('Net zero activities &amp; levers'!$C$12="Off",('Activity data'!BC8*EF!$H39*EF!$H57)*NtoN2O*kgtoGg,('Net zero Activity data'!BC8*EF!$H39*EF!$H57)*NtoN2O*kgtoGg)</f>
        <v>0.52206102854310632</v>
      </c>
      <c r="AK951" s="93">
        <f>IF('Net zero activities &amp; levers'!$C$12="Off",('Activity data'!BD8*EF!$H39*EF!$H57)*NtoN2O*kgtoGg,('Net zero Activity data'!BD8*EF!$H39*EF!$H57)*NtoN2O*kgtoGg)</f>
        <v>0.52957812188119258</v>
      </c>
      <c r="AL951" s="93">
        <f>IF('Net zero activities &amp; levers'!$C$12="Off",('Activity data'!BE8*EF!$H39*EF!$H57)*NtoN2O*kgtoGg,('Net zero Activity data'!BE8*EF!$H39*EF!$H57)*NtoN2O*kgtoGg)</f>
        <v>0.53666628025365293</v>
      </c>
      <c r="AM951" s="93">
        <f>IF('Net zero activities &amp; levers'!$C$12="Off",('Activity data'!BF8*EF!$H39*EF!$H57)*NtoN2O*kgtoGg,('Net zero Activity data'!BF8*EF!$H39*EF!$H57)*NtoN2O*kgtoGg)</f>
        <v>0.543628496445968</v>
      </c>
      <c r="AN951" s="93">
        <f>IF('Net zero activities &amp; levers'!$C$12="Off",('Activity data'!BG8*EF!$H39*EF!$H57)*NtoN2O*kgtoGg,('Net zero Activity data'!BG8*EF!$H39*EF!$H57)*NtoN2O*kgtoGg)</f>
        <v>0.55246945736606723</v>
      </c>
      <c r="AO951" s="93">
        <f>IF('Net zero activities &amp; levers'!$C$12="Off",('Activity data'!BH8*EF!$H39*EF!$H57)*NtoN2O*kgtoGg,('Net zero Activity data'!BH8*EF!$H39*EF!$H57)*NtoN2O*kgtoGg)</f>
        <v>0.56161375103123634</v>
      </c>
      <c r="AP951" s="93">
        <f>IF('Net zero activities &amp; levers'!$C$12="Off",('Activity data'!BI8*EF!$H39*EF!$H57)*NtoN2O*kgtoGg,('Net zero Activity data'!BI8*EF!$H39*EF!$H57)*NtoN2O*kgtoGg)</f>
        <v>0.57139369130463846</v>
      </c>
      <c r="AQ951" s="93">
        <f>IF('Net zero activities &amp; levers'!$C$12="Off",('Activity data'!BJ8*EF!$H39*EF!$H57)*NtoN2O*kgtoGg,('Net zero Activity data'!BJ8*EF!$H39*EF!$H57)*NtoN2O*kgtoGg)</f>
        <v>0.58113558104968666</v>
      </c>
      <c r="AR951" s="93">
        <f>IF('Net zero activities &amp; levers'!$C$12="Off",('Activity data'!BK8*EF!$H39*EF!$H57)*NtoN2O*kgtoGg,('Net zero Activity data'!BK8*EF!$H39*EF!$H57)*NtoN2O*kgtoGg)</f>
        <v>0.59085206465758344</v>
      </c>
      <c r="AS951" s="93">
        <f>IF('Net zero activities &amp; levers'!$C$12="Off",('Activity data'!BL8*EF!$H39*EF!$H57)*NtoN2O*kgtoGg,('Net zero Activity data'!BL8*EF!$H39*EF!$H57)*NtoN2O*kgtoGg)</f>
        <v>0.6011817102296716</v>
      </c>
      <c r="AT951" s="93">
        <f>IF('Net zero activities &amp; levers'!$C$12="Off",('Activity data'!BM8*EF!$H39*EF!$H57)*NtoN2O*kgtoGg,('Net zero Activity data'!BM8*EF!$H39*EF!$H57)*NtoN2O*kgtoGg)</f>
        <v>0.61185705718445471</v>
      </c>
      <c r="AU951" s="93">
        <f>IF('Net zero activities &amp; levers'!$C$12="Off",('Activity data'!BN8*EF!$H39*EF!$H57)*NtoN2O*kgtoGg,('Net zero Activity data'!BN8*EF!$H39*EF!$H57)*NtoN2O*kgtoGg)</f>
        <v>0.6226925043907553</v>
      </c>
      <c r="AV951" s="93">
        <f>IF('Net zero activities &amp; levers'!$C$12="Off",('Activity data'!BO8*EF!$H39*EF!$H57)*NtoN2O*kgtoGg,('Net zero Activity data'!BO8*EF!$H39*EF!$H57)*NtoN2O*kgtoGg)</f>
        <v>0.63405678889252681</v>
      </c>
      <c r="AW951" s="93">
        <f>IF('Net zero activities &amp; levers'!$C$12="Off",('Activity data'!BP8*EF!$H39*EF!$H57)*NtoN2O*kgtoGg,('Net zero Activity data'!BP8*EF!$H39*EF!$H57)*NtoN2O*kgtoGg)</f>
        <v>0.64358432778937325</v>
      </c>
      <c r="AY951" s="79"/>
      <c r="AZ951" s="79"/>
    </row>
    <row r="952" spans="1:52" x14ac:dyDescent="0.25">
      <c r="A952" s="95" t="str">
        <f t="shared" si="326"/>
        <v>DS Cattle MMN2O</v>
      </c>
      <c r="B952" s="95" t="s">
        <v>973</v>
      </c>
      <c r="C952" s="95" t="s">
        <v>1231</v>
      </c>
      <c r="D952" t="s">
        <v>15</v>
      </c>
      <c r="E952" t="s">
        <v>657</v>
      </c>
      <c r="F952" t="s">
        <v>67</v>
      </c>
      <c r="G952" t="s">
        <v>123</v>
      </c>
      <c r="H952" t="s">
        <v>1226</v>
      </c>
      <c r="I952" t="s">
        <v>139</v>
      </c>
      <c r="J952" t="s">
        <v>287</v>
      </c>
      <c r="K952" s="93">
        <f>IF('Net zero activities &amp; levers'!$C$12="Off",('Activity data'!AD9*EF!$H40*EF!$H58)*NtoN2O*kgtoGg,('Net zero Activity data'!AD9*EF!$H40*EF!$H58)*NtoN2O*kgtoGg)</f>
        <v>0.80452586370517842</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0.78427763712907439</v>
      </c>
      <c r="O952" s="93">
        <f>IF('Net zero activities &amp; levers'!$C$12="Off",('Activity data'!AH9*EF!$H40*EF!$H58)*NtoN2O*kgtoGg,('Net zero Activity data'!AH9*EF!$H40*EF!$H58)*NtoN2O*kgtoGg)</f>
        <v>0.76887007218962278</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0.64156157320759799</v>
      </c>
      <c r="T952" s="93">
        <f>IF('Net zero activities &amp; levers'!$C$12="Off",('Activity data'!AM9*EF!$H40*EF!$H58)*NtoN2O*kgtoGg,('Net zero Activity data'!AM9*EF!$H40*EF!$H58)*NtoN2O*kgtoGg)</f>
        <v>0.67223482564222559</v>
      </c>
      <c r="U952" s="93">
        <f>IF('Net zero activities &amp; levers'!$C$12="Off",('Activity data'!AN9*EF!$H40*EF!$H58)*NtoN2O*kgtoGg,('Net zero Activity data'!AN9*EF!$H40*EF!$H58)*NtoN2O*kgtoGg)</f>
        <v>0.68285391153805586</v>
      </c>
      <c r="V952" s="93">
        <f>IF('Net zero activities &amp; levers'!$C$12="Off",('Activity data'!AO9*EF!$H40*EF!$H58)*NtoN2O*kgtoGg,('Net zero Activity data'!AO9*EF!$H40*EF!$H58)*NtoN2O*kgtoGg)</f>
        <v>0.67824241239699168</v>
      </c>
      <c r="W952" s="93">
        <f>IF('Net zero activities &amp; levers'!$C$12="Off",('Activity data'!AP9*EF!$H40*EF!$H58)*NtoN2O*kgtoGg,('Net zero Activity data'!AP9*EF!$H40*EF!$H58)*NtoN2O*kgtoGg)</f>
        <v>0.67449128255528179</v>
      </c>
      <c r="X952" s="93">
        <f>IF('Net zero activities &amp; levers'!$C$12="Off",('Activity data'!AQ9*EF!$H40*EF!$H58)*NtoN2O*kgtoGg,('Net zero Activity data'!AQ9*EF!$H40*EF!$H58)*NtoN2O*kgtoGg)</f>
        <v>0.67473769040048559</v>
      </c>
      <c r="Y952" s="93">
        <f>IF('Net zero activities &amp; levers'!$C$12="Off",('Activity data'!AR9*EF!$H40*EF!$H58)*NtoN2O*kgtoGg,('Net zero Activity data'!AR9*EF!$H40*EF!$H58)*NtoN2O*kgtoGg)</f>
        <v>0.67869980172505096</v>
      </c>
      <c r="Z952" s="93">
        <f>IF('Net zero activities &amp; levers'!$C$12="Off",('Activity data'!AS9*EF!$H40*EF!$H58)*NtoN2O*kgtoGg,('Net zero Activity data'!AS9*EF!$H40*EF!$H58)*NtoN2O*kgtoGg)</f>
        <v>0.68432176576763859</v>
      </c>
      <c r="AA952" s="93">
        <f>IF('Net zero activities &amp; levers'!$C$12="Off",('Activity data'!AT9*EF!$H40*EF!$H58)*NtoN2O*kgtoGg,('Net zero Activity data'!AT9*EF!$H40*EF!$H58)*NtoN2O*kgtoGg)</f>
        <v>0.69205642508232745</v>
      </c>
      <c r="AB952" s="93">
        <f>IF('Net zero activities &amp; levers'!$C$12="Off",('Activity data'!AU9*EF!$H40*EF!$H58)*NtoN2O*kgtoGg,('Net zero Activity data'!AU9*EF!$H40*EF!$H58)*NtoN2O*kgtoGg)</f>
        <v>0.70338618316836132</v>
      </c>
      <c r="AC952" s="93">
        <f>IF('Net zero activities &amp; levers'!$C$12="Off",('Activity data'!AV9*EF!$H40*EF!$H58)*NtoN2O*kgtoGg,('Net zero Activity data'!AV9*EF!$H40*EF!$H58)*NtoN2O*kgtoGg)</f>
        <v>0.71799106143637159</v>
      </c>
      <c r="AD952" s="93">
        <f>IF('Net zero activities &amp; levers'!$C$12="Off",('Activity data'!AW9*EF!$H40*EF!$H58)*NtoN2O*kgtoGg,('Net zero Activity data'!AW9*EF!$H40*EF!$H58)*NtoN2O*kgtoGg)</f>
        <v>0.72817351060844282</v>
      </c>
      <c r="AE952" s="93">
        <f>IF('Net zero activities &amp; levers'!$C$12="Off",('Activity data'!AX9*EF!$H40*EF!$H58)*NtoN2O*kgtoGg,('Net zero Activity data'!AX9*EF!$H40*EF!$H58)*NtoN2O*kgtoGg)</f>
        <v>0.7395587968520555</v>
      </c>
      <c r="AF952" s="93">
        <f>IF('Net zero activities &amp; levers'!$C$12="Off",('Activity data'!AY9*EF!$H40*EF!$H58)*NtoN2O*kgtoGg,('Net zero Activity data'!AY9*EF!$H40*EF!$H58)*NtoN2O*kgtoGg)</f>
        <v>0.75128891020004818</v>
      </c>
      <c r="AG952" s="93">
        <f>IF('Net zero activities &amp; levers'!$C$12="Off",('Activity data'!AZ9*EF!$H40*EF!$H58)*NtoN2O*kgtoGg,('Net zero Activity data'!AZ9*EF!$H40*EF!$H58)*NtoN2O*kgtoGg)</f>
        <v>0.76362442157000243</v>
      </c>
      <c r="AH952" s="93">
        <f>IF('Net zero activities &amp; levers'!$C$12="Off",('Activity data'!BA9*EF!$H40*EF!$H58)*NtoN2O*kgtoGg,('Net zero Activity data'!BA9*EF!$H40*EF!$H58)*NtoN2O*kgtoGg)</f>
        <v>0.77614469341226622</v>
      </c>
      <c r="AI952" s="93">
        <f>IF('Net zero activities &amp; levers'!$C$12="Off",('Activity data'!BB9*EF!$H40*EF!$H58)*NtoN2O*kgtoGg,('Net zero Activity data'!BB9*EF!$H40*EF!$H58)*NtoN2O*kgtoGg)</f>
        <v>0.78757792641199043</v>
      </c>
      <c r="AJ952" s="93">
        <f>IF('Net zero activities &amp; levers'!$C$12="Off",('Activity data'!BC9*EF!$H40*EF!$H58)*NtoN2O*kgtoGg,('Net zero Activity data'!BC9*EF!$H40*EF!$H58)*NtoN2O*kgtoGg)</f>
        <v>0.79963788887456544</v>
      </c>
      <c r="AK952" s="93">
        <f>IF('Net zero activities &amp; levers'!$C$12="Off",('Activity data'!BD9*EF!$H40*EF!$H58)*NtoN2O*kgtoGg,('Net zero Activity data'!BD9*EF!$H40*EF!$H58)*NtoN2O*kgtoGg)</f>
        <v>0.81115177770881697</v>
      </c>
      <c r="AL952" s="93">
        <f>IF('Net zero activities &amp; levers'!$C$12="Off",('Activity data'!BE9*EF!$H40*EF!$H58)*NtoN2O*kgtoGg,('Net zero Activity data'!BE9*EF!$H40*EF!$H58)*NtoN2O*kgtoGg)</f>
        <v>0.82200866931166305</v>
      </c>
      <c r="AM952" s="93">
        <f>IF('Net zero activities &amp; levers'!$C$12="Off",('Activity data'!BF9*EF!$H40*EF!$H58)*NtoN2O*kgtoGg,('Net zero Activity data'!BF9*EF!$H40*EF!$H58)*NtoN2O*kgtoGg)</f>
        <v>0.83267265599813822</v>
      </c>
      <c r="AN952" s="93">
        <f>IF('Net zero activities &amp; levers'!$C$12="Off",('Activity data'!BG9*EF!$H40*EF!$H58)*NtoN2O*kgtoGg,('Net zero Activity data'!BG9*EF!$H40*EF!$H58)*NtoN2O*kgtoGg)</f>
        <v>0.84621430522926222</v>
      </c>
      <c r="AO952" s="93">
        <f>IF('Net zero activities &amp; levers'!$C$12="Off",('Activity data'!BH9*EF!$H40*EF!$H58)*NtoN2O*kgtoGg,('Net zero Activity data'!BH9*EF!$H40*EF!$H58)*NtoN2O*kgtoGg)</f>
        <v>0.86022056748957776</v>
      </c>
      <c r="AP952" s="93">
        <f>IF('Net zero activities &amp; levers'!$C$12="Off",('Activity data'!BI9*EF!$H40*EF!$H58)*NtoN2O*kgtoGg,('Net zero Activity data'!BI9*EF!$H40*EF!$H58)*NtoN2O*kgtoGg)</f>
        <v>0.87520044602095726</v>
      </c>
      <c r="AQ952" s="93">
        <f>IF('Net zero activities &amp; levers'!$C$12="Off",('Activity data'!BJ9*EF!$H40*EF!$H58)*NtoN2O*kgtoGg,('Net zero Activity data'!BJ9*EF!$H40*EF!$H58)*NtoN2O*kgtoGg)</f>
        <v>0.89012204277587748</v>
      </c>
      <c r="AR952" s="93">
        <f>IF('Net zero activities &amp; levers'!$C$12="Off",('Activity data'!BK9*EF!$H40*EF!$H58)*NtoN2O*kgtoGg,('Net zero Activity data'!BK9*EF!$H40*EF!$H58)*NtoN2O*kgtoGg)</f>
        <v>0.90500472509596042</v>
      </c>
      <c r="AS952" s="93">
        <f>IF('Net zero activities &amp; levers'!$C$12="Off",('Activity data'!BL9*EF!$H40*EF!$H58)*NtoN2O*kgtoGg,('Net zero Activity data'!BL9*EF!$H40*EF!$H58)*NtoN2O*kgtoGg)</f>
        <v>0.92082658408654217</v>
      </c>
      <c r="AT952" s="93">
        <f>IF('Net zero activities &amp; levers'!$C$12="Off",('Activity data'!BM9*EF!$H40*EF!$H58)*NtoN2O*kgtoGg,('Net zero Activity data'!BM9*EF!$H40*EF!$H58)*NtoN2O*kgtoGg)</f>
        <v>0.93717795190602593</v>
      </c>
      <c r="AU952" s="93">
        <f>IF('Net zero activities &amp; levers'!$C$12="Off",('Activity data'!BN9*EF!$H40*EF!$H58)*NtoN2O*kgtoGg,('Net zero Activity data'!BN9*EF!$H40*EF!$H58)*NtoN2O*kgtoGg)</f>
        <v>0.95377454436426301</v>
      </c>
      <c r="AV952" s="93">
        <f>IF('Net zero activities &amp; levers'!$C$12="Off",('Activity data'!BO9*EF!$H40*EF!$H58)*NtoN2O*kgtoGg,('Net zero Activity data'!BO9*EF!$H40*EF!$H58)*NtoN2O*kgtoGg)</f>
        <v>0.97118115388063697</v>
      </c>
      <c r="AW952" s="93">
        <f>IF('Net zero activities &amp; levers'!$C$12="Off",('Activity data'!BP9*EF!$H40*EF!$H58)*NtoN2O*kgtoGg,('Net zero Activity data'!BP9*EF!$H40*EF!$H58)*NtoN2O*kgtoGg)</f>
        <v>0.98577443066842085</v>
      </c>
      <c r="AY952" s="79"/>
      <c r="AZ952" s="79"/>
    </row>
    <row r="953" spans="1:52" x14ac:dyDescent="0.25">
      <c r="A953" s="95" t="str">
        <f t="shared" si="326"/>
        <v>DS Cattle MMN2O</v>
      </c>
      <c r="B953" s="95" t="s">
        <v>973</v>
      </c>
      <c r="C953" s="95" t="s">
        <v>1231</v>
      </c>
      <c r="D953" t="s">
        <v>15</v>
      </c>
      <c r="E953" t="s">
        <v>657</v>
      </c>
      <c r="F953" t="s">
        <v>67</v>
      </c>
      <c r="G953" t="s">
        <v>135</v>
      </c>
      <c r="H953" t="s">
        <v>1226</v>
      </c>
      <c r="I953" t="s">
        <v>139</v>
      </c>
      <c r="J953" t="s">
        <v>287</v>
      </c>
      <c r="K953" s="93">
        <f>IF('Net zero activities &amp; levers'!$C$12="Off",('Activity data'!AD10*EF!$H41*EF!$H59)*NtoN2O*kgtoGg,('Net zero Activity data'!AD10*EF!$H41*EF!$H59)*NtoN2O*kgtoGg)</f>
        <v>0.97926119892671459</v>
      </c>
      <c r="L953" s="93">
        <f>IF('Net zero activities &amp; levers'!$C$12="Off",('Activity data'!AE10*EF!$H41*EF!$H59)*NtoN2O*kgtoGg,('Net zero Activity data'!AE10*EF!$H41*EF!$H59)*NtoN2O*kgtoGg)</f>
        <v>1.0122801448609138</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1.0806972456941148</v>
      </c>
      <c r="O953" s="93">
        <f>IF('Net zero activities &amp; levers'!$C$12="Off",('Activity data'!AH10*EF!$H41*EF!$H59)*NtoN2O*kgtoGg,('Net zero Activity data'!AH10*EF!$H41*EF!$H59)*NtoN2O*kgtoGg)</f>
        <v>1.103236794343371</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1.0797349387647497</v>
      </c>
      <c r="T953" s="93">
        <f>IF('Net zero activities &amp; levers'!$C$12="Off",('Activity data'!AM10*EF!$H41*EF!$H59)*NtoN2O*kgtoGg,('Net zero Activity data'!AM10*EF!$H41*EF!$H59)*NtoN2O*kgtoGg)</f>
        <v>1.1586148391754056</v>
      </c>
      <c r="U953" s="93">
        <f>IF('Net zero activities &amp; levers'!$C$12="Off",('Activity data'!AN10*EF!$H41*EF!$H59)*NtoN2O*kgtoGg,('Net zero Activity data'!AN10*EF!$H41*EF!$H59)*NtoN2O*kgtoGg)</f>
        <v>1.2048828534043301</v>
      </c>
      <c r="V953" s="93">
        <f>IF('Net zero activities &amp; levers'!$C$12="Off",('Activity data'!AO10*EF!$H41*EF!$H59)*NtoN2O*kgtoGg,('Net zero Activity data'!AO10*EF!$H41*EF!$H59)*NtoN2O*kgtoGg)</f>
        <v>1.2248214292243891</v>
      </c>
      <c r="W953" s="93">
        <f>IF('Net zero activities &amp; levers'!$C$12="Off",('Activity data'!AP10*EF!$H41*EF!$H59)*NtoN2O*kgtoGg,('Net zero Activity data'!AP10*EF!$H41*EF!$H59)*NtoN2O*kgtoGg)</f>
        <v>1.2462862134810584</v>
      </c>
      <c r="X953" s="93">
        <f>IF('Net zero activities &amp; levers'!$C$12="Off",('Activity data'!AQ10*EF!$H41*EF!$H59)*NtoN2O*kgtoGg,('Net zero Activity data'!AQ10*EF!$H41*EF!$H59)*NtoN2O*kgtoGg)</f>
        <v>1.2753304123156213</v>
      </c>
      <c r="Y953" s="93">
        <f>IF('Net zero activities &amp; levers'!$C$12="Off",('Activity data'!AR10*EF!$H41*EF!$H59)*NtoN2O*kgtoGg,('Net zero Activity data'!AR10*EF!$H41*EF!$H59)*NtoN2O*kgtoGg)</f>
        <v>1.3119382309958816</v>
      </c>
      <c r="Z953" s="93">
        <f>IF('Net zero activities &amp; levers'!$C$12="Off",('Activity data'!AS10*EF!$H41*EF!$H59)*NtoN2O*kgtoGg,('Net zero Activity data'!AS10*EF!$H41*EF!$H59)*NtoN2O*kgtoGg)</f>
        <v>1.352551168014529</v>
      </c>
      <c r="AA953" s="93">
        <f>IF('Net zero activities &amp; levers'!$C$12="Off",('Activity data'!AT10*EF!$H41*EF!$H59)*NtoN2O*kgtoGg,('Net zero Activity data'!AT10*EF!$H41*EF!$H59)*NtoN2O*kgtoGg)</f>
        <v>1.3983302277222904</v>
      </c>
      <c r="AB953" s="93">
        <f>IF('Net zero activities &amp; levers'!$C$12="Off",('Activity data'!AU10*EF!$H41*EF!$H59)*NtoN2O*kgtoGg,('Net zero Activity data'!AU10*EF!$H41*EF!$H59)*NtoN2O*kgtoGg)</f>
        <v>1.45265003311069</v>
      </c>
      <c r="AC953" s="93">
        <f>IF('Net zero activities &amp; levers'!$C$12="Off",('Activity data'!AV10*EF!$H41*EF!$H59)*NtoN2O*kgtoGg,('Net zero Activity data'!AV10*EF!$H41*EF!$H59)*NtoN2O*kgtoGg)</f>
        <v>1.5153587089508171</v>
      </c>
      <c r="AD953" s="93">
        <f>IF('Net zero activities &amp; levers'!$C$12="Off",('Activity data'!AW10*EF!$H41*EF!$H59)*NtoN2O*kgtoGg,('Net zero Activity data'!AW10*EF!$H41*EF!$H59)*NtoN2O*kgtoGg)</f>
        <v>1.5878154020260862</v>
      </c>
      <c r="AE953" s="93">
        <f>IF('Net zero activities &amp; levers'!$C$12="Off",('Activity data'!AX10*EF!$H41*EF!$H59)*NtoN2O*kgtoGg,('Net zero Activity data'!AX10*EF!$H41*EF!$H59)*NtoN2O*kgtoGg)</f>
        <v>1.6662236213187609</v>
      </c>
      <c r="AF953" s="93">
        <f>IF('Net zero activities &amp; levers'!$C$12="Off",('Activity data'!AY10*EF!$H41*EF!$H59)*NtoN2O*kgtoGg,('Net zero Activity data'!AY10*EF!$H41*EF!$H59)*NtoN2O*kgtoGg)</f>
        <v>1.7490356868363826</v>
      </c>
      <c r="AG953" s="93">
        <f>IF('Net zero activities &amp; levers'!$C$12="Off",('Activity data'!AZ10*EF!$H41*EF!$H59)*NtoN2O*kgtoGg,('Net zero Activity data'!AZ10*EF!$H41*EF!$H59)*NtoN2O*kgtoGg)</f>
        <v>1.8371605385940195</v>
      </c>
      <c r="AH953" s="93">
        <f>IF('Net zero activities &amp; levers'!$C$12="Off",('Activity data'!BA10*EF!$H41*EF!$H59)*NtoN2O*kgtoGg,('Net zero Activity data'!BA10*EF!$H41*EF!$H59)*NtoN2O*kgtoGg)</f>
        <v>1.9299179853404884</v>
      </c>
      <c r="AI953" s="93">
        <f>IF('Net zero activities &amp; levers'!$C$12="Off",('Activity data'!BB10*EF!$H41*EF!$H59)*NtoN2O*kgtoGg,('Net zero Activity data'!BB10*EF!$H41*EF!$H59)*NtoN2O*kgtoGg)</f>
        <v>2.0243264887955772</v>
      </c>
      <c r="AJ953" s="93">
        <f>IF('Net zero activities &amp; levers'!$C$12="Off",('Activity data'!BC10*EF!$H41*EF!$H59)*NtoN2O*kgtoGg,('Net zero Activity data'!BC10*EF!$H41*EF!$H59)*NtoN2O*kgtoGg)</f>
        <v>2.1249172544227406</v>
      </c>
      <c r="AK953" s="93">
        <f>IF('Net zero activities &amp; levers'!$C$12="Off",('Activity data'!BD10*EF!$H41*EF!$H59)*NtoN2O*kgtoGg,('Net zero Activity data'!BD10*EF!$H41*EF!$H59)*NtoN2O*kgtoGg)</f>
        <v>2.2289075077368197</v>
      </c>
      <c r="AL953" s="93">
        <f>IF('Net zero activities &amp; levers'!$C$12="Off",('Activity data'!BE10*EF!$H41*EF!$H59)*NtoN2O*kgtoGg,('Net zero Activity data'!BE10*EF!$H41*EF!$H59)*NtoN2O*kgtoGg)</f>
        <v>2.3361255764589468</v>
      </c>
      <c r="AM953" s="93">
        <f>IF('Net zero activities &amp; levers'!$C$12="Off",('Activity data'!BF10*EF!$H41*EF!$H59)*NtoN2O*kgtoGg,('Net zero Activity data'!BF10*EF!$H41*EF!$H59)*NtoN2O*kgtoGg)</f>
        <v>2.4480579395389377</v>
      </c>
      <c r="AN953" s="93">
        <f>IF('Net zero activities &amp; levers'!$C$12="Off",('Activity data'!BG10*EF!$H41*EF!$H59)*NtoN2O*kgtoGg,('Net zero Activity data'!BG10*EF!$H41*EF!$H59)*NtoN2O*kgtoGg)</f>
        <v>2.5580662421643461</v>
      </c>
      <c r="AO953" s="93">
        <f>IF('Net zero activities &amp; levers'!$C$12="Off",('Activity data'!BH10*EF!$H41*EF!$H59)*NtoN2O*kgtoGg,('Net zero Activity data'!BH10*EF!$H41*EF!$H59)*NtoN2O*kgtoGg)</f>
        <v>2.6740312374133999</v>
      </c>
      <c r="AP953" s="93">
        <f>IF('Net zero activities &amp; levers'!$C$12="Off",('Activity data'!BI10*EF!$H41*EF!$H59)*NtoN2O*kgtoGg,('Net zero Activity data'!BI10*EF!$H41*EF!$H59)*NtoN2O*kgtoGg)</f>
        <v>2.7979244732629738</v>
      </c>
      <c r="AQ953" s="93">
        <f>IF('Net zero activities &amp; levers'!$C$12="Off",('Activity data'!BJ10*EF!$H41*EF!$H59)*NtoN2O*kgtoGg,('Net zero Activity data'!BJ10*EF!$H41*EF!$H59)*NtoN2O*kgtoGg)</f>
        <v>2.9268588582276069</v>
      </c>
      <c r="AR953" s="93">
        <f>IF('Net zero activities &amp; levers'!$C$12="Off",('Activity data'!BK10*EF!$H41*EF!$H59)*NtoN2O*kgtoGg,('Net zero Activity data'!BK10*EF!$H41*EF!$H59)*NtoN2O*kgtoGg)</f>
        <v>3.0611473278848456</v>
      </c>
      <c r="AS953" s="93">
        <f>IF('Net zero activities &amp; levers'!$C$12="Off",('Activity data'!BL10*EF!$H41*EF!$H59)*NtoN2O*kgtoGg,('Net zero Activity data'!BL10*EF!$H41*EF!$H59)*NtoN2O*kgtoGg)</f>
        <v>3.2044630996439452</v>
      </c>
      <c r="AT953" s="93">
        <f>IF('Net zero activities &amp; levers'!$C$12="Off",('Activity data'!BM10*EF!$H41*EF!$H59)*NtoN2O*kgtoGg,('Net zero Activity data'!BM10*EF!$H41*EF!$H59)*NtoN2O*kgtoGg)</f>
        <v>3.3559228759421229</v>
      </c>
      <c r="AU953" s="93">
        <f>IF('Net zero activities &amp; levers'!$C$12="Off",('Activity data'!BN10*EF!$H41*EF!$H59)*NtoN2O*kgtoGg,('Net zero Activity data'!BN10*EF!$H41*EF!$H59)*NtoN2O*kgtoGg)</f>
        <v>3.5149748258951519</v>
      </c>
      <c r="AV953" s="93">
        <f>IF('Net zero activities &amp; levers'!$C$12="Off",('Activity data'!BO10*EF!$H41*EF!$H59)*NtoN2O*kgtoGg,('Net zero Activity data'!BO10*EF!$H41*EF!$H59)*NtoN2O*kgtoGg)</f>
        <v>3.6841999883853953</v>
      </c>
      <c r="AW953" s="93">
        <f>IF('Net zero activities &amp; levers'!$C$12="Off",('Activity data'!BP10*EF!$H41*EF!$H59)*NtoN2O*kgtoGg,('Net zero Activity data'!BP10*EF!$H41*EF!$H59)*NtoN2O*kgtoGg)</f>
        <v>3.8501065426145096</v>
      </c>
      <c r="AY953" s="79"/>
      <c r="AZ953" s="79"/>
    </row>
    <row r="954" spans="1:52" x14ac:dyDescent="0.25">
      <c r="A954" s="95" t="str">
        <f t="shared" si="326"/>
        <v>DS Sheep MMN2O</v>
      </c>
      <c r="B954" s="95" t="s">
        <v>973</v>
      </c>
      <c r="C954" s="95" t="s">
        <v>1327</v>
      </c>
      <c r="D954" t="s">
        <v>15</v>
      </c>
      <c r="E954" t="s">
        <v>657</v>
      </c>
      <c r="F954" t="s">
        <v>18</v>
      </c>
      <c r="G954" t="s">
        <v>122</v>
      </c>
      <c r="H954" t="s">
        <v>1226</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0.11888884787446641</v>
      </c>
      <c r="T954" s="93">
        <f>IF('Net zero activities &amp; levers'!$C$12="Off",('Activity data'!AM11*EF!$H42*EF!$H60)*NtoN2O*kgtoGg,IF('Net zero activities &amp; levers'!$C$12="PB",('Activity data'!AM11*EF!$H42*EF!$H60)*NtoN2O*kgtoGg,IF('Net zero activities &amp; levers'!$C$12="MS",('Net zero Activity data'!AM11*EF!$H42*EF!$H60)*NtoN2O*kgtoGg,"ERROR")))</f>
        <v>0.11897442160845599</v>
      </c>
      <c r="U954" s="93">
        <f>IF('Net zero activities &amp; levers'!$C$12="Off",('Activity data'!AN11*EF!$H42*EF!$H60)*NtoN2O*kgtoGg,IF('Net zero activities &amp; levers'!$C$12="PB",('Activity data'!AN11*EF!$H42*EF!$H60)*NtoN2O*kgtoGg,IF('Net zero activities &amp; levers'!$C$12="MS",('Net zero Activity data'!AN11*EF!$H42*EF!$H60)*NtoN2O*kgtoGg,"ERROR")))</f>
        <v>0.11894433570617077</v>
      </c>
      <c r="V954" s="93">
        <f>IF('Net zero activities &amp; levers'!$C$12="Off",('Activity data'!AO11*EF!$H42*EF!$H60)*NtoN2O*kgtoGg,IF('Net zero activities &amp; levers'!$C$12="PB",('Activity data'!AO11*EF!$H42*EF!$H60)*NtoN2O*kgtoGg,IF('Net zero activities &amp; levers'!$C$12="MS",('Net zero Activity data'!AO11*EF!$H42*EF!$H60)*NtoN2O*kgtoGg,"ERROR")))</f>
        <v>0.11894216976117228</v>
      </c>
      <c r="W954" s="93">
        <f>IF('Net zero activities &amp; levers'!$C$12="Off",('Activity data'!AP11*EF!$H42*EF!$H60)*NtoN2O*kgtoGg,IF('Net zero activities &amp; levers'!$C$12="PB",('Activity data'!AP11*EF!$H42*EF!$H60)*NtoN2O*kgtoGg,IF('Net zero activities &amp; levers'!$C$12="MS",('Net zero Activity data'!AP11*EF!$H42*EF!$H60)*NtoN2O*kgtoGg,"ERROR")))</f>
        <v>0.11906833284654554</v>
      </c>
      <c r="X954" s="93">
        <f>IF('Net zero activities &amp; levers'!$C$12="Off",('Activity data'!AQ11*EF!$H42*EF!$H60)*NtoN2O*kgtoGg,IF('Net zero activities &amp; levers'!$C$12="PB",('Activity data'!AQ11*EF!$H42*EF!$H60)*NtoN2O*kgtoGg,IF('Net zero activities &amp; levers'!$C$12="MS",('Net zero Activity data'!AQ11*EF!$H42*EF!$H60)*NtoN2O*kgtoGg,"ERROR")))</f>
        <v>0.1192748103604965</v>
      </c>
      <c r="Y954" s="93">
        <f>IF('Net zero activities &amp; levers'!$C$12="Off",('Activity data'!AR11*EF!$H42*EF!$H60)*NtoN2O*kgtoGg,IF('Net zero activities &amp; levers'!$C$12="PB",('Activity data'!AR11*EF!$H42*EF!$H60)*NtoN2O*kgtoGg,IF('Net zero activities &amp; levers'!$C$12="MS",('Net zero Activity data'!AR11*EF!$H42*EF!$H60)*NtoN2O*kgtoGg,"ERROR")))</f>
        <v>0.11947292782589553</v>
      </c>
      <c r="Z954" s="93">
        <f>IF('Net zero activities &amp; levers'!$C$12="Off",('Activity data'!AS11*EF!$H42*EF!$H60)*NtoN2O*kgtoGg,IF('Net zero activities &amp; levers'!$C$12="PB",('Activity data'!AS11*EF!$H42*EF!$H60)*NtoN2O*kgtoGg,IF('Net zero activities &amp; levers'!$C$12="MS",('Net zero Activity data'!AS11*EF!$H42*EF!$H60)*NtoN2O*kgtoGg,"ERROR")))</f>
        <v>0.11966332441080059</v>
      </c>
      <c r="AA954" s="93">
        <f>IF('Net zero activities &amp; levers'!$C$12="Off",('Activity data'!AT11*EF!$H42*EF!$H60)*NtoN2O*kgtoGg,IF('Net zero activities &amp; levers'!$C$12="PB",('Activity data'!AT11*EF!$H42*EF!$H60)*NtoN2O*kgtoGg,IF('Net zero activities &amp; levers'!$C$12="MS",('Net zero Activity data'!AT11*EF!$H42*EF!$H60)*NtoN2O*kgtoGg,"ERROR")))</f>
        <v>0.11984574027292559</v>
      </c>
      <c r="AB954" s="93">
        <f>IF('Net zero activities &amp; levers'!$C$12="Off",('Activity data'!AU11*EF!$H42*EF!$H60)*NtoN2O*kgtoGg,IF('Net zero activities &amp; levers'!$C$12="PB",('Activity data'!AU11*EF!$H42*EF!$H60)*NtoN2O*kgtoGg,IF('Net zero activities &amp; levers'!$C$12="MS",('Net zero Activity data'!AU11*EF!$H42*EF!$H60)*NtoN2O*kgtoGg,"ERROR")))</f>
        <v>0.12002397691702794</v>
      </c>
      <c r="AC954" s="93">
        <f>IF('Net zero activities &amp; levers'!$C$12="Off",('Activity data'!AV11*EF!$H42*EF!$H60)*NtoN2O*kgtoGg,IF('Net zero activities &amp; levers'!$C$12="PB",('Activity data'!AV11*EF!$H42*EF!$H60)*NtoN2O*kgtoGg,IF('Net zero activities &amp; levers'!$C$12="MS",('Net zero Activity data'!AV11*EF!$H42*EF!$H60)*NtoN2O*kgtoGg,"ERROR")))</f>
        <v>0.12020063791291828</v>
      </c>
      <c r="AD954" s="93">
        <f>IF('Net zero activities &amp; levers'!$C$12="Off",('Activity data'!AW11*EF!$H42*EF!$H60)*NtoN2O*kgtoGg,IF('Net zero activities &amp; levers'!$C$12="PB",('Activity data'!AW11*EF!$H42*EF!$H60)*NtoN2O*kgtoGg,IF('Net zero activities &amp; levers'!$C$12="MS",('Net zero Activity data'!AW11*EF!$H42*EF!$H60)*NtoN2O*kgtoGg,"ERROR")))</f>
        <v>0.12037395069486655</v>
      </c>
      <c r="AE954" s="93">
        <f>IF('Net zero activities &amp; levers'!$C$12="Off",('Activity data'!AX11*EF!$H42*EF!$H60)*NtoN2O*kgtoGg,IF('Net zero activities &amp; levers'!$C$12="PB",('Activity data'!AX11*EF!$H42*EF!$H60)*NtoN2O*kgtoGg,IF('Net zero activities &amp; levers'!$C$12="MS",('Net zero Activity data'!AX11*EF!$H42*EF!$H60)*NtoN2O*kgtoGg,"ERROR")))</f>
        <v>0.12054640721794915</v>
      </c>
      <c r="AF954" s="93">
        <f>IF('Net zero activities &amp; levers'!$C$12="Off",('Activity data'!AY11*EF!$H42*EF!$H60)*NtoN2O*kgtoGg,IF('Net zero activities &amp; levers'!$C$12="PB",('Activity data'!AY11*EF!$H42*EF!$H60)*NtoN2O*kgtoGg,IF('Net zero activities &amp; levers'!$C$12="MS",('Net zero Activity data'!AY11*EF!$H42*EF!$H60)*NtoN2O*kgtoGg,"ERROR")))</f>
        <v>0.12071746421078627</v>
      </c>
      <c r="AG954" s="93">
        <f>IF('Net zero activities &amp; levers'!$C$12="Off",('Activity data'!AZ11*EF!$H42*EF!$H60)*NtoN2O*kgtoGg,IF('Net zero activities &amp; levers'!$C$12="PB",('Activity data'!AZ11*EF!$H42*EF!$H60)*NtoN2O*kgtoGg,IF('Net zero activities &amp; levers'!$C$12="MS",('Net zero Activity data'!AZ11*EF!$H42*EF!$H60)*NtoN2O*kgtoGg,"ERROR")))</f>
        <v>0.12088575105723816</v>
      </c>
      <c r="AH954" s="93">
        <f>IF('Net zero activities &amp; levers'!$C$12="Off",('Activity data'!BA11*EF!$H42*EF!$H60)*NtoN2O*kgtoGg,IF('Net zero activities &amp; levers'!$C$12="PB",('Activity data'!BA11*EF!$H42*EF!$H60)*NtoN2O*kgtoGg,IF('Net zero activities &amp; levers'!$C$12="MS",('Net zero Activity data'!BA11*EF!$H42*EF!$H60)*NtoN2O*kgtoGg,"ERROR")))</f>
        <v>0.12105200867781399</v>
      </c>
      <c r="AI954" s="93">
        <f>IF('Net zero activities &amp; levers'!$C$12="Off",('Activity data'!BB11*EF!$H42*EF!$H60)*NtoN2O*kgtoGg,IF('Net zero activities &amp; levers'!$C$12="PB",('Activity data'!BB11*EF!$H42*EF!$H60)*NtoN2O*kgtoGg,IF('Net zero activities &amp; levers'!$C$12="MS",('Net zero Activity data'!BB11*EF!$H42*EF!$H60)*NtoN2O*kgtoGg,"ERROR")))</f>
        <v>0.12121641449313381</v>
      </c>
      <c r="AJ954" s="93">
        <f>IF('Net zero activities &amp; levers'!$C$12="Off",('Activity data'!BC11*EF!$H42*EF!$H60)*NtoN2O*kgtoGg,IF('Net zero activities &amp; levers'!$C$12="PB",('Activity data'!BC11*EF!$H42*EF!$H60)*NtoN2O*kgtoGg,IF('Net zero activities &amp; levers'!$C$12="MS",('Net zero Activity data'!BC11*EF!$H42*EF!$H60)*NtoN2O*kgtoGg,"ERROR")))</f>
        <v>0.12137952665146406</v>
      </c>
      <c r="AK954" s="93">
        <f>IF('Net zero activities &amp; levers'!$C$12="Off",('Activity data'!BD11*EF!$H42*EF!$H60)*NtoN2O*kgtoGg,IF('Net zero activities &amp; levers'!$C$12="PB",('Activity data'!BD11*EF!$H42*EF!$H60)*NtoN2O*kgtoGg,IF('Net zero activities &amp; levers'!$C$12="MS",('Net zero Activity data'!BD11*EF!$H42*EF!$H60)*NtoN2O*kgtoGg,"ERROR")))</f>
        <v>0.12153635424536353</v>
      </c>
      <c r="AL954" s="93">
        <f>IF('Net zero activities &amp; levers'!$C$12="Off",('Activity data'!BE11*EF!$H42*EF!$H60)*NtoN2O*kgtoGg,IF('Net zero activities &amp; levers'!$C$12="PB",('Activity data'!BE11*EF!$H42*EF!$H60)*NtoN2O*kgtoGg,IF('Net zero activities &amp; levers'!$C$12="MS",('Net zero Activity data'!BE11*EF!$H42*EF!$H60)*NtoN2O*kgtoGg,"ERROR")))</f>
        <v>0.12168671378968904</v>
      </c>
      <c r="AM954" s="93">
        <f>IF('Net zero activities &amp; levers'!$C$12="Off",('Activity data'!BF11*EF!$H42*EF!$H60)*NtoN2O*kgtoGg,IF('Net zero activities &amp; levers'!$C$12="PB",('Activity data'!BF11*EF!$H42*EF!$H60)*NtoN2O*kgtoGg,IF('Net zero activities &amp; levers'!$C$12="MS",('Net zero Activity data'!BF11*EF!$H42*EF!$H60)*NtoN2O*kgtoGg,"ERROR")))</f>
        <v>0.12183201055728769</v>
      </c>
      <c r="AN954" s="93">
        <f>IF('Net zero activities &amp; levers'!$C$12="Off",('Activity data'!BG11*EF!$H42*EF!$H60)*NtoN2O*kgtoGg,IF('Net zero activities &amp; levers'!$C$12="PB",('Activity data'!BG11*EF!$H42*EF!$H60)*NtoN2O*kgtoGg,IF('Net zero activities &amp; levers'!$C$12="MS",('Net zero Activity data'!BG11*EF!$H42*EF!$H60)*NtoN2O*kgtoGg,"ERROR")))</f>
        <v>0.12197112574763715</v>
      </c>
      <c r="AO954" s="93">
        <f>IF('Net zero activities &amp; levers'!$C$12="Off",('Activity data'!BH11*EF!$H42*EF!$H60)*NtoN2O*kgtoGg,IF('Net zero activities &amp; levers'!$C$12="PB",('Activity data'!BH11*EF!$H42*EF!$H60)*NtoN2O*kgtoGg,IF('Net zero activities &amp; levers'!$C$12="MS",('Net zero Activity data'!BH11*EF!$H42*EF!$H60)*NtoN2O*kgtoGg,"ERROR")))</f>
        <v>0.12210431172658152</v>
      </c>
      <c r="AP954" s="93">
        <f>IF('Net zero activities &amp; levers'!$C$12="Off",('Activity data'!BI11*EF!$H42*EF!$H60)*NtoN2O*kgtoGg,IF('Net zero activities &amp; levers'!$C$12="PB",('Activity data'!BI11*EF!$H42*EF!$H60)*NtoN2O*kgtoGg,IF('Net zero activities &amp; levers'!$C$12="MS",('Net zero Activity data'!BI11*EF!$H42*EF!$H60)*NtoN2O*kgtoGg,"ERROR")))</f>
        <v>0.12223096862203452</v>
      </c>
      <c r="AQ954" s="93">
        <f>IF('Net zero activities &amp; levers'!$C$12="Off",('Activity data'!BJ11*EF!$H42*EF!$H60)*NtoN2O*kgtoGg,IF('Net zero activities &amp; levers'!$C$12="PB",('Activity data'!BJ11*EF!$H42*EF!$H60)*NtoN2O*kgtoGg,IF('Net zero activities &amp; levers'!$C$12="MS",('Net zero Activity data'!BJ11*EF!$H42*EF!$H60)*NtoN2O*kgtoGg,"ERROR")))</f>
        <v>0.12234928396390207</v>
      </c>
      <c r="AR954" s="93">
        <f>IF('Net zero activities &amp; levers'!$C$12="Off",('Activity data'!BK11*EF!$H42*EF!$H60)*NtoN2O*kgtoGg,IF('Net zero activities &amp; levers'!$C$12="PB",('Activity data'!BK11*EF!$H42*EF!$H60)*NtoN2O*kgtoGg,IF('Net zero activities &amp; levers'!$C$12="MS",('Net zero Activity data'!BK11*EF!$H42*EF!$H60)*NtoN2O*kgtoGg,"ERROR")))</f>
        <v>0.12245757817594662</v>
      </c>
      <c r="AS954" s="93">
        <f>IF('Net zero activities &amp; levers'!$C$12="Off",('Activity data'!BL11*EF!$H42*EF!$H60)*NtoN2O*kgtoGg,IF('Net zero activities &amp; levers'!$C$12="PB",('Activity data'!BL11*EF!$H42*EF!$H60)*NtoN2O*kgtoGg,IF('Net zero activities &amp; levers'!$C$12="MS",('Net zero Activity data'!BL11*EF!$H42*EF!$H60)*NtoN2O*kgtoGg,"ERROR")))</f>
        <v>0.12255574185064526</v>
      </c>
      <c r="AT954" s="93">
        <f>IF('Net zero activities &amp; levers'!$C$12="Off",('Activity data'!BM11*EF!$H42*EF!$H60)*NtoN2O*kgtoGg,IF('Net zero activities &amp; levers'!$C$12="PB",('Activity data'!BM11*EF!$H42*EF!$H60)*NtoN2O*kgtoGg,IF('Net zero activities &amp; levers'!$C$12="MS",('Net zero Activity data'!BM11*EF!$H42*EF!$H60)*NtoN2O*kgtoGg,"ERROR")))</f>
        <v>0.12264302379658787</v>
      </c>
      <c r="AU954" s="93">
        <f>IF('Net zero activities &amp; levers'!$C$12="Off",('Activity data'!BN11*EF!$H42*EF!$H60)*NtoN2O*kgtoGg,IF('Net zero activities &amp; levers'!$C$12="PB",('Activity data'!BN11*EF!$H42*EF!$H60)*NtoN2O*kgtoGg,IF('Net zero activities &amp; levers'!$C$12="MS",('Net zero Activity data'!BN11*EF!$H42*EF!$H60)*NtoN2O*kgtoGg,"ERROR")))</f>
        <v>0.12271938191890155</v>
      </c>
      <c r="AV954" s="93">
        <f>IF('Net zero activities &amp; levers'!$C$12="Off",('Activity data'!BO11*EF!$H42*EF!$H60)*NtoN2O*kgtoGg,IF('Net zero activities &amp; levers'!$C$12="PB",('Activity data'!BO11*EF!$H42*EF!$H60)*NtoN2O*kgtoGg,IF('Net zero activities &amp; levers'!$C$12="MS",('Net zero Activity data'!BO11*EF!$H42*EF!$H60)*NtoN2O*kgtoGg,"ERROR")))</f>
        <v>0.12278627747914957</v>
      </c>
      <c r="AW954" s="93">
        <f>IF('Net zero activities &amp; levers'!$C$12="Off",('Activity data'!BP11*EF!$H42*EF!$H60)*NtoN2O*kgtoGg,IF('Net zero activities &amp; levers'!$C$12="PB",('Activity data'!BP11*EF!$H42*EF!$H60)*NtoN2O*kgtoGg,IF('Net zero activities &amp; levers'!$C$12="MS",('Net zero Activity data'!BP11*EF!$H42*EF!$H60)*NtoN2O*kgtoGg,"ERROR")))</f>
        <v>0.12283502162881774</v>
      </c>
      <c r="AY954" s="79"/>
      <c r="AZ954" s="79"/>
    </row>
    <row r="955" spans="1:52" x14ac:dyDescent="0.25">
      <c r="A955" s="95" t="str">
        <f t="shared" si="326"/>
        <v>DS Sheep MMN2O</v>
      </c>
      <c r="B955" s="95" t="s">
        <v>973</v>
      </c>
      <c r="C955" s="95" t="s">
        <v>1327</v>
      </c>
      <c r="D955" t="s">
        <v>15</v>
      </c>
      <c r="E955" t="s">
        <v>657</v>
      </c>
      <c r="F955" t="s">
        <v>18</v>
      </c>
      <c r="G955" t="s">
        <v>123</v>
      </c>
      <c r="H955" t="s">
        <v>1226</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6.3574794121898134E-2</v>
      </c>
      <c r="T955" s="93">
        <f>IF('Net zero activities &amp; levers'!$C$12="Off",('Activity data'!AM12*EF!$H43*EF!$H61)*NtoN2O*kgtoGg,IF('Net zero activities &amp; levers'!$C$12="PB",('Activity data'!AM12*EF!$H43*EF!$H61)*NtoN2O*kgtoGg,IF('Net zero activities &amp; levers'!$C$12="MS",('Net zero Activity data'!AM12*EF!$H43*EF!$H61)*NtoN2O*kgtoGg,"ERROR")))</f>
        <v>6.362055394393272E-2</v>
      </c>
      <c r="U955" s="93">
        <f>IF('Net zero activities &amp; levers'!$C$12="Off",('Activity data'!AN12*EF!$H43*EF!$H61)*NtoN2O*kgtoGg,IF('Net zero activities &amp; levers'!$C$12="PB",('Activity data'!AN12*EF!$H43*EF!$H61)*NtoN2O*kgtoGg,IF('Net zero activities &amp; levers'!$C$12="MS",('Net zero Activity data'!AN12*EF!$H43*EF!$H61)*NtoN2O*kgtoGg,"ERROR")))</f>
        <v>6.3604465765117371E-2</v>
      </c>
      <c r="V955" s="93">
        <f>IF('Net zero activities &amp; levers'!$C$12="Off",('Activity data'!AO12*EF!$H43*EF!$H61)*NtoN2O*kgtoGg,IF('Net zero activities &amp; levers'!$C$12="PB",('Activity data'!AO12*EF!$H43*EF!$H61)*NtoN2O*kgtoGg,IF('Net zero activities &amp; levers'!$C$12="MS",('Net zero Activity data'!AO12*EF!$H43*EF!$H61)*NtoN2O*kgtoGg,"ERROR")))</f>
        <v>6.3603307544562435E-2</v>
      </c>
      <c r="W955" s="93">
        <f>IF('Net zero activities &amp; levers'!$C$12="Off",('Activity data'!AP12*EF!$H43*EF!$H61)*NtoN2O*kgtoGg,IF('Net zero activities &amp; levers'!$C$12="PB",('Activity data'!AP12*EF!$H43*EF!$H61)*NtoN2O*kgtoGg,IF('Net zero activities &amp; levers'!$C$12="MS",('Net zero Activity data'!AP12*EF!$H43*EF!$H61)*NtoN2O*kgtoGg,"ERROR")))</f>
        <v>6.3670772174944407E-2</v>
      </c>
      <c r="X955" s="93">
        <f>IF('Net zero activities &amp; levers'!$C$12="Off",('Activity data'!AQ12*EF!$H43*EF!$H61)*NtoN2O*kgtoGg,IF('Net zero activities &amp; levers'!$C$12="PB",('Activity data'!AQ12*EF!$H43*EF!$H61)*NtoN2O*kgtoGg,IF('Net zero activities &amp; levers'!$C$12="MS",('Net zero Activity data'!AQ12*EF!$H43*EF!$H61)*NtoN2O*kgtoGg,"ERROR")))</f>
        <v>6.3781184258793491E-2</v>
      </c>
      <c r="Y955" s="93">
        <f>IF('Net zero activities &amp; levers'!$C$12="Off",('Activity data'!AR12*EF!$H43*EF!$H61)*NtoN2O*kgtoGg,IF('Net zero activities &amp; levers'!$C$12="PB",('Activity data'!AR12*EF!$H43*EF!$H61)*NtoN2O*kgtoGg,IF('Net zero activities &amp; levers'!$C$12="MS",('Net zero Activity data'!AR12*EF!$H43*EF!$H61)*NtoN2O*kgtoGg,"ERROR")))</f>
        <v>6.3887125878212575E-2</v>
      </c>
      <c r="Z955" s="93">
        <f>IF('Net zero activities &amp; levers'!$C$12="Off",('Activity data'!AS12*EF!$H43*EF!$H61)*NtoN2O*kgtoGg,IF('Net zero activities &amp; levers'!$C$12="PB",('Activity data'!AS12*EF!$H43*EF!$H61)*NtoN2O*kgtoGg,IF('Net zero activities &amp; levers'!$C$12="MS",('Net zero Activity data'!AS12*EF!$H43*EF!$H61)*NtoN2O*kgtoGg,"ERROR")))</f>
        <v>6.3988938822851713E-2</v>
      </c>
      <c r="AA955" s="93">
        <f>IF('Net zero activities &amp; levers'!$C$12="Off",('Activity data'!AT12*EF!$H43*EF!$H61)*NtoN2O*kgtoGg,IF('Net zero activities &amp; levers'!$C$12="PB",('Activity data'!AT12*EF!$H43*EF!$H61)*NtoN2O*kgtoGg,IF('Net zero activities &amp; levers'!$C$12="MS",('Net zero Activity data'!AT12*EF!$H43*EF!$H61)*NtoN2O*kgtoGg,"ERROR")))</f>
        <v>6.4086484144271705E-2</v>
      </c>
      <c r="AB955" s="93">
        <f>IF('Net zero activities &amp; levers'!$C$12="Off",('Activity data'!AU12*EF!$H43*EF!$H61)*NtoN2O*kgtoGg,IF('Net zero activities &amp; levers'!$C$12="PB",('Activity data'!AU12*EF!$H43*EF!$H61)*NtoN2O*kgtoGg,IF('Net zero activities &amp; levers'!$C$12="MS",('Net zero Activity data'!AU12*EF!$H43*EF!$H61)*NtoN2O*kgtoGg,"ERROR")))</f>
        <v>6.4181794664613767E-2</v>
      </c>
      <c r="AC955" s="93">
        <f>IF('Net zero activities &amp; levers'!$C$12="Off",('Activity data'!AV12*EF!$H43*EF!$H61)*NtoN2O*kgtoGg,IF('Net zero activities &amp; levers'!$C$12="PB",('Activity data'!AV12*EF!$H43*EF!$H61)*NtoN2O*kgtoGg,IF('Net zero activities &amp; levers'!$C$12="MS",('Net zero Activity data'!AV12*EF!$H43*EF!$H61)*NtoN2O*kgtoGg,"ERROR")))</f>
        <v>6.4276262620556607E-2</v>
      </c>
      <c r="AD955" s="93">
        <f>IF('Net zero activities &amp; levers'!$C$12="Off",('Activity data'!AW12*EF!$H43*EF!$H61)*NtoN2O*kgtoGg,IF('Net zero activities &amp; levers'!$C$12="PB",('Activity data'!AW12*EF!$H43*EF!$H61)*NtoN2O*kgtoGg,IF('Net zero activities &amp; levers'!$C$12="MS",('Net zero Activity data'!AW12*EF!$H43*EF!$H61)*NtoN2O*kgtoGg,"ERROR")))</f>
        <v>6.4368940147743067E-2</v>
      </c>
      <c r="AE955" s="93">
        <f>IF('Net zero activities &amp; levers'!$C$12="Off",('Activity data'!AX12*EF!$H43*EF!$H61)*NtoN2O*kgtoGg,IF('Net zero activities &amp; levers'!$C$12="PB",('Activity data'!AX12*EF!$H43*EF!$H61)*NtoN2O*kgtoGg,IF('Net zero activities &amp; levers'!$C$12="MS",('Net zero Activity data'!AX12*EF!$H43*EF!$H61)*NtoN2O*kgtoGg,"ERROR")))</f>
        <v>6.4461159797827752E-2</v>
      </c>
      <c r="AF955" s="93">
        <f>IF('Net zero activities &amp; levers'!$C$12="Off",('Activity data'!AY12*EF!$H43*EF!$H61)*NtoN2O*kgtoGg,IF('Net zero activities &amp; levers'!$C$12="PB",('Activity data'!AY12*EF!$H43*EF!$H61)*NtoN2O*kgtoGg,IF('Net zero activities &amp; levers'!$C$12="MS",('Net zero Activity data'!AY12*EF!$H43*EF!$H61)*NtoN2O*kgtoGg,"ERROR")))</f>
        <v>6.4552631061088828E-2</v>
      </c>
      <c r="AG955" s="93">
        <f>IF('Net zero activities &amp; levers'!$C$12="Off",('Activity data'!AZ12*EF!$H43*EF!$H61)*NtoN2O*kgtoGg,IF('Net zero activities &amp; levers'!$C$12="PB",('Activity data'!AZ12*EF!$H43*EF!$H61)*NtoN2O*kgtoGg,IF('Net zero activities &amp; levers'!$C$12="MS",('Net zero Activity data'!AZ12*EF!$H43*EF!$H61)*NtoN2O*kgtoGg,"ERROR")))</f>
        <v>6.4642621012273305E-2</v>
      </c>
      <c r="AH955" s="93">
        <f>IF('Net zero activities &amp; levers'!$C$12="Off",('Activity data'!BA12*EF!$H43*EF!$H61)*NtoN2O*kgtoGg,IF('Net zero activities &amp; levers'!$C$12="PB",('Activity data'!BA12*EF!$H43*EF!$H61)*NtoN2O*kgtoGg,IF('Net zero activities &amp; levers'!$C$12="MS",('Net zero Activity data'!BA12*EF!$H43*EF!$H61)*NtoN2O*kgtoGg,"ERROR")))</f>
        <v>6.4731525852283742E-2</v>
      </c>
      <c r="AI955" s="93">
        <f>IF('Net zero activities &amp; levers'!$C$12="Off",('Activity data'!BB12*EF!$H43*EF!$H61)*NtoN2O*kgtoGg,IF('Net zero activities &amp; levers'!$C$12="PB",('Activity data'!BB12*EF!$H43*EF!$H61)*NtoN2O*kgtoGg,IF('Net zero activities &amp; levers'!$C$12="MS",('Net zero Activity data'!BB12*EF!$H43*EF!$H61)*NtoN2O*kgtoGg,"ERROR")))</f>
        <v>6.4819440455278599E-2</v>
      </c>
      <c r="AJ955" s="93">
        <f>IF('Net zero activities &amp; levers'!$C$12="Off",('Activity data'!BC12*EF!$H43*EF!$H61)*NtoN2O*kgtoGg,IF('Net zero activities &amp; levers'!$C$12="PB",('Activity data'!BC12*EF!$H43*EF!$H61)*NtoN2O*kgtoGg,IF('Net zero activities &amp; levers'!$C$12="MS",('Net zero Activity data'!BC12*EF!$H43*EF!$H61)*NtoN2O*kgtoGg,"ERROR")))</f>
        <v>6.4906663286267555E-2</v>
      </c>
      <c r="AK955" s="93">
        <f>IF('Net zero activities &amp; levers'!$C$12="Off",('Activity data'!BD12*EF!$H43*EF!$H61)*NtoN2O*kgtoGg,IF('Net zero activities &amp; levers'!$C$12="PB",('Activity data'!BD12*EF!$H43*EF!$H61)*NtoN2O*kgtoGg,IF('Net zero activities &amp; levers'!$C$12="MS",('Net zero Activity data'!BD12*EF!$H43*EF!$H61)*NtoN2O*kgtoGg,"ERROR")))</f>
        <v>6.499052550020136E-2</v>
      </c>
      <c r="AL955" s="93">
        <f>IF('Net zero activities &amp; levers'!$C$12="Off",('Activity data'!BE12*EF!$H43*EF!$H61)*NtoN2O*kgtoGg,IF('Net zero activities &amp; levers'!$C$12="PB",('Activity data'!BE12*EF!$H43*EF!$H61)*NtoN2O*kgtoGg,IF('Net zero activities &amp; levers'!$C$12="MS",('Net zero Activity data'!BE12*EF!$H43*EF!$H61)*NtoN2O*kgtoGg,"ERROR")))</f>
        <v>6.5070928979969703E-2</v>
      </c>
      <c r="AM955" s="93">
        <f>IF('Net zero activities &amp; levers'!$C$12="Off",('Activity data'!BF12*EF!$H43*EF!$H61)*NtoN2O*kgtoGg,IF('Net zero activities &amp; levers'!$C$12="PB",('Activity data'!BF12*EF!$H43*EF!$H61)*NtoN2O*kgtoGg,IF('Net zero activities &amp; levers'!$C$12="MS",('Net zero Activity data'!BF12*EF!$H43*EF!$H61)*NtoN2O*kgtoGg,"ERROR")))</f>
        <v>6.5148625183203274E-2</v>
      </c>
      <c r="AN955" s="93">
        <f>IF('Net zero activities &amp; levers'!$C$12="Off",('Activity data'!BG12*EF!$H43*EF!$H61)*NtoN2O*kgtoGg,IF('Net zero activities &amp; levers'!$C$12="PB",('Activity data'!BG12*EF!$H43*EF!$H61)*NtoN2O*kgtoGg,IF('Net zero activities &amp; levers'!$C$12="MS",('Net zero Activity data'!BG12*EF!$H43*EF!$H61)*NtoN2O*kgtoGg,"ERROR")))</f>
        <v>6.5223015840895862E-2</v>
      </c>
      <c r="AO955" s="93">
        <f>IF('Net zero activities &amp; levers'!$C$12="Off",('Activity data'!BH12*EF!$H43*EF!$H61)*NtoN2O*kgtoGg,IF('Net zero activities &amp; levers'!$C$12="PB",('Activity data'!BH12*EF!$H43*EF!$H61)*NtoN2O*kgtoGg,IF('Net zero activities &amp; levers'!$C$12="MS",('Net zero Activity data'!BH12*EF!$H43*EF!$H61)*NtoN2O*kgtoGg,"ERROR")))</f>
        <v>6.5294235903523207E-2</v>
      </c>
      <c r="AP955" s="93">
        <f>IF('Net zero activities &amp; levers'!$C$12="Off",('Activity data'!BI12*EF!$H43*EF!$H61)*NtoN2O*kgtoGg,IF('Net zero activities &amp; levers'!$C$12="PB",('Activity data'!BI12*EF!$H43*EF!$H61)*NtoN2O*kgtoGg,IF('Net zero activities &amp; levers'!$C$12="MS",('Net zero Activity data'!BI12*EF!$H43*EF!$H61)*NtoN2O*kgtoGg,"ERROR")))</f>
        <v>6.5361964594620001E-2</v>
      </c>
      <c r="AQ955" s="93">
        <f>IF('Net zero activities &amp; levers'!$C$12="Off",('Activity data'!BJ12*EF!$H43*EF!$H61)*NtoN2O*kgtoGg,IF('Net zero activities &amp; levers'!$C$12="PB",('Activity data'!BJ12*EF!$H43*EF!$H61)*NtoN2O*kgtoGg,IF('Net zero activities &amp; levers'!$C$12="MS",('Net zero Activity data'!BJ12*EF!$H43*EF!$H61)*NtoN2O*kgtoGg,"ERROR")))</f>
        <v>6.542523271131194E-2</v>
      </c>
      <c r="AR955" s="93">
        <f>IF('Net zero activities &amp; levers'!$C$12="Off",('Activity data'!BK12*EF!$H43*EF!$H61)*NtoN2O*kgtoGg,IF('Net zero activities &amp; levers'!$C$12="PB",('Activity data'!BK12*EF!$H43*EF!$H61)*NtoN2O*kgtoGg,IF('Net zero activities &amp; levers'!$C$12="MS",('Net zero Activity data'!BK12*EF!$H43*EF!$H61)*NtoN2O*kgtoGg,"ERROR")))</f>
        <v>6.548314211457737E-2</v>
      </c>
      <c r="AS955" s="93">
        <f>IF('Net zero activities &amp; levers'!$C$12="Off",('Activity data'!BL12*EF!$H43*EF!$H61)*NtoN2O*kgtoGg,IF('Net zero activities &amp; levers'!$C$12="PB",('Activity data'!BL12*EF!$H43*EF!$H61)*NtoN2O*kgtoGg,IF('Net zero activities &amp; levers'!$C$12="MS",('Net zero Activity data'!BL12*EF!$H43*EF!$H61)*NtoN2O*kgtoGg,"ERROR")))</f>
        <v>6.5535634299679582E-2</v>
      </c>
      <c r="AT955" s="93">
        <f>IF('Net zero activities &amp; levers'!$C$12="Off",('Activity data'!BM12*EF!$H43*EF!$H61)*NtoN2O*kgtoGg,IF('Net zero activities &amp; levers'!$C$12="PB",('Activity data'!BM12*EF!$H43*EF!$H61)*NtoN2O*kgtoGg,IF('Net zero activities &amp; levers'!$C$12="MS",('Net zero Activity data'!BM12*EF!$H43*EF!$H61)*NtoN2O*kgtoGg,"ERROR")))</f>
        <v>6.5582307573439622E-2</v>
      </c>
      <c r="AU955" s="93">
        <f>IF('Net zero activities &amp; levers'!$C$12="Off",('Activity data'!BN12*EF!$H43*EF!$H61)*NtoN2O*kgtoGg,IF('Net zero activities &amp; levers'!$C$12="PB",('Activity data'!BN12*EF!$H43*EF!$H61)*NtoN2O*kgtoGg,IF('Net zero activities &amp; levers'!$C$12="MS",('Net zero Activity data'!BN12*EF!$H43*EF!$H61)*NtoN2O*kgtoGg,"ERROR")))</f>
        <v>6.5623139425984384E-2</v>
      </c>
      <c r="AV955" s="93">
        <f>IF('Net zero activities &amp; levers'!$C$12="Off",('Activity data'!BO12*EF!$H43*EF!$H61)*NtoN2O*kgtoGg,IF('Net zero activities &amp; levers'!$C$12="PB",('Activity data'!BO12*EF!$H43*EF!$H61)*NtoN2O*kgtoGg,IF('Net zero activities &amp; levers'!$C$12="MS",('Net zero Activity data'!BO12*EF!$H43*EF!$H61)*NtoN2O*kgtoGg,"ERROR")))</f>
        <v>6.5658911254431448E-2</v>
      </c>
      <c r="AW955" s="93">
        <f>IF('Net zero activities &amp; levers'!$C$12="Off",('Activity data'!BP12*EF!$H43*EF!$H61)*NtoN2O*kgtoGg,IF('Net zero activities &amp; levers'!$C$12="PB",('Activity data'!BP12*EF!$H43*EF!$H61)*NtoN2O*kgtoGg,IF('Net zero activities &amp; levers'!$C$12="MS",('Net zero Activity data'!BP12*EF!$H43*EF!$H61)*NtoN2O*kgtoGg,"ERROR")))</f>
        <v>6.5684976771384518E-2</v>
      </c>
      <c r="AY955" s="79"/>
      <c r="AZ955" s="79"/>
    </row>
    <row r="956" spans="1:52" x14ac:dyDescent="0.25">
      <c r="A956" s="95" t="str">
        <f t="shared" si="326"/>
        <v>DS Goats MMN2O</v>
      </c>
      <c r="B956" s="95" t="s">
        <v>973</v>
      </c>
      <c r="C956" s="95" t="s">
        <v>1328</v>
      </c>
      <c r="D956" t="s">
        <v>15</v>
      </c>
      <c r="E956" t="s">
        <v>657</v>
      </c>
      <c r="F956" t="s">
        <v>19</v>
      </c>
      <c r="G956" t="s">
        <v>122</v>
      </c>
      <c r="H956" t="s">
        <v>1226</v>
      </c>
      <c r="I956" t="s">
        <v>139</v>
      </c>
      <c r="J956" t="s">
        <v>287</v>
      </c>
      <c r="K956" s="27">
        <f t="shared" ref="K956:Z959" si="337">K1419</f>
        <v>1.4486129996083083E-2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1.4890706011157254E-2</v>
      </c>
      <c r="R956" s="27">
        <f t="shared" si="337"/>
        <v>1.4988675221399694E-2</v>
      </c>
      <c r="S956" s="27">
        <f t="shared" si="337"/>
        <v>1.4951923212530764E-2</v>
      </c>
      <c r="T956" s="27">
        <f t="shared" si="337"/>
        <v>1.4977625582861876E-2</v>
      </c>
      <c r="U956" s="27">
        <f t="shared" si="337"/>
        <v>1.4980119703065675E-2</v>
      </c>
      <c r="V956" s="27">
        <f t="shared" si="337"/>
        <v>1.4986976942692673E-2</v>
      </c>
      <c r="W956" s="27">
        <f t="shared" si="337"/>
        <v>1.5017294663736542E-2</v>
      </c>
      <c r="X956" s="27">
        <f t="shared" si="337"/>
        <v>1.5061890336193319E-2</v>
      </c>
      <c r="Y956" s="27">
        <f t="shared" si="337"/>
        <v>1.5103986297595969E-2</v>
      </c>
      <c r="Z956" s="27">
        <f t="shared" si="337"/>
        <v>1.5143780477124499E-2</v>
      </c>
      <c r="AA956" s="27">
        <f t="shared" ref="L956:AW959" si="338">AA1419</f>
        <v>1.518129324368281E-2</v>
      </c>
      <c r="AB956" s="27">
        <f t="shared" si="338"/>
        <v>1.5217300806744069E-2</v>
      </c>
      <c r="AC956" s="27">
        <f t="shared" si="338"/>
        <v>1.5252343422195683E-2</v>
      </c>
      <c r="AD956" s="27">
        <f t="shared" si="338"/>
        <v>1.528613499352576E-2</v>
      </c>
      <c r="AE956" s="27">
        <f t="shared" si="338"/>
        <v>1.5319183069795761E-2</v>
      </c>
      <c r="AF956" s="27">
        <f t="shared" si="338"/>
        <v>1.5351423055728343E-2</v>
      </c>
      <c r="AG956" s="27">
        <f t="shared" si="338"/>
        <v>1.5382634347686872E-2</v>
      </c>
      <c r="AH956" s="27">
        <f t="shared" si="338"/>
        <v>1.5412986814805201E-2</v>
      </c>
      <c r="AI956" s="27">
        <f t="shared" si="338"/>
        <v>1.5442542460580333E-2</v>
      </c>
      <c r="AJ956" s="27">
        <f t="shared" si="338"/>
        <v>1.5471431054826285E-2</v>
      </c>
      <c r="AK956" s="27">
        <f t="shared" si="338"/>
        <v>1.5498756892033489E-2</v>
      </c>
      <c r="AL956" s="27">
        <f t="shared" si="338"/>
        <v>1.5524513513074619E-2</v>
      </c>
      <c r="AM956" s="27">
        <f t="shared" si="338"/>
        <v>1.5548984646319333E-2</v>
      </c>
      <c r="AN956" s="27">
        <f t="shared" si="338"/>
        <v>1.5571987875403363E-2</v>
      </c>
      <c r="AO956" s="27">
        <f t="shared" si="338"/>
        <v>1.5593591673600768E-2</v>
      </c>
      <c r="AP956" s="27">
        <f t="shared" si="338"/>
        <v>1.5613707165200276E-2</v>
      </c>
      <c r="AQ956" s="27">
        <f t="shared" si="338"/>
        <v>1.5632023858239551E-2</v>
      </c>
      <c r="AR956" s="27">
        <f t="shared" si="338"/>
        <v>1.5648256533695205E-2</v>
      </c>
      <c r="AS956" s="27">
        <f t="shared" si="338"/>
        <v>1.5662406299088667E-2</v>
      </c>
      <c r="AT956" s="27">
        <f t="shared" si="338"/>
        <v>1.5674356891571192E-2</v>
      </c>
      <c r="AU956" s="27">
        <f t="shared" si="338"/>
        <v>1.568412043163633E-2</v>
      </c>
      <c r="AV956" s="27">
        <f t="shared" si="338"/>
        <v>1.5691980107154113E-2</v>
      </c>
      <c r="AW956" s="27">
        <f t="shared" si="338"/>
        <v>1.5696383554298719E-2</v>
      </c>
      <c r="AY956" s="79"/>
      <c r="AZ956" s="79"/>
    </row>
    <row r="957" spans="1:52" x14ac:dyDescent="0.25">
      <c r="A957" s="95" t="str">
        <f t="shared" si="326"/>
        <v>DS Goats MMN2O</v>
      </c>
      <c r="B957" s="95" t="s">
        <v>973</v>
      </c>
      <c r="C957" s="95" t="s">
        <v>1328</v>
      </c>
      <c r="D957" t="s">
        <v>15</v>
      </c>
      <c r="E957" t="s">
        <v>657</v>
      </c>
      <c r="F957" t="s">
        <v>19</v>
      </c>
      <c r="G957" t="s">
        <v>123</v>
      </c>
      <c r="H957" t="s">
        <v>1226</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0.11664735601685972</v>
      </c>
      <c r="P957" s="27">
        <f t="shared" si="338"/>
        <v>0.11732381389682567</v>
      </c>
      <c r="Q957" s="27">
        <f t="shared" si="338"/>
        <v>0.11805182815822723</v>
      </c>
      <c r="R957" s="27">
        <f t="shared" si="338"/>
        <v>0.11882851694408277</v>
      </c>
      <c r="S957" s="27">
        <f t="shared" si="338"/>
        <v>0.11853715118666242</v>
      </c>
      <c r="T957" s="27">
        <f t="shared" si="338"/>
        <v>0.11874091666314918</v>
      </c>
      <c r="U957" s="27">
        <f t="shared" si="338"/>
        <v>0.11876068976520925</v>
      </c>
      <c r="V957" s="27">
        <f t="shared" si="338"/>
        <v>0.11881505318313448</v>
      </c>
      <c r="W957" s="27">
        <f t="shared" si="338"/>
        <v>0.11905540863653861</v>
      </c>
      <c r="X957" s="27">
        <f t="shared" si="338"/>
        <v>0.11940895806915272</v>
      </c>
      <c r="Y957" s="27">
        <f t="shared" si="338"/>
        <v>0.11974269007607956</v>
      </c>
      <c r="Z957" s="27">
        <f t="shared" si="338"/>
        <v>0.12005817381740651</v>
      </c>
      <c r="AA957" s="27">
        <f t="shared" si="338"/>
        <v>0.12035557077549322</v>
      </c>
      <c r="AB957" s="27">
        <f t="shared" si="338"/>
        <v>0.12064103465099509</v>
      </c>
      <c r="AC957" s="27">
        <f t="shared" si="338"/>
        <v>0.12091884853130468</v>
      </c>
      <c r="AD957" s="27">
        <f t="shared" si="338"/>
        <v>0.12118674427572847</v>
      </c>
      <c r="AE957" s="27">
        <f t="shared" si="338"/>
        <v>0.12144874567565288</v>
      </c>
      <c r="AF957" s="27">
        <f t="shared" si="338"/>
        <v>0.1217043406270464</v>
      </c>
      <c r="AG957" s="27">
        <f t="shared" si="338"/>
        <v>0.12195178020930149</v>
      </c>
      <c r="AH957" s="27">
        <f t="shared" si="338"/>
        <v>0.12219241112564265</v>
      </c>
      <c r="AI957" s="27">
        <f t="shared" si="338"/>
        <v>0.1224267249327608</v>
      </c>
      <c r="AJ957" s="27">
        <f t="shared" si="338"/>
        <v>0.1226557504310213</v>
      </c>
      <c r="AK957" s="27">
        <f t="shared" si="338"/>
        <v>0.12287238656874688</v>
      </c>
      <c r="AL957" s="27">
        <f t="shared" si="338"/>
        <v>0.12307658213870883</v>
      </c>
      <c r="AM957" s="27">
        <f t="shared" si="338"/>
        <v>0.1232705865072376</v>
      </c>
      <c r="AN957" s="27">
        <f t="shared" si="338"/>
        <v>0.12345295349808931</v>
      </c>
      <c r="AO957" s="27">
        <f t="shared" si="338"/>
        <v>0.12362422595961356</v>
      </c>
      <c r="AP957" s="27">
        <f t="shared" si="338"/>
        <v>0.12378369929525287</v>
      </c>
      <c r="AQ957" s="27">
        <f t="shared" si="338"/>
        <v>0.12392891195994982</v>
      </c>
      <c r="AR957" s="27">
        <f t="shared" si="338"/>
        <v>0.12405760276964035</v>
      </c>
      <c r="AS957" s="27">
        <f t="shared" si="338"/>
        <v>0.12416978050462869</v>
      </c>
      <c r="AT957" s="27">
        <f t="shared" si="338"/>
        <v>0.12426452344623794</v>
      </c>
      <c r="AU957" s="27">
        <f t="shared" si="338"/>
        <v>0.12434192768436619</v>
      </c>
      <c r="AV957" s="27">
        <f t="shared" si="338"/>
        <v>0.1244042383003242</v>
      </c>
      <c r="AW957" s="27">
        <f t="shared" si="338"/>
        <v>0.12443914832979021</v>
      </c>
      <c r="AY957" s="79"/>
      <c r="AZ957" s="79"/>
    </row>
    <row r="958" spans="1:52" x14ac:dyDescent="0.25">
      <c r="A958" s="95" t="str">
        <f t="shared" si="326"/>
        <v>DS Horses MMN2O</v>
      </c>
      <c r="B958" s="95" t="s">
        <v>973</v>
      </c>
      <c r="C958" s="95" t="s">
        <v>1329</v>
      </c>
      <c r="D958" t="s">
        <v>15</v>
      </c>
      <c r="E958" t="s">
        <v>657</v>
      </c>
      <c r="F958" t="s">
        <v>20</v>
      </c>
      <c r="G958" t="s">
        <v>3</v>
      </c>
      <c r="H958" t="s">
        <v>1226</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5">
      <c r="A959" s="95" t="str">
        <f t="shared" si="326"/>
        <v>DS Mules MMN2O</v>
      </c>
      <c r="B959" s="95" t="s">
        <v>973</v>
      </c>
      <c r="C959" s="95" t="s">
        <v>1330</v>
      </c>
      <c r="D959" t="s">
        <v>15</v>
      </c>
      <c r="E959" t="s">
        <v>657</v>
      </c>
      <c r="F959" t="s">
        <v>140</v>
      </c>
      <c r="G959" t="s">
        <v>124</v>
      </c>
      <c r="H959" t="s">
        <v>1226</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5">
      <c r="A960" s="95" t="str">
        <f t="shared" si="326"/>
        <v>DS Swine MMN2O</v>
      </c>
      <c r="B960" s="95" t="s">
        <v>973</v>
      </c>
      <c r="C960" s="95" t="s">
        <v>1232</v>
      </c>
      <c r="D960" t="s">
        <v>15</v>
      </c>
      <c r="E960" t="s">
        <v>657</v>
      </c>
      <c r="F960" t="s">
        <v>21</v>
      </c>
      <c r="G960" t="s">
        <v>122</v>
      </c>
      <c r="H960" t="s">
        <v>1226</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9.6937181363551519E-2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9.6090308702663552E-2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9.4636150647850456E-2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8.9872834352323586E-2</v>
      </c>
      <c r="S960" s="93">
        <f>IF('Net zero activities &amp; levers'!$C$12="Off",('Activity data'!AL17*EF!$H48*EF!$H66)*NtoN2O*kgtoGg,IF('Net zero activities &amp; levers'!$C$12="PB",('Activity data'!AL17*EF!$H48*EF!$H66)*NtoN2O*kgtoGg,IF('Net zero activities &amp; levers'!$C$12="MS",('Net zero Activity data'!AL17*EF!$H48*EF!$H66)*NtoN2O*kgtoGg,"ERROR")))</f>
        <v>8.0734544225409766E-2</v>
      </c>
      <c r="T960" s="93">
        <f>IF('Net zero activities &amp; levers'!$C$12="Off",('Activity data'!AM17*EF!$H48*EF!$H66)*NtoN2O*kgtoGg,IF('Net zero activities &amp; levers'!$C$12="PB",('Activity data'!AM17*EF!$H48*EF!$H66)*NtoN2O*kgtoGg,IF('Net zero activities &amp; levers'!$C$12="MS",('Net zero Activity data'!AM17*EF!$H48*EF!$H66)*NtoN2O*kgtoGg,"ERROR")))</f>
        <v>8.4382841213531623E-2</v>
      </c>
      <c r="U960" s="93">
        <f>IF('Net zero activities &amp; levers'!$C$12="Off",('Activity data'!AN17*EF!$H48*EF!$H66)*NtoN2O*kgtoGg,IF('Net zero activities &amp; levers'!$C$12="PB",('Activity data'!AN17*EF!$H48*EF!$H66)*NtoN2O*kgtoGg,IF('Net zero activities &amp; levers'!$C$12="MS",('Net zero Activity data'!AN17*EF!$H48*EF!$H66)*NtoN2O*kgtoGg,"ERROR")))</f>
        <v>8.5485831085546846E-2</v>
      </c>
      <c r="V960" s="93">
        <f>IF('Net zero activities &amp; levers'!$C$12="Off",('Activity data'!AO17*EF!$H48*EF!$H66)*NtoN2O*kgtoGg,IF('Net zero activities &amp; levers'!$C$12="PB",('Activity data'!AO17*EF!$H48*EF!$H66)*NtoN2O*kgtoGg,IF('Net zero activities &amp; levers'!$C$12="MS",('Net zero Activity data'!AO17*EF!$H48*EF!$H66)*NtoN2O*kgtoGg,"ERROR")))</f>
        <v>8.4642168924532232E-2</v>
      </c>
      <c r="W960" s="93">
        <f>IF('Net zero activities &amp; levers'!$C$12="Off",('Activity data'!AP17*EF!$H48*EF!$H66)*NtoN2O*kgtoGg,IF('Net zero activities &amp; levers'!$C$12="PB",('Activity data'!AP17*EF!$H48*EF!$H66)*NtoN2O*kgtoGg,IF('Net zero activities &amp; levers'!$C$12="MS",('Net zero Activity data'!AP17*EF!$H48*EF!$H66)*NtoN2O*kgtoGg,"ERROR")))</f>
        <v>8.3900172539890919E-2</v>
      </c>
      <c r="X960" s="93">
        <f>IF('Net zero activities &amp; levers'!$C$12="Off",('Activity data'!AQ17*EF!$H48*EF!$H66)*NtoN2O*kgtoGg,IF('Net zero activities &amp; levers'!$C$12="PB",('Activity data'!AQ17*EF!$H48*EF!$H66)*NtoN2O*kgtoGg,IF('Net zero activities &amp; levers'!$C$12="MS",('Net zero Activity data'!AQ17*EF!$H48*EF!$H66)*NtoN2O*kgtoGg,"ERROR")))</f>
        <v>8.3670858252268526E-2</v>
      </c>
      <c r="Y960" s="93">
        <f>IF('Net zero activities &amp; levers'!$C$12="Off",('Activity data'!AR17*EF!$H48*EF!$H66)*NtoN2O*kgtoGg,IF('Net zero activities &amp; levers'!$C$12="PB",('Activity data'!AR17*EF!$H48*EF!$H66)*NtoN2O*kgtoGg,IF('Net zero activities &amp; levers'!$C$12="MS",('Net zero Activity data'!AR17*EF!$H48*EF!$H66)*NtoN2O*kgtoGg,"ERROR")))</f>
        <v>8.3934301237427442E-2</v>
      </c>
      <c r="Z960" s="93">
        <f>IF('Net zero activities &amp; levers'!$C$12="Off",('Activity data'!AS17*EF!$H48*EF!$H66)*NtoN2O*kgtoGg,IF('Net zero activities &amp; levers'!$C$12="PB",('Activity data'!AS17*EF!$H48*EF!$H66)*NtoN2O*kgtoGg,IF('Net zero activities &amp; levers'!$C$12="MS",('Net zero Activity data'!AS17*EF!$H48*EF!$H66)*NtoN2O*kgtoGg,"ERROR")))</f>
        <v>8.44249898120146E-2</v>
      </c>
      <c r="AA960" s="93">
        <f>IF('Net zero activities &amp; levers'!$C$12="Off",('Activity data'!AT17*EF!$H48*EF!$H66)*NtoN2O*kgtoGg,IF('Net zero activities &amp; levers'!$C$12="PB",('Activity data'!AT17*EF!$H48*EF!$H66)*NtoN2O*kgtoGg,IF('Net zero activities &amp; levers'!$C$12="MS",('Net zero Activity data'!AT17*EF!$H48*EF!$H66)*NtoN2O*kgtoGg,"ERROR")))</f>
        <v>8.5198904999322256E-2</v>
      </c>
      <c r="AB960" s="93">
        <f>IF('Net zero activities &amp; levers'!$C$12="Off",('Activity data'!AU17*EF!$H48*EF!$H66)*NtoN2O*kgtoGg,IF('Net zero activities &amp; levers'!$C$12="PB",('Activity data'!AU17*EF!$H48*EF!$H66)*NtoN2O*kgtoGg,IF('Net zero activities &amp; levers'!$C$12="MS",('Net zero Activity data'!AU17*EF!$H48*EF!$H66)*NtoN2O*kgtoGg,"ERROR")))</f>
        <v>8.6442123684456251E-2</v>
      </c>
      <c r="AC960" s="93">
        <f>IF('Net zero activities &amp; levers'!$C$12="Off",('Activity data'!AV17*EF!$H48*EF!$H66)*NtoN2O*kgtoGg,IF('Net zero activities &amp; levers'!$C$12="PB",('Activity data'!AV17*EF!$H48*EF!$H66)*NtoN2O*kgtoGg,IF('Net zero activities &amp; levers'!$C$12="MS",('Net zero Activity data'!AV17*EF!$H48*EF!$H66)*NtoN2O*kgtoGg,"ERROR")))</f>
        <v>8.8111240076380506E-2</v>
      </c>
      <c r="AD960" s="93">
        <f>IF('Net zero activities &amp; levers'!$C$12="Off",('Activity data'!AW17*EF!$H48*EF!$H66)*NtoN2O*kgtoGg,IF('Net zero activities &amp; levers'!$C$12="PB",('Activity data'!AW17*EF!$H48*EF!$H66)*NtoN2O*kgtoGg,IF('Net zero activities &amp; levers'!$C$12="MS",('Net zero Activity data'!AW17*EF!$H48*EF!$H66)*NtoN2O*kgtoGg,"ERROR")))</f>
        <v>9.001094563198829E-2</v>
      </c>
      <c r="AE960" s="93">
        <f>IF('Net zero activities &amp; levers'!$C$12="Off",('Activity data'!AX17*EF!$H48*EF!$H66)*NtoN2O*kgtoGg,IF('Net zero activities &amp; levers'!$C$12="PB",('Activity data'!AX17*EF!$H48*EF!$H66)*NtoN2O*kgtoGg,IF('Net zero activities &amp; levers'!$C$12="MS",('Net zero Activity data'!AX17*EF!$H48*EF!$H66)*NtoN2O*kgtoGg,"ERROR")))</f>
        <v>9.2122381916242821E-2</v>
      </c>
      <c r="AF960" s="93">
        <f>IF('Net zero activities &amp; levers'!$C$12="Off",('Activity data'!AY17*EF!$H48*EF!$H66)*NtoN2O*kgtoGg,IF('Net zero activities &amp; levers'!$C$12="PB",('Activity data'!AY17*EF!$H48*EF!$H66)*NtoN2O*kgtoGg,IF('Net zero activities &amp; levers'!$C$12="MS",('Net zero Activity data'!AY17*EF!$H48*EF!$H66)*NtoN2O*kgtoGg,"ERROR")))</f>
        <v>9.433993402703468E-2</v>
      </c>
      <c r="AG960" s="93">
        <f>IF('Net zero activities &amp; levers'!$C$12="Off",('Activity data'!AZ17*EF!$H48*EF!$H66)*NtoN2O*kgtoGg,IF('Net zero activities &amp; levers'!$C$12="PB",('Activity data'!AZ17*EF!$H48*EF!$H66)*NtoN2O*kgtoGg,IF('Net zero activities &amp; levers'!$C$12="MS",('Net zero Activity data'!AZ17*EF!$H48*EF!$H66)*NtoN2O*kgtoGg,"ERROR")))</f>
        <v>9.6701686348057328E-2</v>
      </c>
      <c r="AH960" s="93">
        <f>IF('Net zero activities &amp; levers'!$C$12="Off",('Activity data'!BA17*EF!$H48*EF!$H66)*NtoN2O*kgtoGg,IF('Net zero activities &amp; levers'!$C$12="PB",('Activity data'!BA17*EF!$H48*EF!$H66)*NtoN2O*kgtoGg,IF('Net zero activities &amp; levers'!$C$12="MS",('Net zero Activity data'!BA17*EF!$H48*EF!$H66)*NtoN2O*kgtoGg,"ERROR")))</f>
        <v>9.9156733920468212E-2</v>
      </c>
      <c r="AI960" s="93">
        <f>IF('Net zero activities &amp; levers'!$C$12="Off",('Activity data'!BB17*EF!$H48*EF!$H66)*NtoN2O*kgtoGg,IF('Net zero activities &amp; levers'!$C$12="PB",('Activity data'!BB17*EF!$H48*EF!$H66)*NtoN2O*kgtoGg,IF('Net zero activities &amp; levers'!$C$12="MS",('Net zero Activity data'!BB17*EF!$H48*EF!$H66)*NtoN2O*kgtoGg,"ERROR")))</f>
        <v>0.10153918433243618</v>
      </c>
      <c r="AJ960" s="93">
        <f>IF('Net zero activities &amp; levers'!$C$12="Off",('Activity data'!BC17*EF!$H48*EF!$H66)*NtoN2O*kgtoGg,IF('Net zero activities &amp; levers'!$C$12="PB",('Activity data'!BC17*EF!$H48*EF!$H66)*NtoN2O*kgtoGg,IF('Net zero activities &amp; levers'!$C$12="MS",('Net zero Activity data'!BC17*EF!$H48*EF!$H66)*NtoN2O*kgtoGg,"ERROR")))</f>
        <v>0.10407920464758763</v>
      </c>
      <c r="AK960" s="93">
        <f>IF('Net zero activities &amp; levers'!$C$12="Off",('Activity data'!BD17*EF!$H48*EF!$H66)*NtoN2O*kgtoGg,IF('Net zero activities &amp; levers'!$C$12="PB",('Activity data'!BD17*EF!$H48*EF!$H66)*NtoN2O*kgtoGg,IF('Net zero activities &amp; levers'!$C$12="MS",('Net zero Activity data'!BD17*EF!$H48*EF!$H66)*NtoN2O*kgtoGg,"ERROR")))</f>
        <v>0.10662429120765052</v>
      </c>
      <c r="AL960" s="93">
        <f>IF('Net zero activities &amp; levers'!$C$12="Off",('Activity data'!BE17*EF!$H48*EF!$H66)*NtoN2O*kgtoGg,IF('Net zero activities &amp; levers'!$C$12="PB",('Activity data'!BE17*EF!$H48*EF!$H66)*NtoN2O*kgtoGg,IF('Net zero activities &amp; levers'!$C$12="MS",('Net zero Activity data'!BE17*EF!$H48*EF!$H66)*NtoN2O*kgtoGg,"ERROR")))</f>
        <v>0.10916108152437015</v>
      </c>
      <c r="AM960" s="93">
        <f>IF('Net zero activities &amp; levers'!$C$12="Off",('Activity data'!BF17*EF!$H48*EF!$H66)*NtoN2O*kgtoGg,IF('Net zero activities &amp; levers'!$C$12="PB",('Activity data'!BF17*EF!$H48*EF!$H66)*NtoN2O*kgtoGg,IF('Net zero activities &amp; levers'!$C$12="MS",('Net zero Activity data'!BF17*EF!$H48*EF!$H66)*NtoN2O*kgtoGg,"ERROR")))</f>
        <v>0.11175521560682936</v>
      </c>
      <c r="AN960" s="93">
        <f>IF('Net zero activities &amp; levers'!$C$12="Off",('Activity data'!BG17*EF!$H48*EF!$H66)*NtoN2O*kgtoGg,IF('Net zero activities &amp; levers'!$C$12="PB",('Activity data'!BG17*EF!$H48*EF!$H66)*NtoN2O*kgtoGg,IF('Net zero activities &amp; levers'!$C$12="MS",('Net zero Activity data'!BG17*EF!$H48*EF!$H66)*NtoN2O*kgtoGg,"ERROR")))</f>
        <v>0.11423893572460501</v>
      </c>
      <c r="AO960" s="93">
        <f>IF('Net zero activities &amp; levers'!$C$12="Off",('Activity data'!BH17*EF!$H48*EF!$H66)*NtoN2O*kgtoGg,IF('Net zero activities &amp; levers'!$C$12="PB",('Activity data'!BH17*EF!$H48*EF!$H66)*NtoN2O*kgtoGg,IF('Net zero activities &amp; levers'!$C$12="MS",('Net zero Activity data'!BH17*EF!$H48*EF!$H66)*NtoN2O*kgtoGg,"ERROR")))</f>
        <v>0.11683800387615073</v>
      </c>
      <c r="AP960" s="93">
        <f>IF('Net zero activities &amp; levers'!$C$12="Off",('Activity data'!BI17*EF!$H48*EF!$H66)*NtoN2O*kgtoGg,IF('Net zero activities &amp; levers'!$C$12="PB",('Activity data'!BI17*EF!$H48*EF!$H66)*NtoN2O*kgtoGg,IF('Net zero activities &amp; levers'!$C$12="MS",('Net zero Activity data'!BI17*EF!$H48*EF!$H66)*NtoN2O*kgtoGg,"ERROR")))</f>
        <v>0.11962734368800265</v>
      </c>
      <c r="AQ960" s="93">
        <f>IF('Net zero activities &amp; levers'!$C$12="Off",('Activity data'!BJ17*EF!$H48*EF!$H66)*NtoN2O*kgtoGg,IF('Net zero activities &amp; levers'!$C$12="PB",('Activity data'!BJ17*EF!$H48*EF!$H66)*NtoN2O*kgtoGg,IF('Net zero activities &amp; levers'!$C$12="MS",('Net zero Activity data'!BJ17*EF!$H48*EF!$H66)*NtoN2O*kgtoGg,"ERROR")))</f>
        <v>0.12246543086827189</v>
      </c>
      <c r="AR960" s="93">
        <f>IF('Net zero activities &amp; levers'!$C$12="Off",('Activity data'!BK17*EF!$H48*EF!$H66)*NtoN2O*kgtoGg,IF('Net zero activities &amp; levers'!$C$12="PB",('Activity data'!BK17*EF!$H48*EF!$H66)*NtoN2O*kgtoGg,IF('Net zero activities &amp; levers'!$C$12="MS",('Net zero Activity data'!BK17*EF!$H48*EF!$H66)*NtoN2O*kgtoGg,"ERROR")))</f>
        <v>0.12535748302837027</v>
      </c>
      <c r="AS960" s="93">
        <f>IF('Net zero activities &amp; levers'!$C$12="Off",('Activity data'!BL17*EF!$H48*EF!$H66)*NtoN2O*kgtoGg,IF('Net zero activities &amp; levers'!$C$12="PB",('Activity data'!BL17*EF!$H48*EF!$H66)*NtoN2O*kgtoGg,IF('Net zero activities &amp; levers'!$C$12="MS",('Net zero Activity data'!BL17*EF!$H48*EF!$H66)*NtoN2O*kgtoGg,"ERROR")))</f>
        <v>0.12844640721926534</v>
      </c>
      <c r="AT960" s="93">
        <f>IF('Net zero activities &amp; levers'!$C$12="Off",('Activity data'!BM17*EF!$H48*EF!$H66)*NtoN2O*kgtoGg,IF('Net zero activities &amp; levers'!$C$12="PB",('Activity data'!BM17*EF!$H48*EF!$H66)*NtoN2O*kgtoGg,IF('Net zero activities &amp; levers'!$C$12="MS",('Net zero Activity data'!BM17*EF!$H48*EF!$H66)*NtoN2O*kgtoGg,"ERROR")))</f>
        <v>0.13167842894497958</v>
      </c>
      <c r="AU960" s="93">
        <f>IF('Net zero activities &amp; levers'!$C$12="Off",('Activity data'!BN17*EF!$H48*EF!$H66)*NtoN2O*kgtoGg,IF('Net zero activities &amp; levers'!$C$12="PB",('Activity data'!BN17*EF!$H48*EF!$H66)*NtoN2O*kgtoGg,IF('Net zero activities &amp; levers'!$C$12="MS",('Net zero Activity data'!BN17*EF!$H48*EF!$H66)*NtoN2O*kgtoGg,"ERROR")))</f>
        <v>0.13501670748772379</v>
      </c>
      <c r="AV960" s="93">
        <f>IF('Net zero activities &amp; levers'!$C$12="Off",('Activity data'!BO17*EF!$H48*EF!$H66)*NtoN2O*kgtoGg,IF('Net zero activities &amp; levers'!$C$12="PB",('Activity data'!BO17*EF!$H48*EF!$H66)*NtoN2O*kgtoGg,IF('Net zero activities &amp; levers'!$C$12="MS",('Net zero Activity data'!BO17*EF!$H48*EF!$H66)*NtoN2O*kgtoGg,"ERROR")))</f>
        <v>0.13854783957825018</v>
      </c>
      <c r="AW960" s="93">
        <f>IF('Net zero activities &amp; levers'!$C$12="Off",('Activity data'!BP17*EF!$H48*EF!$H66)*NtoN2O*kgtoGg,IF('Net zero activities &amp; levers'!$C$12="PB",('Activity data'!BP17*EF!$H48*EF!$H66)*NtoN2O*kgtoGg,IF('Net zero activities &amp; levers'!$C$12="MS",('Net zero Activity data'!BP17*EF!$H48*EF!$H66)*NtoN2O*kgtoGg,"ERROR")))</f>
        <v>0.14174415331850926</v>
      </c>
      <c r="AY960" s="79"/>
      <c r="AZ960" s="79"/>
    </row>
    <row r="961" spans="1:52" x14ac:dyDescent="0.25">
      <c r="A961" s="95" t="str">
        <f t="shared" si="326"/>
        <v>DS Swine MMN2O</v>
      </c>
      <c r="B961" s="95" t="s">
        <v>973</v>
      </c>
      <c r="C961" s="95" t="s">
        <v>1232</v>
      </c>
      <c r="D961" t="s">
        <v>15</v>
      </c>
      <c r="E961" t="s">
        <v>657</v>
      </c>
      <c r="F961" t="s">
        <v>21</v>
      </c>
      <c r="G961" t="s">
        <v>123</v>
      </c>
      <c r="H961" t="s">
        <v>1226</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3.7592474284510076E-2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3.7023578211438556E-2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3.5676569387541837E-2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3.5160072434777263E-2</v>
      </c>
      <c r="S961" s="93">
        <f>IF('Net zero activities &amp; levers'!$C$12="Off",('Activity data'!AL18*EF!$H49*EF!$H67)*NtoN2O*kgtoGg,IF('Net zero activities &amp; levers'!$C$12="PB",('Activity data'!AL18*EF!$H49*EF!$H67)*NtoN2O*kgtoGg,IF('Net zero activities &amp; levers'!$C$12="MS",('Net zero Activity data'!AL18*EF!$H49*EF!$H67)*NtoN2O*kgtoGg,"ERROR")))</f>
        <v>3.1584988316113387E-2</v>
      </c>
      <c r="T961" s="93">
        <f>IF('Net zero activities &amp; levers'!$C$12="Off",('Activity data'!AM18*EF!$H49*EF!$H67)*NtoN2O*kgtoGg,IF('Net zero activities &amp; levers'!$C$12="PB",('Activity data'!AM18*EF!$H49*EF!$H67)*NtoN2O*kgtoGg,IF('Net zero activities &amp; levers'!$C$12="MS",('Net zero Activity data'!AM18*EF!$H49*EF!$H67)*NtoN2O*kgtoGg,"ERROR")))</f>
        <v>3.3012275964159274E-2</v>
      </c>
      <c r="U961" s="93">
        <f>IF('Net zero activities &amp; levers'!$C$12="Off",('Activity data'!AN18*EF!$H49*EF!$H67)*NtoN2O*kgtoGg,IF('Net zero activities &amp; levers'!$C$12="PB",('Activity data'!AN18*EF!$H49*EF!$H67)*NtoN2O*kgtoGg,IF('Net zero activities &amp; levers'!$C$12="MS",('Net zero Activity data'!AN18*EF!$H49*EF!$H67)*NtoN2O*kgtoGg,"ERROR")))</f>
        <v>3.3443787934092799E-2</v>
      </c>
      <c r="V961" s="93">
        <f>IF('Net zero activities &amp; levers'!$C$12="Off",('Activity data'!AO18*EF!$H49*EF!$H67)*NtoN2O*kgtoGg,IF('Net zero activities &amp; levers'!$C$12="PB",('Activity data'!AO18*EF!$H49*EF!$H67)*NtoN2O*kgtoGg,IF('Net zero activities &amp; levers'!$C$12="MS",('Net zero Activity data'!AO18*EF!$H49*EF!$H67)*NtoN2O*kgtoGg,"ERROR")))</f>
        <v>3.3113730215255661E-2</v>
      </c>
      <c r="W961" s="93">
        <f>IF('Net zero activities &amp; levers'!$C$12="Off",('Activity data'!AP18*EF!$H49*EF!$H67)*NtoN2O*kgtoGg,IF('Net zero activities &amp; levers'!$C$12="PB",('Activity data'!AP18*EF!$H49*EF!$H67)*NtoN2O*kgtoGg,IF('Net zero activities &amp; levers'!$C$12="MS",('Net zero Activity data'!AP18*EF!$H49*EF!$H67)*NtoN2O*kgtoGg,"ERROR")))</f>
        <v>3.2823446206541117E-2</v>
      </c>
      <c r="X961" s="93">
        <f>IF('Net zero activities &amp; levers'!$C$12="Off",('Activity data'!AQ18*EF!$H49*EF!$H67)*NtoN2O*kgtoGg,IF('Net zero activities &amp; levers'!$C$12="PB",('Activity data'!AQ18*EF!$H49*EF!$H67)*NtoN2O*kgtoGg,IF('Net zero activities &amp; levers'!$C$12="MS",('Net zero Activity data'!AQ18*EF!$H49*EF!$H67)*NtoN2O*kgtoGg,"ERROR")))</f>
        <v>3.2733733814345668E-2</v>
      </c>
      <c r="Y961" s="93">
        <f>IF('Net zero activities &amp; levers'!$C$12="Off",('Activity data'!AR18*EF!$H49*EF!$H67)*NtoN2O*kgtoGg,IF('Net zero activities &amp; levers'!$C$12="PB",('Activity data'!AR18*EF!$H49*EF!$H67)*NtoN2O*kgtoGg,IF('Net zero activities &amp; levers'!$C$12="MS",('Net zero Activity data'!AR18*EF!$H49*EF!$H67)*NtoN2O*kgtoGg,"ERROR")))</f>
        <v>3.2836798044013883E-2</v>
      </c>
      <c r="Z961" s="93">
        <f>IF('Net zero activities &amp; levers'!$C$12="Off",('Activity data'!AS18*EF!$H49*EF!$H67)*NtoN2O*kgtoGg,IF('Net zero activities &amp; levers'!$C$12="PB",('Activity data'!AS18*EF!$H49*EF!$H67)*NtoN2O*kgtoGg,IF('Net zero activities &amp; levers'!$C$12="MS",('Net zero Activity data'!AS18*EF!$H49*EF!$H67)*NtoN2O*kgtoGg,"ERROR")))</f>
        <v>3.3028765349259512E-2</v>
      </c>
      <c r="AA961" s="93">
        <f>IF('Net zero activities &amp; levers'!$C$12="Off",('Activity data'!AT18*EF!$H49*EF!$H67)*NtoN2O*kgtoGg,IF('Net zero activities &amp; levers'!$C$12="PB",('Activity data'!AT18*EF!$H49*EF!$H67)*NtoN2O*kgtoGg,IF('Net zero activities &amp; levers'!$C$12="MS",('Net zero Activity data'!AT18*EF!$H49*EF!$H67)*NtoN2O*kgtoGg,"ERROR")))</f>
        <v>3.3331536639830336E-2</v>
      </c>
      <c r="AB961" s="93">
        <f>IF('Net zero activities &amp; levers'!$C$12="Off",('Activity data'!AU18*EF!$H49*EF!$H67)*NtoN2O*kgtoGg,IF('Net zero activities &amp; levers'!$C$12="PB",('Activity data'!AU18*EF!$H49*EF!$H67)*NtoN2O*kgtoGg,IF('Net zero activities &amp; levers'!$C$12="MS",('Net zero Activity data'!AU18*EF!$H49*EF!$H67)*NtoN2O*kgtoGg,"ERROR")))</f>
        <v>3.3817908960638868E-2</v>
      </c>
      <c r="AC961" s="93">
        <f>IF('Net zero activities &amp; levers'!$C$12="Off",('Activity data'!AV18*EF!$H49*EF!$H67)*NtoN2O*kgtoGg,IF('Net zero activities &amp; levers'!$C$12="PB",('Activity data'!AV18*EF!$H49*EF!$H67)*NtoN2O*kgtoGg,IF('Net zero activities &amp; levers'!$C$12="MS",('Net zero Activity data'!AV18*EF!$H49*EF!$H67)*NtoN2O*kgtoGg,"ERROR")))</f>
        <v>3.4470901087403957E-2</v>
      </c>
      <c r="AD961" s="93">
        <f>IF('Net zero activities &amp; levers'!$C$12="Off",('Activity data'!AW18*EF!$H49*EF!$H67)*NtoN2O*kgtoGg,IF('Net zero activities &amp; levers'!$C$12="PB",('Activity data'!AW18*EF!$H49*EF!$H67)*NtoN2O*kgtoGg,IF('Net zero activities &amp; levers'!$C$12="MS",('Net zero Activity data'!AW18*EF!$H49*EF!$H67)*NtoN2O*kgtoGg,"ERROR")))</f>
        <v>3.5214104363691767E-2</v>
      </c>
      <c r="AE961" s="93">
        <f>IF('Net zero activities &amp; levers'!$C$12="Off",('Activity data'!AX18*EF!$H49*EF!$H67)*NtoN2O*kgtoGg,IF('Net zero activities &amp; levers'!$C$12="PB",('Activity data'!AX18*EF!$H49*EF!$H67)*NtoN2O*kgtoGg,IF('Net zero activities &amp; levers'!$C$12="MS",('Net zero Activity data'!AX18*EF!$H49*EF!$H67)*NtoN2O*kgtoGg,"ERROR")))</f>
        <v>3.6040140987893189E-2</v>
      </c>
      <c r="AF961" s="93">
        <f>IF('Net zero activities &amp; levers'!$C$12="Off",('Activity data'!AY18*EF!$H49*EF!$H67)*NtoN2O*kgtoGg,IF('Net zero activities &amp; levers'!$C$12="PB",('Activity data'!AY18*EF!$H49*EF!$H67)*NtoN2O*kgtoGg,IF('Net zero activities &amp; levers'!$C$12="MS",('Net zero Activity data'!AY18*EF!$H49*EF!$H67)*NtoN2O*kgtoGg,"ERROR")))</f>
        <v>3.6907692271940552E-2</v>
      </c>
      <c r="AG961" s="93">
        <f>IF('Net zero activities &amp; levers'!$C$12="Off",('Activity data'!AZ18*EF!$H49*EF!$H67)*NtoN2O*kgtoGg,IF('Net zero activities &amp; levers'!$C$12="PB",('Activity data'!AZ18*EF!$H49*EF!$H67)*NtoN2O*kgtoGg,IF('Net zero activities &amp; levers'!$C$12="MS",('Net zero Activity data'!AZ18*EF!$H49*EF!$H67)*NtoN2O*kgtoGg,"ERROR")))</f>
        <v>3.7831657597821179E-2</v>
      </c>
      <c r="AH961" s="93">
        <f>IF('Net zero activities &amp; levers'!$C$12="Off",('Activity data'!BA18*EF!$H49*EF!$H67)*NtoN2O*kgtoGg,IF('Net zero activities &amp; levers'!$C$12="PB",('Activity data'!BA18*EF!$H49*EF!$H67)*NtoN2O*kgtoGg,IF('Net zero activities &amp; levers'!$C$12="MS",('Net zero Activity data'!BA18*EF!$H49*EF!$H67)*NtoN2O*kgtoGg,"ERROR")))</f>
        <v>3.879212191497397E-2</v>
      </c>
      <c r="AI961" s="93">
        <f>IF('Net zero activities &amp; levers'!$C$12="Off",('Activity data'!BB18*EF!$H49*EF!$H67)*NtoN2O*kgtoGg,IF('Net zero activities &amp; levers'!$C$12="PB",('Activity data'!BB18*EF!$H49*EF!$H67)*NtoN2O*kgtoGg,IF('Net zero activities &amp; levers'!$C$12="MS",('Net zero Activity data'!BB18*EF!$H49*EF!$H67)*NtoN2O*kgtoGg,"ERROR")))</f>
        <v>3.9724184753102243E-2</v>
      </c>
      <c r="AJ961" s="93">
        <f>IF('Net zero activities &amp; levers'!$C$12="Off",('Activity data'!BC18*EF!$H49*EF!$H67)*NtoN2O*kgtoGg,IF('Net zero activities &amp; levers'!$C$12="PB",('Activity data'!BC18*EF!$H49*EF!$H67)*NtoN2O*kgtoGg,IF('Net zero activities &amp; levers'!$C$12="MS",('Net zero Activity data'!BC18*EF!$H49*EF!$H67)*NtoN2O*kgtoGg,"ERROR")))</f>
        <v>4.0717892127640175E-2</v>
      </c>
      <c r="AK961" s="93">
        <f>IF('Net zero activities &amp; levers'!$C$12="Off",('Activity data'!BD18*EF!$H49*EF!$H67)*NtoN2O*kgtoGg,IF('Net zero activities &amp; levers'!$C$12="PB",('Activity data'!BD18*EF!$H49*EF!$H67)*NtoN2O*kgtoGg,IF('Net zero activities &amp; levers'!$C$12="MS",('Net zero Activity data'!BD18*EF!$H49*EF!$H67)*NtoN2O*kgtoGg,"ERROR")))</f>
        <v>4.1713581519762656E-2</v>
      </c>
      <c r="AL961" s="93">
        <f>IF('Net zero activities &amp; levers'!$C$12="Off",('Activity data'!BE18*EF!$H49*EF!$H67)*NtoN2O*kgtoGg,IF('Net zero activities &amp; levers'!$C$12="PB",('Activity data'!BE18*EF!$H49*EF!$H67)*NtoN2O*kgtoGg,IF('Net zero activities &amp; levers'!$C$12="MS",('Net zero Activity data'!BE18*EF!$H49*EF!$H67)*NtoN2O*kgtoGg,"ERROR")))</f>
        <v>4.270602525351698E-2</v>
      </c>
      <c r="AM961" s="93">
        <f>IF('Net zero activities &amp; levers'!$C$12="Off",('Activity data'!BF18*EF!$H49*EF!$H67)*NtoN2O*kgtoGg,IF('Net zero activities &amp; levers'!$C$12="PB",('Activity data'!BF18*EF!$H49*EF!$H67)*NtoN2O*kgtoGg,IF('Net zero activities &amp; levers'!$C$12="MS",('Net zero Activity data'!BF18*EF!$H49*EF!$H67)*NtoN2O*kgtoGg,"ERROR")))</f>
        <v>4.3720903029455652E-2</v>
      </c>
      <c r="AN961" s="93">
        <f>IF('Net zero activities &amp; levers'!$C$12="Off",('Activity data'!BG18*EF!$H49*EF!$H67)*NtoN2O*kgtoGg,IF('Net zero activities &amp; levers'!$C$12="PB",('Activity data'!BG18*EF!$H49*EF!$H67)*NtoN2O*kgtoGg,IF('Net zero activities &amp; levers'!$C$12="MS",('Net zero Activity data'!BG18*EF!$H49*EF!$H67)*NtoN2O*kgtoGg,"ERROR")))</f>
        <v>4.4692584626882061E-2</v>
      </c>
      <c r="AO961" s="93">
        <f>IF('Net zero activities &amp; levers'!$C$12="Off",('Activity data'!BH18*EF!$H49*EF!$H67)*NtoN2O*kgtoGg,IF('Net zero activities &amp; levers'!$C$12="PB",('Activity data'!BH18*EF!$H49*EF!$H67)*NtoN2O*kgtoGg,IF('Net zero activities &amp; levers'!$C$12="MS",('Net zero Activity data'!BH18*EF!$H49*EF!$H67)*NtoN2O*kgtoGg,"ERROR")))</f>
        <v>4.5709392710546422E-2</v>
      </c>
      <c r="AP961" s="93">
        <f>IF('Net zero activities &amp; levers'!$C$12="Off",('Activity data'!BI18*EF!$H49*EF!$H67)*NtoN2O*kgtoGg,IF('Net zero activities &amp; levers'!$C$12="PB",('Activity data'!BI18*EF!$H49*EF!$H67)*NtoN2O*kgtoGg,IF('Net zero activities &amp; levers'!$C$12="MS",('Net zero Activity data'!BI18*EF!$H49*EF!$H67)*NtoN2O*kgtoGg,"ERROR")))</f>
        <v>4.6800638920112353E-2</v>
      </c>
      <c r="AQ961" s="93">
        <f>IF('Net zero activities &amp; levers'!$C$12="Off",('Activity data'!BJ18*EF!$H49*EF!$H67)*NtoN2O*kgtoGg,IF('Net zero activities &amp; levers'!$C$12="PB",('Activity data'!BJ18*EF!$H49*EF!$H67)*NtoN2O*kgtoGg,IF('Net zero activities &amp; levers'!$C$12="MS",('Net zero Activity data'!BJ18*EF!$H49*EF!$H67)*NtoN2O*kgtoGg,"ERROR")))</f>
        <v>4.791095608718076E-2</v>
      </c>
      <c r="AR961" s="93">
        <f>IF('Net zero activities &amp; levers'!$C$12="Off",('Activity data'!BK18*EF!$H49*EF!$H67)*NtoN2O*kgtoGg,IF('Net zero activities &amp; levers'!$C$12="PB",('Activity data'!BK18*EF!$H49*EF!$H67)*NtoN2O*kgtoGg,IF('Net zero activities &amp; levers'!$C$12="MS",('Net zero Activity data'!BK18*EF!$H49*EF!$H67)*NtoN2O*kgtoGg,"ERROR")))</f>
        <v>4.9042385446975784E-2</v>
      </c>
      <c r="AS961" s="93">
        <f>IF('Net zero activities &amp; levers'!$C$12="Off",('Activity data'!BL18*EF!$H49*EF!$H67)*NtoN2O*kgtoGg,IF('Net zero activities &amp; levers'!$C$12="PB",('Activity data'!BL18*EF!$H49*EF!$H67)*NtoN2O*kgtoGg,IF('Net zero activities &amp; levers'!$C$12="MS",('Net zero Activity data'!BL18*EF!$H49*EF!$H67)*NtoN2O*kgtoGg,"ERROR")))</f>
        <v>5.0250835131244558E-2</v>
      </c>
      <c r="AT961" s="93">
        <f>IF('Net zero activities &amp; levers'!$C$12="Off",('Activity data'!BM18*EF!$H49*EF!$H67)*NtoN2O*kgtoGg,IF('Net zero activities &amp; levers'!$C$12="PB",('Activity data'!BM18*EF!$H49*EF!$H67)*NtoN2O*kgtoGg,IF('Net zero activities &amp; levers'!$C$12="MS",('Net zero Activity data'!BM18*EF!$H49*EF!$H67)*NtoN2O*kgtoGg,"ERROR")))</f>
        <v>5.1515267468399954E-2</v>
      </c>
      <c r="AU961" s="93">
        <f>IF('Net zero activities &amp; levers'!$C$12="Off",('Activity data'!BN18*EF!$H49*EF!$H67)*NtoN2O*kgtoGg,IF('Net zero activities &amp; levers'!$C$12="PB",('Activity data'!BN18*EF!$H49*EF!$H67)*NtoN2O*kgtoGg,IF('Net zero activities &amp; levers'!$C$12="MS",('Net zero Activity data'!BN18*EF!$H49*EF!$H67)*NtoN2O*kgtoGg,"ERROR")))</f>
        <v>5.2821269623736601E-2</v>
      </c>
      <c r="AV961" s="93">
        <f>IF('Net zero activities &amp; levers'!$C$12="Off",('Activity data'!BO18*EF!$H49*EF!$H67)*NtoN2O*kgtoGg,IF('Net zero activities &amp; levers'!$C$12="PB",('Activity data'!BO18*EF!$H49*EF!$H67)*NtoN2O*kgtoGg,IF('Net zero activities &amp; levers'!$C$12="MS",('Net zero Activity data'!BO18*EF!$H49*EF!$H67)*NtoN2O*kgtoGg,"ERROR")))</f>
        <v>5.4202719991630371E-2</v>
      </c>
      <c r="AW961" s="93">
        <f>IF('Net zero activities &amp; levers'!$C$12="Off",('Activity data'!BP18*EF!$H49*EF!$H67)*NtoN2O*kgtoGg,IF('Net zero activities &amp; levers'!$C$12="PB",('Activity data'!BP18*EF!$H49*EF!$H67)*NtoN2O*kgtoGg,IF('Net zero activities &amp; levers'!$C$12="MS",('Net zero Activity data'!BP18*EF!$H49*EF!$H67)*NtoN2O*kgtoGg,"ERROR")))</f>
        <v>5.5453182641903707E-2</v>
      </c>
      <c r="AY961" s="79"/>
      <c r="AZ961" s="79"/>
    </row>
    <row r="962" spans="1:52" x14ac:dyDescent="0.25">
      <c r="A962" s="95" t="str">
        <f t="shared" si="326"/>
        <v>DS Poultry MMN2O</v>
      </c>
      <c r="B962" s="95" t="s">
        <v>973</v>
      </c>
      <c r="C962" s="95" t="s">
        <v>1233</v>
      </c>
      <c r="D962" t="s">
        <v>15</v>
      </c>
      <c r="E962" t="s">
        <v>657</v>
      </c>
      <c r="F962" t="s">
        <v>28</v>
      </c>
      <c r="G962" t="s">
        <v>131</v>
      </c>
      <c r="H962" t="s">
        <v>1226</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0.35135538223408885</v>
      </c>
      <c r="T962" s="93">
        <f>IF('Net zero activities &amp; levers'!$C$12="Off",('Activity data'!AM19*EF!$H50*EF!$H68)*NtoN2O*kgtoGg,IF('Net zero activities &amp; levers'!$C$12="PB",('Activity data'!AM19*EF!$H50*EF!$H68)*NtoN2O*kgtoGg,IF('Net zero activities &amp; levers'!$C$12="MS",('Net zero Activity data'!AM19*EF!$H50*EF!$H68)*NtoN2O*kgtoGg,"ERROR")))</f>
        <v>0.3660250744881503</v>
      </c>
      <c r="U962" s="93">
        <f>IF('Net zero activities &amp; levers'!$C$12="Off",('Activity data'!AN19*EF!$H50*EF!$H68)*NtoN2O*kgtoGg,IF('Net zero activities &amp; levers'!$C$12="PB",('Activity data'!AN19*EF!$H50*EF!$H68)*NtoN2O*kgtoGg,IF('Net zero activities &amp; levers'!$C$12="MS",('Net zero Activity data'!AN19*EF!$H50*EF!$H68)*NtoN2O*kgtoGg,"ERROR")))</f>
        <v>0.3747433751291977</v>
      </c>
      <c r="V962" s="93">
        <f>IF('Net zero activities &amp; levers'!$C$12="Off",('Activity data'!AO19*EF!$H50*EF!$H68)*NtoN2O*kgtoGg,IF('Net zero activities &amp; levers'!$C$12="PB",('Activity data'!AO19*EF!$H50*EF!$H68)*NtoN2O*kgtoGg,IF('Net zero activities &amp; levers'!$C$12="MS",('Net zero Activity data'!AO19*EF!$H50*EF!$H68)*NtoN2O*kgtoGg,"ERROR")))</f>
        <v>0.37890472124533414</v>
      </c>
      <c r="W962" s="93">
        <f>IF('Net zero activities &amp; levers'!$C$12="Off",('Activity data'!AP19*EF!$H50*EF!$H68)*NtoN2O*kgtoGg,IF('Net zero activities &amp; levers'!$C$12="PB",('Activity data'!AP19*EF!$H50*EF!$H68)*NtoN2O*kgtoGg,IF('Net zero activities &amp; levers'!$C$12="MS",('Net zero Activity data'!AP19*EF!$H50*EF!$H68)*NtoN2O*kgtoGg,"ERROR")))</f>
        <v>0.38351980018418114</v>
      </c>
      <c r="X962" s="93">
        <f>IF('Net zero activities &amp; levers'!$C$12="Off",('Activity data'!AQ19*EF!$H50*EF!$H68)*NtoN2O*kgtoGg,IF('Net zero activities &amp; levers'!$C$12="PB",('Activity data'!AQ19*EF!$H50*EF!$H68)*NtoN2O*kgtoGg,IF('Net zero activities &amp; levers'!$C$12="MS",('Net zero Activity data'!AQ19*EF!$H50*EF!$H68)*NtoN2O*kgtoGg,"ERROR")))</f>
        <v>0.38953835570243145</v>
      </c>
      <c r="Y962" s="93">
        <f>IF('Net zero activities &amp; levers'!$C$12="Off",('Activity data'!AR19*EF!$H50*EF!$H68)*NtoN2O*kgtoGg,IF('Net zero activities &amp; levers'!$C$12="PB",('Activity data'!AR19*EF!$H50*EF!$H68)*NtoN2O*kgtoGg,IF('Net zero activities &amp; levers'!$C$12="MS",('Net zero Activity data'!AR19*EF!$H50*EF!$H68)*NtoN2O*kgtoGg,"ERROR")))</f>
        <v>0.39678314869255904</v>
      </c>
      <c r="Z962" s="93">
        <f>IF('Net zero activities &amp; levers'!$C$12="Off",('Activity data'!AS19*EF!$H50*EF!$H68)*NtoN2O*kgtoGg,IF('Net zero activities &amp; levers'!$C$12="PB",('Activity data'!AS19*EF!$H50*EF!$H68)*NtoN2O*kgtoGg,IF('Net zero activities &amp; levers'!$C$12="MS",('Net zero Activity data'!AS19*EF!$H50*EF!$H68)*NtoN2O*kgtoGg,"ERROR")))</f>
        <v>0.40464075152916346</v>
      </c>
      <c r="AA962" s="93">
        <f>IF('Net zero activities &amp; levers'!$C$12="Off",('Activity data'!AT19*EF!$H50*EF!$H68)*NtoN2O*kgtoGg,IF('Net zero activities &amp; levers'!$C$12="PB",('Activity data'!AT19*EF!$H50*EF!$H68)*NtoN2O*kgtoGg,IF('Net zero activities &amp; levers'!$C$12="MS",('Net zero Activity data'!AT19*EF!$H50*EF!$H68)*NtoN2O*kgtoGg,"ERROR")))</f>
        <v>0.41330404639575669</v>
      </c>
      <c r="AB962" s="93">
        <f>IF('Net zero activities &amp; levers'!$C$12="Off",('Activity data'!AU19*EF!$H50*EF!$H68)*NtoN2O*kgtoGg,IF('Net zero activities &amp; levers'!$C$12="PB",('Activity data'!AU19*EF!$H50*EF!$H68)*NtoN2O*kgtoGg,IF('Net zero activities &amp; levers'!$C$12="MS",('Net zero Activity data'!AU19*EF!$H50*EF!$H68)*NtoN2O*kgtoGg,"ERROR")))</f>
        <v>0.42334665156208889</v>
      </c>
      <c r="AC962" s="93">
        <f>IF('Net zero activities &amp; levers'!$C$12="Off",('Activity data'!AV19*EF!$H50*EF!$H68)*NtoN2O*kgtoGg,IF('Net zero activities &amp; levers'!$C$12="PB",('Activity data'!AV19*EF!$H50*EF!$H68)*NtoN2O*kgtoGg,IF('Net zero activities &amp; levers'!$C$12="MS",('Net zero Activity data'!AV19*EF!$H50*EF!$H68)*NtoN2O*kgtoGg,"ERROR")))</f>
        <v>0.43473806986049379</v>
      </c>
      <c r="AD962" s="93">
        <f>IF('Net zero activities &amp; levers'!$C$12="Off",('Activity data'!AW19*EF!$H50*EF!$H68)*NtoN2O*kgtoGg,IF('Net zero activities &amp; levers'!$C$12="PB",('Activity data'!AW19*EF!$H50*EF!$H68)*NtoN2O*kgtoGg,IF('Net zero activities &amp; levers'!$C$12="MS",('Net zero Activity data'!AW19*EF!$H50*EF!$H68)*NtoN2O*kgtoGg,"ERROR")))</f>
        <v>0.44699375378888861</v>
      </c>
      <c r="AE962" s="93">
        <f>IF('Net zero activities &amp; levers'!$C$12="Off",('Activity data'!AX19*EF!$H50*EF!$H68)*NtoN2O*kgtoGg,IF('Net zero activities &amp; levers'!$C$12="PB",('Activity data'!AX19*EF!$H50*EF!$H68)*NtoN2O*kgtoGg,IF('Net zero activities &amp; levers'!$C$12="MS",('Net zero Activity data'!AX19*EF!$H50*EF!$H68)*NtoN2O*kgtoGg,"ERROR")))</f>
        <v>0.46011178168093952</v>
      </c>
      <c r="AF962" s="93">
        <f>IF('Net zero activities &amp; levers'!$C$12="Off",('Activity data'!AY19*EF!$H50*EF!$H68)*NtoN2O*kgtoGg,IF('Net zero activities &amp; levers'!$C$12="PB",('Activity data'!AY19*EF!$H50*EF!$H68)*NtoN2O*kgtoGg,IF('Net zero activities &amp; levers'!$C$12="MS",('Net zero Activity data'!AY19*EF!$H50*EF!$H68)*NtoN2O*kgtoGg,"ERROR")))</f>
        <v>0.47382089637959635</v>
      </c>
      <c r="AG962" s="93">
        <f>IF('Net zero activities &amp; levers'!$C$12="Off",('Activity data'!AZ19*EF!$H50*EF!$H68)*NtoN2O*kgtoGg,IF('Net zero activities &amp; levers'!$C$12="PB",('Activity data'!AZ19*EF!$H50*EF!$H68)*NtoN2O*kgtoGg,IF('Net zero activities &amp; levers'!$C$12="MS",('Net zero Activity data'!AZ19*EF!$H50*EF!$H68)*NtoN2O*kgtoGg,"ERROR")))</f>
        <v>0.48826027881230222</v>
      </c>
      <c r="AH962" s="93">
        <f>IF('Net zero activities &amp; levers'!$C$12="Off",('Activity data'!BA19*EF!$H50*EF!$H68)*NtoN2O*kgtoGg,IF('Net zero activities &amp; levers'!$C$12="PB",('Activity data'!BA19*EF!$H50*EF!$H68)*NtoN2O*kgtoGg,IF('Net zero activities &amp; levers'!$C$12="MS",('Net zero Activity data'!BA19*EF!$H50*EF!$H68)*NtoN2O*kgtoGg,"ERROR")))</f>
        <v>0.50330862860005154</v>
      </c>
      <c r="AI962" s="93">
        <f>IF('Net zero activities &amp; levers'!$C$12="Off",('Activity data'!BB19*EF!$H50*EF!$H68)*NtoN2O*kgtoGg,IF('Net zero activities &amp; levers'!$C$12="PB",('Activity data'!BB19*EF!$H50*EF!$H68)*NtoN2O*kgtoGg,IF('Net zero activities &amp; levers'!$C$12="MS",('Net zero Activity data'!BB19*EF!$H50*EF!$H68)*NtoN2O*kgtoGg,"ERROR")))</f>
        <v>0.5184689754858961</v>
      </c>
      <c r="AJ962" s="93">
        <f>IF('Net zero activities &amp; levers'!$C$12="Off",('Activity data'!BC19*EF!$H50*EF!$H68)*NtoN2O*kgtoGg,IF('Net zero activities &amp; levers'!$C$12="PB",('Activity data'!BC19*EF!$H50*EF!$H68)*NtoN2O*kgtoGg,IF('Net zero activities &amp; levers'!$C$12="MS",('Net zero Activity data'!BC19*EF!$H50*EF!$H68)*NtoN2O*kgtoGg,"ERROR")))</f>
        <v>0.53447970815576928</v>
      </c>
      <c r="AK962" s="93">
        <f>IF('Net zero activities &amp; levers'!$C$12="Off",('Activity data'!BD19*EF!$H50*EF!$H68)*NtoN2O*kgtoGg,IF('Net zero activities &amp; levers'!$C$12="PB",('Activity data'!BD19*EF!$H50*EF!$H68)*NtoN2O*kgtoGg,IF('Net zero activities &amp; levers'!$C$12="MS",('Net zero Activity data'!BD19*EF!$H50*EF!$H68)*NtoN2O*kgtoGg,"ERROR")))</f>
        <v>0.55086704408448872</v>
      </c>
      <c r="AL962" s="93">
        <f>IF('Net zero activities &amp; levers'!$C$12="Off",('Activity data'!BE19*EF!$H50*EF!$H68)*NtoN2O*kgtoGg,IF('Net zero activities &amp; levers'!$C$12="PB",('Activity data'!BE19*EF!$H50*EF!$H68)*NtoN2O*kgtoGg,IF('Net zero activities &amp; levers'!$C$12="MS",('Net zero Activity data'!BE19*EF!$H50*EF!$H68)*NtoN2O*kgtoGg,"ERROR")))</f>
        <v>0.56759733652439393</v>
      </c>
      <c r="AM962" s="93">
        <f>IF('Net zero activities &amp; levers'!$C$12="Off",('Activity data'!BF19*EF!$H50*EF!$H68)*NtoN2O*kgtoGg,IF('Net zero activities &amp; levers'!$C$12="PB",('Activity data'!BF19*EF!$H50*EF!$H68)*NtoN2O*kgtoGg,IF('Net zero activities &amp; levers'!$C$12="MS",('Net zero Activity data'!BF19*EF!$H50*EF!$H68)*NtoN2O*kgtoGg,"ERROR")))</f>
        <v>0.58490701814028823</v>
      </c>
      <c r="AN962" s="93">
        <f>IF('Net zero activities &amp; levers'!$C$12="Off",('Activity data'!BG19*EF!$H50*EF!$H68)*NtoN2O*kgtoGg,IF('Net zero activities &amp; levers'!$C$12="PB",('Activity data'!BG19*EF!$H50*EF!$H68)*NtoN2O*kgtoGg,IF('Net zero activities &amp; levers'!$C$12="MS",('Net zero Activity data'!BG19*EF!$H50*EF!$H68)*NtoN2O*kgtoGg,"ERROR")))</f>
        <v>0.60223366750494911</v>
      </c>
      <c r="AO962" s="93">
        <f>IF('Net zero activities &amp; levers'!$C$12="Off",('Activity data'!BH19*EF!$H50*EF!$H68)*NtoN2O*kgtoGg,IF('Net zero activities &amp; levers'!$C$12="PB",('Activity data'!BH19*EF!$H50*EF!$H68)*NtoN2O*kgtoGg,IF('Net zero activities &amp; levers'!$C$12="MS",('Net zero Activity data'!BH19*EF!$H50*EF!$H68)*NtoN2O*kgtoGg,"ERROR")))</f>
        <v>0.62036595204994383</v>
      </c>
      <c r="AP962" s="93">
        <f>IF('Net zero activities &amp; levers'!$C$12="Off",('Activity data'!BI19*EF!$H50*EF!$H68)*NtoN2O*kgtoGg,IF('Net zero activities &amp; levers'!$C$12="PB",('Activity data'!BI19*EF!$H50*EF!$H68)*NtoN2O*kgtoGg,IF('Net zero activities &amp; levers'!$C$12="MS",('Net zero Activity data'!BI19*EF!$H50*EF!$H68)*NtoN2O*kgtoGg,"ERROR")))</f>
        <v>0.63960685850737242</v>
      </c>
      <c r="AQ962" s="93">
        <f>IF('Net zero activities &amp; levers'!$C$12="Off",('Activity data'!BJ19*EF!$H50*EF!$H68)*NtoN2O*kgtoGg,IF('Net zero activities &amp; levers'!$C$12="PB",('Activity data'!BJ19*EF!$H50*EF!$H68)*NtoN2O*kgtoGg,IF('Net zero activities &amp; levers'!$C$12="MS",('Net zero Activity data'!BJ19*EF!$H50*EF!$H68)*NtoN2O*kgtoGg,"ERROR")))</f>
        <v>0.65948374000710175</v>
      </c>
      <c r="AR962" s="93">
        <f>IF('Net zero activities &amp; levers'!$C$12="Off",('Activity data'!BK19*EF!$H50*EF!$H68)*NtoN2O*kgtoGg,IF('Net zero activities &amp; levers'!$C$12="PB",('Activity data'!BK19*EF!$H50*EF!$H68)*NtoN2O*kgtoGg,IF('Net zero activities &amp; levers'!$C$12="MS",('Net zero Activity data'!BK19*EF!$H50*EF!$H68)*NtoN2O*kgtoGg,"ERROR")))</f>
        <v>0.68003541307118265</v>
      </c>
      <c r="AS962" s="93">
        <f>IF('Net zero activities &amp; levers'!$C$12="Off",('Activity data'!BL19*EF!$H50*EF!$H68)*NtoN2O*kgtoGg,IF('Net zero activities &amp; levers'!$C$12="PB",('Activity data'!BL19*EF!$H50*EF!$H68)*NtoN2O*kgtoGg,IF('Net zero activities &amp; levers'!$C$12="MS",('Net zero Activity data'!BL19*EF!$H50*EF!$H68)*NtoN2O*kgtoGg,"ERROR")))</f>
        <v>0.70183096342172768</v>
      </c>
      <c r="AT962" s="93">
        <f>IF('Net zero activities &amp; levers'!$C$12="Off",('Activity data'!BM19*EF!$H50*EF!$H68)*NtoN2O*kgtoGg,IF('Net zero activities &amp; levers'!$C$12="PB",('Activity data'!BM19*EF!$H50*EF!$H68)*NtoN2O*kgtoGg,IF('Net zero activities &amp; levers'!$C$12="MS",('Net zero Activity data'!BM19*EF!$H50*EF!$H68)*NtoN2O*kgtoGg,"ERROR")))</f>
        <v>0.72471687693803755</v>
      </c>
      <c r="AU962" s="93">
        <f>IF('Net zero activities &amp; levers'!$C$12="Off",('Activity data'!BN19*EF!$H50*EF!$H68)*NtoN2O*kgtoGg,IF('Net zero activities &amp; levers'!$C$12="PB",('Activity data'!BN19*EF!$H50*EF!$H68)*NtoN2O*kgtoGg,IF('Net zero activities &amp; levers'!$C$12="MS",('Net zero Activity data'!BN19*EF!$H50*EF!$H68)*NtoN2O*kgtoGg,"ERROR")))</f>
        <v>0.74859496074669962</v>
      </c>
      <c r="AV962" s="93">
        <f>IF('Net zero activities &amp; levers'!$C$12="Off",('Activity data'!BO19*EF!$H50*EF!$H68)*NtoN2O*kgtoGg,IF('Net zero activities &amp; levers'!$C$12="PB",('Activity data'!BO19*EF!$H50*EF!$H68)*NtoN2O*kgtoGg,IF('Net zero activities &amp; levers'!$C$12="MS",('Net zero Activity data'!BO19*EF!$H50*EF!$H68)*NtoN2O*kgtoGg,"ERROR")))</f>
        <v>0.77385822122722236</v>
      </c>
      <c r="AW962" s="93">
        <f>IF('Net zero activities &amp; levers'!$C$12="Off",('Activity data'!BP19*EF!$H50*EF!$H68)*NtoN2O*kgtoGg,IF('Net zero activities &amp; levers'!$C$12="PB",('Activity data'!BP19*EF!$H50*EF!$H68)*NtoN2O*kgtoGg,IF('Net zero activities &amp; levers'!$C$12="MS",('Net zero Activity data'!BP19*EF!$H50*EF!$H68)*NtoN2O*kgtoGg,"ERROR")))</f>
        <v>0.79838507129603287</v>
      </c>
      <c r="AY962" s="79"/>
      <c r="AZ962" s="79"/>
    </row>
    <row r="963" spans="1:52" x14ac:dyDescent="0.25">
      <c r="A963" s="95" t="str">
        <f t="shared" si="326"/>
        <v>DS Poultry MMN2O</v>
      </c>
      <c r="B963" s="95" t="s">
        <v>973</v>
      </c>
      <c r="C963" s="95" t="s">
        <v>1233</v>
      </c>
      <c r="D963" t="s">
        <v>15</v>
      </c>
      <c r="E963" t="s">
        <v>657</v>
      </c>
      <c r="F963" t="s">
        <v>28</v>
      </c>
      <c r="G963" t="s">
        <v>132</v>
      </c>
      <c r="H963" t="s">
        <v>1226</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1.7601182693498105</v>
      </c>
      <c r="N963" s="93">
        <f>IF('Net zero activities &amp; levers'!$C$12="Off",('Activity data'!AG20*EF!$H51*EF!$H69)*NtoN2O*kgtoGg,IF('Net zero activities &amp; levers'!$C$12="PB",('Activity data'!AG20*EF!$H51*EF!$H69)*NtoN2O*kgtoGg,IF('Net zero activities &amp; levers'!$C$12="MS",('Net zero Activity data'!AG20*EF!$H51*EF!$H69)*NtoN2O*kgtoGg,"ERROR")))</f>
        <v>1.7704533576020511</v>
      </c>
      <c r="O963" s="93">
        <f>IF('Net zero activities &amp; levers'!$C$12="Off",('Activity data'!AH20*EF!$H51*EF!$H69)*NtoN2O*kgtoGg,IF('Net zero activities &amp; levers'!$C$12="PB",('Activity data'!AH20*EF!$H51*EF!$H69)*NtoN2O*kgtoGg,IF('Net zero activities &amp; levers'!$C$12="MS",('Net zero Activity data'!AH20*EF!$H51*EF!$H69)*NtoN2O*kgtoGg,"ERROR")))</f>
        <v>1.7641159598844747</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1.7315152516158574</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1.4999683948751941</v>
      </c>
      <c r="T963" s="93">
        <f>IF('Net zero activities &amp; levers'!$C$12="Off",('Activity data'!AM20*EF!$H51*EF!$H69)*NtoN2O*kgtoGg,IF('Net zero activities &amp; levers'!$C$12="PB",('Activity data'!AM20*EF!$H51*EF!$H69)*NtoN2O*kgtoGg,IF('Net zero activities &amp; levers'!$C$12="MS",('Net zero Activity data'!AM20*EF!$H51*EF!$H69)*NtoN2O*kgtoGg,"ERROR")))</f>
        <v>1.635678170936574</v>
      </c>
      <c r="U963" s="93">
        <f>IF('Net zero activities &amp; levers'!$C$12="Off",('Activity data'!AN20*EF!$H51*EF!$H69)*NtoN2O*kgtoGg,IF('Net zero activities &amp; levers'!$C$12="PB",('Activity data'!AN20*EF!$H51*EF!$H69)*NtoN2O*kgtoGg,IF('Net zero activities &amp; levers'!$C$12="MS",('Net zero Activity data'!AN20*EF!$H51*EF!$H69)*NtoN2O*kgtoGg,"ERROR")))</f>
        <v>1.7009774454367668</v>
      </c>
      <c r="V963" s="93">
        <f>IF('Net zero activities &amp; levers'!$C$12="Off",('Activity data'!AO20*EF!$H51*EF!$H69)*NtoN2O*kgtoGg,IF('Net zero activities &amp; levers'!$C$12="PB",('Activity data'!AO20*EF!$H51*EF!$H69)*NtoN2O*kgtoGg,IF('Net zero activities &amp; levers'!$C$12="MS",('Net zero Activity data'!AO20*EF!$H51*EF!$H69)*NtoN2O*kgtoGg,"ERROR")))</f>
        <v>1.7091479327288939</v>
      </c>
      <c r="W963" s="93">
        <f>IF('Net zero activities &amp; levers'!$C$12="Off",('Activity data'!AP20*EF!$H51*EF!$H69)*NtoN2O*kgtoGg,IF('Net zero activities &amp; levers'!$C$12="PB",('Activity data'!AP20*EF!$H51*EF!$H69)*NtoN2O*kgtoGg,IF('Net zero activities &amp; levers'!$C$12="MS",('Net zero Activity data'!AP20*EF!$H51*EF!$H69)*NtoN2O*kgtoGg,"ERROR")))</f>
        <v>1.7185668307415591</v>
      </c>
      <c r="X963" s="93">
        <f>IF('Net zero activities &amp; levers'!$C$12="Off",('Activity data'!AQ20*EF!$H51*EF!$H69)*NtoN2O*kgtoGg,IF('Net zero activities &amp; levers'!$C$12="PB",('Activity data'!AQ20*EF!$H51*EF!$H69)*NtoN2O*kgtoGg,IF('Net zero activities &amp; levers'!$C$12="MS",('Net zero Activity data'!AQ20*EF!$H51*EF!$H69)*NtoN2O*kgtoGg,"ERROR")))</f>
        <v>1.7424532471009451</v>
      </c>
      <c r="Y963" s="93">
        <f>IF('Net zero activities &amp; levers'!$C$12="Off",('Activity data'!AR20*EF!$H51*EF!$H69)*NtoN2O*kgtoGg,IF('Net zero activities &amp; levers'!$C$12="PB",('Activity data'!AR20*EF!$H51*EF!$H69)*NtoN2O*kgtoGg,IF('Net zero activities &amp; levers'!$C$12="MS",('Net zero Activity data'!AR20*EF!$H51*EF!$H69)*NtoN2O*kgtoGg,"ERROR")))</f>
        <v>1.7817834224196265</v>
      </c>
      <c r="Z963" s="93">
        <f>IF('Net zero activities &amp; levers'!$C$12="Off",('Activity data'!AS20*EF!$H51*EF!$H69)*NtoN2O*kgtoGg,IF('Net zero activities &amp; levers'!$C$12="PB",('Activity data'!AS20*EF!$H51*EF!$H69)*NtoN2O*kgtoGg,IF('Net zero activities &amp; levers'!$C$12="MS",('Net zero Activity data'!AS20*EF!$H51*EF!$H69)*NtoN2O*kgtoGg,"ERROR")))</f>
        <v>1.8288406604826053</v>
      </c>
      <c r="AA963" s="93">
        <f>IF('Net zero activities &amp; levers'!$C$12="Off",('Activity data'!AT20*EF!$H51*EF!$H69)*NtoN2O*kgtoGg,IF('Net zero activities &amp; levers'!$C$12="PB",('Activity data'!AT20*EF!$H51*EF!$H69)*NtoN2O*kgtoGg,IF('Net zero activities &amp; levers'!$C$12="MS",('Net zero Activity data'!AT20*EF!$H51*EF!$H69)*NtoN2O*kgtoGg,"ERROR")))</f>
        <v>1.885701932517597</v>
      </c>
      <c r="AB963" s="93">
        <f>IF('Net zero activities &amp; levers'!$C$12="Off",('Activity data'!AU20*EF!$H51*EF!$H69)*NtoN2O*kgtoGg,IF('Net zero activities &amp; levers'!$C$12="PB",('Activity data'!AU20*EF!$H51*EF!$H69)*NtoN2O*kgtoGg,IF('Net zero activities &amp; levers'!$C$12="MS",('Net zero Activity data'!AU20*EF!$H51*EF!$H69)*NtoN2O*kgtoGg,"ERROR")))</f>
        <v>1.9586802917289898</v>
      </c>
      <c r="AC963" s="93">
        <f>IF('Net zero activities &amp; levers'!$C$12="Off",('Activity data'!AV20*EF!$H51*EF!$H69)*NtoN2O*kgtoGg,IF('Net zero activities &amp; levers'!$C$12="PB",('Activity data'!AV20*EF!$H51*EF!$H69)*NtoN2O*kgtoGg,IF('Net zero activities &amp; levers'!$C$12="MS",('Net zero Activity data'!AV20*EF!$H51*EF!$H69)*NtoN2O*kgtoGg,"ERROR")))</f>
        <v>2.0469431813370456</v>
      </c>
      <c r="AD963" s="93">
        <f>IF('Net zero activities &amp; levers'!$C$12="Off",('Activity data'!AW20*EF!$H51*EF!$H69)*NtoN2O*kgtoGg,IF('Net zero activities &amp; levers'!$C$12="PB",('Activity data'!AW20*EF!$H51*EF!$H69)*NtoN2O*kgtoGg,IF('Net zero activities &amp; levers'!$C$12="MS",('Net zero Activity data'!AW20*EF!$H51*EF!$H69)*NtoN2O*kgtoGg,"ERROR")))</f>
        <v>2.1446346617917671</v>
      </c>
      <c r="AE963" s="93">
        <f>IF('Net zero activities &amp; levers'!$C$12="Off",('Activity data'!AX20*EF!$H51*EF!$H69)*NtoN2O*kgtoGg,IF('Net zero activities &amp; levers'!$C$12="PB",('Activity data'!AX20*EF!$H51*EF!$H69)*NtoN2O*kgtoGg,IF('Net zero activities &amp; levers'!$C$12="MS",('Net zero Activity data'!AX20*EF!$H51*EF!$H69)*NtoN2O*kgtoGg,"ERROR")))</f>
        <v>2.2514306358992373</v>
      </c>
      <c r="AF963" s="93">
        <f>IF('Net zero activities &amp; levers'!$C$12="Off",('Activity data'!AY20*EF!$H51*EF!$H69)*NtoN2O*kgtoGg,IF('Net zero activities &amp; levers'!$C$12="PB",('Activity data'!AY20*EF!$H51*EF!$H69)*NtoN2O*kgtoGg,IF('Net zero activities &amp; levers'!$C$12="MS",('Net zero Activity data'!AY20*EF!$H51*EF!$H69)*NtoN2O*kgtoGg,"ERROR")))</f>
        <v>2.364080403374996</v>
      </c>
      <c r="AG963" s="93">
        <f>IF('Net zero activities &amp; levers'!$C$12="Off",('Activity data'!AZ20*EF!$H51*EF!$H69)*NtoN2O*kgtoGg,IF('Net zero activities &amp; levers'!$C$12="PB",('Activity data'!AZ20*EF!$H51*EF!$H69)*NtoN2O*kgtoGg,IF('Net zero activities &amp; levers'!$C$12="MS",('Net zero Activity data'!AZ20*EF!$H51*EF!$H69)*NtoN2O*kgtoGg,"ERROR")))</f>
        <v>2.4840914132913525</v>
      </c>
      <c r="AH963" s="93">
        <f>IF('Net zero activities &amp; levers'!$C$12="Off",('Activity data'!BA20*EF!$H51*EF!$H69)*NtoN2O*kgtoGg,IF('Net zero activities &amp; levers'!$C$12="PB",('Activity data'!BA20*EF!$H51*EF!$H69)*NtoN2O*kgtoGg,IF('Net zero activities &amp; levers'!$C$12="MS",('Net zero Activity data'!BA20*EF!$H51*EF!$H69)*NtoN2O*kgtoGg,"ERROR")))</f>
        <v>2.609932995576361</v>
      </c>
      <c r="AI963" s="93">
        <f>IF('Net zero activities &amp; levers'!$C$12="Off",('Activity data'!BB20*EF!$H51*EF!$H69)*NtoN2O*kgtoGg,IF('Net zero activities &amp; levers'!$C$12="PB",('Activity data'!BB20*EF!$H51*EF!$H69)*NtoN2O*kgtoGg,IF('Net zero activities &amp; levers'!$C$12="MS",('Net zero Activity data'!BB20*EF!$H51*EF!$H69)*NtoN2O*kgtoGg,"ERROR")))</f>
        <v>2.7359571600200745</v>
      </c>
      <c r="AJ963" s="93">
        <f>IF('Net zero activities &amp; levers'!$C$12="Off",('Activity data'!BC20*EF!$H51*EF!$H69)*NtoN2O*kgtoGg,IF('Net zero activities &amp; levers'!$C$12="PB",('Activity data'!BC20*EF!$H51*EF!$H69)*NtoN2O*kgtoGg,IF('Net zero activities &amp; levers'!$C$12="MS",('Net zero Activity data'!BC20*EF!$H51*EF!$H69)*NtoN2O*kgtoGg,"ERROR")))</f>
        <v>2.870315303671148</v>
      </c>
      <c r="AK963" s="93">
        <f>IF('Net zero activities &amp; levers'!$C$12="Off",('Activity data'!BD20*EF!$H51*EF!$H69)*NtoN2O*kgtoGg,IF('Net zero activities &amp; levers'!$C$12="PB",('Activity data'!BD20*EF!$H51*EF!$H69)*NtoN2O*kgtoGg,IF('Net zero activities &amp; levers'!$C$12="MS",('Net zero Activity data'!BD20*EF!$H51*EF!$H69)*NtoN2O*kgtoGg,"ERROR")))</f>
        <v>3.0078431709030542</v>
      </c>
      <c r="AL963" s="93">
        <f>IF('Net zero activities &amp; levers'!$C$12="Off",('Activity data'!BE20*EF!$H51*EF!$H69)*NtoN2O*kgtoGg,IF('Net zero activities &amp; levers'!$C$12="PB",('Activity data'!BE20*EF!$H51*EF!$H69)*NtoN2O*kgtoGg,IF('Net zero activities &amp; levers'!$C$12="MS",('Net zero Activity data'!BE20*EF!$H51*EF!$H69)*NtoN2O*kgtoGg,"ERROR")))</f>
        <v>3.1481328800356168</v>
      </c>
      <c r="AM963" s="93">
        <f>IF('Net zero activities &amp; levers'!$C$12="Off",('Activity data'!BF20*EF!$H51*EF!$H69)*NtoN2O*kgtoGg,IF('Net zero activities &amp; levers'!$C$12="PB",('Activity data'!BF20*EF!$H51*EF!$H69)*NtoN2O*kgtoGg,IF('Net zero activities &amp; levers'!$C$12="MS",('Net zero Activity data'!BF20*EF!$H51*EF!$H69)*NtoN2O*kgtoGg,"ERROR")))</f>
        <v>3.293658685243031</v>
      </c>
      <c r="AN963" s="93">
        <f>IF('Net zero activities &amp; levers'!$C$12="Off",('Activity data'!BG20*EF!$H51*EF!$H69)*NtoN2O*kgtoGg,IF('Net zero activities &amp; levers'!$C$12="PB",('Activity data'!BG20*EF!$H51*EF!$H69)*NtoN2O*kgtoGg,IF('Net zero activities &amp; levers'!$C$12="MS",('Net zero Activity data'!BG20*EF!$H51*EF!$H69)*NtoN2O*kgtoGg,"ERROR")))</f>
        <v>3.4383107407406079</v>
      </c>
      <c r="AO963" s="93">
        <f>IF('Net zero activities &amp; levers'!$C$12="Off",('Activity data'!BH20*EF!$H51*EF!$H69)*NtoN2O*kgtoGg,IF('Net zero activities &amp; levers'!$C$12="PB",('Activity data'!BH20*EF!$H51*EF!$H69)*NtoN2O*kgtoGg,IF('Net zero activities &amp; levers'!$C$12="MS",('Net zero Activity data'!BH20*EF!$H51*EF!$H69)*NtoN2O*kgtoGg,"ERROR")))</f>
        <v>3.5905693529651876</v>
      </c>
      <c r="AP963" s="93">
        <f>IF('Net zero activities &amp; levers'!$C$12="Off",('Activity data'!BI20*EF!$H51*EF!$H69)*NtoN2O*kgtoGg,IF('Net zero activities &amp; levers'!$C$12="PB",('Activity data'!BI20*EF!$H51*EF!$H69)*NtoN2O*kgtoGg,IF('Net zero activities &amp; levers'!$C$12="MS",('Net zero Activity data'!BI20*EF!$H51*EF!$H69)*NtoN2O*kgtoGg,"ERROR")))</f>
        <v>3.7535692593915186</v>
      </c>
      <c r="AQ963" s="93">
        <f>IF('Net zero activities &amp; levers'!$C$12="Off",('Activity data'!BJ20*EF!$H51*EF!$H69)*NtoN2O*kgtoGg,IF('Net zero activities &amp; levers'!$C$12="PB",('Activity data'!BJ20*EF!$H51*EF!$H69)*NtoN2O*kgtoGg,IF('Net zero activities &amp; levers'!$C$12="MS",('Net zero Activity data'!BJ20*EF!$H51*EF!$H69)*NtoN2O*kgtoGg,"ERROR")))</f>
        <v>3.922195814332385</v>
      </c>
      <c r="AR963" s="93">
        <f>IF('Net zero activities &amp; levers'!$C$12="Off",('Activity data'!BK20*EF!$H51*EF!$H69)*NtoN2O*kgtoGg,IF('Net zero activities &amp; levers'!$C$12="PB",('Activity data'!BK20*EF!$H51*EF!$H69)*NtoN2O*kgtoGg,IF('Net zero activities &amp; levers'!$C$12="MS",('Net zero Activity data'!BK20*EF!$H51*EF!$H69)*NtoN2O*kgtoGg,"ERROR")))</f>
        <v>4.0968427833898948</v>
      </c>
      <c r="AS963" s="93">
        <f>IF('Net zero activities &amp; levers'!$C$12="Off",('Activity data'!BL20*EF!$H51*EF!$H69)*NtoN2O*kgtoGg,IF('Net zero activities &amp; levers'!$C$12="PB",('Activity data'!BL20*EF!$H51*EF!$H69)*NtoN2O*kgtoGg,IF('Net zero activities &amp; levers'!$C$12="MS",('Net zero Activity data'!BL20*EF!$H51*EF!$H69)*NtoN2O*kgtoGg,"ERROR")))</f>
        <v>4.2833995063649954</v>
      </c>
      <c r="AT963" s="93">
        <f>IF('Net zero activities &amp; levers'!$C$12="Off",('Activity data'!BM20*EF!$H51*EF!$H69)*NtoN2O*kgtoGg,IF('Net zero activities &amp; levers'!$C$12="PB",('Activity data'!BM20*EF!$H51*EF!$H69)*NtoN2O*kgtoGg,IF('Net zero activities &amp; levers'!$C$12="MS",('Net zero Activity data'!BM20*EF!$H51*EF!$H69)*NtoN2O*kgtoGg,"ERROR")))</f>
        <v>4.4801147383664359</v>
      </c>
      <c r="AU963" s="93">
        <f>IF('Net zero activities &amp; levers'!$C$12="Off",('Activity data'!BN20*EF!$H51*EF!$H69)*NtoN2O*kgtoGg,IF('Net zero activities &amp; levers'!$C$12="PB",('Activity data'!BN20*EF!$H51*EF!$H69)*NtoN2O*kgtoGg,IF('Net zero activities &amp; levers'!$C$12="MS",('Net zero Activity data'!BN20*EF!$H51*EF!$H69)*NtoN2O*kgtoGg,"ERROR")))</f>
        <v>4.6858252173265607</v>
      </c>
      <c r="AV963" s="93">
        <f>IF('Net zero activities &amp; levers'!$C$12="Off",('Activity data'!BO20*EF!$H51*EF!$H69)*NtoN2O*kgtoGg,IF('Net zero activities &amp; levers'!$C$12="PB",('Activity data'!BO20*EF!$H51*EF!$H69)*NtoN2O*kgtoGg,IF('Net zero activities &amp; levers'!$C$12="MS",('Net zero Activity data'!BO20*EF!$H51*EF!$H69)*NtoN2O*kgtoGg,"ERROR")))</f>
        <v>4.9044073325814885</v>
      </c>
      <c r="AW963" s="93">
        <f>IF('Net zero activities &amp; levers'!$C$12="Off",('Activity data'!BP20*EF!$H51*EF!$H69)*NtoN2O*kgtoGg,IF('Net zero activities &amp; levers'!$C$12="PB",('Activity data'!BP20*EF!$H51*EF!$H69)*NtoN2O*kgtoGg,IF('Net zero activities &amp; levers'!$C$12="MS",('Net zero Activity data'!BP20*EF!$H51*EF!$H69)*NtoN2O*kgtoGg,"ERROR")))</f>
        <v>5.1142236717204526</v>
      </c>
      <c r="AY963" s="79"/>
      <c r="AZ963" s="79"/>
    </row>
    <row r="964" spans="1:52" x14ac:dyDescent="0.25">
      <c r="A964" s="95" t="str">
        <f t="shared" si="326"/>
        <v>DS Poultry MMN2O</v>
      </c>
      <c r="B964" s="95" t="s">
        <v>973</v>
      </c>
      <c r="C964" s="95" t="s">
        <v>1233</v>
      </c>
      <c r="D964" t="s">
        <v>15</v>
      </c>
      <c r="E964" t="s">
        <v>657</v>
      </c>
      <c r="F964" t="s">
        <v>28</v>
      </c>
      <c r="G964" t="s">
        <v>134</v>
      </c>
      <c r="H964" t="s">
        <v>1226</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1.4711795979713126E-2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1.4639807593087044E-2</v>
      </c>
      <c r="T964" s="93">
        <f>IF('Net zero activities &amp; levers'!$C$12="Off",('Activity data'!AM21*EF!$H52*EF!$H70)*NtoN2O*kgtoGg,IF('Net zero activities &amp; levers'!$C$12="PB",('Activity data'!AM21*EF!$H52*EF!$H70)*NtoN2O*kgtoGg,IF('Net zero activities &amp; levers'!$C$12="MS",('Net zero Activity data'!AM21*EF!$H52*EF!$H70)*NtoN2O*kgtoGg,"ERROR")))</f>
        <v>1.525104477033961E-2</v>
      </c>
      <c r="U964" s="93">
        <f>IF('Net zero activities &amp; levers'!$C$12="Off",('Activity data'!AN21*EF!$H52*EF!$H70)*NtoN2O*kgtoGg,IF('Net zero activities &amp; levers'!$C$12="PB",('Activity data'!AN21*EF!$H52*EF!$H70)*NtoN2O*kgtoGg,IF('Net zero activities &amp; levers'!$C$12="MS",('Net zero Activity data'!AN21*EF!$H52*EF!$H70)*NtoN2O*kgtoGg,"ERROR")))</f>
        <v>1.5614307297049917E-2</v>
      </c>
      <c r="V964" s="93">
        <f>IF('Net zero activities &amp; levers'!$C$12="Off",('Activity data'!AO21*EF!$H52*EF!$H70)*NtoN2O*kgtoGg,IF('Net zero activities &amp; levers'!$C$12="PB",('Activity data'!AO21*EF!$H52*EF!$H70)*NtoN2O*kgtoGg,IF('Net zero activities &amp; levers'!$C$12="MS",('Net zero Activity data'!AO21*EF!$H52*EF!$H70)*NtoN2O*kgtoGg,"ERROR")))</f>
        <v>1.5787696718555604E-2</v>
      </c>
      <c r="W964" s="93">
        <f>IF('Net zero activities &amp; levers'!$C$12="Off",('Activity data'!AP21*EF!$H52*EF!$H70)*NtoN2O*kgtoGg,IF('Net zero activities &amp; levers'!$C$12="PB",('Activity data'!AP21*EF!$H52*EF!$H70)*NtoN2O*kgtoGg,IF('Net zero activities &amp; levers'!$C$12="MS",('Net zero Activity data'!AP21*EF!$H52*EF!$H70)*NtoN2O*kgtoGg,"ERROR")))</f>
        <v>1.5979991674340898E-2</v>
      </c>
      <c r="X964" s="93">
        <f>IF('Net zero activities &amp; levers'!$C$12="Off",('Activity data'!AQ21*EF!$H52*EF!$H70)*NtoN2O*kgtoGg,IF('Net zero activities &amp; levers'!$C$12="PB",('Activity data'!AQ21*EF!$H52*EF!$H70)*NtoN2O*kgtoGg,IF('Net zero activities &amp; levers'!$C$12="MS",('Net zero Activity data'!AQ21*EF!$H52*EF!$H70)*NtoN2O*kgtoGg,"ERROR")))</f>
        <v>1.6230764820934659E-2</v>
      </c>
      <c r="Y964" s="93">
        <f>IF('Net zero activities &amp; levers'!$C$12="Off",('Activity data'!AR21*EF!$H52*EF!$H70)*NtoN2O*kgtoGg,IF('Net zero activities &amp; levers'!$C$12="PB",('Activity data'!AR21*EF!$H52*EF!$H70)*NtoN2O*kgtoGg,IF('Net zero activities &amp; levers'!$C$12="MS",('Net zero Activity data'!AR21*EF!$H52*EF!$H70)*NtoN2O*kgtoGg,"ERROR")))</f>
        <v>1.6532631195523312E-2</v>
      </c>
      <c r="Z964" s="93">
        <f>IF('Net zero activities &amp; levers'!$C$12="Off",('Activity data'!AS21*EF!$H52*EF!$H70)*NtoN2O*kgtoGg,IF('Net zero activities &amp; levers'!$C$12="PB",('Activity data'!AS21*EF!$H52*EF!$H70)*NtoN2O*kgtoGg,IF('Net zero activities &amp; levers'!$C$12="MS",('Net zero Activity data'!AS21*EF!$H52*EF!$H70)*NtoN2O*kgtoGg,"ERROR")))</f>
        <v>1.6860031313715163E-2</v>
      </c>
      <c r="AA964" s="93">
        <f>IF('Net zero activities &amp; levers'!$C$12="Off",('Activity data'!AT21*EF!$H52*EF!$H70)*NtoN2O*kgtoGg,IF('Net zero activities &amp; levers'!$C$12="PB",('Activity data'!AT21*EF!$H52*EF!$H70)*NtoN2O*kgtoGg,IF('Net zero activities &amp; levers'!$C$12="MS",('Net zero Activity data'!AT21*EF!$H52*EF!$H70)*NtoN2O*kgtoGg,"ERROR")))</f>
        <v>1.7221001933156545E-2</v>
      </c>
      <c r="AB964" s="93">
        <f>IF('Net zero activities &amp; levers'!$C$12="Off",('Activity data'!AU21*EF!$H52*EF!$H70)*NtoN2O*kgtoGg,IF('Net zero activities &amp; levers'!$C$12="PB",('Activity data'!AU21*EF!$H52*EF!$H70)*NtoN2O*kgtoGg,IF('Net zero activities &amp; levers'!$C$12="MS",('Net zero Activity data'!AU21*EF!$H52*EF!$H70)*NtoN2O*kgtoGg,"ERROR")))</f>
        <v>1.7639443815087055E-2</v>
      </c>
      <c r="AC964" s="93">
        <f>IF('Net zero activities &amp; levers'!$C$12="Off",('Activity data'!AV21*EF!$H52*EF!$H70)*NtoN2O*kgtoGg,IF('Net zero activities &amp; levers'!$C$12="PB",('Activity data'!AV21*EF!$H52*EF!$H70)*NtoN2O*kgtoGg,IF('Net zero activities &amp; levers'!$C$12="MS",('Net zero Activity data'!AV21*EF!$H52*EF!$H70)*NtoN2O*kgtoGg,"ERROR")))</f>
        <v>1.8114086244187262E-2</v>
      </c>
      <c r="AD964" s="93">
        <f>IF('Net zero activities &amp; levers'!$C$12="Off",('Activity data'!AW21*EF!$H52*EF!$H70)*NtoN2O*kgtoGg,IF('Net zero activities &amp; levers'!$C$12="PB",('Activity data'!AW21*EF!$H52*EF!$H70)*NtoN2O*kgtoGg,IF('Net zero activities &amp; levers'!$C$12="MS",('Net zero Activity data'!AW21*EF!$H52*EF!$H70)*NtoN2O*kgtoGg,"ERROR")))</f>
        <v>1.8624739741203704E-2</v>
      </c>
      <c r="AE964" s="93">
        <f>IF('Net zero activities &amp; levers'!$C$12="Off",('Activity data'!AX21*EF!$H52*EF!$H70)*NtoN2O*kgtoGg,IF('Net zero activities &amp; levers'!$C$12="PB",('Activity data'!AX21*EF!$H52*EF!$H70)*NtoN2O*kgtoGg,IF('Net zero activities &amp; levers'!$C$12="MS",('Net zero Activity data'!AX21*EF!$H52*EF!$H70)*NtoN2O*kgtoGg,"ERROR")))</f>
        <v>1.9171324236705832E-2</v>
      </c>
      <c r="AF964" s="93">
        <f>IF('Net zero activities &amp; levers'!$C$12="Off",('Activity data'!AY21*EF!$H52*EF!$H70)*NtoN2O*kgtoGg,IF('Net zero activities &amp; levers'!$C$12="PB",('Activity data'!AY21*EF!$H52*EF!$H70)*NtoN2O*kgtoGg,IF('Net zero activities &amp; levers'!$C$12="MS",('Net zero Activity data'!AY21*EF!$H52*EF!$H70)*NtoN2O*kgtoGg,"ERROR")))</f>
        <v>1.9742537349149866E-2</v>
      </c>
      <c r="AG964" s="93">
        <f>IF('Net zero activities &amp; levers'!$C$12="Off",('Activity data'!AZ21*EF!$H52*EF!$H70)*NtoN2O*kgtoGg,IF('Net zero activities &amp; levers'!$C$12="PB",('Activity data'!AZ21*EF!$H52*EF!$H70)*NtoN2O*kgtoGg,IF('Net zero activities &amp; levers'!$C$12="MS",('Net zero Activity data'!AZ21*EF!$H52*EF!$H70)*NtoN2O*kgtoGg,"ERROR")))</f>
        <v>2.0344178283845944E-2</v>
      </c>
      <c r="AH964" s="93">
        <f>IF('Net zero activities &amp; levers'!$C$12="Off",('Activity data'!BA21*EF!$H52*EF!$H70)*NtoN2O*kgtoGg,IF('Net zero activities &amp; levers'!$C$12="PB",('Activity data'!BA21*EF!$H52*EF!$H70)*NtoN2O*kgtoGg,IF('Net zero activities &amp; levers'!$C$12="MS",('Net zero Activity data'!BA21*EF!$H52*EF!$H70)*NtoN2O*kgtoGg,"ERROR")))</f>
        <v>2.09711928583355E-2</v>
      </c>
      <c r="AI964" s="93">
        <f>IF('Net zero activities &amp; levers'!$C$12="Off",('Activity data'!BB21*EF!$H52*EF!$H70)*NtoN2O*kgtoGg,IF('Net zero activities &amp; levers'!$C$12="PB",('Activity data'!BB21*EF!$H52*EF!$H70)*NtoN2O*kgtoGg,IF('Net zero activities &amp; levers'!$C$12="MS",('Net zero Activity data'!BB21*EF!$H52*EF!$H70)*NtoN2O*kgtoGg,"ERROR")))</f>
        <v>2.1602873978579022E-2</v>
      </c>
      <c r="AJ964" s="93">
        <f>IF('Net zero activities &amp; levers'!$C$12="Off",('Activity data'!BC21*EF!$H52*EF!$H70)*NtoN2O*kgtoGg,IF('Net zero activities &amp; levers'!$C$12="PB",('Activity data'!BC21*EF!$H52*EF!$H70)*NtoN2O*kgtoGg,IF('Net zero activities &amp; levers'!$C$12="MS",('Net zero Activity data'!BC21*EF!$H52*EF!$H70)*NtoN2O*kgtoGg,"ERROR")))</f>
        <v>2.226998783982374E-2</v>
      </c>
      <c r="AK964" s="93">
        <f>IF('Net zero activities &amp; levers'!$C$12="Off",('Activity data'!BD21*EF!$H52*EF!$H70)*NtoN2O*kgtoGg,IF('Net zero activities &amp; levers'!$C$12="PB",('Activity data'!BD21*EF!$H52*EF!$H70)*NtoN2O*kgtoGg,IF('Net zero activities &amp; levers'!$C$12="MS",('Net zero Activity data'!BD21*EF!$H52*EF!$H70)*NtoN2O*kgtoGg,"ERROR")))</f>
        <v>2.2952793503520384E-2</v>
      </c>
      <c r="AL964" s="93">
        <f>IF('Net zero activities &amp; levers'!$C$12="Off",('Activity data'!BE21*EF!$H52*EF!$H70)*NtoN2O*kgtoGg,IF('Net zero activities &amp; levers'!$C$12="PB",('Activity data'!BE21*EF!$H52*EF!$H70)*NtoN2O*kgtoGg,IF('Net zero activities &amp; levers'!$C$12="MS",('Net zero Activity data'!BE21*EF!$H52*EF!$H70)*NtoN2O*kgtoGg,"ERROR")))</f>
        <v>2.3649889021849769E-2</v>
      </c>
      <c r="AM964" s="93">
        <f>IF('Net zero activities &amp; levers'!$C$12="Off",('Activity data'!BF21*EF!$H52*EF!$H70)*NtoN2O*kgtoGg,IF('Net zero activities &amp; levers'!$C$12="PB",('Activity data'!BF21*EF!$H52*EF!$H70)*NtoN2O*kgtoGg,IF('Net zero activities &amp; levers'!$C$12="MS",('Net zero Activity data'!BF21*EF!$H52*EF!$H70)*NtoN2O*kgtoGg,"ERROR")))</f>
        <v>2.4371125755845373E-2</v>
      </c>
      <c r="AN964" s="93">
        <f>IF('Net zero activities &amp; levers'!$C$12="Off",('Activity data'!BG21*EF!$H52*EF!$H70)*NtoN2O*kgtoGg,IF('Net zero activities &amp; levers'!$C$12="PB",('Activity data'!BG21*EF!$H52*EF!$H70)*NtoN2O*kgtoGg,IF('Net zero activities &amp; levers'!$C$12="MS",('Net zero Activity data'!BG21*EF!$H52*EF!$H70)*NtoN2O*kgtoGg,"ERROR")))</f>
        <v>2.5093069479372905E-2</v>
      </c>
      <c r="AO964" s="93">
        <f>IF('Net zero activities &amp; levers'!$C$12="Off",('Activity data'!BH21*EF!$H52*EF!$H70)*NtoN2O*kgtoGg,IF('Net zero activities &amp; levers'!$C$12="PB",('Activity data'!BH21*EF!$H52*EF!$H70)*NtoN2O*kgtoGg,IF('Net zero activities &amp; levers'!$C$12="MS",('Net zero Activity data'!BH21*EF!$H52*EF!$H70)*NtoN2O*kgtoGg,"ERROR")))</f>
        <v>2.5848581335414348E-2</v>
      </c>
      <c r="AP964" s="93">
        <f>IF('Net zero activities &amp; levers'!$C$12="Off",('Activity data'!BI21*EF!$H52*EF!$H70)*NtoN2O*kgtoGg,IF('Net zero activities &amp; levers'!$C$12="PB",('Activity data'!BI21*EF!$H52*EF!$H70)*NtoN2O*kgtoGg,IF('Net zero activities &amp; levers'!$C$12="MS",('Net zero Activity data'!BI21*EF!$H52*EF!$H70)*NtoN2O*kgtoGg,"ERROR")))</f>
        <v>2.665028577114054E-2</v>
      </c>
      <c r="AQ964" s="93">
        <f>IF('Net zero activities &amp; levers'!$C$12="Off",('Activity data'!BJ21*EF!$H52*EF!$H70)*NtoN2O*kgtoGg,IF('Net zero activities &amp; levers'!$C$12="PB",('Activity data'!BJ21*EF!$H52*EF!$H70)*NtoN2O*kgtoGg,IF('Net zero activities &amp; levers'!$C$12="MS",('Net zero Activity data'!BJ21*EF!$H52*EF!$H70)*NtoN2O*kgtoGg,"ERROR")))</f>
        <v>2.7478489166962602E-2</v>
      </c>
      <c r="AR964" s="93">
        <f>IF('Net zero activities &amp; levers'!$C$12="Off",('Activity data'!BK21*EF!$H52*EF!$H70)*NtoN2O*kgtoGg,IF('Net zero activities &amp; levers'!$C$12="PB",('Activity data'!BK21*EF!$H52*EF!$H70)*NtoN2O*kgtoGg,IF('Net zero activities &amp; levers'!$C$12="MS",('Net zero Activity data'!BK21*EF!$H52*EF!$H70)*NtoN2O*kgtoGg,"ERROR")))</f>
        <v>2.8334808877965974E-2</v>
      </c>
      <c r="AS964" s="93">
        <f>IF('Net zero activities &amp; levers'!$C$12="Off",('Activity data'!BL21*EF!$H52*EF!$H70)*NtoN2O*kgtoGg,IF('Net zero activities &amp; levers'!$C$12="PB",('Activity data'!BL21*EF!$H52*EF!$H70)*NtoN2O*kgtoGg,IF('Net zero activities &amp; levers'!$C$12="MS",('Net zero Activity data'!BL21*EF!$H52*EF!$H70)*NtoN2O*kgtoGg,"ERROR")))</f>
        <v>2.924295680923868E-2</v>
      </c>
      <c r="AT964" s="93">
        <f>IF('Net zero activities &amp; levers'!$C$12="Off",('Activity data'!BM21*EF!$H52*EF!$H70)*NtoN2O*kgtoGg,IF('Net zero activities &amp; levers'!$C$12="PB",('Activity data'!BM21*EF!$H52*EF!$H70)*NtoN2O*kgtoGg,IF('Net zero activities &amp; levers'!$C$12="MS",('Net zero Activity data'!BM21*EF!$H52*EF!$H70)*NtoN2O*kgtoGg,"ERROR")))</f>
        <v>3.0196536539084926E-2</v>
      </c>
      <c r="AU964" s="93">
        <f>IF('Net zero activities &amp; levers'!$C$12="Off",('Activity data'!BN21*EF!$H52*EF!$H70)*NtoN2O*kgtoGg,IF('Net zero activities &amp; levers'!$C$12="PB",('Activity data'!BN21*EF!$H52*EF!$H70)*NtoN2O*kgtoGg,IF('Net zero activities &amp; levers'!$C$12="MS",('Net zero Activity data'!BN21*EF!$H52*EF!$H70)*NtoN2O*kgtoGg,"ERROR")))</f>
        <v>3.1191456697779184E-2</v>
      </c>
      <c r="AV964" s="93">
        <f>IF('Net zero activities &amp; levers'!$C$12="Off",('Activity data'!BO21*EF!$H52*EF!$H70)*NtoN2O*kgtoGg,IF('Net zero activities &amp; levers'!$C$12="PB",('Activity data'!BO21*EF!$H52*EF!$H70)*NtoN2O*kgtoGg,IF('Net zero activities &amp; levers'!$C$12="MS",('Net zero Activity data'!BO21*EF!$H52*EF!$H70)*NtoN2O*kgtoGg,"ERROR")))</f>
        <v>3.2244092551134286E-2</v>
      </c>
      <c r="AW964" s="93">
        <f>IF('Net zero activities &amp; levers'!$C$12="Off",('Activity data'!BP21*EF!$H52*EF!$H70)*NtoN2O*kgtoGg,IF('Net zero activities &amp; levers'!$C$12="PB",('Activity data'!BP21*EF!$H52*EF!$H70)*NtoN2O*kgtoGg,IF('Net zero activities &amp; levers'!$C$12="MS",('Net zero Activity data'!BP21*EF!$H52*EF!$H70)*NtoN2O*kgtoGg,"ERROR")))</f>
        <v>3.3266044637334728E-2</v>
      </c>
      <c r="AY964" s="79"/>
      <c r="AZ964" s="79"/>
    </row>
    <row r="965" spans="1:52" x14ac:dyDescent="0.25">
      <c r="A965" s="95" t="str">
        <f t="shared" si="326"/>
        <v>DS Poultry MMN2O</v>
      </c>
      <c r="B965" s="95" t="s">
        <v>973</v>
      </c>
      <c r="C965" s="95" t="s">
        <v>1233</v>
      </c>
      <c r="D965" t="s">
        <v>15</v>
      </c>
      <c r="E965" t="s">
        <v>657</v>
      </c>
      <c r="F965" t="s">
        <v>28</v>
      </c>
      <c r="G965" t="s">
        <v>133</v>
      </c>
      <c r="H965" t="s">
        <v>1226</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7.3338261222908846E-2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7.3768889900085524E-2</v>
      </c>
      <c r="O965" s="93">
        <f>IF('Net zero activities &amp; levers'!$C$12="Off",('Activity data'!AH22*EF!$H53*EF!$H71)*NtoN2O*kgtoGg,IF('Net zero activities &amp; levers'!$C$12="PB",('Activity data'!AH22*EF!$H53*EF!$H71)*NtoN2O*kgtoGg,IF('Net zero activities &amp; levers'!$C$12="MS",('Net zero Activity data'!AH22*EF!$H53*EF!$H71)*NtoN2O*kgtoGg,"ERROR")))</f>
        <v>7.3504831661853176E-2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7.2146468817327461E-2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6.2498683119799801E-2</v>
      </c>
      <c r="T965" s="93">
        <f>IF('Net zero activities &amp; levers'!$C$12="Off",('Activity data'!AM22*EF!$H53*EF!$H71)*NtoN2O*kgtoGg,IF('Net zero activities &amp; levers'!$C$12="PB",('Activity data'!AM22*EF!$H53*EF!$H71)*NtoN2O*kgtoGg,IF('Net zero activities &amp; levers'!$C$12="MS",('Net zero Activity data'!AM22*EF!$H53*EF!$H71)*NtoN2O*kgtoGg,"ERROR")))</f>
        <v>6.81532571223573E-2</v>
      </c>
      <c r="U965" s="93">
        <f>IF('Net zero activities &amp; levers'!$C$12="Off",('Activity data'!AN22*EF!$H53*EF!$H71)*NtoN2O*kgtoGg,IF('Net zero activities &amp; levers'!$C$12="PB",('Activity data'!AN22*EF!$H53*EF!$H71)*NtoN2O*kgtoGg,IF('Net zero activities &amp; levers'!$C$12="MS",('Net zero Activity data'!AN22*EF!$H53*EF!$H71)*NtoN2O*kgtoGg,"ERROR")))</f>
        <v>7.0874060226532018E-2</v>
      </c>
      <c r="V965" s="93">
        <f>IF('Net zero activities &amp; levers'!$C$12="Off",('Activity data'!AO22*EF!$H53*EF!$H71)*NtoN2O*kgtoGg,IF('Net zero activities &amp; levers'!$C$12="PB",('Activity data'!AO22*EF!$H53*EF!$H71)*NtoN2O*kgtoGg,IF('Net zero activities &amp; levers'!$C$12="MS",('Net zero Activity data'!AO22*EF!$H53*EF!$H71)*NtoN2O*kgtoGg,"ERROR")))</f>
        <v>7.1214497197037332E-2</v>
      </c>
      <c r="W965" s="93">
        <f>IF('Net zero activities &amp; levers'!$C$12="Off",('Activity data'!AP22*EF!$H53*EF!$H71)*NtoN2O*kgtoGg,IF('Net zero activities &amp; levers'!$C$12="PB",('Activity data'!AP22*EF!$H53*EF!$H71)*NtoN2O*kgtoGg,IF('Net zero activities &amp; levers'!$C$12="MS",('Net zero Activity data'!AP22*EF!$H53*EF!$H71)*NtoN2O*kgtoGg,"ERROR")))</f>
        <v>7.1606951280898362E-2</v>
      </c>
      <c r="X965" s="93">
        <f>IF('Net zero activities &amp; levers'!$C$12="Off",('Activity data'!AQ22*EF!$H53*EF!$H71)*NtoN2O*kgtoGg,IF('Net zero activities &amp; levers'!$C$12="PB",('Activity data'!AQ22*EF!$H53*EF!$H71)*NtoN2O*kgtoGg,IF('Net zero activities &amp; levers'!$C$12="MS",('Net zero Activity data'!AQ22*EF!$H53*EF!$H71)*NtoN2O*kgtoGg,"ERROR")))</f>
        <v>7.26022186292061E-2</v>
      </c>
      <c r="Y965" s="93">
        <f>IF('Net zero activities &amp; levers'!$C$12="Off",('Activity data'!AR22*EF!$H53*EF!$H71)*NtoN2O*kgtoGg,IF('Net zero activities &amp; levers'!$C$12="PB",('Activity data'!AR22*EF!$H53*EF!$H71)*NtoN2O*kgtoGg,IF('Net zero activities &amp; levers'!$C$12="MS",('Net zero Activity data'!AR22*EF!$H53*EF!$H71)*NtoN2O*kgtoGg,"ERROR")))</f>
        <v>7.4240975934151174E-2</v>
      </c>
      <c r="Z965" s="93">
        <f>IF('Net zero activities &amp; levers'!$C$12="Off",('Activity data'!AS22*EF!$H53*EF!$H71)*NtoN2O*kgtoGg,IF('Net zero activities &amp; levers'!$C$12="PB",('Activity data'!AS22*EF!$H53*EF!$H71)*NtoN2O*kgtoGg,IF('Net zero activities &amp; levers'!$C$12="MS",('Net zero Activity data'!AS22*EF!$H53*EF!$H71)*NtoN2O*kgtoGg,"ERROR")))</f>
        <v>7.620169418677529E-2</v>
      </c>
      <c r="AA965" s="93">
        <f>IF('Net zero activities &amp; levers'!$C$12="Off",('Activity data'!AT22*EF!$H53*EF!$H71)*NtoN2O*kgtoGg,IF('Net zero activities &amp; levers'!$C$12="PB",('Activity data'!AT22*EF!$H53*EF!$H71)*NtoN2O*kgtoGg,IF('Net zero activities &amp; levers'!$C$12="MS",('Net zero Activity data'!AT22*EF!$H53*EF!$H71)*NtoN2O*kgtoGg,"ERROR")))</f>
        <v>7.8570913854899935E-2</v>
      </c>
      <c r="AB965" s="93">
        <f>IF('Net zero activities &amp; levers'!$C$12="Off",('Activity data'!AU22*EF!$H53*EF!$H71)*NtoN2O*kgtoGg,IF('Net zero activities &amp; levers'!$C$12="PB",('Activity data'!AU22*EF!$H53*EF!$H71)*NtoN2O*kgtoGg,IF('Net zero activities &amp; levers'!$C$12="MS",('Net zero Activity data'!AU22*EF!$H53*EF!$H71)*NtoN2O*kgtoGg,"ERROR")))</f>
        <v>8.1611678822041331E-2</v>
      </c>
      <c r="AC965" s="93">
        <f>IF('Net zero activities &amp; levers'!$C$12="Off",('Activity data'!AV22*EF!$H53*EF!$H71)*NtoN2O*kgtoGg,IF('Net zero activities &amp; levers'!$C$12="PB",('Activity data'!AV22*EF!$H53*EF!$H71)*NtoN2O*kgtoGg,IF('Net zero activities &amp; levers'!$C$12="MS",('Net zero Activity data'!AV22*EF!$H53*EF!$H71)*NtoN2O*kgtoGg,"ERROR")))</f>
        <v>8.5289299222376991E-2</v>
      </c>
      <c r="AD965" s="93">
        <f>IF('Net zero activities &amp; levers'!$C$12="Off",('Activity data'!AW22*EF!$H53*EF!$H71)*NtoN2O*kgtoGg,IF('Net zero activities &amp; levers'!$C$12="PB",('Activity data'!AW22*EF!$H53*EF!$H71)*NtoN2O*kgtoGg,IF('Net zero activities &amp; levers'!$C$12="MS",('Net zero Activity data'!AW22*EF!$H53*EF!$H71)*NtoN2O*kgtoGg,"ERROR")))</f>
        <v>8.9359777574657032E-2</v>
      </c>
      <c r="AE965" s="93">
        <f>IF('Net zero activities &amp; levers'!$C$12="Off",('Activity data'!AX22*EF!$H53*EF!$H71)*NtoN2O*kgtoGg,IF('Net zero activities &amp; levers'!$C$12="PB",('Activity data'!AX22*EF!$H53*EF!$H71)*NtoN2O*kgtoGg,IF('Net zero activities &amp; levers'!$C$12="MS",('Net zero Activity data'!AX22*EF!$H53*EF!$H71)*NtoN2O*kgtoGg,"ERROR")))</f>
        <v>9.3809609829134971E-2</v>
      </c>
      <c r="AF965" s="93">
        <f>IF('Net zero activities &amp; levers'!$C$12="Off",('Activity data'!AY22*EF!$H53*EF!$H71)*NtoN2O*kgtoGg,IF('Net zero activities &amp; levers'!$C$12="PB",('Activity data'!AY22*EF!$H53*EF!$H71)*NtoN2O*kgtoGg,IF('Net zero activities &amp; levers'!$C$12="MS",('Net zero Activity data'!AY22*EF!$H53*EF!$H71)*NtoN2O*kgtoGg,"ERROR")))</f>
        <v>9.8503350140624904E-2</v>
      </c>
      <c r="AG965" s="93">
        <f>IF('Net zero activities &amp; levers'!$C$12="Off",('Activity data'!AZ22*EF!$H53*EF!$H71)*NtoN2O*kgtoGg,IF('Net zero activities &amp; levers'!$C$12="PB",('Activity data'!AZ22*EF!$H53*EF!$H71)*NtoN2O*kgtoGg,IF('Net zero activities &amp; levers'!$C$12="MS",('Net zero Activity data'!AZ22*EF!$H53*EF!$H71)*NtoN2O*kgtoGg,"ERROR")))</f>
        <v>0.10350380888713978</v>
      </c>
      <c r="AH965" s="93">
        <f>IF('Net zero activities &amp; levers'!$C$12="Off",('Activity data'!BA22*EF!$H53*EF!$H71)*NtoN2O*kgtoGg,IF('Net zero activities &amp; levers'!$C$12="PB",('Activity data'!BA22*EF!$H53*EF!$H71)*NtoN2O*kgtoGg,IF('Net zero activities &amp; levers'!$C$12="MS",('Net zero Activity data'!BA22*EF!$H53*EF!$H71)*NtoN2O*kgtoGg,"ERROR")))</f>
        <v>0.10874720814901513</v>
      </c>
      <c r="AI965" s="93">
        <f>IF('Net zero activities &amp; levers'!$C$12="Off",('Activity data'!BB22*EF!$H53*EF!$H71)*NtoN2O*kgtoGg,IF('Net zero activities &amp; levers'!$C$12="PB",('Activity data'!BB22*EF!$H53*EF!$H71)*NtoN2O*kgtoGg,IF('Net zero activities &amp; levers'!$C$12="MS",('Net zero Activity data'!BB22*EF!$H53*EF!$H71)*NtoN2O*kgtoGg,"ERROR")))</f>
        <v>0.11399821500083657</v>
      </c>
      <c r="AJ965" s="93">
        <f>IF('Net zero activities &amp; levers'!$C$12="Off",('Activity data'!BC22*EF!$H53*EF!$H71)*NtoN2O*kgtoGg,IF('Net zero activities &amp; levers'!$C$12="PB",('Activity data'!BC22*EF!$H53*EF!$H71)*NtoN2O*kgtoGg,IF('Net zero activities &amp; levers'!$C$12="MS",('Net zero Activity data'!BC22*EF!$H53*EF!$H71)*NtoN2O*kgtoGg,"ERROR")))</f>
        <v>0.11959647098629794</v>
      </c>
      <c r="AK965" s="93">
        <f>IF('Net zero activities &amp; levers'!$C$12="Off",('Activity data'!BD22*EF!$H53*EF!$H71)*NtoN2O*kgtoGg,IF('Net zero activities &amp; levers'!$C$12="PB",('Activity data'!BD22*EF!$H53*EF!$H71)*NtoN2O*kgtoGg,IF('Net zero activities &amp; levers'!$C$12="MS",('Net zero Activity data'!BD22*EF!$H53*EF!$H71)*NtoN2O*kgtoGg,"ERROR")))</f>
        <v>0.12532679878762737</v>
      </c>
      <c r="AL965" s="93">
        <f>IF('Net zero activities &amp; levers'!$C$12="Off",('Activity data'!BE22*EF!$H53*EF!$H71)*NtoN2O*kgtoGg,IF('Net zero activities &amp; levers'!$C$12="PB",('Activity data'!BE22*EF!$H53*EF!$H71)*NtoN2O*kgtoGg,IF('Net zero activities &amp; levers'!$C$12="MS",('Net zero Activity data'!BE22*EF!$H53*EF!$H71)*NtoN2O*kgtoGg,"ERROR")))</f>
        <v>0.13117220333481747</v>
      </c>
      <c r="AM965" s="93">
        <f>IF('Net zero activities &amp; levers'!$C$12="Off",('Activity data'!BF22*EF!$H53*EF!$H71)*NtoN2O*kgtoGg,IF('Net zero activities &amp; levers'!$C$12="PB",('Activity data'!BF22*EF!$H53*EF!$H71)*NtoN2O*kgtoGg,IF('Net zero activities &amp; levers'!$C$12="MS",('Net zero Activity data'!BF22*EF!$H53*EF!$H71)*NtoN2O*kgtoGg,"ERROR")))</f>
        <v>0.13723577855179306</v>
      </c>
      <c r="AN965" s="93">
        <f>IF('Net zero activities &amp; levers'!$C$12="Off",('Activity data'!BG22*EF!$H53*EF!$H71)*NtoN2O*kgtoGg,IF('Net zero activities &amp; levers'!$C$12="PB",('Activity data'!BG22*EF!$H53*EF!$H71)*NtoN2O*kgtoGg,IF('Net zero activities &amp; levers'!$C$12="MS",('Net zero Activity data'!BG22*EF!$H53*EF!$H71)*NtoN2O*kgtoGg,"ERROR")))</f>
        <v>0.1432629475308588</v>
      </c>
      <c r="AO965" s="93">
        <f>IF('Net zero activities &amp; levers'!$C$12="Off",('Activity data'!BH22*EF!$H53*EF!$H71)*NtoN2O*kgtoGg,IF('Net zero activities &amp; levers'!$C$12="PB",('Activity data'!BH22*EF!$H53*EF!$H71)*NtoN2O*kgtoGg,IF('Net zero activities &amp; levers'!$C$12="MS",('Net zero Activity data'!BH22*EF!$H53*EF!$H71)*NtoN2O*kgtoGg,"ERROR")))</f>
        <v>0.14960705637354962</v>
      </c>
      <c r="AP965" s="93">
        <f>IF('Net zero activities &amp; levers'!$C$12="Off",('Activity data'!BI22*EF!$H53*EF!$H71)*NtoN2O*kgtoGg,IF('Net zero activities &amp; levers'!$C$12="PB",('Activity data'!BI22*EF!$H53*EF!$H71)*NtoN2O*kgtoGg,IF('Net zero activities &amp; levers'!$C$12="MS",('Net zero Activity data'!BI22*EF!$H53*EF!$H71)*NtoN2O*kgtoGg,"ERROR")))</f>
        <v>0.15639871914131342</v>
      </c>
      <c r="AQ965" s="93">
        <f>IF('Net zero activities &amp; levers'!$C$12="Off",('Activity data'!BJ22*EF!$H53*EF!$H71)*NtoN2O*kgtoGg,IF('Net zero activities &amp; levers'!$C$12="PB",('Activity data'!BJ22*EF!$H53*EF!$H71)*NtoN2O*kgtoGg,IF('Net zero activities &amp; levers'!$C$12="MS",('Net zero Activity data'!BJ22*EF!$H53*EF!$H71)*NtoN2O*kgtoGg,"ERROR")))</f>
        <v>0.16342482559718283</v>
      </c>
      <c r="AR965" s="93">
        <f>IF('Net zero activities &amp; levers'!$C$12="Off",('Activity data'!BK22*EF!$H53*EF!$H71)*NtoN2O*kgtoGg,IF('Net zero activities &amp; levers'!$C$12="PB",('Activity data'!BK22*EF!$H53*EF!$H71)*NtoN2O*kgtoGg,IF('Net zero activities &amp; levers'!$C$12="MS",('Net zero Activity data'!BK22*EF!$H53*EF!$H71)*NtoN2O*kgtoGg,"ERROR")))</f>
        <v>0.1707017826412458</v>
      </c>
      <c r="AS965" s="93">
        <f>IF('Net zero activities &amp; levers'!$C$12="Off",('Activity data'!BL22*EF!$H53*EF!$H71)*NtoN2O*kgtoGg,IF('Net zero activities &amp; levers'!$C$12="PB",('Activity data'!BL22*EF!$H53*EF!$H71)*NtoN2O*kgtoGg,IF('Net zero activities &amp; levers'!$C$12="MS",('Net zero Activity data'!BL22*EF!$H53*EF!$H71)*NtoN2O*kgtoGg,"ERROR")))</f>
        <v>0.17847497943187501</v>
      </c>
      <c r="AT965" s="93">
        <f>IF('Net zero activities &amp; levers'!$C$12="Off",('Activity data'!BM22*EF!$H53*EF!$H71)*NtoN2O*kgtoGg,IF('Net zero activities &amp; levers'!$C$12="PB",('Activity data'!BM22*EF!$H53*EF!$H71)*NtoN2O*kgtoGg,IF('Net zero activities &amp; levers'!$C$12="MS",('Net zero Activity data'!BM22*EF!$H53*EF!$H71)*NtoN2O*kgtoGg,"ERROR")))</f>
        <v>0.18667144743193501</v>
      </c>
      <c r="AU965" s="93">
        <f>IF('Net zero activities &amp; levers'!$C$12="Off",('Activity data'!BN22*EF!$H53*EF!$H71)*NtoN2O*kgtoGg,IF('Net zero activities &amp; levers'!$C$12="PB",('Activity data'!BN22*EF!$H53*EF!$H71)*NtoN2O*kgtoGg,IF('Net zero activities &amp; levers'!$C$12="MS",('Net zero Activity data'!BN22*EF!$H53*EF!$H71)*NtoN2O*kgtoGg,"ERROR")))</f>
        <v>0.19524271738860685</v>
      </c>
      <c r="AV965" s="93">
        <f>IF('Net zero activities &amp; levers'!$C$12="Off",('Activity data'!BO22*EF!$H53*EF!$H71)*NtoN2O*kgtoGg,IF('Net zero activities &amp; levers'!$C$12="PB",('Activity data'!BO22*EF!$H53*EF!$H71)*NtoN2O*kgtoGg,IF('Net zero activities &amp; levers'!$C$12="MS",('Net zero Activity data'!BO22*EF!$H53*EF!$H71)*NtoN2O*kgtoGg,"ERROR")))</f>
        <v>0.20435030552422884</v>
      </c>
      <c r="AW965" s="93">
        <f>IF('Net zero activities &amp; levers'!$C$12="Off",('Activity data'!BP22*EF!$H53*EF!$H71)*NtoN2O*kgtoGg,IF('Net zero activities &amp; levers'!$C$12="PB",('Activity data'!BP22*EF!$H53*EF!$H71)*NtoN2O*kgtoGg,IF('Net zero activities &amp; levers'!$C$12="MS",('Net zero Activity data'!BP22*EF!$H53*EF!$H71)*NtoN2O*kgtoGg,"ERROR")))</f>
        <v>0.21309265298835234</v>
      </c>
      <c r="AY965" s="79"/>
      <c r="AZ965" s="79"/>
    </row>
    <row r="966" spans="1:52" x14ac:dyDescent="0.25">
      <c r="A966" s="95" t="str">
        <f t="shared" si="326"/>
        <v>DS Synthetic</v>
      </c>
      <c r="B966" s="95" t="s">
        <v>973</v>
      </c>
      <c r="C966" s="95" t="s">
        <v>1125</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6.603634243590573</v>
      </c>
      <c r="U966" s="22">
        <f t="shared" si="339"/>
        <v>6.6004971859529533</v>
      </c>
      <c r="V966" s="22">
        <f t="shared" si="339"/>
        <v>6.5987679285209158</v>
      </c>
      <c r="W966" s="22">
        <f t="shared" si="339"/>
        <v>6.5980968039636112</v>
      </c>
      <c r="X966" s="22">
        <f t="shared" si="339"/>
        <v>6.5973729403354264</v>
      </c>
      <c r="Y966" s="22">
        <f t="shared" si="339"/>
        <v>6.5963716735135058</v>
      </c>
      <c r="Z966" s="22">
        <f t="shared" si="339"/>
        <v>6.5951092743964939</v>
      </c>
      <c r="AA966" s="22">
        <f t="shared" si="339"/>
        <v>6.5937292152761398</v>
      </c>
      <c r="AB966" s="22">
        <f t="shared" si="339"/>
        <v>6.5921980493186423</v>
      </c>
      <c r="AC966" s="22">
        <f t="shared" si="339"/>
        <v>6.5904099002136718</v>
      </c>
      <c r="AD966" s="22">
        <f t="shared" si="339"/>
        <v>6.5883900774121225</v>
      </c>
      <c r="AE966" s="22">
        <f t="shared" si="339"/>
        <v>6.5862502813307362</v>
      </c>
      <c r="AF966" s="22">
        <f t="shared" si="339"/>
        <v>6.5840030111280692</v>
      </c>
      <c r="AG966" s="22">
        <f t="shared" si="339"/>
        <v>6.5817083248767299</v>
      </c>
      <c r="AH966" s="22">
        <f t="shared" si="339"/>
        <v>6.5793473576190653</v>
      </c>
      <c r="AI966" s="22">
        <f t="shared" si="339"/>
        <v>6.5769490947439282</v>
      </c>
      <c r="AJ966" s="22">
        <f t="shared" si="339"/>
        <v>6.5746015679174796</v>
      </c>
      <c r="AK966" s="22">
        <f t="shared" si="339"/>
        <v>6.5721839556094164</v>
      </c>
      <c r="AL966" s="22">
        <f t="shared" si="339"/>
        <v>6.5697772026100587</v>
      </c>
      <c r="AM966" s="22">
        <f t="shared" si="339"/>
        <v>6.5673876647835385</v>
      </c>
      <c r="AN966" s="22">
        <f t="shared" si="339"/>
        <v>6.5649818227366428</v>
      </c>
      <c r="AO966" s="22">
        <f t="shared" si="339"/>
        <v>6.5626429517048157</v>
      </c>
      <c r="AP966" s="22">
        <f t="shared" si="339"/>
        <v>6.5602587146144691</v>
      </c>
      <c r="AQ966" s="22">
        <f t="shared" si="339"/>
        <v>6.557794751435325</v>
      </c>
      <c r="AR966" s="22">
        <f t="shared" si="339"/>
        <v>6.5553213474499907</v>
      </c>
      <c r="AS966" s="22">
        <f t="shared" si="339"/>
        <v>6.552836555002342</v>
      </c>
      <c r="AT966" s="22">
        <f t="shared" si="339"/>
        <v>6.5502749591835583</v>
      </c>
      <c r="AU966" s="22">
        <f t="shared" si="339"/>
        <v>6.5476643110027855</v>
      </c>
      <c r="AV966" s="22">
        <f t="shared" si="339"/>
        <v>6.5450232737774749</v>
      </c>
      <c r="AW966" s="22">
        <f t="shared" si="339"/>
        <v>6.5423151331477944</v>
      </c>
      <c r="AY966" s="79"/>
      <c r="AZ966" s="79"/>
    </row>
    <row r="967" spans="1:52" x14ac:dyDescent="0.25">
      <c r="A967" s="95" t="str">
        <f t="shared" si="326"/>
        <v>DS Organic</v>
      </c>
      <c r="B967" s="95" t="s">
        <v>973</v>
      </c>
      <c r="C967" s="95" t="s">
        <v>1126</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4.3583986007697799E-2</v>
      </c>
      <c r="U967" s="94">
        <f>IF('Net zero activities &amp; levers'!$C$12="Off",'Activity data'!AN48*ttokg*ONEF*NtoN2O*kgtoGg,IF('Net zero activities &amp; levers'!$C$12="PB",'Activity data'!AN48*ttokg*ONEF*NtoN2O*kgtoGg,IF('Net zero activities &amp; levers'!$C$12="MS",'Net zero Activity data'!AN48*ttokg*ONEF*NtoN2O*kgtoGg,"ERROR")))</f>
        <v>4.3563281427289505E-2</v>
      </c>
      <c r="V967" s="94">
        <f>IF('Net zero activities &amp; levers'!$C$12="Off",'Activity data'!AO48*ttokg*ONEF*NtoN2O*kgtoGg,IF('Net zero activities &amp; levers'!$C$12="PB",'Activity data'!AO48*ttokg*ONEF*NtoN2O*kgtoGg,IF('Net zero activities &amp; levers'!$C$12="MS",'Net zero Activity data'!AO48*ttokg*ONEF*NtoN2O*kgtoGg,"ERROR")))</f>
        <v>4.3551868328238041E-2</v>
      </c>
      <c r="W967" s="94">
        <f>IF('Net zero activities &amp; levers'!$C$12="Off",'Activity data'!AP48*ttokg*ONEF*NtoN2O*kgtoGg,IF('Net zero activities &amp; levers'!$C$12="PB",'Activity data'!AP48*ttokg*ONEF*NtoN2O*kgtoGg,IF('Net zero activities &amp; levers'!$C$12="MS",'Net zero Activity data'!AP48*ttokg*ONEF*NtoN2O*kgtoGg,"ERROR")))</f>
        <v>4.3547438906159849E-2</v>
      </c>
      <c r="X967" s="94">
        <f>IF('Net zero activities &amp; levers'!$C$12="Off",'Activity data'!AQ48*ttokg*ONEF*NtoN2O*kgtoGg,IF('Net zero activities &amp; levers'!$C$12="PB",'Activity data'!AQ48*ttokg*ONEF*NtoN2O*kgtoGg,IF('Net zero activities &amp; levers'!$C$12="MS",'Net zero Activity data'!AQ48*ttokg*ONEF*NtoN2O*kgtoGg,"ERROR")))</f>
        <v>4.3542661406213816E-2</v>
      </c>
      <c r="Y967" s="94">
        <f>IF('Net zero activities &amp; levers'!$C$12="Off",'Activity data'!AR48*ttokg*ONEF*NtoN2O*kgtoGg,IF('Net zero activities &amp; levers'!$C$12="PB",'Activity data'!AR48*ttokg*ONEF*NtoN2O*kgtoGg,IF('Net zero activities &amp; levers'!$C$12="MS",'Net zero Activity data'!AR48*ttokg*ONEF*NtoN2O*kgtoGg,"ERROR")))</f>
        <v>4.3536053045189142E-2</v>
      </c>
      <c r="Z967" s="94">
        <f>IF('Net zero activities &amp; levers'!$C$12="Off",'Activity data'!AS48*ttokg*ONEF*NtoN2O*kgtoGg,IF('Net zero activities &amp; levers'!$C$12="PB",'Activity data'!AS48*ttokg*ONEF*NtoN2O*kgtoGg,IF('Net zero activities &amp; levers'!$C$12="MS",'Net zero Activity data'!AS48*ttokg*ONEF*NtoN2O*kgtoGg,"ERROR")))</f>
        <v>4.3527721211016876E-2</v>
      </c>
      <c r="AA967" s="94">
        <f>IF('Net zero activities &amp; levers'!$C$12="Off",'Activity data'!AT48*ttokg*ONEF*NtoN2O*kgtoGg,IF('Net zero activities &amp; levers'!$C$12="PB",'Activity data'!AT48*ttokg*ONEF*NtoN2O*kgtoGg,IF('Net zero activities &amp; levers'!$C$12="MS",'Net zero Activity data'!AT48*ttokg*ONEF*NtoN2O*kgtoGg,"ERROR")))</f>
        <v>4.3518612820822526E-2</v>
      </c>
      <c r="AB967" s="94">
        <f>IF('Net zero activities &amp; levers'!$C$12="Off",'Activity data'!AU48*ttokg*ONEF*NtoN2O*kgtoGg,IF('Net zero activities &amp; levers'!$C$12="PB",'Activity data'!AU48*ttokg*ONEF*NtoN2O*kgtoGg,IF('Net zero activities &amp; levers'!$C$12="MS",'Net zero Activity data'!AU48*ttokg*ONEF*NtoN2O*kgtoGg,"ERROR")))</f>
        <v>4.3508507125503047E-2</v>
      </c>
      <c r="AC967" s="94">
        <f>IF('Net zero activities &amp; levers'!$C$12="Off",'Activity data'!AV48*ttokg*ONEF*NtoN2O*kgtoGg,IF('Net zero activities &amp; levers'!$C$12="PB",'Activity data'!AV48*ttokg*ONEF*NtoN2O*kgtoGg,IF('Net zero activities &amp; levers'!$C$12="MS",'Net zero Activity data'!AV48*ttokg*ONEF*NtoN2O*kgtoGg,"ERROR")))</f>
        <v>4.349670534141023E-2</v>
      </c>
      <c r="AD967" s="94">
        <f>IF('Net zero activities &amp; levers'!$C$12="Off",'Activity data'!AW48*ttokg*ONEF*NtoN2O*kgtoGg,IF('Net zero activities &amp; levers'!$C$12="PB",'Activity data'!AW48*ttokg*ONEF*NtoN2O*kgtoGg,IF('Net zero activities &amp; levers'!$C$12="MS",'Net zero Activity data'!AW48*ttokg*ONEF*NtoN2O*kgtoGg,"ERROR")))</f>
        <v>4.3483374510920013E-2</v>
      </c>
      <c r="AE967" s="94">
        <f>IF('Net zero activities &amp; levers'!$C$12="Off",'Activity data'!AX48*ttokg*ONEF*NtoN2O*kgtoGg,IF('Net zero activities &amp; levers'!$C$12="PB",'Activity data'!AX48*ttokg*ONEF*NtoN2O*kgtoGg,IF('Net zero activities &amp; levers'!$C$12="MS",'Net zero Activity data'!AX48*ttokg*ONEF*NtoN2O*kgtoGg,"ERROR")))</f>
        <v>4.3469251856782874E-2</v>
      </c>
      <c r="AF967" s="94">
        <f>IF('Net zero activities &amp; levers'!$C$12="Off",'Activity data'!AY48*ttokg*ONEF*NtoN2O*kgtoGg,IF('Net zero activities &amp; levers'!$C$12="PB",'Activity data'!AY48*ttokg*ONEF*NtoN2O*kgtoGg,IF('Net zero activities &amp; levers'!$C$12="MS",'Net zero Activity data'!AY48*ttokg*ONEF*NtoN2O*kgtoGg,"ERROR")))</f>
        <v>4.3454419873445269E-2</v>
      </c>
      <c r="AG967" s="94">
        <f>IF('Net zero activities &amp; levers'!$C$12="Off",'Activity data'!AZ48*ttokg*ONEF*NtoN2O*kgtoGg,IF('Net zero activities &amp; levers'!$C$12="PB",'Activity data'!AZ48*ttokg*ONEF*NtoN2O*kgtoGg,IF('Net zero activities &amp; levers'!$C$12="MS",'Net zero Activity data'!AZ48*ttokg*ONEF*NtoN2O*kgtoGg,"ERROR")))</f>
        <v>4.3439274944186416E-2</v>
      </c>
      <c r="AH967" s="94">
        <f>IF('Net zero activities &amp; levers'!$C$12="Off",'Activity data'!BA48*ttokg*ONEF*NtoN2O*kgtoGg,IF('Net zero activities &amp; levers'!$C$12="PB",'Activity data'!BA48*ttokg*ONEF*NtoN2O*kgtoGg,IF('Net zero activities &amp; levers'!$C$12="MS",'Net zero Activity data'!BA48*ttokg*ONEF*NtoN2O*kgtoGg,"ERROR")))</f>
        <v>4.3423692560285852E-2</v>
      </c>
      <c r="AI967" s="94">
        <f>IF('Net zero activities &amp; levers'!$C$12="Off",'Activity data'!BB48*ttokg*ONEF*NtoN2O*kgtoGg,IF('Net zero activities &amp; levers'!$C$12="PB",'Activity data'!BB48*ttokg*ONEF*NtoN2O*kgtoGg,IF('Net zero activities &amp; levers'!$C$12="MS",'Net zero Activity data'!BB48*ttokg*ONEF*NtoN2O*kgtoGg,"ERROR")))</f>
        <v>4.3407864025309932E-2</v>
      </c>
      <c r="AJ967" s="94">
        <f>IF('Net zero activities &amp; levers'!$C$12="Off",'Activity data'!BC48*ttokg*ONEF*NtoN2O*kgtoGg,IF('Net zero activities &amp; levers'!$C$12="PB",'Activity data'!BC48*ttokg*ONEF*NtoN2O*kgtoGg,IF('Net zero activities &amp; levers'!$C$12="MS",'Net zero Activity data'!BC48*ttokg*ONEF*NtoN2O*kgtoGg,"ERROR")))</f>
        <v>4.3392370348255375E-2</v>
      </c>
      <c r="AK967" s="94">
        <f>IF('Net zero activities &amp; levers'!$C$12="Off",'Activity data'!BD48*ttokg*ONEF*NtoN2O*kgtoGg,IF('Net zero activities &amp; levers'!$C$12="PB",'Activity data'!BD48*ttokg*ONEF*NtoN2O*kgtoGg,IF('Net zero activities &amp; levers'!$C$12="MS",'Net zero Activity data'!BD48*ttokg*ONEF*NtoN2O*kgtoGg,"ERROR")))</f>
        <v>4.3376414107022157E-2</v>
      </c>
      <c r="AL967" s="94">
        <f>IF('Net zero activities &amp; levers'!$C$12="Off",'Activity data'!BE48*ttokg*ONEF*NtoN2O*kgtoGg,IF('Net zero activities &amp; levers'!$C$12="PB",'Activity data'!BE48*ttokg*ONEF*NtoN2O*kgtoGg,IF('Net zero activities &amp; levers'!$C$12="MS",'Net zero Activity data'!BE48*ttokg*ONEF*NtoN2O*kgtoGg,"ERROR")))</f>
        <v>4.336052953722639E-2</v>
      </c>
      <c r="AM967" s="94">
        <f>IF('Net zero activities &amp; levers'!$C$12="Off",'Activity data'!BF48*ttokg*ONEF*NtoN2O*kgtoGg,IF('Net zero activities &amp; levers'!$C$12="PB",'Activity data'!BF48*ttokg*ONEF*NtoN2O*kgtoGg,IF('Net zero activities &amp; levers'!$C$12="MS",'Net zero Activity data'!BF48*ttokg*ONEF*NtoN2O*kgtoGg,"ERROR")))</f>
        <v>4.3344758587571364E-2</v>
      </c>
      <c r="AN967" s="94">
        <f>IF('Net zero activities &amp; levers'!$C$12="Off",'Activity data'!BG48*ttokg*ONEF*NtoN2O*kgtoGg,IF('Net zero activities &amp; levers'!$C$12="PB",'Activity data'!BG48*ttokg*ONEF*NtoN2O*kgtoGg,IF('Net zero activities &amp; levers'!$C$12="MS",'Net zero Activity data'!BG48*ttokg*ONEF*NtoN2O*kgtoGg,"ERROR")))</f>
        <v>4.3328880030061849E-2</v>
      </c>
      <c r="AO967" s="94">
        <f>IF('Net zero activities &amp; levers'!$C$12="Off",'Activity data'!BH48*ttokg*ONEF*NtoN2O*kgtoGg,IF('Net zero activities &amp; levers'!$C$12="PB",'Activity data'!BH48*ttokg*ONEF*NtoN2O*kgtoGg,IF('Net zero activities &amp; levers'!$C$12="MS",'Net zero Activity data'!BH48*ttokg*ONEF*NtoN2O*kgtoGg,"ERROR")))</f>
        <v>4.3313443481251802E-2</v>
      </c>
      <c r="AP967" s="94">
        <f>IF('Net zero activities &amp; levers'!$C$12="Off",'Activity data'!BI48*ttokg*ONEF*NtoN2O*kgtoGg,IF('Net zero activities &amp; levers'!$C$12="PB",'Activity data'!BI48*ttokg*ONEF*NtoN2O*kgtoGg,IF('Net zero activities &amp; levers'!$C$12="MS",'Net zero Activity data'!BI48*ttokg*ONEF*NtoN2O*kgtoGg,"ERROR")))</f>
        <v>4.3297707516455515E-2</v>
      </c>
      <c r="AQ967" s="94">
        <f>IF('Net zero activities &amp; levers'!$C$12="Off",'Activity data'!BJ48*ttokg*ONEF*NtoN2O*kgtoGg,IF('Net zero activities &amp; levers'!$C$12="PB",'Activity data'!BJ48*ttokg*ONEF*NtoN2O*kgtoGg,IF('Net zero activities &amp; levers'!$C$12="MS",'Net zero Activity data'!BJ48*ttokg*ONEF*NtoN2O*kgtoGg,"ERROR")))</f>
        <v>4.3281445359473161E-2</v>
      </c>
      <c r="AR967" s="94">
        <f>IF('Net zero activities &amp; levers'!$C$12="Off",'Activity data'!BK48*ttokg*ONEF*NtoN2O*kgtoGg,IF('Net zero activities &amp; levers'!$C$12="PB",'Activity data'!BK48*ttokg*ONEF*NtoN2O*kgtoGg,IF('Net zero activities &amp; levers'!$C$12="MS",'Net zero Activity data'!BK48*ttokg*ONEF*NtoN2O*kgtoGg,"ERROR")))</f>
        <v>4.3265120893169952E-2</v>
      </c>
      <c r="AS967" s="94">
        <f>IF('Net zero activities &amp; levers'!$C$12="Off",'Activity data'!BL48*ttokg*ONEF*NtoN2O*kgtoGg,IF('Net zero activities &amp; levers'!$C$12="PB",'Activity data'!BL48*ttokg*ONEF*NtoN2O*kgtoGg,IF('Net zero activities &amp; levers'!$C$12="MS",'Net zero Activity data'!BL48*ttokg*ONEF*NtoN2O*kgtoGg,"ERROR")))</f>
        <v>4.324872126301546E-2</v>
      </c>
      <c r="AT967" s="94">
        <f>IF('Net zero activities &amp; levers'!$C$12="Off",'Activity data'!BM48*ttokg*ONEF*NtoN2O*kgtoGg,IF('Net zero activities &amp; levers'!$C$12="PB",'Activity data'!BM48*ttokg*ONEF*NtoN2O*kgtoGg,IF('Net zero activities &amp; levers'!$C$12="MS",'Net zero Activity data'!BM48*ttokg*ONEF*NtoN2O*kgtoGg,"ERROR")))</f>
        <v>4.3231814730611481E-2</v>
      </c>
      <c r="AU967" s="94">
        <f>IF('Net zero activities &amp; levers'!$C$12="Off",'Activity data'!BN48*ttokg*ONEF*NtoN2O*kgtoGg,IF('Net zero activities &amp; levers'!$C$12="PB",'Activity data'!BN48*ttokg*ONEF*NtoN2O*kgtoGg,IF('Net zero activities &amp; levers'!$C$12="MS",'Net zero Activity data'!BN48*ttokg*ONEF*NtoN2O*kgtoGg,"ERROR")))</f>
        <v>4.3214584452618394E-2</v>
      </c>
      <c r="AV967" s="94">
        <f>IF('Net zero activities &amp; levers'!$C$12="Off",'Activity data'!BO48*ttokg*ONEF*NtoN2O*kgtoGg,IF('Net zero activities &amp; levers'!$C$12="PB",'Activity data'!BO48*ttokg*ONEF*NtoN2O*kgtoGg,IF('Net zero activities &amp; levers'!$C$12="MS",'Net zero Activity data'!BO48*ttokg*ONEF*NtoN2O*kgtoGg,"ERROR")))</f>
        <v>4.3197153606931347E-2</v>
      </c>
      <c r="AW967" s="94">
        <f>IF('Net zero activities &amp; levers'!$C$12="Off",'Activity data'!BP48*ttokg*ONEF*NtoN2O*kgtoGg,IF('Net zero activities &amp; levers'!$C$12="PB",'Activity data'!BP48*ttokg*ONEF*NtoN2O*kgtoGg,IF('Net zero activities &amp; levers'!$C$12="MS",'Net zero Activity data'!BP48*ttokg*ONEF*NtoN2O*kgtoGg,"ERROR")))</f>
        <v>4.3179279878775449E-2</v>
      </c>
      <c r="AY967" s="79"/>
      <c r="AZ967" s="79"/>
    </row>
    <row r="968" spans="1:52" x14ac:dyDescent="0.25">
      <c r="A968" s="95" t="str">
        <f t="shared" si="326"/>
        <v>DS Crop residues</v>
      </c>
      <c r="B968" s="95" t="s">
        <v>973</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2.9705633438591348</v>
      </c>
      <c r="U968" s="22">
        <f t="shared" si="340"/>
        <v>2.9939833213378622</v>
      </c>
      <c r="V968" s="22">
        <f t="shared" si="340"/>
        <v>3.0068932435616724</v>
      </c>
      <c r="W968" s="22">
        <f t="shared" si="340"/>
        <v>3.0119035824948748</v>
      </c>
      <c r="X968" s="22">
        <f t="shared" si="340"/>
        <v>3.0173076495628459</v>
      </c>
      <c r="Y968" s="22">
        <f t="shared" si="340"/>
        <v>3.0247826943750078</v>
      </c>
      <c r="Z968" s="22">
        <f t="shared" si="340"/>
        <v>3.0342072451180488</v>
      </c>
      <c r="AA968" s="22">
        <f t="shared" si="340"/>
        <v>3.0445101968810144</v>
      </c>
      <c r="AB968" s="22">
        <f t="shared" si="340"/>
        <v>3.0559412499196137</v>
      </c>
      <c r="AC968" s="22">
        <f t="shared" si="340"/>
        <v>3.0692908330655531</v>
      </c>
      <c r="AD968" s="22">
        <f t="shared" si="340"/>
        <v>3.0843699964051159</v>
      </c>
      <c r="AE968" s="22">
        <f t="shared" si="340"/>
        <v>3.1003448307320856</v>
      </c>
      <c r="AF968" s="22">
        <f t="shared" si="340"/>
        <v>3.1171220224878007</v>
      </c>
      <c r="AG968" s="22">
        <f t="shared" si="340"/>
        <v>3.1342532028915815</v>
      </c>
      <c r="AH968" s="22">
        <f t="shared" si="340"/>
        <v>3.1518792099305966</v>
      </c>
      <c r="AI968" s="22">
        <f t="shared" si="340"/>
        <v>3.1697836506556398</v>
      </c>
      <c r="AJ968" s="22">
        <f t="shared" si="340"/>
        <v>3.1873093169828417</v>
      </c>
      <c r="AK968" s="22">
        <f t="shared" si="340"/>
        <v>3.2053582125874849</v>
      </c>
      <c r="AL968" s="22">
        <f t="shared" si="340"/>
        <v>3.2233260370755845</v>
      </c>
      <c r="AM968" s="22">
        <f t="shared" si="340"/>
        <v>3.2411653401889731</v>
      </c>
      <c r="AN968" s="22">
        <f t="shared" si="340"/>
        <v>3.2591263638820034</v>
      </c>
      <c r="AO968" s="22">
        <f t="shared" si="340"/>
        <v>3.2765874096193026</v>
      </c>
      <c r="AP968" s="22">
        <f t="shared" si="340"/>
        <v>3.294387139624336</v>
      </c>
      <c r="AQ968" s="22">
        <f t="shared" si="340"/>
        <v>3.3127820717007999</v>
      </c>
      <c r="AR968" s="22">
        <f t="shared" si="340"/>
        <v>3.3312474849395168</v>
      </c>
      <c r="AS968" s="22">
        <f t="shared" si="340"/>
        <v>3.3497979197372052</v>
      </c>
      <c r="AT968" s="22">
        <f t="shared" si="340"/>
        <v>3.3689217368026219</v>
      </c>
      <c r="AU968" s="22">
        <f t="shared" si="340"/>
        <v>3.3884117585559377</v>
      </c>
      <c r="AV968" s="22">
        <f t="shared" si="340"/>
        <v>3.4081286523724397</v>
      </c>
      <c r="AW968" s="22">
        <f t="shared" si="340"/>
        <v>3.4283465125085661</v>
      </c>
      <c r="AY968" s="79"/>
      <c r="AZ968" s="79"/>
    </row>
    <row r="969" spans="1:52" x14ac:dyDescent="0.25">
      <c r="A969" s="95" t="str">
        <f t="shared" si="326"/>
        <v>DS Organic</v>
      </c>
      <c r="B969" s="95" t="s">
        <v>973</v>
      </c>
      <c r="C969" s="95" t="s">
        <v>1126</v>
      </c>
      <c r="D969" t="s">
        <v>369</v>
      </c>
      <c r="E969" t="s">
        <v>55</v>
      </c>
      <c r="F969" t="s">
        <v>421</v>
      </c>
      <c r="G969" t="s">
        <v>1151</v>
      </c>
      <c r="H969" t="s">
        <v>1152</v>
      </c>
      <c r="I969" t="s">
        <v>139</v>
      </c>
      <c r="J969" t="s">
        <v>287</v>
      </c>
      <c r="K969" s="22">
        <f>K1466</f>
        <v>0.31878106382562998</v>
      </c>
      <c r="L969" s="22">
        <f t="shared" ref="L969:AW971" si="341">L1466</f>
        <v>0.32056321299147922</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0.32880601635823309</v>
      </c>
      <c r="S969" s="22">
        <f t="shared" si="341"/>
        <v>0.31930900968296799</v>
      </c>
      <c r="T969" s="22">
        <f t="shared" si="341"/>
        <v>0.32574821213897459</v>
      </c>
      <c r="U969" s="22">
        <f t="shared" si="341"/>
        <v>0.32894469179548952</v>
      </c>
      <c r="V969" s="22">
        <f t="shared" si="341"/>
        <v>0.32977948253414807</v>
      </c>
      <c r="W969" s="22">
        <f t="shared" si="341"/>
        <v>0.3309664569188206</v>
      </c>
      <c r="X969" s="22">
        <f t="shared" si="341"/>
        <v>0.33295820888491823</v>
      </c>
      <c r="Y969" s="22">
        <f t="shared" si="341"/>
        <v>0.33558938332727861</v>
      </c>
      <c r="Z969" s="22">
        <f t="shared" si="341"/>
        <v>0.33853527641770959</v>
      </c>
      <c r="AA969" s="22">
        <f t="shared" si="341"/>
        <v>0.34188866727508727</v>
      </c>
      <c r="AB969" s="22">
        <f t="shared" si="341"/>
        <v>0.34593707625098935</v>
      </c>
      <c r="AC969" s="22">
        <f t="shared" si="341"/>
        <v>0.35065698551445434</v>
      </c>
      <c r="AD969" s="22">
        <f t="shared" si="341"/>
        <v>0.35579420133815998</v>
      </c>
      <c r="AE969" s="22">
        <f t="shared" si="341"/>
        <v>0.36134408078222452</v>
      </c>
      <c r="AF969" s="22">
        <f t="shared" si="341"/>
        <v>0.36716578992310794</v>
      </c>
      <c r="AG969" s="22">
        <f t="shared" si="341"/>
        <v>0.37332444348551658</v>
      </c>
      <c r="AH969" s="22">
        <f t="shared" si="341"/>
        <v>0.37975671698066876</v>
      </c>
      <c r="AI969" s="22">
        <f t="shared" si="341"/>
        <v>0.38621474793846927</v>
      </c>
      <c r="AJ969" s="22">
        <f t="shared" si="341"/>
        <v>0.39306178454441848</v>
      </c>
      <c r="AK969" s="22">
        <f t="shared" si="341"/>
        <v>0.40005847527747412</v>
      </c>
      <c r="AL969" s="22">
        <f t="shared" si="341"/>
        <v>0.4071870252950287</v>
      </c>
      <c r="AM969" s="22">
        <f t="shared" si="341"/>
        <v>0.41456228412939544</v>
      </c>
      <c r="AN969" s="22">
        <f t="shared" si="341"/>
        <v>0.42190892307820843</v>
      </c>
      <c r="AO969" s="22">
        <f t="shared" si="341"/>
        <v>0.42960845898713129</v>
      </c>
      <c r="AP969" s="22">
        <f t="shared" si="341"/>
        <v>0.43780304574358431</v>
      </c>
      <c r="AQ969" s="22">
        <f t="shared" si="341"/>
        <v>0.44626036327894386</v>
      </c>
      <c r="AR969" s="22">
        <f t="shared" si="341"/>
        <v>0.45499571223112473</v>
      </c>
      <c r="AS969" s="22">
        <f t="shared" si="341"/>
        <v>0.46427790014777842</v>
      </c>
      <c r="AT969" s="22">
        <f t="shared" si="341"/>
        <v>0.4740288633200766</v>
      </c>
      <c r="AU969" s="22">
        <f t="shared" si="341"/>
        <v>0.48419829350388255</v>
      </c>
      <c r="AV969" s="22">
        <f t="shared" si="341"/>
        <v>0.49496943616318984</v>
      </c>
      <c r="AW969" s="22">
        <f t="shared" si="341"/>
        <v>0.50533326104983312</v>
      </c>
      <c r="AY969" s="79"/>
      <c r="AZ969" s="79"/>
    </row>
    <row r="970" spans="1:52" x14ac:dyDescent="0.25">
      <c r="A970" s="95" t="str">
        <f t="shared" si="326"/>
        <v>DS Organic</v>
      </c>
      <c r="B970" s="95" t="s">
        <v>973</v>
      </c>
      <c r="C970" s="95" t="s">
        <v>1126</v>
      </c>
      <c r="D970" t="s">
        <v>369</v>
      </c>
      <c r="E970" t="s">
        <v>55</v>
      </c>
      <c r="F970" t="s">
        <v>421</v>
      </c>
      <c r="G970" t="s">
        <v>1153</v>
      </c>
      <c r="H970" t="s">
        <v>1154</v>
      </c>
      <c r="I970" t="s">
        <v>139</v>
      </c>
      <c r="J970" t="s">
        <v>287</v>
      </c>
      <c r="K970" s="22">
        <f t="shared" ref="K970:Z971" si="342">K1467</f>
        <v>0.93210651077804862</v>
      </c>
      <c r="L970" s="22">
        <f t="shared" si="342"/>
        <v>0.93731746283627526</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0.96141917889497153</v>
      </c>
      <c r="S970" s="22">
        <f t="shared" si="342"/>
        <v>0.93365020902993845</v>
      </c>
      <c r="T970" s="22">
        <f t="shared" si="342"/>
        <v>0.95247824875548714</v>
      </c>
      <c r="U970" s="22">
        <f t="shared" si="342"/>
        <v>0.96182466181920945</v>
      </c>
      <c r="V970" s="22">
        <f t="shared" si="342"/>
        <v>0.96426556553319687</v>
      </c>
      <c r="W970" s="22">
        <f t="shared" si="342"/>
        <v>0.96773624393172708</v>
      </c>
      <c r="X970" s="22">
        <f t="shared" si="342"/>
        <v>0.97356006844995502</v>
      </c>
      <c r="Y970" s="22">
        <f t="shared" si="342"/>
        <v>0.98125354559469047</v>
      </c>
      <c r="Z970" s="22">
        <f t="shared" si="342"/>
        <v>0.9898672508653048</v>
      </c>
      <c r="AA970" s="22">
        <f t="shared" si="341"/>
        <v>0.99967246769291085</v>
      </c>
      <c r="AB970" s="22">
        <f t="shared" si="341"/>
        <v>1.0115098971796095</v>
      </c>
      <c r="AC970" s="22">
        <f t="shared" si="341"/>
        <v>1.0253107738752334</v>
      </c>
      <c r="AD970" s="22">
        <f t="shared" si="341"/>
        <v>1.0403318427526722</v>
      </c>
      <c r="AE970" s="22">
        <f t="shared" si="341"/>
        <v>1.0565595279914524</v>
      </c>
      <c r="AF970" s="22">
        <f t="shared" si="341"/>
        <v>1.0735820353165477</v>
      </c>
      <c r="AG970" s="22">
        <f t="shared" si="341"/>
        <v>1.0915897582793135</v>
      </c>
      <c r="AH970" s="22">
        <f t="shared" si="341"/>
        <v>1.1103975379258981</v>
      </c>
      <c r="AI970" s="22">
        <f t="shared" si="341"/>
        <v>1.1292806316402249</v>
      </c>
      <c r="AJ970" s="22">
        <f t="shared" si="341"/>
        <v>1.1493011664968118</v>
      </c>
      <c r="AK970" s="22">
        <f t="shared" si="341"/>
        <v>1.1697592856457866</v>
      </c>
      <c r="AL970" s="22">
        <f t="shared" si="341"/>
        <v>1.190602957487612</v>
      </c>
      <c r="AM970" s="22">
        <f t="shared" si="341"/>
        <v>1.2121679986970451</v>
      </c>
      <c r="AN970" s="22">
        <f t="shared" si="341"/>
        <v>1.2336493561978465</v>
      </c>
      <c r="AO970" s="22">
        <f t="shared" si="341"/>
        <v>1.2561625740927527</v>
      </c>
      <c r="AP970" s="22">
        <f t="shared" si="341"/>
        <v>1.2801233061925847</v>
      </c>
      <c r="AQ970" s="22">
        <f t="shared" si="341"/>
        <v>1.3048522554087716</v>
      </c>
      <c r="AR970" s="22">
        <f t="shared" si="341"/>
        <v>1.3303941603592482</v>
      </c>
      <c r="AS970" s="22">
        <f t="shared" si="341"/>
        <v>1.3575350064545193</v>
      </c>
      <c r="AT970" s="22">
        <f t="shared" si="341"/>
        <v>1.3860465376922328</v>
      </c>
      <c r="AU970" s="22">
        <f t="shared" si="341"/>
        <v>1.4157816542373405</v>
      </c>
      <c r="AV970" s="22">
        <f t="shared" si="341"/>
        <v>1.4472761604692133</v>
      </c>
      <c r="AW970" s="22">
        <f t="shared" si="341"/>
        <v>1.4775796814421152</v>
      </c>
      <c r="AY970" s="79"/>
      <c r="AZ970" s="79"/>
    </row>
    <row r="971" spans="1:52" x14ac:dyDescent="0.25">
      <c r="A971" s="95" t="str">
        <f t="shared" si="326"/>
        <v>DS Organic</v>
      </c>
      <c r="B971" s="95" t="s">
        <v>973</v>
      </c>
      <c r="C971" s="95" t="s">
        <v>1126</v>
      </c>
      <c r="D971" t="s">
        <v>369</v>
      </c>
      <c r="E971" t="s">
        <v>55</v>
      </c>
      <c r="F971" t="s">
        <v>421</v>
      </c>
      <c r="G971" t="s">
        <v>1155</v>
      </c>
      <c r="H971" t="s">
        <v>1156</v>
      </c>
      <c r="I971" t="s">
        <v>139</v>
      </c>
      <c r="J971" t="s">
        <v>287</v>
      </c>
      <c r="K971" s="22">
        <f t="shared" si="342"/>
        <v>4.9862442750846919E-2</v>
      </c>
      <c r="L971" s="22">
        <f t="shared" si="341"/>
        <v>5.0141199304605817E-2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5.1430505218981189E-2</v>
      </c>
      <c r="S971" s="22">
        <f t="shared" si="341"/>
        <v>4.9945021903357263E-2</v>
      </c>
      <c r="T971" s="22">
        <f t="shared" si="341"/>
        <v>5.0952215868929084E-2</v>
      </c>
      <c r="U971" s="22">
        <f t="shared" si="341"/>
        <v>5.1452196269158888E-2</v>
      </c>
      <c r="V971" s="22">
        <f t="shared" si="341"/>
        <v>5.1582770855101254E-2</v>
      </c>
      <c r="W971" s="22">
        <f t="shared" si="341"/>
        <v>5.1768432580400064E-2</v>
      </c>
      <c r="X971" s="22">
        <f t="shared" si="341"/>
        <v>5.2079974355157911E-2</v>
      </c>
      <c r="Y971" s="22">
        <f t="shared" si="341"/>
        <v>5.2491532003611736E-2</v>
      </c>
      <c r="Z971" s="22">
        <f t="shared" si="341"/>
        <v>5.2952316668199217E-2</v>
      </c>
      <c r="AA971" s="22">
        <f t="shared" si="341"/>
        <v>5.3476840482884362E-2</v>
      </c>
      <c r="AB971" s="22">
        <f t="shared" si="341"/>
        <v>5.4110076216432663E-2</v>
      </c>
      <c r="AC971" s="22">
        <f t="shared" si="341"/>
        <v>5.4848345304986328E-2</v>
      </c>
      <c r="AD971" s="22">
        <f t="shared" si="341"/>
        <v>5.5651887795353253E-2</v>
      </c>
      <c r="AE971" s="22">
        <f t="shared" si="341"/>
        <v>5.651997745768382E-2</v>
      </c>
      <c r="AF971" s="22">
        <f t="shared" si="341"/>
        <v>5.7430585620118969E-2</v>
      </c>
      <c r="AG971" s="22">
        <f t="shared" si="341"/>
        <v>5.8393897264143985E-2</v>
      </c>
      <c r="AH971" s="22">
        <f t="shared" si="341"/>
        <v>5.9400007429725336E-2</v>
      </c>
      <c r="AI971" s="22">
        <f t="shared" si="341"/>
        <v>6.0410146473281176E-2</v>
      </c>
      <c r="AJ971" s="22">
        <f t="shared" si="341"/>
        <v>6.1481132204616346E-2</v>
      </c>
      <c r="AK971" s="22">
        <f t="shared" si="341"/>
        <v>6.2575526228325351E-2</v>
      </c>
      <c r="AL971" s="22">
        <f t="shared" si="341"/>
        <v>6.3690545147207192E-2</v>
      </c>
      <c r="AM971" s="22">
        <f t="shared" si="341"/>
        <v>6.4844153259897494E-2</v>
      </c>
      <c r="AN971" s="22">
        <f t="shared" si="341"/>
        <v>6.5993284766017041E-2</v>
      </c>
      <c r="AO971" s="22">
        <f t="shared" si="341"/>
        <v>6.7197614985194512E-2</v>
      </c>
      <c r="AP971" s="22">
        <f t="shared" si="341"/>
        <v>6.8479379052692538E-2</v>
      </c>
      <c r="AQ971" s="22">
        <f t="shared" si="341"/>
        <v>6.9802238404411326E-2</v>
      </c>
      <c r="AR971" s="22">
        <f t="shared" si="341"/>
        <v>7.1168586304156845E-2</v>
      </c>
      <c r="AS971" s="22">
        <f t="shared" si="341"/>
        <v>7.2620468539702415E-2</v>
      </c>
      <c r="AT971" s="22">
        <f t="shared" si="341"/>
        <v>7.4145674701917505E-2</v>
      </c>
      <c r="AU971" s="22">
        <f t="shared" si="341"/>
        <v>7.5736335779032549E-2</v>
      </c>
      <c r="AV971" s="22">
        <f t="shared" si="341"/>
        <v>7.742111428427241E-2</v>
      </c>
      <c r="AW971" s="22">
        <f t="shared" si="341"/>
        <v>7.9042181793391189E-2</v>
      </c>
      <c r="AY971" s="79"/>
      <c r="AZ971" s="79"/>
    </row>
    <row r="972" spans="1:52" x14ac:dyDescent="0.25">
      <c r="A972" s="95" t="str">
        <f t="shared" si="326"/>
        <v>DS Organic</v>
      </c>
      <c r="B972" s="95" t="s">
        <v>973</v>
      </c>
      <c r="C972" s="95" t="s">
        <v>1126</v>
      </c>
      <c r="D972" t="s">
        <v>369</v>
      </c>
      <c r="E972" t="s">
        <v>55</v>
      </c>
      <c r="F972" t="s">
        <v>421</v>
      </c>
      <c r="G972" t="s">
        <v>1157</v>
      </c>
      <c r="H972" t="s">
        <v>1158</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0.39521014945095007</v>
      </c>
      <c r="N972" s="94">
        <f>IF('Net zero activities &amp; levers'!$C$12="Off",'Activity data'!AG53*ManureNEF*NtoN2O*kgtoGg,'Net zero Activity data'!AG53*ManureNEF*NtoN2O*kgtoGg)</f>
        <v>0.38993263522397309</v>
      </c>
      <c r="O972" s="94">
        <f>IF('Net zero activities &amp; levers'!$C$12="Off",'Activity data'!AH53*ManureNEF*NtoN2O*kgtoGg,'Net zero Activity data'!AH53*ManureNEF*NtoN2O*kgtoGg)</f>
        <v>0.38227219443770077</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0.31897606543396184</v>
      </c>
      <c r="T972" s="94">
        <f>IF('Net zero activities &amp; levers'!$C$12="Off",'Activity data'!AM53*ManureNEF*NtoN2O*kgtoGg,'Net zero Activity data'!AM53*ManureNEF*NtoN2O*kgtoGg)</f>
        <v>0.33422640738749132</v>
      </c>
      <c r="U972" s="94">
        <f>IF('Net zero activities &amp; levers'!$C$12="Off",'Activity data'!AN53*ManureNEF*NtoN2O*kgtoGg,'Net zero Activity data'!AN53*ManureNEF*NtoN2O*kgtoGg)</f>
        <v>0.3395060787066792</v>
      </c>
      <c r="V972" s="94">
        <f>IF('Net zero activities &amp; levers'!$C$12="Off",'Activity data'!AO53*ManureNEF*NtoN2O*kgtoGg,'Net zero Activity data'!AO53*ManureNEF*NtoN2O*kgtoGg)</f>
        <v>0.33721330134407257</v>
      </c>
      <c r="W972" s="94">
        <f>IF('Net zero activities &amp; levers'!$C$12="Off",'Activity data'!AP53*ManureNEF*NtoN2O*kgtoGg,'Net zero Activity data'!AP53*ManureNEF*NtoN2O*kgtoGg)</f>
        <v>0.33534828840095249</v>
      </c>
      <c r="X972" s="94">
        <f>IF('Net zero activities &amp; levers'!$C$12="Off",'Activity data'!AQ53*ManureNEF*NtoN2O*kgtoGg,'Net zero Activity data'!AQ53*ManureNEF*NtoN2O*kgtoGg)</f>
        <v>0.33547079917503503</v>
      </c>
      <c r="Y972" s="94">
        <f>IF('Net zero activities &amp; levers'!$C$12="Off",'Activity data'!AR53*ManureNEF*NtoN2O*kgtoGg,'Net zero Activity data'!AR53*ManureNEF*NtoN2O*kgtoGg)</f>
        <v>0.33744070936588777</v>
      </c>
      <c r="Z972" s="94">
        <f>IF('Net zero activities &amp; levers'!$C$12="Off",'Activity data'!AS53*ManureNEF*NtoN2O*kgtoGg,'Net zero Activity data'!AS53*ManureNEF*NtoN2O*kgtoGg)</f>
        <v>0.34023587672815686</v>
      </c>
      <c r="AA972" s="94">
        <f>IF('Net zero activities &amp; levers'!$C$12="Off",'Activity data'!AT53*ManureNEF*NtoN2O*kgtoGg,'Net zero Activity data'!AT53*ManureNEF*NtoN2O*kgtoGg)</f>
        <v>0.34408144868680218</v>
      </c>
      <c r="AB972" s="94">
        <f>IF('Net zero activities &amp; levers'!$C$12="Off",'Activity data'!AU53*ManureNEF*NtoN2O*kgtoGg,'Net zero Activity data'!AU53*ManureNEF*NtoN2O*kgtoGg)</f>
        <v>0.34971445697084458</v>
      </c>
      <c r="AC972" s="94">
        <f>IF('Net zero activities &amp; levers'!$C$12="Off",'Activity data'!AV53*ManureNEF*NtoN2O*kgtoGg,'Net zero Activity data'!AV53*ManureNEF*NtoN2O*kgtoGg)</f>
        <v>0.35697581238959336</v>
      </c>
      <c r="AD972" s="94">
        <f>IF('Net zero activities &amp; levers'!$C$12="Off",'Activity data'!AW53*ManureNEF*NtoN2O*kgtoGg,'Net zero Activity data'!AW53*ManureNEF*NtoN2O*kgtoGg)</f>
        <v>0.36203839361176637</v>
      </c>
      <c r="AE972" s="94">
        <f>IF('Net zero activities &amp; levers'!$C$12="Off",'Activity data'!AX53*ManureNEF*NtoN2O*kgtoGg,'Net zero Activity data'!AX53*ManureNEF*NtoN2O*kgtoGg)</f>
        <v>0.36769900977315834</v>
      </c>
      <c r="AF972" s="94">
        <f>IF('Net zero activities &amp; levers'!$C$12="Off",'Activity data'!AY53*ManureNEF*NtoN2O*kgtoGg,'Net zero Activity data'!AY53*ManureNEF*NtoN2O*kgtoGg)</f>
        <v>0.37353106948354631</v>
      </c>
      <c r="AG972" s="94">
        <f>IF('Net zero activities &amp; levers'!$C$12="Off",'Activity data'!AZ53*ManureNEF*NtoN2O*kgtoGg,'Net zero Activity data'!AZ53*ManureNEF*NtoN2O*kgtoGg)</f>
        <v>0.37966412521229187</v>
      </c>
      <c r="AH972" s="94">
        <f>IF('Net zero activities &amp; levers'!$C$12="Off",'Activity data'!BA53*ManureNEF*NtoN2O*kgtoGg,'Net zero Activity data'!BA53*ManureNEF*NtoN2O*kgtoGg)</f>
        <v>0.38588904144354591</v>
      </c>
      <c r="AI972" s="94">
        <f>IF('Net zero activities &amp; levers'!$C$12="Off",'Activity data'!BB53*ManureNEF*NtoN2O*kgtoGg,'Net zero Activity data'!BB53*ManureNEF*NtoN2O*kgtoGg)</f>
        <v>0.39157349610813613</v>
      </c>
      <c r="AJ972" s="94">
        <f>IF('Net zero activities &amp; levers'!$C$12="Off",'Activity data'!BC53*ManureNEF*NtoN2O*kgtoGg,'Net zero Activity data'!BC53*ManureNEF*NtoN2O*kgtoGg)</f>
        <v>0.39756955250590403</v>
      </c>
      <c r="AK972" s="94">
        <f>IF('Net zero activities &amp; levers'!$C$12="Off",'Activity data'!BD53*ManureNEF*NtoN2O*kgtoGg,'Net zero Activity data'!BD53*ManureNEF*NtoN2O*kgtoGg)</f>
        <v>0.40329410820183131</v>
      </c>
      <c r="AL972" s="94">
        <f>IF('Net zero activities &amp; levers'!$C$12="Off",'Activity data'!BE53*ManureNEF*NtoN2O*kgtoGg,'Net zero Activity data'!BE53*ManureNEF*NtoN2O*kgtoGg)</f>
        <v>0.4086920134239358</v>
      </c>
      <c r="AM972" s="94">
        <f>IF('Net zero activities &amp; levers'!$C$12="Off",'Activity data'!BF53*ManureNEF*NtoN2O*kgtoGg,'Net zero Activity data'!BF53*ManureNEF*NtoN2O*kgtoGg)</f>
        <v>0.41399400883192944</v>
      </c>
      <c r="AN972" s="94">
        <f>IF('Net zero activities &amp; levers'!$C$12="Off",'Activity data'!BG53*ManureNEF*NtoN2O*kgtoGg,'Net zero Activity data'!BG53*ManureNEF*NtoN2O*kgtoGg)</f>
        <v>0.42072674060954357</v>
      </c>
      <c r="AO972" s="94">
        <f>IF('Net zero activities &amp; levers'!$C$12="Off",'Activity data'!BH53*ManureNEF*NtoN2O*kgtoGg,'Net zero Activity data'!BH53*ManureNEF*NtoN2O*kgtoGg)</f>
        <v>0.42769047193917231</v>
      </c>
      <c r="AP972" s="94">
        <f>IF('Net zero activities &amp; levers'!$C$12="Off",'Activity data'!BI53*ManureNEF*NtoN2O*kgtoGg,'Net zero Activity data'!BI53*ManureNEF*NtoN2O*kgtoGg)</f>
        <v>0.43513827260891708</v>
      </c>
      <c r="AQ972" s="94">
        <f>IF('Net zero activities &amp; levers'!$C$12="Off",'Activity data'!BJ53*ManureNEF*NtoN2O*kgtoGg,'Net zero Activity data'!BJ53*ManureNEF*NtoN2O*kgtoGg)</f>
        <v>0.44255709633783841</v>
      </c>
      <c r="AR972" s="94">
        <f>IF('Net zero activities &amp; levers'!$C$12="Off",'Activity data'!BK53*ManureNEF*NtoN2O*kgtoGg,'Net zero Activity data'!BK53*ManureNEF*NtoN2O*kgtoGg)</f>
        <v>0.44995657231615971</v>
      </c>
      <c r="AS972" s="94">
        <f>IF('Net zero activities &amp; levers'!$C$12="Off",'Activity data'!BL53*ManureNEF*NtoN2O*kgtoGg,'Net zero Activity data'!BL53*ManureNEF*NtoN2O*kgtoGg)</f>
        <v>0.45782299471336541</v>
      </c>
      <c r="AT972" s="94">
        <f>IF('Net zero activities &amp; levers'!$C$12="Off",'Activity data'!BM53*ManureNEF*NtoN2O*kgtoGg,'Net zero Activity data'!BM53*ManureNEF*NtoN2O*kgtoGg)</f>
        <v>0.46595268200970025</v>
      </c>
      <c r="AU972" s="94">
        <f>IF('Net zero activities &amp; levers'!$C$12="Off",'Activity data'!BN53*ManureNEF*NtoN2O*kgtoGg,'Net zero Activity data'!BN53*ManureNEF*NtoN2O*kgtoGg)</f>
        <v>0.47420429180526752</v>
      </c>
      <c r="AV972" s="94">
        <f>IF('Net zero activities &amp; levers'!$C$12="Off",'Activity data'!BO53*ManureNEF*NtoN2O*kgtoGg,'Net zero Activity data'!BO53*ManureNEF*NtoN2O*kgtoGg)</f>
        <v>0.48285863154123199</v>
      </c>
      <c r="AW972" s="94">
        <f>IF('Net zero activities &amp; levers'!$C$12="Off",'Activity data'!BP53*ManureNEF*NtoN2O*kgtoGg,'Net zero Activity data'!BP53*ManureNEF*NtoN2O*kgtoGg)</f>
        <v>0.4901142188549843</v>
      </c>
      <c r="AY972" s="79"/>
      <c r="AZ972" s="79"/>
    </row>
    <row r="973" spans="1:52" x14ac:dyDescent="0.25">
      <c r="A973" s="95" t="str">
        <f t="shared" si="326"/>
        <v>DS Organic</v>
      </c>
      <c r="B973" s="95" t="s">
        <v>973</v>
      </c>
      <c r="C973" s="95" t="s">
        <v>1126</v>
      </c>
      <c r="D973" t="s">
        <v>369</v>
      </c>
      <c r="E973" t="s">
        <v>55</v>
      </c>
      <c r="F973" t="s">
        <v>421</v>
      </c>
      <c r="G973" t="s">
        <v>1159</v>
      </c>
      <c r="H973" t="s">
        <v>1160</v>
      </c>
      <c r="I973" t="s">
        <v>139</v>
      </c>
      <c r="J973" t="s">
        <v>287</v>
      </c>
      <c r="K973" s="94">
        <f>IF('Net zero activities &amp; levers'!$C$12="Off",'Activity data'!AD54*ManureNEF*NtoN2O*kgtoGg,'Net zero Activity data'!AD54*ManureNEF*NtoN2O*kgtoGg)</f>
        <v>2.6602988559851233</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2.5933447201068058</v>
      </c>
      <c r="O973" s="94">
        <f>IF('Net zero activities &amp; levers'!$C$12="Off",'Activity data'!AH54*ManureNEF*NtoN2O*kgtoGg,'Net zero Activity data'!AH54*ManureNEF*NtoN2O*kgtoGg)</f>
        <v>2.5423970387070192</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2.1214302687397906</v>
      </c>
      <c r="T973" s="94">
        <f>IF('Net zero activities &amp; levers'!$C$12="Off",'Activity data'!AM54*ManureNEF*NtoN2O*kgtoGg,'Net zero Activity data'!AM54*ManureNEF*NtoN2O*kgtoGg)</f>
        <v>2.2228564901236254</v>
      </c>
      <c r="U973" s="94">
        <f>IF('Net zero activities &amp; levers'!$C$12="Off",'Activity data'!AN54*ManureNEF*NtoN2O*kgtoGg,'Net zero Activity data'!AN54*ManureNEF*NtoN2O*kgtoGg)</f>
        <v>2.2579702674858382</v>
      </c>
      <c r="V973" s="94">
        <f>IF('Net zero activities &amp; levers'!$C$12="Off",'Activity data'!AO54*ManureNEF*NtoN2O*kgtoGg,'Net zero Activity data'!AO54*ManureNEF*NtoN2O*kgtoGg)</f>
        <v>2.2427215769927198</v>
      </c>
      <c r="W973" s="94">
        <f>IF('Net zero activities &amp; levers'!$C$12="Off",'Activity data'!AP54*ManureNEF*NtoN2O*kgtoGg,'Net zero Activity data'!AP54*ManureNEF*NtoN2O*kgtoGg)</f>
        <v>2.230317840982798</v>
      </c>
      <c r="X973" s="94">
        <f>IF('Net zero activities &amp; levers'!$C$12="Off",'Activity data'!AQ54*ManureNEF*NtoN2O*kgtoGg,'Net zero Activity data'!AQ54*ManureNEF*NtoN2O*kgtoGg)</f>
        <v>2.2311326295909391</v>
      </c>
      <c r="Y973" s="94">
        <f>IF('Net zero activities &amp; levers'!$C$12="Off",'Activity data'!AR54*ManureNEF*NtoN2O*kgtoGg,'Net zero Activity data'!AR54*ManureNEF*NtoN2O*kgtoGg)</f>
        <v>2.2442340110375012</v>
      </c>
      <c r="Z973" s="94">
        <f>IF('Net zero activities &amp; levers'!$C$12="Off",'Activity data'!AS54*ManureNEF*NtoN2O*kgtoGg,'Net zero Activity data'!AS54*ManureNEF*NtoN2O*kgtoGg)</f>
        <v>2.2628239721383245</v>
      </c>
      <c r="AA973" s="94">
        <f>IF('Net zero activities &amp; levers'!$C$12="Off",'Activity data'!AT54*ManureNEF*NtoN2O*kgtoGg,'Net zero Activity data'!AT54*ManureNEF*NtoN2O*kgtoGg)</f>
        <v>2.2883999122722289</v>
      </c>
      <c r="AB973" s="94">
        <f>IF('Net zero activities &amp; levers'!$C$12="Off",'Activity data'!AU54*ManureNEF*NtoN2O*kgtoGg,'Net zero Activity data'!AU54*ManureNEF*NtoN2O*kgtoGg)</f>
        <v>2.3258636456767143</v>
      </c>
      <c r="AC973" s="94">
        <f>IF('Net zero activities &amp; levers'!$C$12="Off",'Activity data'!AV54*ManureNEF*NtoN2O*kgtoGg,'Net zero Activity data'!AV54*ManureNEF*NtoN2O*kgtoGg)</f>
        <v>2.3741571098162688</v>
      </c>
      <c r="AD973" s="94">
        <f>IF('Net zero activities &amp; levers'!$C$12="Off",'Activity data'!AW54*ManureNEF*NtoN2O*kgtoGg,'Net zero Activity data'!AW54*ManureNEF*NtoN2O*kgtoGg)</f>
        <v>2.4078270750785844</v>
      </c>
      <c r="AE973" s="94">
        <f>IF('Net zero activities &amp; levers'!$C$12="Off",'Activity data'!AX54*ManureNEF*NtoN2O*kgtoGg,'Net zero Activity data'!AX54*ManureNEF*NtoN2O*kgtoGg)</f>
        <v>2.4454744215907969</v>
      </c>
      <c r="AF973" s="94">
        <f>IF('Net zero activities &amp; levers'!$C$12="Off",'Activity data'!AY54*ManureNEF*NtoN2O*kgtoGg,'Net zero Activity data'!AY54*ManureNEF*NtoN2O*kgtoGg)</f>
        <v>2.4842619963948258</v>
      </c>
      <c r="AG973" s="94">
        <f>IF('Net zero activities &amp; levers'!$C$12="Off",'Activity data'!AZ54*ManureNEF*NtoN2O*kgtoGg,'Net zero Activity data'!AZ54*ManureNEF*NtoN2O*kgtoGg)</f>
        <v>2.5250514206581411</v>
      </c>
      <c r="AH973" s="94">
        <f>IF('Net zero activities &amp; levers'!$C$12="Off",'Activity data'!BA54*ManureNEF*NtoN2O*kgtoGg,'Net zero Activity data'!BA54*ManureNEF*NtoN2O*kgtoGg)</f>
        <v>2.5664517862165597</v>
      </c>
      <c r="AI973" s="94">
        <f>IF('Net zero activities &amp; levers'!$C$12="Off",'Activity data'!BB54*ManureNEF*NtoN2O*kgtoGg,'Net zero Activity data'!BB54*ManureNEF*NtoN2O*kgtoGg)</f>
        <v>2.6042576766689809</v>
      </c>
      <c r="AJ973" s="94">
        <f>IF('Net zero activities &amp; levers'!$C$12="Off",'Activity data'!BC54*ManureNEF*NtoN2O*kgtoGg,'Net zero Activity data'!BC54*ManureNEF*NtoN2O*kgtoGg)</f>
        <v>2.6441359525452293</v>
      </c>
      <c r="AK973" s="94">
        <f>IF('Net zero activities &amp; levers'!$C$12="Off",'Activity data'!BD54*ManureNEF*NtoN2O*kgtoGg,'Net zero Activity data'!BD54*ManureNEF*NtoN2O*kgtoGg)</f>
        <v>2.6822085449571547</v>
      </c>
      <c r="AL973" s="94">
        <f>IF('Net zero activities &amp; levers'!$C$12="Off",'Activity data'!BE54*ManureNEF*NtoN2O*kgtoGg,'Net zero Activity data'!BE54*ManureNEF*NtoN2O*kgtoGg)</f>
        <v>2.7181086665238992</v>
      </c>
      <c r="AM973" s="94">
        <f>IF('Net zero activities &amp; levers'!$C$12="Off",'Activity data'!BF54*ManureNEF*NtoN2O*kgtoGg,'Net zero Activity data'!BF54*ManureNEF*NtoN2O*kgtoGg)</f>
        <v>2.7533709158338433</v>
      </c>
      <c r="AN973" s="94">
        <f>IF('Net zero activities &amp; levers'!$C$12="Off",'Activity data'!BG54*ManureNEF*NtoN2O*kgtoGg,'Net zero Activity data'!BG54*ManureNEF*NtoN2O*kgtoGg)</f>
        <v>2.7981486359580932</v>
      </c>
      <c r="AO973" s="94">
        <f>IF('Net zero activities &amp; levers'!$C$12="Off",'Activity data'!BH54*ManureNEF*NtoN2O*kgtoGg,'Net zero Activity data'!BH54*ManureNEF*NtoN2O*kgtoGg)</f>
        <v>2.8444626764988703</v>
      </c>
      <c r="AP973" s="94">
        <f>IF('Net zero activities &amp; levers'!$C$12="Off",'Activity data'!BI54*ManureNEF*NtoN2O*kgtoGg,'Net zero Activity data'!BI54*ManureNEF*NtoN2O*kgtoGg)</f>
        <v>2.8939961415092981</v>
      </c>
      <c r="AQ973" s="94">
        <f>IF('Net zero activities &amp; levers'!$C$12="Off",'Activity data'!BJ54*ManureNEF*NtoN2O*kgtoGg,'Net zero Activity data'!BJ54*ManureNEF*NtoN2O*kgtoGg)</f>
        <v>2.9433368881122353</v>
      </c>
      <c r="AR973" s="94">
        <f>IF('Net zero activities &amp; levers'!$C$12="Off",'Activity data'!BK54*ManureNEF*NtoN2O*kgtoGg,'Net zero Activity data'!BK54*ManureNEF*NtoN2O*kgtoGg)</f>
        <v>2.9925489576506421</v>
      </c>
      <c r="AS973" s="94">
        <f>IF('Net zero activities &amp; levers'!$C$12="Off",'Activity data'!BL54*ManureNEF*NtoN2O*kgtoGg,'Net zero Activity data'!BL54*ManureNEF*NtoN2O*kgtoGg)</f>
        <v>3.0448665713794991</v>
      </c>
      <c r="AT973" s="94">
        <f>IF('Net zero activities &amp; levers'!$C$12="Off",'Activity data'!BM54*ManureNEF*NtoN2O*kgtoGg,'Net zero Activity data'!BM54*ManureNEF*NtoN2O*kgtoGg)</f>
        <v>3.0989350943025911</v>
      </c>
      <c r="AU973" s="94">
        <f>IF('Net zero activities &amp; levers'!$C$12="Off",'Activity data'!BN54*ManureNEF*NtoN2O*kgtoGg,'Net zero Activity data'!BN54*ManureNEF*NtoN2O*kgtoGg)</f>
        <v>3.1538144933644965</v>
      </c>
      <c r="AV973" s="94">
        <f>IF('Net zero activities &amp; levers'!$C$12="Off",'Activity data'!BO54*ManureNEF*NtoN2O*kgtoGg,'Net zero Activity data'!BO54*ManureNEF*NtoN2O*kgtoGg)</f>
        <v>3.211372348831973</v>
      </c>
      <c r="AW973" s="94">
        <f>IF('Net zero activities &amp; levers'!$C$12="Off",'Activity data'!BP54*ManureNEF*NtoN2O*kgtoGg,'Net zero Activity data'!BP54*ManureNEF*NtoN2O*kgtoGg)</f>
        <v>3.2596274507435776</v>
      </c>
      <c r="AY973" s="79"/>
      <c r="AZ973" s="79"/>
    </row>
    <row r="974" spans="1:52" x14ac:dyDescent="0.25">
      <c r="A974" s="95" t="str">
        <f t="shared" si="326"/>
        <v>DS Organic</v>
      </c>
      <c r="B974" s="95" t="s">
        <v>973</v>
      </c>
      <c r="C974" s="95" t="s">
        <v>1126</v>
      </c>
      <c r="D974" t="s">
        <v>369</v>
      </c>
      <c r="E974" t="s">
        <v>55</v>
      </c>
      <c r="F974" t="s">
        <v>421</v>
      </c>
      <c r="G974" t="s">
        <v>1161</v>
      </c>
      <c r="H974" t="s">
        <v>1162</v>
      </c>
      <c r="I974" t="s">
        <v>139</v>
      </c>
      <c r="J974" t="s">
        <v>287</v>
      </c>
      <c r="K974" s="94">
        <f>IF('Net zero activities &amp; levers'!$C$12="Off",'Activity data'!AD55*ManureNEF*NtoN2O*kgtoGg,'Net zero Activity data'!AD55*ManureNEF*NtoN2O*kgtoGg)</f>
        <v>0.34358078636628725</v>
      </c>
      <c r="L974" s="94">
        <f>IF('Net zero activities &amp; levers'!$C$12="Off",'Activity data'!AE55*ManureNEF*NtoN2O*kgtoGg,'Net zero Activity data'!AE55*ManureNEF*NtoN2O*kgtoGg)</f>
        <v>0.35516571939691488</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0.37917034791782084</v>
      </c>
      <c r="O974" s="94">
        <f>IF('Net zero activities &amp; levers'!$C$12="Off",'Activity data'!AH55*ManureNEF*NtoN2O*kgtoGg,'Net zero Activity data'!AH55*ManureNEF*NtoN2O*kgtoGg)</f>
        <v>0.3870785095581884</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0.37883271565803223</v>
      </c>
      <c r="T974" s="94">
        <f>IF('Net zero activities &amp; levers'!$C$12="Off",'Activity data'!AM55*ManureNEF*NtoN2O*kgtoGg,'Net zero Activity data'!AM55*ManureNEF*NtoN2O*kgtoGg)</f>
        <v>0.40650829214497081</v>
      </c>
      <c r="U974" s="94">
        <f>IF('Net zero activities &amp; levers'!$C$12="Off",'Activity data'!AN55*ManureNEF*NtoN2O*kgtoGg,'Net zero Activity data'!AN55*ManureNEF*NtoN2O*kgtoGg)</f>
        <v>0.42274175542300491</v>
      </c>
      <c r="V974" s="94">
        <f>IF('Net zero activities &amp; levers'!$C$12="Off",'Activity data'!AO55*ManureNEF*NtoN2O*kgtoGg,'Net zero Activity data'!AO55*ManureNEF*NtoN2O*kgtoGg)</f>
        <v>0.42973734716787138</v>
      </c>
      <c r="W974" s="94">
        <f>IF('Net zero activities &amp; levers'!$C$12="Off",'Activity data'!AP55*ManureNEF*NtoN2O*kgtoGg,'Net zero Activity data'!AP55*ManureNEF*NtoN2O*kgtoGg)</f>
        <v>0.43726842004421129</v>
      </c>
      <c r="X974" s="94">
        <f>IF('Net zero activities &amp; levers'!$C$12="Off",'Activity data'!AQ55*ManureNEF*NtoN2O*kgtoGg,'Net zero Activity data'!AQ55*ManureNEF*NtoN2O*kgtoGg)</f>
        <v>0.44745878466388073</v>
      </c>
      <c r="Y974" s="94">
        <f>IF('Net zero activities &amp; levers'!$C$12="Off",'Activity data'!AR55*ManureNEF*NtoN2O*kgtoGg,'Net zero Activity data'!AR55*ManureNEF*NtoN2O*kgtoGg)</f>
        <v>0.46030289933226931</v>
      </c>
      <c r="Z974" s="94">
        <f>IF('Net zero activities &amp; levers'!$C$12="Off",'Activity data'!AS55*ManureNEF*NtoN2O*kgtoGg,'Net zero Activity data'!AS55*ManureNEF*NtoN2O*kgtoGg)</f>
        <v>0.47455223837766919</v>
      </c>
      <c r="AA974" s="94">
        <f>IF('Net zero activities &amp; levers'!$C$12="Off",'Activity data'!AT55*ManureNEF*NtoN2O*kgtoGg,'Net zero Activity data'!AT55*ManureNEF*NtoN2O*kgtoGg)</f>
        <v>0.4906141484694207</v>
      </c>
      <c r="AB974" s="94">
        <f>IF('Net zero activities &amp; levers'!$C$12="Off",'Activity data'!AU55*ManureNEF*NtoN2O*kgtoGg,'Net zero Activity data'!AU55*ManureNEF*NtoN2O*kgtoGg)</f>
        <v>0.50967264018855052</v>
      </c>
      <c r="AC974" s="94">
        <f>IF('Net zero activities &amp; levers'!$C$12="Off",'Activity data'!AV55*ManureNEF*NtoN2O*kgtoGg,'Net zero Activity data'!AV55*ManureNEF*NtoN2O*kgtoGg)</f>
        <v>0.53167442702617229</v>
      </c>
      <c r="AD974" s="94">
        <f>IF('Net zero activities &amp; levers'!$C$12="Off",'Activity data'!AW55*ManureNEF*NtoN2O*kgtoGg,'Net zero Activity data'!AW55*ManureNEF*NtoN2O*kgtoGg)</f>
        <v>0.55709637533943834</v>
      </c>
      <c r="AE974" s="94">
        <f>IF('Net zero activities &amp; levers'!$C$12="Off",'Activity data'!AX55*ManureNEF*NtoN2O*kgtoGg,'Net zero Activity data'!AX55*ManureNEF*NtoN2O*kgtoGg)</f>
        <v>0.58460645913698228</v>
      </c>
      <c r="AF974" s="94">
        <f>IF('Net zero activities &amp; levers'!$C$12="Off",'Activity data'!AY55*ManureNEF*NtoN2O*kgtoGg,'Net zero Activity data'!AY55*ManureNEF*NtoN2O*kgtoGg)</f>
        <v>0.61366166383859366</v>
      </c>
      <c r="AG974" s="94">
        <f>IF('Net zero activities &amp; levers'!$C$12="Off",'Activity data'!AZ55*ManureNEF*NtoN2O*kgtoGg,'Net zero Activity data'!AZ55*ManureNEF*NtoN2O*kgtoGg)</f>
        <v>0.64458089754098746</v>
      </c>
      <c r="AH974" s="94">
        <f>IF('Net zero activities &amp; levers'!$C$12="Off",'Activity data'!BA55*ManureNEF*NtoN2O*kgtoGg,'Net zero Activity data'!BA55*ManureNEF*NtoN2O*kgtoGg)</f>
        <v>0.67712551028517698</v>
      </c>
      <c r="AI974" s="94">
        <f>IF('Net zero activities &amp; levers'!$C$12="Off",'Activity data'!BB55*ManureNEF*NtoN2O*kgtoGg,'Net zero Activity data'!BB55*ManureNEF*NtoN2O*kgtoGg)</f>
        <v>0.71024940806884818</v>
      </c>
      <c r="AJ974" s="94">
        <f>IF('Net zero activities &amp; levers'!$C$12="Off",'Activity data'!BC55*ManureNEF*NtoN2O*kgtoGg,'Net zero Activity data'!BC55*ManureNEF*NtoN2O*kgtoGg)</f>
        <v>0.74554239669460731</v>
      </c>
      <c r="AK974" s="94">
        <f>IF('Net zero activities &amp; levers'!$C$12="Off",'Activity data'!BD55*ManureNEF*NtoN2O*kgtoGg,'Net zero Activity data'!BD55*ManureNEF*NtoN2O*kgtoGg)</f>
        <v>0.78202811985737553</v>
      </c>
      <c r="AL974" s="94">
        <f>IF('Net zero activities &amp; levers'!$C$12="Off",'Activity data'!BE55*ManureNEF*NtoN2O*kgtoGg,'Net zero Activity data'!BE55*ManureNEF*NtoN2O*kgtoGg)</f>
        <v>0.81964634511188172</v>
      </c>
      <c r="AM974" s="94">
        <f>IF('Net zero activities &amp; levers'!$C$12="Off",'Activity data'!BF55*ManureNEF*NtoN2O*kgtoGg,'Net zero Activity data'!BF55*ManureNEF*NtoN2O*kgtoGg)</f>
        <v>0.85891861421537574</v>
      </c>
      <c r="AN974" s="94">
        <f>IF('Net zero activities &amp; levers'!$C$12="Off",'Activity data'!BG55*ManureNEF*NtoN2O*kgtoGg,'Net zero Activity data'!BG55*ManureNEF*NtoN2O*kgtoGg)</f>
        <v>0.89751581296509064</v>
      </c>
      <c r="AO974" s="94">
        <f>IF('Net zero activities &amp; levers'!$C$12="Off",'Activity data'!BH55*ManureNEF*NtoN2O*kgtoGg,'Net zero Activity data'!BH55*ManureNEF*NtoN2O*kgtoGg)</f>
        <v>0.93820295986961577</v>
      </c>
      <c r="AP974" s="94">
        <f>IF('Net zero activities &amp; levers'!$C$12="Off",'Activity data'!BI55*ManureNEF*NtoN2O*kgtoGg,'Net zero Activity data'!BI55*ManureNEF*NtoN2O*kgtoGg)</f>
        <v>0.98167178661912335</v>
      </c>
      <c r="AQ974" s="94">
        <f>IF('Net zero activities &amp; levers'!$C$12="Off",'Activity data'!BJ55*ManureNEF*NtoN2O*kgtoGg,'Net zero Activity data'!BJ55*ManureNEF*NtoN2O*kgtoGg)</f>
        <v>1.0269093365438573</v>
      </c>
      <c r="AR974" s="94">
        <f>IF('Net zero activities &amp; levers'!$C$12="Off",'Activity data'!BK55*ManureNEF*NtoN2O*kgtoGg,'Net zero Activity data'!BK55*ManureNEF*NtoN2O*kgtoGg)</f>
        <v>1.0740254053264544</v>
      </c>
      <c r="AS974" s="94">
        <f>IF('Net zero activities &amp; levers'!$C$12="Off",'Activity data'!BL55*ManureNEF*NtoN2O*kgtoGg,'Net zero Activity data'!BL55*ManureNEF*NtoN2O*kgtoGg)</f>
        <v>1.1243087675322185</v>
      </c>
      <c r="AT974" s="94">
        <f>IF('Net zero activities &amp; levers'!$C$12="Off",'Activity data'!BM55*ManureNEF*NtoN2O*kgtoGg,'Net zero Activity data'!BM55*ManureNEF*NtoN2O*kgtoGg)</f>
        <v>1.1774495119019792</v>
      </c>
      <c r="AU974" s="94">
        <f>IF('Net zero activities &amp; levers'!$C$12="Off",'Activity data'!BN55*ManureNEF*NtoN2O*kgtoGg,'Net zero Activity data'!BN55*ManureNEF*NtoN2O*kgtoGg)</f>
        <v>1.2332540246283563</v>
      </c>
      <c r="AV974" s="94">
        <f>IF('Net zero activities &amp; levers'!$C$12="Off",'Activity data'!BO55*ManureNEF*NtoN2O*kgtoGg,'Net zero Activity data'!BO55*ManureNEF*NtoN2O*kgtoGg)</f>
        <v>1.2926278816392183</v>
      </c>
      <c r="AW974" s="94">
        <f>IF('Net zero activities &amp; levers'!$C$12="Off",'Activity data'!BP55*ManureNEF*NtoN2O*kgtoGg,'Net zero Activity data'!BP55*ManureNEF*NtoN2O*kgtoGg)</f>
        <v>1.3508373812373191</v>
      </c>
      <c r="AY974" s="79"/>
      <c r="AZ974" s="79"/>
    </row>
    <row r="975" spans="1:52" x14ac:dyDescent="0.25">
      <c r="A975" s="95" t="str">
        <f t="shared" si="326"/>
        <v>DS Organic</v>
      </c>
      <c r="B975" s="95" t="s">
        <v>973</v>
      </c>
      <c r="C975" s="95" t="s">
        <v>1126</v>
      </c>
      <c r="D975" t="s">
        <v>369</v>
      </c>
      <c r="E975" t="s">
        <v>55</v>
      </c>
      <c r="F975" t="s">
        <v>421</v>
      </c>
      <c r="G975" t="s">
        <v>1163</v>
      </c>
      <c r="H975" t="s">
        <v>1164</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5.9206646241484272E-2</v>
      </c>
      <c r="T975" s="94">
        <f>IF('Net zero activities &amp; levers'!$C$12="Off",'Activity data'!AM56*ManureNEF*NtoN2O*kgtoGg,IF('Net zero activities &amp; levers'!$C$12="PB",'Activity data'!AM56*ManureNEF*NtoN2O*kgtoGg,IF('Net zero activities &amp; levers'!$C$12="MS",'Net zero Activity data'!AM56*ManureNEF*NtoN2O*kgtoGg,"ERROR")))</f>
        <v>5.9249261961011081E-2</v>
      </c>
      <c r="U975" s="94">
        <f>IF('Net zero activities &amp; levers'!$C$12="Off",'Activity data'!AN56*ManureNEF*NtoN2O*kgtoGg,IF('Net zero activities &amp; levers'!$C$12="PB",'Activity data'!AN56*ManureNEF*NtoN2O*kgtoGg,IF('Net zero activities &amp; levers'!$C$12="MS",'Net zero Activity data'!AN56*ManureNEF*NtoN2O*kgtoGg,"ERROR")))</f>
        <v>5.9234279181673045E-2</v>
      </c>
      <c r="V975" s="94">
        <f>IF('Net zero activities &amp; levers'!$C$12="Off",'Activity data'!AO56*ManureNEF*NtoN2O*kgtoGg,IF('Net zero activities &amp; levers'!$C$12="PB",'Activity data'!AO56*ManureNEF*NtoN2O*kgtoGg,IF('Net zero activities &amp; levers'!$C$12="MS",'Net zero Activity data'!AO56*ManureNEF*NtoN2O*kgtoGg,"ERROR")))</f>
        <v>5.9233200541063784E-2</v>
      </c>
      <c r="W975" s="94">
        <f>IF('Net zero activities &amp; levers'!$C$12="Off",'Activity data'!AP56*ManureNEF*NtoN2O*kgtoGg,IF('Net zero activities &amp; levers'!$C$12="PB",'Activity data'!AP56*ManureNEF*NtoN2O*kgtoGg,IF('Net zero activities &amp; levers'!$C$12="MS",'Net zero Activity data'!AP56*ManureNEF*NtoN2O*kgtoGg,"ERROR")))</f>
        <v>5.9296029757579687E-2</v>
      </c>
      <c r="X975" s="94">
        <f>IF('Net zero activities &amp; levers'!$C$12="Off",'Activity data'!AQ56*ManureNEF*NtoN2O*kgtoGg,IF('Net zero activities &amp; levers'!$C$12="PB",'Activity data'!AQ56*ManureNEF*NtoN2O*kgtoGg,IF('Net zero activities &amp; levers'!$C$12="MS",'Net zero Activity data'!AQ56*ManureNEF*NtoN2O*kgtoGg,"ERROR")))</f>
        <v>5.9398855559527265E-2</v>
      </c>
      <c r="Y975" s="94">
        <f>IF('Net zero activities &amp; levers'!$C$12="Off",'Activity data'!AR56*ManureNEF*NtoN2O*kgtoGg,IF('Net zero activities &amp; levers'!$C$12="PB",'Activity data'!AR56*ManureNEF*NtoN2O*kgtoGg,IF('Net zero activities &amp; levers'!$C$12="MS",'Net zero Activity data'!AR56*ManureNEF*NtoN2O*kgtoGg,"ERROR")))</f>
        <v>5.9497518057295966E-2</v>
      </c>
      <c r="Z975" s="94">
        <f>IF('Net zero activities &amp; levers'!$C$12="Off",'Activity data'!AS56*ManureNEF*NtoN2O*kgtoGg,IF('Net zero activities &amp; levers'!$C$12="PB",'Activity data'!AS56*ManureNEF*NtoN2O*kgtoGg,IF('Net zero activities &amp; levers'!$C$12="MS",'Net zero Activity data'!AS56*ManureNEF*NtoN2O*kgtoGg,"ERROR")))</f>
        <v>5.9592335556578689E-2</v>
      </c>
      <c r="AA975" s="94">
        <f>IF('Net zero activities &amp; levers'!$C$12="Off",'Activity data'!AT56*ManureNEF*NtoN2O*kgtoGg,IF('Net zero activities &amp; levers'!$C$12="PB",'Activity data'!AT56*ManureNEF*NtoN2O*kgtoGg,IF('Net zero activities &amp; levers'!$C$12="MS",'Net zero Activity data'!AT56*ManureNEF*NtoN2O*kgtoGg,"ERROR")))</f>
        <v>5.9683178655916949E-2</v>
      </c>
      <c r="AB975" s="94">
        <f>IF('Net zero activities &amp; levers'!$C$12="Off",'Activity data'!AU56*ManureNEF*NtoN2O*kgtoGg,IF('Net zero activities &amp; levers'!$C$12="PB",'Activity data'!AU56*ManureNEF*NtoN2O*kgtoGg,IF('Net zero activities &amp; levers'!$C$12="MS",'Net zero Activity data'!AU56*ManureNEF*NtoN2O*kgtoGg,"ERROR")))</f>
        <v>5.9771940504679918E-2</v>
      </c>
      <c r="AC975" s="94">
        <f>IF('Net zero activities &amp; levers'!$C$12="Off",'Activity data'!AV56*ManureNEF*NtoN2O*kgtoGg,IF('Net zero activities &amp; levers'!$C$12="PB",'Activity data'!AV56*ManureNEF*NtoN2O*kgtoGg,IF('Net zero activities &amp; levers'!$C$12="MS",'Net zero Activity data'!AV56*ManureNEF*NtoN2O*kgtoGg,"ERROR")))</f>
        <v>5.9859917680633305E-2</v>
      </c>
      <c r="AD975" s="94">
        <f>IF('Net zero activities &amp; levers'!$C$12="Off",'Activity data'!AW56*ManureNEF*NtoN2O*kgtoGg,IF('Net zero activities &amp; levers'!$C$12="PB",'Activity data'!AW56*ManureNEF*NtoN2O*kgtoGg,IF('Net zero activities &amp; levers'!$C$12="MS",'Net zero Activity data'!AW56*ManureNEF*NtoN2O*kgtoGg,"ERROR")))</f>
        <v>5.994622744604354E-2</v>
      </c>
      <c r="AE975" s="94">
        <f>IF('Net zero activities &amp; levers'!$C$12="Off",'Activity data'!AX56*ManureNEF*NtoN2O*kgtoGg,IF('Net zero activities &amp; levers'!$C$12="PB",'Activity data'!AX56*ManureNEF*NtoN2O*kgtoGg,IF('Net zero activities &amp; levers'!$C$12="MS",'Net zero Activity data'!AX56*ManureNEF*NtoN2O*kgtoGg,"ERROR")))</f>
        <v>6.0032110794538678E-2</v>
      </c>
      <c r="AF975" s="94">
        <f>IF('Net zero activities &amp; levers'!$C$12="Off",'Activity data'!AY56*ManureNEF*NtoN2O*kgtoGg,IF('Net zero activities &amp; levers'!$C$12="PB",'Activity data'!AY56*ManureNEF*NtoN2O*kgtoGg,IF('Net zero activities &amp; levers'!$C$12="MS",'Net zero Activity data'!AY56*ManureNEF*NtoN2O*kgtoGg,"ERROR")))</f>
        <v>6.0117297176971563E-2</v>
      </c>
      <c r="AG975" s="94">
        <f>IF('Net zero activities &amp; levers'!$C$12="Off",'Activity data'!AZ56*ManureNEF*NtoN2O*kgtoGg,IF('Net zero activities &amp; levers'!$C$12="PB",'Activity data'!AZ56*ManureNEF*NtoN2O*kgtoGg,IF('Net zero activities &amp; levers'!$C$12="MS",'Net zero Activity data'!AZ56*ManureNEF*NtoN2O*kgtoGg,"ERROR")))</f>
        <v>6.0201104026504609E-2</v>
      </c>
      <c r="AH975" s="94">
        <f>IF('Net zero activities &amp; levers'!$C$12="Off",'Activity data'!BA56*ManureNEF*NtoN2O*kgtoGg,IF('Net zero activities &amp; levers'!$C$12="PB",'Activity data'!BA56*ManureNEF*NtoN2O*kgtoGg,IF('Net zero activities &amp; levers'!$C$12="MS",'Net zero Activity data'!BA56*ManureNEF*NtoN2O*kgtoGg,"ERROR")))</f>
        <v>6.0283900321551377E-2</v>
      </c>
      <c r="AI975" s="94">
        <f>IF('Net zero activities &amp; levers'!$C$12="Off",'Activity data'!BB56*ManureNEF*NtoN2O*kgtoGg,IF('Net zero activities &amp; levers'!$C$12="PB",'Activity data'!BB56*ManureNEF*NtoN2O*kgtoGg,IF('Net zero activities &amp; levers'!$C$12="MS",'Net zero Activity data'!BB56*ManureNEF*NtoN2O*kgtoGg,"ERROR")))</f>
        <v>6.0365774417580641E-2</v>
      </c>
      <c r="AJ975" s="94">
        <f>IF('Net zero activities &amp; levers'!$C$12="Off",'Activity data'!BC56*ManureNEF*NtoN2O*kgtoGg,IF('Net zero activities &amp; levers'!$C$12="PB",'Activity data'!BC56*ManureNEF*NtoN2O*kgtoGg,IF('Net zero activities &amp; levers'!$C$12="MS",'Net zero Activity data'!BC56*ManureNEF*NtoN2O*kgtoGg,"ERROR")))</f>
        <v>6.0447004272429113E-2</v>
      </c>
      <c r="AK975" s="94">
        <f>IF('Net zero activities &amp; levers'!$C$12="Off",'Activity data'!BD56*ManureNEF*NtoN2O*kgtoGg,IF('Net zero activities &amp; levers'!$C$12="PB",'Activity data'!BD56*ManureNEF*NtoN2O*kgtoGg,IF('Net zero activities &amp; levers'!$C$12="MS",'Net zero Activity data'!BD56*ManureNEF*NtoN2O*kgtoGg,"ERROR")))</f>
        <v>6.0525104414191039E-2</v>
      </c>
      <c r="AL975" s="94">
        <f>IF('Net zero activities &amp; levers'!$C$12="Off",'Activity data'!BE56*ManureNEF*NtoN2O*kgtoGg,IF('Net zero activities &amp; levers'!$C$12="PB",'Activity data'!BE56*ManureNEF*NtoN2O*kgtoGg,IF('Net zero activities &amp; levers'!$C$12="MS",'Net zero Activity data'!BE56*ManureNEF*NtoN2O*kgtoGg,"ERROR")))</f>
        <v>6.0599983467265146E-2</v>
      </c>
      <c r="AM975" s="94">
        <f>IF('Net zero activities &amp; levers'!$C$12="Off",'Activity data'!BF56*ManureNEF*NtoN2O*kgtoGg,IF('Net zero activities &amp; levers'!$C$12="PB",'Activity data'!BF56*ManureNEF*NtoN2O*kgtoGg,IF('Net zero activities &amp; levers'!$C$12="MS",'Net zero Activity data'!BF56*ManureNEF*NtoN2O*kgtoGg,"ERROR")))</f>
        <v>6.0672341257529266E-2</v>
      </c>
      <c r="AN975" s="94">
        <f>IF('Net zero activities &amp; levers'!$C$12="Off",'Activity data'!BG56*ManureNEF*NtoN2O*kgtoGg,IF('Net zero activities &amp; levers'!$C$12="PB",'Activity data'!BG56*ManureNEF*NtoN2O*kgtoGg,IF('Net zero activities &amp; levers'!$C$12="MS",'Net zero Activity data'!BG56*ManureNEF*NtoN2O*kgtoGg,"ERROR")))</f>
        <v>6.0741620622323307E-2</v>
      </c>
      <c r="AO975" s="94">
        <f>IF('Net zero activities &amp; levers'!$C$12="Off",'Activity data'!BH56*ManureNEF*NtoN2O*kgtoGg,IF('Net zero activities &amp; levers'!$C$12="PB",'Activity data'!BH56*ManureNEF*NtoN2O*kgtoGg,IF('Net zero activities &amp; levers'!$C$12="MS",'Net zero Activity data'!BH56*ManureNEF*NtoN2O*kgtoGg,"ERROR")))</f>
        <v>6.0807947239837602E-2</v>
      </c>
      <c r="AP975" s="94">
        <f>IF('Net zero activities &amp; levers'!$C$12="Off",'Activity data'!BI56*ManureNEF*NtoN2O*kgtoGg,IF('Net zero activities &amp; levers'!$C$12="PB",'Activity data'!BI56*ManureNEF*NtoN2O*kgtoGg,IF('Net zero activities &amp; levers'!$C$12="MS",'Net zero Activity data'!BI56*ManureNEF*NtoN2O*kgtoGg,"ERROR")))</f>
        <v>6.0871022373773183E-2</v>
      </c>
      <c r="AQ975" s="94">
        <f>IF('Net zero activities &amp; levers'!$C$12="Off",'Activity data'!BJ56*ManureNEF*NtoN2O*kgtoGg,IF('Net zero activities &amp; levers'!$C$12="PB",'Activity data'!BJ56*ManureNEF*NtoN2O*kgtoGg,IF('Net zero activities &amp; levers'!$C$12="MS",'Net zero Activity data'!BJ56*ManureNEF*NtoN2O*kgtoGg,"ERROR")))</f>
        <v>6.0929943414023247E-2</v>
      </c>
      <c r="AR975" s="94">
        <f>IF('Net zero activities &amp; levers'!$C$12="Off",'Activity data'!BK56*ManureNEF*NtoN2O*kgtoGg,IF('Net zero activities &amp; levers'!$C$12="PB",'Activity data'!BK56*ManureNEF*NtoN2O*kgtoGg,IF('Net zero activities &amp; levers'!$C$12="MS",'Net zero Activity data'!BK56*ManureNEF*NtoN2O*kgtoGg,"ERROR")))</f>
        <v>6.098387393162142E-2</v>
      </c>
      <c r="AS975" s="94">
        <f>IF('Net zero activities &amp; levers'!$C$12="Off",'Activity data'!BL56*ManureNEF*NtoN2O*kgtoGg,IF('Net zero activities &amp; levers'!$C$12="PB",'Activity data'!BL56*ManureNEF*NtoN2O*kgtoGg,IF('Net zero activities &amp; levers'!$C$12="MS",'Net zero Activity data'!BL56*ManureNEF*NtoN2O*kgtoGg,"ERROR")))</f>
        <v>6.1032759441621343E-2</v>
      </c>
      <c r="AT975" s="94">
        <f>IF('Net zero activities &amp; levers'!$C$12="Off",'Activity data'!BM56*ManureNEF*NtoN2O*kgtoGg,IF('Net zero activities &amp; levers'!$C$12="PB",'Activity data'!BM56*ManureNEF*NtoN2O*kgtoGg,IF('Net zero activities &amp; levers'!$C$12="MS",'Net zero Activity data'!BM56*ManureNEF*NtoN2O*kgtoGg,"ERROR")))</f>
        <v>6.1076225850700765E-2</v>
      </c>
      <c r="AU975" s="94">
        <f>IF('Net zero activities &amp; levers'!$C$12="Off",'Activity data'!BN56*ManureNEF*NtoN2O*kgtoGg,IF('Net zero activities &amp; levers'!$C$12="PB",'Activity data'!BN56*ManureNEF*NtoN2O*kgtoGg,IF('Net zero activities &amp; levers'!$C$12="MS",'Net zero Activity data'!BN56*ManureNEF*NtoN2O*kgtoGg,"ERROR")))</f>
        <v>6.1114252195612971E-2</v>
      </c>
      <c r="AV975" s="94">
        <f>IF('Net zero activities &amp; levers'!$C$12="Off",'Activity data'!BO56*ManureNEF*NtoN2O*kgtoGg,IF('Net zero activities &amp; levers'!$C$12="PB",'Activity data'!BO56*ManureNEF*NtoN2O*kgtoGg,IF('Net zero activities &amp; levers'!$C$12="MS",'Net zero Activity data'!BO56*ManureNEF*NtoN2O*kgtoGg,"ERROR")))</f>
        <v>6.1147566184616489E-2</v>
      </c>
      <c r="AW975" s="94">
        <f>IF('Net zero activities &amp; levers'!$C$12="Off",'Activity data'!BP56*ManureNEF*NtoN2O*kgtoGg,IF('Net zero activities &amp; levers'!$C$12="PB",'Activity data'!BP56*ManureNEF*NtoN2O*kgtoGg,IF('Net zero activities &amp; levers'!$C$12="MS",'Net zero Activity data'!BP56*ManureNEF*NtoN2O*kgtoGg,"ERROR")))</f>
        <v>6.1171840771151238E-2</v>
      </c>
      <c r="AY975" s="79"/>
      <c r="AZ975" s="79"/>
    </row>
    <row r="976" spans="1:52" x14ac:dyDescent="0.25">
      <c r="A976" s="95" t="str">
        <f t="shared" si="326"/>
        <v>DS Organic</v>
      </c>
      <c r="B976" s="95" t="s">
        <v>973</v>
      </c>
      <c r="C976" s="95" t="s">
        <v>1126</v>
      </c>
      <c r="D976" t="s">
        <v>369</v>
      </c>
      <c r="E976" t="s">
        <v>55</v>
      </c>
      <c r="F976" t="s">
        <v>421</v>
      </c>
      <c r="G976" t="s">
        <v>1165</v>
      </c>
      <c r="H976" t="s">
        <v>1166</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4.8186162011392024E-2</v>
      </c>
      <c r="T976" s="94">
        <f>IF('Net zero activities &amp; levers'!$C$12="Off",'Activity data'!AM57*ManureNEF*NtoN2O*kgtoGg,IF('Net zero activities &amp; levers'!$C$12="PB",'Activity data'!AM57*ManureNEF*NtoN2O*kgtoGg,IF('Net zero activities &amp; levers'!$C$12="MS",'Net zero Activity data'!AM57*ManureNEF*NtoN2O*kgtoGg,"ERROR")))</f>
        <v>4.8220845414281899E-2</v>
      </c>
      <c r="U976" s="94">
        <f>IF('Net zero activities &amp; levers'!$C$12="Off",'Activity data'!AN57*ManureNEF*NtoN2O*kgtoGg,IF('Net zero activities &amp; levers'!$C$12="PB",'Activity data'!AN57*ManureNEF*NtoN2O*kgtoGg,IF('Net zero activities &amp; levers'!$C$12="MS",'Net zero Activity data'!AN57*ManureNEF*NtoN2O*kgtoGg,"ERROR")))</f>
        <v>4.8208651468527576E-2</v>
      </c>
      <c r="V976" s="94">
        <f>IF('Net zero activities &amp; levers'!$C$12="Off",'Activity data'!AO57*ManureNEF*NtoN2O*kgtoGg,IF('Net zero activities &amp; levers'!$C$12="PB",'Activity data'!AO57*ManureNEF*NtoN2O*kgtoGg,IF('Net zero activities &amp; levers'!$C$12="MS",'Net zero Activity data'!AO57*ManureNEF*NtoN2O*kgtoGg,"ERROR")))</f>
        <v>4.8207773601692518E-2</v>
      </c>
      <c r="W976" s="94">
        <f>IF('Net zero activities &amp; levers'!$C$12="Off",'Activity data'!AP57*ManureNEF*NtoN2O*kgtoGg,IF('Net zero activities &amp; levers'!$C$12="PB",'Activity data'!AP57*ManureNEF*NtoN2O*kgtoGg,IF('Net zero activities &amp; levers'!$C$12="MS",'Net zero Activity data'!AP57*ManureNEF*NtoN2O*kgtoGg,"ERROR")))</f>
        <v>4.8258908043487037E-2</v>
      </c>
      <c r="X976" s="94">
        <f>IF('Net zero activities &amp; levers'!$C$12="Off",'Activity data'!AQ57*ManureNEF*NtoN2O*kgtoGg,IF('Net zero activities &amp; levers'!$C$12="PB",'Activity data'!AQ57*ManureNEF*NtoN2O*kgtoGg,IF('Net zero activities &amp; levers'!$C$12="MS",'Net zero Activity data'!AQ57*ManureNEF*NtoN2O*kgtoGg,"ERROR")))</f>
        <v>4.8342594269039987E-2</v>
      </c>
      <c r="Y976" s="94">
        <f>IF('Net zero activities &amp; levers'!$C$12="Off",'Activity data'!AR57*ManureNEF*NtoN2O*kgtoGg,IF('Net zero activities &amp; levers'!$C$12="PB",'Activity data'!AR57*ManureNEF*NtoN2O*kgtoGg,IF('Net zero activities &amp; levers'!$C$12="MS",'Net zero Activity data'!AR57*ManureNEF*NtoN2O*kgtoGg,"ERROR")))</f>
        <v>4.8422892130914143E-2</v>
      </c>
      <c r="Z976" s="94">
        <f>IF('Net zero activities &amp; levers'!$C$12="Off",'Activity data'!AS57*ManureNEF*NtoN2O*kgtoGg,IF('Net zero activities &amp; levers'!$C$12="PB",'Activity data'!AS57*ManureNEF*NtoN2O*kgtoGg,IF('Net zero activities &amp; levers'!$C$12="MS",'Net zero Activity data'!AS57*ManureNEF*NtoN2O*kgtoGg,"ERROR")))</f>
        <v>4.8500060686675887E-2</v>
      </c>
      <c r="AA976" s="94">
        <f>IF('Net zero activities &amp; levers'!$C$12="Off",'Activity data'!AT57*ManureNEF*NtoN2O*kgtoGg,IF('Net zero activities &amp; levers'!$C$12="PB",'Activity data'!AT57*ManureNEF*NtoN2O*kgtoGg,IF('Net zero activities &amp; levers'!$C$12="MS",'Net zero Activity data'!AT57*ManureNEF*NtoN2O*kgtoGg,"ERROR")))</f>
        <v>4.8573994621127721E-2</v>
      </c>
      <c r="AB976" s="94">
        <f>IF('Net zero activities &amp; levers'!$C$12="Off",'Activity data'!AU57*ManureNEF*NtoN2O*kgtoGg,IF('Net zero activities &amp; levers'!$C$12="PB",'Activity data'!AU57*ManureNEF*NtoN2O*kgtoGg,IF('Net zero activities &amp; levers'!$C$12="MS",'Net zero Activity data'!AU57*ManureNEF*NtoN2O*kgtoGg,"ERROR")))</f>
        <v>4.8646234700518105E-2</v>
      </c>
      <c r="AC976" s="94">
        <f>IF('Net zero activities &amp; levers'!$C$12="Off",'Activity data'!AV57*ManureNEF*NtoN2O*kgtoGg,IF('Net zero activities &amp; levers'!$C$12="PB",'Activity data'!AV57*ManureNEF*NtoN2O*kgtoGg,IF('Net zero activities &amp; levers'!$C$12="MS",'Net zero Activity data'!AV57*ManureNEF*NtoN2O*kgtoGg,"ERROR")))</f>
        <v>4.8717836162902997E-2</v>
      </c>
      <c r="AD976" s="94">
        <f>IF('Net zero activities &amp; levers'!$C$12="Off",'Activity data'!AW57*ManureNEF*NtoN2O*kgtoGg,IF('Net zero activities &amp; levers'!$C$12="PB",'Activity data'!AW57*ManureNEF*NtoN2O*kgtoGg,IF('Net zero activities &amp; levers'!$C$12="MS",'Net zero Activity data'!AW57*ManureNEF*NtoN2O*kgtoGg,"ERROR")))</f>
        <v>4.8788080579758822E-2</v>
      </c>
      <c r="AE976" s="94">
        <f>IF('Net zero activities &amp; levers'!$C$12="Off",'Activity data'!AX57*ManureNEF*NtoN2O*kgtoGg,IF('Net zero activities &amp; levers'!$C$12="PB",'Activity data'!AX57*ManureNEF*NtoN2O*kgtoGg,IF('Net zero activities &amp; levers'!$C$12="MS",'Net zero Activity data'!AX57*ManureNEF*NtoN2O*kgtoGg,"ERROR")))</f>
        <v>4.8857977951209122E-2</v>
      </c>
      <c r="AF976" s="94">
        <f>IF('Net zero activities &amp; levers'!$C$12="Off",'Activity data'!AY57*ManureNEF*NtoN2O*kgtoGg,IF('Net zero activities &amp; levers'!$C$12="PB",'Activity data'!AY57*ManureNEF*NtoN2O*kgtoGg,IF('Net zero activities &amp; levers'!$C$12="MS",'Net zero Activity data'!AY57*ManureNEF*NtoN2O*kgtoGg,"ERROR")))</f>
        <v>4.8927308087024161E-2</v>
      </c>
      <c r="AG976" s="94">
        <f>IF('Net zero activities &amp; levers'!$C$12="Off",'Activity data'!AZ57*ManureNEF*NtoN2O*kgtoGg,IF('Net zero activities &amp; levers'!$C$12="PB",'Activity data'!AZ57*ManureNEF*NtoN2O*kgtoGg,IF('Net zero activities &amp; levers'!$C$12="MS",'Net zero Activity data'!AZ57*ManureNEF*NtoN2O*kgtoGg,"ERROR")))</f>
        <v>4.8995515470580273E-2</v>
      </c>
      <c r="AH976" s="94">
        <f>IF('Net zero activities &amp; levers'!$C$12="Off",'Activity data'!BA57*ManureNEF*NtoN2O*kgtoGg,IF('Net zero activities &amp; levers'!$C$12="PB",'Activity data'!BA57*ManureNEF*NtoN2O*kgtoGg,IF('Net zero activities &amp; levers'!$C$12="MS",'Net zero Activity data'!BA57*ManureNEF*NtoN2O*kgtoGg,"ERROR")))</f>
        <v>4.9062900400150392E-2</v>
      </c>
      <c r="AI976" s="94">
        <f>IF('Net zero activities &amp; levers'!$C$12="Off",'Activity data'!BB57*ManureNEF*NtoN2O*kgtoGg,IF('Net zero activities &amp; levers'!$C$12="PB",'Activity data'!BB57*ManureNEF*NtoN2O*kgtoGg,IF('Net zero activities &amp; levers'!$C$12="MS",'Net zero Activity data'!BB57*ManureNEF*NtoN2O*kgtoGg,"ERROR")))</f>
        <v>4.9129534785075896E-2</v>
      </c>
      <c r="AJ976" s="94">
        <f>IF('Net zero activities &amp; levers'!$C$12="Off",'Activity data'!BC57*ManureNEF*NtoN2O*kgtoGg,IF('Net zero activities &amp; levers'!$C$12="PB",'Activity data'!BC57*ManureNEF*NtoN2O*kgtoGg,IF('Net zero activities &amp; levers'!$C$12="MS",'Net zero Activity data'!BC57*ManureNEF*NtoN2O*kgtoGg,"ERROR")))</f>
        <v>4.9195644845252684E-2</v>
      </c>
      <c r="AK976" s="94">
        <f>IF('Net zero activities &amp; levers'!$C$12="Off",'Activity data'!BD57*ManureNEF*NtoN2O*kgtoGg,IF('Net zero activities &amp; levers'!$C$12="PB",'Activity data'!BD57*ManureNEF*NtoN2O*kgtoGg,IF('Net zero activities &amp; levers'!$C$12="MS",'Net zero Activity data'!BD57*ManureNEF*NtoN2O*kgtoGg,"ERROR")))</f>
        <v>4.9259207744402629E-2</v>
      </c>
      <c r="AL976" s="94">
        <f>IF('Net zero activities &amp; levers'!$C$12="Off",'Activity data'!BE57*ManureNEF*NtoN2O*kgtoGg,IF('Net zero activities &amp; levers'!$C$12="PB",'Activity data'!BE57*ManureNEF*NtoN2O*kgtoGg,IF('Net zero activities &amp; levers'!$C$12="MS",'Net zero Activity data'!BE57*ManureNEF*NtoN2O*kgtoGg,"ERROR")))</f>
        <v>4.9320149115207046E-2</v>
      </c>
      <c r="AM976" s="94">
        <f>IF('Net zero activities &amp; levers'!$C$12="Off",'Activity data'!BF57*ManureNEF*NtoN2O*kgtoGg,IF('Net zero activities &amp; levers'!$C$12="PB",'Activity data'!BF57*ManureNEF*NtoN2O*kgtoGg,IF('Net zero activities &amp; levers'!$C$12="MS",'Net zero Activity data'!BF57*ManureNEF*NtoN2O*kgtoGg,"ERROR")))</f>
        <v>4.9379038520802346E-2</v>
      </c>
      <c r="AN976" s="94">
        <f>IF('Net zero activities &amp; levers'!$C$12="Off",'Activity data'!BG57*ManureNEF*NtoN2O*kgtoGg,IF('Net zero activities &amp; levers'!$C$12="PB",'Activity data'!BG57*ManureNEF*NtoN2O*kgtoGg,IF('Net zero activities &amp; levers'!$C$12="MS",'Net zero Activity data'!BG57*ManureNEF*NtoN2O*kgtoGg,"ERROR")))</f>
        <v>4.9435422506519014E-2</v>
      </c>
      <c r="AO976" s="94">
        <f>IF('Net zero activities &amp; levers'!$C$12="Off",'Activity data'!BH57*ManureNEF*NtoN2O*kgtoGg,IF('Net zero activities &amp; levers'!$C$12="PB",'Activity data'!BH57*ManureNEF*NtoN2O*kgtoGg,IF('Net zero activities &amp; levers'!$C$12="MS",'Net zero Activity data'!BH57*ManureNEF*NtoN2O*kgtoGg,"ERROR")))</f>
        <v>4.9489403357320404E-2</v>
      </c>
      <c r="AP976" s="94">
        <f>IF('Net zero activities &amp; levers'!$C$12="Off",'Activity data'!BI57*ManureNEF*NtoN2O*kgtoGg,IF('Net zero activities &amp; levers'!$C$12="PB",'Activity data'!BI57*ManureNEF*NtoN2O*kgtoGg,IF('Net zero activities &amp; levers'!$C$12="MS",'Net zero Activity data'!BI57*ManureNEF*NtoN2O*kgtoGg,"ERROR")))</f>
        <v>4.9540737942466703E-2</v>
      </c>
      <c r="AQ976" s="94">
        <f>IF('Net zero activities &amp; levers'!$C$12="Off",'Activity data'!BJ57*ManureNEF*NtoN2O*kgtoGg,IF('Net zero activities &amp; levers'!$C$12="PB",'Activity data'!BJ57*ManureNEF*NtoN2O*kgtoGg,IF('Net zero activities &amp; levers'!$C$12="MS",'Net zero Activity data'!BJ57*ManureNEF*NtoN2O*kgtoGg,"ERROR")))</f>
        <v>4.9588691660023831E-2</v>
      </c>
      <c r="AR976" s="94">
        <f>IF('Net zero activities &amp; levers'!$C$12="Off",'Activity data'!BK57*ManureNEF*NtoN2O*kgtoGg,IF('Net zero activities &amp; levers'!$C$12="PB",'Activity data'!BK57*ManureNEF*NtoN2O*kgtoGg,IF('Net zero activities &amp; levers'!$C$12="MS",'Net zero Activity data'!BK57*ManureNEF*NtoN2O*kgtoGg,"ERROR")))</f>
        <v>4.9632583770509955E-2</v>
      </c>
      <c r="AS976" s="94">
        <f>IF('Net zero activities &amp; levers'!$C$12="Off",'Activity data'!BL57*ManureNEF*NtoN2O*kgtoGg,IF('Net zero activities &amp; levers'!$C$12="PB",'Activity data'!BL57*ManureNEF*NtoN2O*kgtoGg,IF('Net zero activities &amp; levers'!$C$12="MS",'Net zero Activity data'!BL57*ManureNEF*NtoN2O*kgtoGg,"ERROR")))</f>
        <v>4.9672369930584929E-2</v>
      </c>
      <c r="AT976" s="94">
        <f>IF('Net zero activities &amp; levers'!$C$12="Off",'Activity data'!BM57*ManureNEF*NtoN2O*kgtoGg,IF('Net zero activities &amp; levers'!$C$12="PB",'Activity data'!BM57*ManureNEF*NtoN2O*kgtoGg,IF('Net zero activities &amp; levers'!$C$12="MS",'Net zero Activity data'!BM57*ManureNEF*NtoN2O*kgtoGg,"ERROR")))</f>
        <v>4.9707745679135391E-2</v>
      </c>
      <c r="AU976" s="94">
        <f>IF('Net zero activities &amp; levers'!$C$12="Off",'Activity data'!BN57*ManureNEF*NtoN2O*kgtoGg,IF('Net zero activities &amp; levers'!$C$12="PB",'Activity data'!BN57*ManureNEF*NtoN2O*kgtoGg,IF('Net zero activities &amp; levers'!$C$12="MS",'Net zero Activity data'!BN57*ManureNEF*NtoN2O*kgtoGg,"ERROR")))</f>
        <v>4.9738693954928054E-2</v>
      </c>
      <c r="AV976" s="94">
        <f>IF('Net zero activities &amp; levers'!$C$12="Off",'Activity data'!BO57*ManureNEF*NtoN2O*kgtoGg,IF('Net zero activities &amp; levers'!$C$12="PB",'Activity data'!BO57*ManureNEF*NtoN2O*kgtoGg,IF('Net zero activities &amp; levers'!$C$12="MS",'Net zero Activity data'!BO57*ManureNEF*NtoN2O*kgtoGg,"ERROR")))</f>
        <v>4.9765807013567136E-2</v>
      </c>
      <c r="AW976" s="94">
        <f>IF('Net zero activities &amp; levers'!$C$12="Off",'Activity data'!BP57*ManureNEF*NtoN2O*kgtoGg,IF('Net zero activities &amp; levers'!$C$12="PB",'Activity data'!BP57*ManureNEF*NtoN2O*kgtoGg,IF('Net zero activities &amp; levers'!$C$12="MS",'Net zero Activity data'!BP57*ManureNEF*NtoN2O*kgtoGg,"ERROR")))</f>
        <v>4.9785563227333289E-2</v>
      </c>
      <c r="AY976" s="79"/>
      <c r="AZ976" s="79"/>
    </row>
    <row r="977" spans="1:52" x14ac:dyDescent="0.25">
      <c r="A977" s="95" t="str">
        <f t="shared" si="326"/>
        <v>DS Organic</v>
      </c>
      <c r="B977" s="95" t="s">
        <v>973</v>
      </c>
      <c r="C977" s="95" t="s">
        <v>1126</v>
      </c>
      <c r="D977" t="s">
        <v>369</v>
      </c>
      <c r="E977" t="s">
        <v>55</v>
      </c>
      <c r="F977" t="s">
        <v>421</v>
      </c>
      <c r="G977" t="s">
        <v>1167</v>
      </c>
      <c r="H977" t="s">
        <v>1168</v>
      </c>
      <c r="I977" t="s">
        <v>139</v>
      </c>
      <c r="J977" t="s">
        <v>287</v>
      </c>
      <c r="K977" s="22">
        <f t="shared" ref="K977:Z980" si="343">K1474</f>
        <v>7.2140927380493743E-3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7.4155715935563127E-3</v>
      </c>
      <c r="R977" s="22">
        <f t="shared" si="343"/>
        <v>7.4643602602570466E-3</v>
      </c>
      <c r="S977" s="22">
        <f t="shared" si="343"/>
        <v>7.446057759840319E-3</v>
      </c>
      <c r="T977" s="22">
        <f t="shared" si="343"/>
        <v>7.4588575402652147E-3</v>
      </c>
      <c r="U977" s="22">
        <f t="shared" si="343"/>
        <v>7.4600996121267065E-3</v>
      </c>
      <c r="V977" s="22">
        <f t="shared" si="343"/>
        <v>7.4635145174609509E-3</v>
      </c>
      <c r="W977" s="22">
        <f t="shared" si="343"/>
        <v>7.478612742540797E-3</v>
      </c>
      <c r="X977" s="22">
        <f t="shared" si="343"/>
        <v>7.5008213874242727E-3</v>
      </c>
      <c r="Y977" s="22">
        <f t="shared" si="343"/>
        <v>7.521785176202795E-3</v>
      </c>
      <c r="Z977" s="22">
        <f t="shared" si="343"/>
        <v>7.5416026776079998E-3</v>
      </c>
      <c r="AA977" s="22">
        <f t="shared" ref="L977:AW980" si="344">AA1474</f>
        <v>7.5602840353540396E-3</v>
      </c>
      <c r="AB977" s="22">
        <f t="shared" si="344"/>
        <v>7.5782158017585468E-3</v>
      </c>
      <c r="AC977" s="22">
        <f t="shared" si="344"/>
        <v>7.5956670242534503E-3</v>
      </c>
      <c r="AD977" s="22">
        <f t="shared" si="344"/>
        <v>7.6124952267758277E-3</v>
      </c>
      <c r="AE977" s="22">
        <f t="shared" si="344"/>
        <v>7.6289531687582885E-3</v>
      </c>
      <c r="AF977" s="22">
        <f t="shared" si="344"/>
        <v>7.6450086817527159E-3</v>
      </c>
      <c r="AG977" s="22">
        <f t="shared" si="344"/>
        <v>7.6605519051480614E-3</v>
      </c>
      <c r="AH977" s="22">
        <f t="shared" si="344"/>
        <v>7.6756674337729895E-3</v>
      </c>
      <c r="AI977" s="22">
        <f t="shared" si="344"/>
        <v>7.6903861453690046E-3</v>
      </c>
      <c r="AJ977" s="22">
        <f t="shared" si="344"/>
        <v>7.7047726653034906E-3</v>
      </c>
      <c r="AK977" s="22">
        <f t="shared" si="344"/>
        <v>7.7183809322326768E-3</v>
      </c>
      <c r="AL977" s="22">
        <f t="shared" si="344"/>
        <v>7.7312077295111602E-3</v>
      </c>
      <c r="AM977" s="22">
        <f t="shared" si="344"/>
        <v>7.7433943538670266E-3</v>
      </c>
      <c r="AN977" s="22">
        <f t="shared" si="344"/>
        <v>7.7548499619508725E-3</v>
      </c>
      <c r="AO977" s="22">
        <f t="shared" si="344"/>
        <v>7.7656086534531824E-3</v>
      </c>
      <c r="AP977" s="22">
        <f t="shared" si="344"/>
        <v>7.7756261682697366E-3</v>
      </c>
      <c r="AQ977" s="22">
        <f t="shared" si="344"/>
        <v>7.7847478814032966E-3</v>
      </c>
      <c r="AR977" s="22">
        <f t="shared" si="344"/>
        <v>7.7928317537802119E-3</v>
      </c>
      <c r="AS977" s="22">
        <f t="shared" si="344"/>
        <v>7.7998783369461555E-3</v>
      </c>
      <c r="AT977" s="22">
        <f t="shared" si="344"/>
        <v>7.8058297320024528E-3</v>
      </c>
      <c r="AU977" s="22">
        <f t="shared" si="344"/>
        <v>7.8106919749548918E-3</v>
      </c>
      <c r="AV977" s="22">
        <f t="shared" si="344"/>
        <v>7.8146060933627498E-3</v>
      </c>
      <c r="AW977" s="22">
        <f t="shared" si="344"/>
        <v>7.8167990100407609E-3</v>
      </c>
      <c r="AY977" s="79"/>
      <c r="AZ977" s="79"/>
    </row>
    <row r="978" spans="1:52" x14ac:dyDescent="0.25">
      <c r="A978" s="95" t="str">
        <f t="shared" si="326"/>
        <v>DS Organic</v>
      </c>
      <c r="B978" s="95" t="s">
        <v>973</v>
      </c>
      <c r="C978" s="95" t="s">
        <v>1126</v>
      </c>
      <c r="D978" t="s">
        <v>369</v>
      </c>
      <c r="E978" t="s">
        <v>55</v>
      </c>
      <c r="F978" t="s">
        <v>421</v>
      </c>
      <c r="G978" t="s">
        <v>1169</v>
      </c>
      <c r="H978" t="s">
        <v>1170</v>
      </c>
      <c r="I978" t="s">
        <v>139</v>
      </c>
      <c r="J978" t="s">
        <v>287</v>
      </c>
      <c r="K978" s="22">
        <f t="shared" si="343"/>
        <v>8.7045671471293523E-2</v>
      </c>
      <c r="L978" s="22">
        <f t="shared" si="344"/>
        <v>8.7271948200639354E-2</v>
      </c>
      <c r="M978" s="22">
        <f t="shared" si="344"/>
        <v>8.7584088952434122E-2</v>
      </c>
      <c r="N978" s="22">
        <f t="shared" si="344"/>
        <v>8.7964358824768801E-2</v>
      </c>
      <c r="O978" s="22">
        <f t="shared" si="344"/>
        <v>8.8412215452112072E-2</v>
      </c>
      <c r="P978" s="22">
        <f t="shared" si="344"/>
        <v>8.8924932944132923E-2</v>
      </c>
      <c r="Q978" s="22">
        <f t="shared" si="344"/>
        <v>8.9476727309038565E-2</v>
      </c>
      <c r="R978" s="22">
        <f t="shared" si="344"/>
        <v>9.0065414259340087E-2</v>
      </c>
      <c r="S978" s="22">
        <f t="shared" si="344"/>
        <v>8.9844575202202001E-2</v>
      </c>
      <c r="T978" s="22">
        <f t="shared" si="344"/>
        <v>8.9999018113074689E-2</v>
      </c>
      <c r="U978" s="22">
        <f t="shared" si="344"/>
        <v>9.0014005025930557E-2</v>
      </c>
      <c r="V978" s="22">
        <f t="shared" si="344"/>
        <v>9.0055209476527981E-2</v>
      </c>
      <c r="W978" s="22">
        <f t="shared" si="344"/>
        <v>9.0237385557127583E-2</v>
      </c>
      <c r="X978" s="22">
        <f t="shared" si="344"/>
        <v>9.0505356385413932E-2</v>
      </c>
      <c r="Y978" s="22">
        <f t="shared" si="344"/>
        <v>9.0758306705997438E-2</v>
      </c>
      <c r="Z978" s="22">
        <f t="shared" si="344"/>
        <v>9.0997425855048733E-2</v>
      </c>
      <c r="AA978" s="22">
        <f t="shared" si="344"/>
        <v>9.122283622722524E-2</v>
      </c>
      <c r="AB978" s="22">
        <f t="shared" si="344"/>
        <v>9.1439201985751464E-2</v>
      </c>
      <c r="AC978" s="22">
        <f t="shared" si="344"/>
        <v>9.1649769472921652E-2</v>
      </c>
      <c r="AD978" s="22">
        <f t="shared" si="344"/>
        <v>9.1852819564097965E-2</v>
      </c>
      <c r="AE978" s="22">
        <f t="shared" si="344"/>
        <v>9.2051402069607366E-2</v>
      </c>
      <c r="AF978" s="22">
        <f t="shared" si="344"/>
        <v>9.224512884304413E-2</v>
      </c>
      <c r="AG978" s="22">
        <f t="shared" si="344"/>
        <v>9.2432674299750023E-2</v>
      </c>
      <c r="AH978" s="22">
        <f t="shared" si="344"/>
        <v>9.261505916595239E-2</v>
      </c>
      <c r="AI978" s="22">
        <f t="shared" si="344"/>
        <v>9.2792656014314204E-2</v>
      </c>
      <c r="AJ978" s="22">
        <f t="shared" si="344"/>
        <v>9.2966244618356883E-2</v>
      </c>
      <c r="AK978" s="22">
        <f t="shared" si="344"/>
        <v>9.3130442775411881E-2</v>
      </c>
      <c r="AL978" s="22">
        <f t="shared" si="344"/>
        <v>9.3285211673244717E-2</v>
      </c>
      <c r="AM978" s="22">
        <f t="shared" si="344"/>
        <v>9.3432256206569059E-2</v>
      </c>
      <c r="AN978" s="22">
        <f t="shared" si="344"/>
        <v>9.3570480254135169E-2</v>
      </c>
      <c r="AO978" s="22">
        <f t="shared" si="344"/>
        <v>9.3700295264833783E-2</v>
      </c>
      <c r="AP978" s="22">
        <f t="shared" si="344"/>
        <v>9.3821167193618646E-2</v>
      </c>
      <c r="AQ978" s="22">
        <f t="shared" si="344"/>
        <v>9.3931230326088647E-2</v>
      </c>
      <c r="AR978" s="22">
        <f t="shared" si="344"/>
        <v>9.4028770810344664E-2</v>
      </c>
      <c r="AS978" s="22">
        <f t="shared" si="344"/>
        <v>9.4113795301369402E-2</v>
      </c>
      <c r="AT978" s="22">
        <f t="shared" si="344"/>
        <v>9.4185605187612459E-2</v>
      </c>
      <c r="AU978" s="22">
        <f t="shared" si="344"/>
        <v>9.4244273299878237E-2</v>
      </c>
      <c r="AV978" s="22">
        <f t="shared" si="344"/>
        <v>9.429150128507352E-2</v>
      </c>
      <c r="AW978" s="22">
        <f t="shared" si="344"/>
        <v>9.4317961147962676E-2</v>
      </c>
      <c r="AY978" s="79"/>
      <c r="AZ978" s="79"/>
    </row>
    <row r="979" spans="1:52" x14ac:dyDescent="0.25">
      <c r="A979" s="95" t="str">
        <f t="shared" si="326"/>
        <v>DS Organic</v>
      </c>
      <c r="B979" s="95" t="s">
        <v>973</v>
      </c>
      <c r="C979" s="95" t="s">
        <v>1126</v>
      </c>
      <c r="D979" t="s">
        <v>369</v>
      </c>
      <c r="E979" t="s">
        <v>55</v>
      </c>
      <c r="F979" t="s">
        <v>421</v>
      </c>
      <c r="G979" t="s">
        <v>1171</v>
      </c>
      <c r="H979" t="s">
        <v>1172</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5">
      <c r="A980" s="95" t="str">
        <f t="shared" ref="A980:A1057" si="345">B980&amp;" "&amp;C980</f>
        <v>DS Organic</v>
      </c>
      <c r="B980" s="95" t="s">
        <v>973</v>
      </c>
      <c r="C980" s="95" t="s">
        <v>1126</v>
      </c>
      <c r="D980" t="s">
        <v>369</v>
      </c>
      <c r="E980" t="s">
        <v>55</v>
      </c>
      <c r="F980" t="s">
        <v>421</v>
      </c>
      <c r="G980" t="s">
        <v>1173</v>
      </c>
      <c r="H980" t="s">
        <v>1174</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5">
      <c r="A981" s="95" t="str">
        <f t="shared" si="345"/>
        <v>DS Organic</v>
      </c>
      <c r="B981" s="95" t="s">
        <v>973</v>
      </c>
      <c r="C981" s="95" t="s">
        <v>1126</v>
      </c>
      <c r="D981" t="s">
        <v>369</v>
      </c>
      <c r="E981" t="s">
        <v>55</v>
      </c>
      <c r="F981" t="s">
        <v>421</v>
      </c>
      <c r="G981" t="s">
        <v>1175</v>
      </c>
      <c r="H981" t="s">
        <v>1176</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0.12395129293471774</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0.12286841678965583</v>
      </c>
      <c r="O981" s="94">
        <f>IF('Net zero activities &amp; levers'!$C$12="Off",'Activity data'!AH62*ManureNEF*NtoN2O*kgtoGg,IF('Net zero activities &amp; levers'!$C$12="PB",'Activity data'!AH62*ManureNEF*NtoN2O*kgtoGg,IF('Net zero activities &amp; levers'!$C$12="MS",'Net zero Activity data'!AH62*ManureNEF*NtoN2O*kgtoGg,"ERROR")))</f>
        <v>0.12100901910044995</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0.11491827863139022</v>
      </c>
      <c r="S981" s="94">
        <f>IF('Net zero activities &amp; levers'!$C$12="Off",'Activity data'!AL62*ManureNEF*NtoN2O*kgtoGg,IF('Net zero activities &amp; levers'!$C$12="PB",'Activity data'!AL62*ManureNEF*NtoN2O*kgtoGg,IF('Net zero activities &amp; levers'!$C$12="MS",'Net zero Activity data'!AL62*ManureNEF*NtoN2O*kgtoGg,"ERROR")))</f>
        <v>0.10323336206469676</v>
      </c>
      <c r="T981" s="94">
        <f>IF('Net zero activities &amp; levers'!$C$12="Off",'Activity data'!AM62*ManureNEF*NtoN2O*kgtoGg,IF('Net zero activities &amp; levers'!$C$12="PB",'Activity data'!AM62*ManureNEF*NtoN2O*kgtoGg,IF('Net zero activities &amp; levers'!$C$12="MS",'Net zero Activity data'!AM62*ManureNEF*NtoN2O*kgtoGg,"ERROR")))</f>
        <v>0.10789835358112609</v>
      </c>
      <c r="U981" s="94">
        <f>IF('Net zero activities &amp; levers'!$C$12="Off",'Activity data'!AN62*ManureNEF*NtoN2O*kgtoGg,IF('Net zero activities &amp; levers'!$C$12="PB",'Activity data'!AN62*ManureNEF*NtoN2O*kgtoGg,IF('Net zero activities &amp; levers'!$C$12="MS",'Net zero Activity data'!AN62*ManureNEF*NtoN2O*kgtoGg,"ERROR")))</f>
        <v>0.10930872077776907</v>
      </c>
      <c r="V981" s="94">
        <f>IF('Net zero activities &amp; levers'!$C$12="Off",'Activity data'!AO62*ManureNEF*NtoN2O*kgtoGg,IF('Net zero activities &amp; levers'!$C$12="PB",'Activity data'!AO62*ManureNEF*NtoN2O*kgtoGg,IF('Net zero activities &amp; levers'!$C$12="MS",'Net zero Activity data'!AO62*ManureNEF*NtoN2O*kgtoGg,"ERROR")))</f>
        <v>0.10822994982335406</v>
      </c>
      <c r="W981" s="94">
        <f>IF('Net zero activities &amp; levers'!$C$12="Off",'Activity data'!AP62*ManureNEF*NtoN2O*kgtoGg,IF('Net zero activities &amp; levers'!$C$12="PB",'Activity data'!AP62*ManureNEF*NtoN2O*kgtoGg,IF('Net zero activities &amp; levers'!$C$12="MS",'Net zero Activity data'!AP62*ManureNEF*NtoN2O*kgtoGg,"ERROR")))</f>
        <v>0.10728117650505167</v>
      </c>
      <c r="X981" s="94">
        <f>IF('Net zero activities &amp; levers'!$C$12="Off",'Activity data'!AQ62*ManureNEF*NtoN2O*kgtoGg,IF('Net zero activities &amp; levers'!$C$12="PB",'Activity data'!AQ62*ManureNEF*NtoN2O*kgtoGg,IF('Net zero activities &amp; levers'!$C$12="MS",'Net zero Activity data'!AQ62*ManureNEF*NtoN2O*kgtoGg,"ERROR")))</f>
        <v>0.10698795772109922</v>
      </c>
      <c r="Y981" s="94">
        <f>IF('Net zero activities &amp; levers'!$C$12="Off",'Activity data'!AR62*ManureNEF*NtoN2O*kgtoGg,IF('Net zero activities &amp; levers'!$C$12="PB",'Activity data'!AR62*ManureNEF*NtoN2O*kgtoGg,IF('Net zero activities &amp; levers'!$C$12="MS",'Net zero Activity data'!AR62*ManureNEF*NtoN2O*kgtoGg,"ERROR")))</f>
        <v>0.10732481606756347</v>
      </c>
      <c r="Z981" s="94">
        <f>IF('Net zero activities &amp; levers'!$C$12="Off",'Activity data'!AS62*ManureNEF*NtoN2O*kgtoGg,IF('Net zero activities &amp; levers'!$C$12="PB",'Activity data'!AS62*ManureNEF*NtoN2O*kgtoGg,IF('Net zero activities &amp; levers'!$C$12="MS",'Net zero Activity data'!AS62*ManureNEF*NtoN2O*kgtoGg,"ERROR")))</f>
        <v>0.10795224800227457</v>
      </c>
      <c r="AA981" s="94">
        <f>IF('Net zero activities &amp; levers'!$C$12="Off",'Activity data'!AT62*ManureNEF*NtoN2O*kgtoGg,IF('Net zero activities &amp; levers'!$C$12="PB",'Activity data'!AT62*ManureNEF*NtoN2O*kgtoGg,IF('Net zero activities &amp; levers'!$C$12="MS",'Net zero Activity data'!AT62*ManureNEF*NtoN2O*kgtoGg,"ERROR")))</f>
        <v>0.10894183514251574</v>
      </c>
      <c r="AB981" s="94">
        <f>IF('Net zero activities &amp; levers'!$C$12="Off",'Activity data'!AU62*ManureNEF*NtoN2O*kgtoGg,IF('Net zero activities &amp; levers'!$C$12="PB",'Activity data'!AU62*ManureNEF*NtoN2O*kgtoGg,IF('Net zero activities &amp; levers'!$C$12="MS",'Net zero Activity data'!AU62*ManureNEF*NtoN2O*kgtoGg,"ERROR")))</f>
        <v>0.11053150962299221</v>
      </c>
      <c r="AC981" s="94">
        <f>IF('Net zero activities &amp; levers'!$C$12="Off",'Activity data'!AV62*ManureNEF*NtoN2O*kgtoGg,IF('Net zero activities &amp; levers'!$C$12="PB",'Activity data'!AV62*ManureNEF*NtoN2O*kgtoGg,IF('Net zero activities &amp; levers'!$C$12="MS",'Net zero Activity data'!AV62*ManureNEF*NtoN2O*kgtoGg,"ERROR")))</f>
        <v>0.1126657694800189</v>
      </c>
      <c r="AD981" s="94">
        <f>IF('Net zero activities &amp; levers'!$C$12="Off",'Activity data'!AW62*ManureNEF*NtoN2O*kgtoGg,IF('Net zero activities &amp; levers'!$C$12="PB",'Activity data'!AW62*ManureNEF*NtoN2O*kgtoGg,IF('Net zero activities &amp; levers'!$C$12="MS",'Net zero Activity data'!AW62*ManureNEF*NtoN2O*kgtoGg,"ERROR")))</f>
        <v>0.11509487827502032</v>
      </c>
      <c r="AE981" s="94">
        <f>IF('Net zero activities &amp; levers'!$C$12="Off",'Activity data'!AX62*ManureNEF*NtoN2O*kgtoGg,IF('Net zero activities &amp; levers'!$C$12="PB",'Activity data'!AX62*ManureNEF*NtoN2O*kgtoGg,IF('Net zero activities &amp; levers'!$C$12="MS",'Net zero Activity data'!AX62*ManureNEF*NtoN2O*kgtoGg,"ERROR")))</f>
        <v>0.11779472217084282</v>
      </c>
      <c r="AF981" s="94">
        <f>IF('Net zero activities &amp; levers'!$C$12="Off",'Activity data'!AY62*ManureNEF*NtoN2O*kgtoGg,IF('Net zero activities &amp; levers'!$C$12="PB",'Activity data'!AY62*ManureNEF*NtoN2O*kgtoGg,IF('Net zero activities &amp; levers'!$C$12="MS",'Net zero Activity data'!AY62*ManureNEF*NtoN2O*kgtoGg,"ERROR")))</f>
        <v>0.12063025387721567</v>
      </c>
      <c r="AG981" s="94">
        <f>IF('Net zero activities &amp; levers'!$C$12="Off",'Activity data'!AZ62*ManureNEF*NtoN2O*kgtoGg,IF('Net zero activities &amp; levers'!$C$12="PB",'Activity data'!AZ62*ManureNEF*NtoN2O*kgtoGg,IF('Net zero activities &amp; levers'!$C$12="MS",'Net zero Activity data'!AZ62*ManureNEF*NtoN2O*kgtoGg,"ERROR")))</f>
        <v>0.12365017099946446</v>
      </c>
      <c r="AH981" s="94">
        <f>IF('Net zero activities &amp; levers'!$C$12="Off",'Activity data'!BA62*ManureNEF*NtoN2O*kgtoGg,IF('Net zero activities &amp; levers'!$C$12="PB",'Activity data'!BA62*ManureNEF*NtoN2O*kgtoGg,IF('Net zero activities &amp; levers'!$C$12="MS",'Net zero Activity data'!BA62*ManureNEF*NtoN2O*kgtoGg,"ERROR")))</f>
        <v>0.12678938256448105</v>
      </c>
      <c r="AI981" s="94">
        <f>IF('Net zero activities &amp; levers'!$C$12="Off",'Activity data'!BB62*ManureNEF*NtoN2O*kgtoGg,IF('Net zero activities &amp; levers'!$C$12="PB",'Activity data'!BB62*ManureNEF*NtoN2O*kgtoGg,IF('Net zero activities &amp; levers'!$C$12="MS",'Net zero Activity data'!BB62*ManureNEF*NtoN2O*kgtoGg,"ERROR")))</f>
        <v>0.1298357658486077</v>
      </c>
      <c r="AJ981" s="94">
        <f>IF('Net zero activities &amp; levers'!$C$12="Off",'Activity data'!BC62*ManureNEF*NtoN2O*kgtoGg,IF('Net zero activities &amp; levers'!$C$12="PB",'Activity data'!BC62*ManureNEF*NtoN2O*kgtoGg,IF('Net zero activities &amp; levers'!$C$12="MS",'Net zero Activity data'!BC62*ManureNEF*NtoN2O*kgtoGg,"ERROR")))</f>
        <v>0.13308363006040799</v>
      </c>
      <c r="AK981" s="94">
        <f>IF('Net zero activities &amp; levers'!$C$12="Off",'Activity data'!BD62*ManureNEF*NtoN2O*kgtoGg,IF('Net zero activities &amp; levers'!$C$12="PB",'Activity data'!BD62*ManureNEF*NtoN2O*kgtoGg,IF('Net zero activities &amp; levers'!$C$12="MS",'Net zero Activity data'!BD62*ManureNEF*NtoN2O*kgtoGg,"ERROR")))</f>
        <v>0.13633797236037076</v>
      </c>
      <c r="AL981" s="94">
        <f>IF('Net zero activities &amp; levers'!$C$12="Off",'Activity data'!BE62*ManureNEF*NtoN2O*kgtoGg,IF('Net zero activities &amp; levers'!$C$12="PB",'Activity data'!BE62*ManureNEF*NtoN2O*kgtoGg,IF('Net zero activities &amp; levers'!$C$12="MS",'Net zero Activity data'!BE62*ManureNEF*NtoN2O*kgtoGg,"ERROR")))</f>
        <v>0.1395817064491762</v>
      </c>
      <c r="AM981" s="94">
        <f>IF('Net zero activities &amp; levers'!$C$12="Off",'Activity data'!BF62*ManureNEF*NtoN2O*kgtoGg,IF('Net zero activities &amp; levers'!$C$12="PB",'Activity data'!BF62*ManureNEF*NtoN2O*kgtoGg,IF('Net zero activities &amp; levers'!$C$12="MS",'Net zero Activity data'!BF62*ManureNEF*NtoN2O*kgtoGg,"ERROR")))</f>
        <v>0.1428987646619678</v>
      </c>
      <c r="AN981" s="94">
        <f>IF('Net zero activities &amp; levers'!$C$12="Off",'Activity data'!BG62*ManureNEF*NtoN2O*kgtoGg,IF('Net zero activities &amp; levers'!$C$12="PB",'Activity data'!BG62*ManureNEF*NtoN2O*kgtoGg,IF('Net zero activities &amp; levers'!$C$12="MS",'Net zero Activity data'!BG62*ManureNEF*NtoN2O*kgtoGg,"ERROR")))</f>
        <v>0.14607463913609417</v>
      </c>
      <c r="AO981" s="94">
        <f>IF('Net zero activities &amp; levers'!$C$12="Off",'Activity data'!BH62*ManureNEF*NtoN2O*kgtoGg,IF('Net zero activities &amp; levers'!$C$12="PB",'Activity data'!BH62*ManureNEF*NtoN2O*kgtoGg,IF('Net zero activities &amp; levers'!$C$12="MS",'Net zero Activity data'!BH62*ManureNEF*NtoN2O*kgtoGg,"ERROR")))</f>
        <v>0.14939800642693096</v>
      </c>
      <c r="AP981" s="94">
        <f>IF('Net zero activities &amp; levers'!$C$12="Off",'Activity data'!BI62*ManureNEF*NtoN2O*kgtoGg,IF('Net zero activities &amp; levers'!$C$12="PB",'Activity data'!BI62*ManureNEF*NtoN2O*kgtoGg,IF('Net zero activities &amp; levers'!$C$12="MS",'Net zero Activity data'!BI62*ManureNEF*NtoN2O*kgtoGg,"ERROR")))</f>
        <v>0.15296466961282101</v>
      </c>
      <c r="AQ981" s="94">
        <f>IF('Net zero activities &amp; levers'!$C$12="Off",'Activity data'!BJ62*ManureNEF*NtoN2O*kgtoGg,IF('Net zero activities &amp; levers'!$C$12="PB",'Activity data'!BJ62*ManureNEF*NtoN2O*kgtoGg,IF('Net zero activities &amp; levers'!$C$12="MS",'Net zero Activity data'!BJ62*ManureNEF*NtoN2O*kgtoGg,"ERROR")))</f>
        <v>0.1565936649117094</v>
      </c>
      <c r="AR981" s="94">
        <f>IF('Net zero activities &amp; levers'!$C$12="Off",'Activity data'!BK62*ManureNEF*NtoN2O*kgtoGg,IF('Net zero activities &amp; levers'!$C$12="PB",'Activity data'!BK62*ManureNEF*NtoN2O*kgtoGg,IF('Net zero activities &amp; levers'!$C$12="MS",'Net zero Activity data'!BK62*ManureNEF*NtoN2O*kgtoGg,"ERROR")))</f>
        <v>0.16029166396054106</v>
      </c>
      <c r="AS981" s="94">
        <f>IF('Net zero activities &amp; levers'!$C$12="Off",'Activity data'!BL62*ManureNEF*NtoN2O*kgtoGg,IF('Net zero activities &amp; levers'!$C$12="PB",'Activity data'!BL62*ManureNEF*NtoN2O*kgtoGg,IF('Net zero activities &amp; levers'!$C$12="MS",'Net zero Activity data'!BL62*ManureNEF*NtoN2O*kgtoGg,"ERROR")))</f>
        <v>0.16424139864286944</v>
      </c>
      <c r="AT981" s="94">
        <f>IF('Net zero activities &amp; levers'!$C$12="Off",'Activity data'!BM62*ManureNEF*NtoN2O*kgtoGg,IF('Net zero activities &amp; levers'!$C$12="PB",'Activity data'!BM62*ManureNEF*NtoN2O*kgtoGg,IF('Net zero activities &amp; levers'!$C$12="MS",'Net zero Activity data'!BM62*ManureNEF*NtoN2O*kgtoGg,"ERROR")))</f>
        <v>0.1683741087759702</v>
      </c>
      <c r="AU981" s="94">
        <f>IF('Net zero activities &amp; levers'!$C$12="Off",'Activity data'!BN62*ManureNEF*NtoN2O*kgtoGg,IF('Net zero activities &amp; levers'!$C$12="PB",'Activity data'!BN62*ManureNEF*NtoN2O*kgtoGg,IF('Net zero activities &amp; levers'!$C$12="MS",'Net zero Activity data'!BN62*ManureNEF*NtoN2O*kgtoGg,"ERROR")))</f>
        <v>0.17264268700084681</v>
      </c>
      <c r="AV981" s="94">
        <f>IF('Net zero activities &amp; levers'!$C$12="Off",'Activity data'!BO62*ManureNEF*NtoN2O*kgtoGg,IF('Net zero activities &amp; levers'!$C$12="PB",'Activity data'!BO62*ManureNEF*NtoN2O*kgtoGg,IF('Net zero activities &amp; levers'!$C$12="MS",'Net zero Activity data'!BO62*ManureNEF*NtoN2O*kgtoGg,"ERROR")))</f>
        <v>0.17715786251954191</v>
      </c>
      <c r="AW981" s="94">
        <f>IF('Net zero activities &amp; levers'!$C$12="Off",'Activity data'!BP62*ManureNEF*NtoN2O*kgtoGg,IF('Net zero activities &amp; levers'!$C$12="PB",'Activity data'!BP62*ManureNEF*NtoN2O*kgtoGg,IF('Net zero activities &amp; levers'!$C$12="MS",'Net zero Activity data'!BP62*ManureNEF*NtoN2O*kgtoGg,"ERROR")))</f>
        <v>0.1812449136918291</v>
      </c>
      <c r="AY981" s="79"/>
      <c r="AZ981" s="79"/>
    </row>
    <row r="982" spans="1:52" x14ac:dyDescent="0.25">
      <c r="A982" s="95" t="str">
        <f t="shared" si="345"/>
        <v>DS Organic</v>
      </c>
      <c r="B982" s="95" t="s">
        <v>973</v>
      </c>
      <c r="C982" s="95" t="s">
        <v>1126</v>
      </c>
      <c r="D982" t="s">
        <v>369</v>
      </c>
      <c r="E982" t="s">
        <v>55</v>
      </c>
      <c r="F982" t="s">
        <v>421</v>
      </c>
      <c r="G982" t="s">
        <v>1177</v>
      </c>
      <c r="H982" t="s">
        <v>1178</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3.1446916354757493E-2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3.1172186541537569E-2</v>
      </c>
      <c r="O982" s="94">
        <f>IF('Net zero activities &amp; levers'!$C$12="Off",'Activity data'!AH63*ManureNEF*NtoN2O*kgtoGg,IF('Net zero activities &amp; levers'!$C$12="PB",'Activity data'!AH63*ManureNEF*NtoN2O*kgtoGg,IF('Net zero activities &amp; levers'!$C$12="MS",'Net zero Activity data'!AH63*ManureNEF*NtoN2O*kgtoGg,"ERROR")))</f>
        <v>3.0700450247237818E-2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2.9583492368545926E-2</v>
      </c>
      <c r="R982" s="94">
        <f>IF('Net zero activities &amp; levers'!$C$12="Off",'Activity data'!AK63*ManureNEF*NtoN2O*kgtoGg,IF('Net zero activities &amp; levers'!$C$12="PB",'Activity data'!AK63*ManureNEF*NtoN2O*kgtoGg,IF('Net zero activities &amp; levers'!$C$12="MS",'Net zero Activity data'!AK63*ManureNEF*NtoN2O*kgtoGg,"ERROR")))</f>
        <v>2.9155206131309685E-2</v>
      </c>
      <c r="S982" s="94">
        <f>IF('Net zero activities &amp; levers'!$C$12="Off",'Activity data'!AL63*ManureNEF*NtoN2O*kgtoGg,IF('Net zero activities &amp; levers'!$C$12="PB",'Activity data'!AL63*ManureNEF*NtoN2O*kgtoGg,IF('Net zero activities &amp; levers'!$C$12="MS",'Net zero Activity data'!AL63*ManureNEF*NtoN2O*kgtoGg,"ERROR")))</f>
        <v>2.6190698176732228E-2</v>
      </c>
      <c r="T982" s="94">
        <f>IF('Net zero activities &amp; levers'!$C$12="Off",'Activity data'!AM63*ManureNEF*NtoN2O*kgtoGg,IF('Net zero activities &amp; levers'!$C$12="PB",'Activity data'!AM63*ManureNEF*NtoN2O*kgtoGg,IF('Net zero activities &amp; levers'!$C$12="MS",'Net zero Activity data'!AM63*ManureNEF*NtoN2O*kgtoGg,"ERROR")))</f>
        <v>2.7374224338819714E-2</v>
      </c>
      <c r="U982" s="94">
        <f>IF('Net zero activities &amp; levers'!$C$12="Off",'Activity data'!AN63*ManureNEF*NtoN2O*kgtoGg,IF('Net zero activities &amp; levers'!$C$12="PB",'Activity data'!AN63*ManureNEF*NtoN2O*kgtoGg,IF('Net zero activities &amp; levers'!$C$12="MS",'Net zero Activity data'!AN63*ManureNEF*NtoN2O*kgtoGg,"ERROR")))</f>
        <v>2.773203988242751E-2</v>
      </c>
      <c r="V982" s="94">
        <f>IF('Net zero activities &amp; levers'!$C$12="Off",'Activity data'!AO63*ManureNEF*NtoN2O*kgtoGg,IF('Net zero activities &amp; levers'!$C$12="PB",'Activity data'!AO63*ManureNEF*NtoN2O*kgtoGg,IF('Net zero activities &amp; levers'!$C$12="MS",'Net zero Activity data'!AO63*ManureNEF*NtoN2O*kgtoGg,"ERROR")))</f>
        <v>2.7458351571751329E-2</v>
      </c>
      <c r="W982" s="94">
        <f>IF('Net zero activities &amp; levers'!$C$12="Off",'Activity data'!AP63*ManureNEF*NtoN2O*kgtoGg,IF('Net zero activities &amp; levers'!$C$12="PB",'Activity data'!AP63*ManureNEF*NtoN2O*kgtoGg,IF('Net zero activities &amp; levers'!$C$12="MS",'Net zero Activity data'!AP63*ManureNEF*NtoN2O*kgtoGg,"ERROR")))</f>
        <v>2.7217644157783535E-2</v>
      </c>
      <c r="X982" s="94">
        <f>IF('Net zero activities &amp; levers'!$C$12="Off",'Activity data'!AQ63*ManureNEF*NtoN2O*kgtoGg,IF('Net zero activities &amp; levers'!$C$12="PB",'Activity data'!AQ63*ManureNEF*NtoN2O*kgtoGg,IF('Net zero activities &amp; levers'!$C$12="MS",'Net zero Activity data'!AQ63*ManureNEF*NtoN2O*kgtoGg,"ERROR")))</f>
        <v>2.7143253432569785E-2</v>
      </c>
      <c r="Y982" s="94">
        <f>IF('Net zero activities &amp; levers'!$C$12="Off",'Activity data'!AR63*ManureNEF*NtoN2O*kgtoGg,IF('Net zero activities &amp; levers'!$C$12="PB",'Activity data'!AR63*ManureNEF*NtoN2O*kgtoGg,IF('Net zero activities &amp; levers'!$C$12="MS",'Net zero Activity data'!AR63*ManureNEF*NtoN2O*kgtoGg,"ERROR")))</f>
        <v>2.7228715681440727E-2</v>
      </c>
      <c r="Z982" s="94">
        <f>IF('Net zero activities &amp; levers'!$C$12="Off",'Activity data'!AS63*ManureNEF*NtoN2O*kgtoGg,IF('Net zero activities &amp; levers'!$C$12="PB",'Activity data'!AS63*ManureNEF*NtoN2O*kgtoGg,IF('Net zero activities &amp; levers'!$C$12="MS",'Net zero Activity data'!AS63*ManureNEF*NtoN2O*kgtoGg,"ERROR")))</f>
        <v>2.7387897559273622E-2</v>
      </c>
      <c r="AA982" s="94">
        <f>IF('Net zero activities &amp; levers'!$C$12="Off",'Activity data'!AT63*ManureNEF*NtoN2O*kgtoGg,IF('Net zero activities &amp; levers'!$C$12="PB",'Activity data'!AT63*ManureNEF*NtoN2O*kgtoGg,IF('Net zero activities &amp; levers'!$C$12="MS",'Net zero Activity data'!AT63*ManureNEF*NtoN2O*kgtoGg,"ERROR")))</f>
        <v>2.7638959595724485E-2</v>
      </c>
      <c r="AB982" s="94">
        <f>IF('Net zero activities &amp; levers'!$C$12="Off",'Activity data'!AU63*ManureNEF*NtoN2O*kgtoGg,IF('Net zero activities &amp; levers'!$C$12="PB",'Activity data'!AU63*ManureNEF*NtoN2O*kgtoGg,IF('Net zero activities &amp; levers'!$C$12="MS",'Net zero Activity data'!AU63*ManureNEF*NtoN2O*kgtoGg,"ERROR")))</f>
        <v>2.8042266081967953E-2</v>
      </c>
      <c r="AC982" s="94">
        <f>IF('Net zero activities &amp; levers'!$C$12="Off",'Activity data'!AV63*ManureNEF*NtoN2O*kgtoGg,IF('Net zero activities &amp; levers'!$C$12="PB",'Activity data'!AV63*ManureNEF*NtoN2O*kgtoGg,IF('Net zero activities &amp; levers'!$C$12="MS",'Net zero Activity data'!AV63*ManureNEF*NtoN2O*kgtoGg,"ERROR")))</f>
        <v>2.8583735957869796E-2</v>
      </c>
      <c r="AD982" s="94">
        <f>IF('Net zero activities &amp; levers'!$C$12="Off",'Activity data'!AW63*ManureNEF*NtoN2O*kgtoGg,IF('Net zero activities &amp; levers'!$C$12="PB",'Activity data'!AW63*ManureNEF*NtoN2O*kgtoGg,IF('Net zero activities &amp; levers'!$C$12="MS",'Net zero Activity data'!AW63*ManureNEF*NtoN2O*kgtoGg,"ERROR")))</f>
        <v>2.9200010135285986E-2</v>
      </c>
      <c r="AE982" s="94">
        <f>IF('Net zero activities &amp; levers'!$C$12="Off",'Activity data'!AX63*ManureNEF*NtoN2O*kgtoGg,IF('Net zero activities &amp; levers'!$C$12="PB",'Activity data'!AX63*ManureNEF*NtoN2O*kgtoGg,IF('Net zero activities &amp; levers'!$C$12="MS",'Net zero Activity data'!AX63*ManureNEF*NtoN2O*kgtoGg,"ERROR")))</f>
        <v>2.988497084164626E-2</v>
      </c>
      <c r="AF982" s="94">
        <f>IF('Net zero activities &amp; levers'!$C$12="Off",'Activity data'!AY63*ManureNEF*NtoN2O*kgtoGg,IF('Net zero activities &amp; levers'!$C$12="PB",'Activity data'!AY63*ManureNEF*NtoN2O*kgtoGg,IF('Net zero activities &amp; levers'!$C$12="MS",'Net zero Activity data'!AY63*ManureNEF*NtoN2O*kgtoGg,"ERROR")))</f>
        <v>3.0604356063699028E-2</v>
      </c>
      <c r="AG982" s="94">
        <f>IF('Net zero activities &amp; levers'!$C$12="Off",'Activity data'!AZ63*ManureNEF*NtoN2O*kgtoGg,IF('Net zero activities &amp; levers'!$C$12="PB",'Activity data'!AZ63*ManureNEF*NtoN2O*kgtoGg,IF('Net zero activities &amp; levers'!$C$12="MS",'Net zero Activity data'!AZ63*ManureNEF*NtoN2O*kgtoGg,"ERROR")))</f>
        <v>3.1370520569878685E-2</v>
      </c>
      <c r="AH982" s="94">
        <f>IF('Net zero activities &amp; levers'!$C$12="Off",'Activity data'!BA63*ManureNEF*NtoN2O*kgtoGg,IF('Net zero activities &amp; levers'!$C$12="PB",'Activity data'!BA63*ManureNEF*NtoN2O*kgtoGg,IF('Net zero activities &amp; levers'!$C$12="MS",'Net zero Activity data'!BA63*ManureNEF*NtoN2O*kgtoGg,"ERROR")))</f>
        <v>3.2166950531742462E-2</v>
      </c>
      <c r="AI982" s="94">
        <f>IF('Net zero activities &amp; levers'!$C$12="Off",'Activity data'!BB63*ManureNEF*NtoN2O*kgtoGg,IF('Net zero activities &amp; levers'!$C$12="PB",'Activity data'!BB63*ManureNEF*NtoN2O*kgtoGg,IF('Net zero activities &amp; levers'!$C$12="MS",'Net zero Activity data'!BB63*ManureNEF*NtoN2O*kgtoGg,"ERROR")))</f>
        <v>3.2939829604257814E-2</v>
      </c>
      <c r="AJ982" s="94">
        <f>IF('Net zero activities &amp; levers'!$C$12="Off",'Activity data'!BC63*ManureNEF*NtoN2O*kgtoGg,IF('Net zero activities &amp; levers'!$C$12="PB",'Activity data'!BC63*ManureNEF*NtoN2O*kgtoGg,IF('Net zero activities &amp; levers'!$C$12="MS",'Net zero Activity data'!BC63*ManureNEF*NtoN2O*kgtoGg,"ERROR")))</f>
        <v>3.376382515752635E-2</v>
      </c>
      <c r="AK982" s="94">
        <f>IF('Net zero activities &amp; levers'!$C$12="Off",'Activity data'!BD63*ManureNEF*NtoN2O*kgtoGg,IF('Net zero activities &amp; levers'!$C$12="PB",'Activity data'!BD63*ManureNEF*NtoN2O*kgtoGg,IF('Net zero activities &amp; levers'!$C$12="MS",'Net zero Activity data'!BD63*ManureNEF*NtoN2O*kgtoGg,"ERROR")))</f>
        <v>3.4589464226499819E-2</v>
      </c>
      <c r="AL982" s="94">
        <f>IF('Net zero activities &amp; levers'!$C$12="Off",'Activity data'!BE63*ManureNEF*NtoN2O*kgtoGg,IF('Net zero activities &amp; levers'!$C$12="PB",'Activity data'!BE63*ManureNEF*NtoN2O*kgtoGg,IF('Net zero activities &amp; levers'!$C$12="MS",'Net zero Activity data'!BE63*ManureNEF*NtoN2O*kgtoGg,"ERROR")))</f>
        <v>3.5412411951792733E-2</v>
      </c>
      <c r="AM982" s="94">
        <f>IF('Net zero activities &amp; levers'!$C$12="Off",'Activity data'!BF63*ManureNEF*NtoN2O*kgtoGg,IF('Net zero activities &amp; levers'!$C$12="PB",'Activity data'!BF63*ManureNEF*NtoN2O*kgtoGg,IF('Net zero activities &amp; levers'!$C$12="MS",'Net zero Activity data'!BF63*ManureNEF*NtoN2O*kgtoGg,"ERROR")))</f>
        <v>3.625396228734637E-2</v>
      </c>
      <c r="AN982" s="94">
        <f>IF('Net zero activities &amp; levers'!$C$12="Off",'Activity data'!BG63*ManureNEF*NtoN2O*kgtoGg,IF('Net zero activities &amp; levers'!$C$12="PB",'Activity data'!BG63*ManureNEF*NtoN2O*kgtoGg,IF('Net zero activities &amp; levers'!$C$12="MS",'Net zero Activity data'!BG63*ManureNEF*NtoN2O*kgtoGg,"ERROR")))</f>
        <v>3.705969376925726E-2</v>
      </c>
      <c r="AO982" s="94">
        <f>IF('Net zero activities &amp; levers'!$C$12="Off",'Activity data'!BH63*ManureNEF*NtoN2O*kgtoGg,IF('Net zero activities &amp; levers'!$C$12="PB",'Activity data'!BH63*ManureNEF*NtoN2O*kgtoGg,IF('Net zero activities &amp; levers'!$C$12="MS",'Net zero Activity data'!BH63*ManureNEF*NtoN2O*kgtoGg,"ERROR")))</f>
        <v>3.7902844742003665E-2</v>
      </c>
      <c r="AP982" s="94">
        <f>IF('Net zero activities &amp; levers'!$C$12="Off",'Activity data'!BI63*ManureNEF*NtoN2O*kgtoGg,IF('Net zero activities &amp; levers'!$C$12="PB",'Activity data'!BI63*ManureNEF*NtoN2O*kgtoGg,IF('Net zero activities &amp; levers'!$C$12="MS",'Net zero Activity data'!BI63*ManureNEF*NtoN2O*kgtoGg,"ERROR")))</f>
        <v>3.8807720812407763E-2</v>
      </c>
      <c r="AQ982" s="94">
        <f>IF('Net zero activities &amp; levers'!$C$12="Off",'Activity data'!BJ63*ManureNEF*NtoN2O*kgtoGg,IF('Net zero activities &amp; levers'!$C$12="PB",'Activity data'!BJ63*ManureNEF*NtoN2O*kgtoGg,IF('Net zero activities &amp; levers'!$C$12="MS",'Net zero Activity data'!BJ63*ManureNEF*NtoN2O*kgtoGg,"ERROR")))</f>
        <v>3.9728410777909444E-2</v>
      </c>
      <c r="AR982" s="94">
        <f>IF('Net zero activities &amp; levers'!$C$12="Off",'Activity data'!BK63*ManureNEF*NtoN2O*kgtoGg,IF('Net zero activities &amp; levers'!$C$12="PB",'Activity data'!BK63*ManureNEF*NtoN2O*kgtoGg,IF('Net zero activities &amp; levers'!$C$12="MS",'Net zero Activity data'!BK63*ManureNEF*NtoN2O*kgtoGg,"ERROR")))</f>
        <v>4.0666607258278795E-2</v>
      </c>
      <c r="AS982" s="94">
        <f>IF('Net zero activities &amp; levers'!$C$12="Off",'Activity data'!BL63*ManureNEF*NtoN2O*kgtoGg,IF('Net zero activities &amp; levers'!$C$12="PB",'Activity data'!BL63*ManureNEF*NtoN2O*kgtoGg,IF('Net zero activities &amp; levers'!$C$12="MS",'Net zero Activity data'!BL63*ManureNEF*NtoN2O*kgtoGg,"ERROR")))</f>
        <v>4.1668670030178073E-2</v>
      </c>
      <c r="AT982" s="94">
        <f>IF('Net zero activities &amp; levers'!$C$12="Off",'Activity data'!BM63*ManureNEF*NtoN2O*kgtoGg,IF('Net zero activities &amp; levers'!$C$12="PB",'Activity data'!BM63*ManureNEF*NtoN2O*kgtoGg,IF('Net zero activities &amp; levers'!$C$12="MS",'Net zero Activity data'!BM63*ManureNEF*NtoN2O*kgtoGg,"ERROR")))</f>
        <v>4.2717154372673226E-2</v>
      </c>
      <c r="AU982" s="94">
        <f>IF('Net zero activities &amp; levers'!$C$12="Off",'Activity data'!BN63*ManureNEF*NtoN2O*kgtoGg,IF('Net zero activities &amp; levers'!$C$12="PB",'Activity data'!BN63*ManureNEF*NtoN2O*kgtoGg,IF('Net zero activities &amp; levers'!$C$12="MS",'Net zero Activity data'!BN63*ManureNEF*NtoN2O*kgtoGg,"ERROR")))</f>
        <v>4.380010896889619E-2</v>
      </c>
      <c r="AV982" s="94">
        <f>IF('Net zero activities &amp; levers'!$C$12="Off",'Activity data'!BO63*ManureNEF*NtoN2O*kgtoGg,IF('Net zero activities &amp; levers'!$C$12="PB",'Activity data'!BO63*ManureNEF*NtoN2O*kgtoGg,IF('Net zero activities &amp; levers'!$C$12="MS",'Net zero Activity data'!BO63*ManureNEF*NtoN2O*kgtoGg,"ERROR")))</f>
        <v>4.4945626240250815E-2</v>
      </c>
      <c r="AW982" s="94">
        <f>IF('Net zero activities &amp; levers'!$C$12="Off",'Activity data'!BP63*ManureNEF*NtoN2O*kgtoGg,IF('Net zero activities &amp; levers'!$C$12="PB",'Activity data'!BP63*ManureNEF*NtoN2O*kgtoGg,IF('Net zero activities &amp; levers'!$C$12="MS",'Net zero Activity data'!BP63*ManureNEF*NtoN2O*kgtoGg,"ERROR")))</f>
        <v>4.5982526730028013E-2</v>
      </c>
      <c r="AY982" s="79"/>
      <c r="AZ982" s="79"/>
    </row>
    <row r="983" spans="1:52" x14ac:dyDescent="0.25">
      <c r="A983" s="95" t="str">
        <f t="shared" si="345"/>
        <v>DS Organic</v>
      </c>
      <c r="B983" s="95" t="s">
        <v>973</v>
      </c>
      <c r="C983" s="95" t="s">
        <v>1126</v>
      </c>
      <c r="D983" t="s">
        <v>369</v>
      </c>
      <c r="E983" t="s">
        <v>55</v>
      </c>
      <c r="F983" t="s">
        <v>421</v>
      </c>
      <c r="G983" t="s">
        <v>1179</v>
      </c>
      <c r="H983" t="s">
        <v>1180</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0.16826815584544114</v>
      </c>
      <c r="T983" s="94">
        <f>IF('Net zero activities &amp; levers'!$C$12="Off",'Activity data'!AM64*ManureNEF*NtoN2O*kgtoGg,IF('Net zero activities &amp; levers'!$C$12="PB",'Activity data'!AM64*ManureNEF*NtoN2O*kgtoGg,IF('Net zero activities &amp; levers'!$C$12="MS",'Net zero Activity data'!AM64*ManureNEF*NtoN2O*kgtoGg,"ERROR")))</f>
        <v>0.17529364111541346</v>
      </c>
      <c r="U983" s="94">
        <f>IF('Net zero activities &amp; levers'!$C$12="Off",'Activity data'!AN64*ManureNEF*NtoN2O*kgtoGg,IF('Net zero activities &amp; levers'!$C$12="PB",'Activity data'!AN64*ManureNEF*NtoN2O*kgtoGg,IF('Net zero activities &amp; levers'!$C$12="MS",'Net zero Activity data'!AN64*ManureNEF*NtoN2O*kgtoGg,"ERROR")))</f>
        <v>0.179468936116296</v>
      </c>
      <c r="V983" s="94">
        <f>IF('Net zero activities &amp; levers'!$C$12="Off",'Activity data'!AO64*ManureNEF*NtoN2O*kgtoGg,IF('Net zero activities &amp; levers'!$C$12="PB",'Activity data'!AO64*ManureNEF*NtoN2O*kgtoGg,IF('Net zero activities &amp; levers'!$C$12="MS",'Net zero Activity data'!AO64*ManureNEF*NtoN2O*kgtoGg,"ERROR")))</f>
        <v>0.18146185289572461</v>
      </c>
      <c r="W983" s="94">
        <f>IF('Net zero activities &amp; levers'!$C$12="Off",'Activity data'!AP64*ManureNEF*NtoN2O*kgtoGg,IF('Net zero activities &amp; levers'!$C$12="PB",'Activity data'!AP64*ManureNEF*NtoN2O*kgtoGg,IF('Net zero activities &amp; levers'!$C$12="MS",'Net zero Activity data'!AP64*ManureNEF*NtoN2O*kgtoGg,"ERROR")))</f>
        <v>0.18367206757119967</v>
      </c>
      <c r="X983" s="94">
        <f>IF('Net zero activities &amp; levers'!$C$12="Off",'Activity data'!AQ64*ManureNEF*NtoN2O*kgtoGg,IF('Net zero activities &amp; levers'!$C$12="PB",'Activity data'!AQ64*ManureNEF*NtoN2O*kgtoGg,IF('Net zero activities &amp; levers'!$C$12="MS",'Net zero Activity data'!AQ64*ManureNEF*NtoN2O*kgtoGg,"ERROR")))</f>
        <v>0.18655442341123246</v>
      </c>
      <c r="Y983" s="94">
        <f>IF('Net zero activities &amp; levers'!$C$12="Off",'Activity data'!AR64*ManureNEF*NtoN2O*kgtoGg,IF('Net zero activities &amp; levers'!$C$12="PB",'Activity data'!AR64*ManureNEF*NtoN2O*kgtoGg,IF('Net zero activities &amp; levers'!$C$12="MS",'Net zero Activity data'!AR64*ManureNEF*NtoN2O*kgtoGg,"ERROR")))</f>
        <v>0.19002403855752484</v>
      </c>
      <c r="Z983" s="94">
        <f>IF('Net zero activities &amp; levers'!$C$12="Off",'Activity data'!AS64*ManureNEF*NtoN2O*kgtoGg,IF('Net zero activities &amp; levers'!$C$12="PB",'Activity data'!AS64*ManureNEF*NtoN2O*kgtoGg,IF('Net zero activities &amp; levers'!$C$12="MS",'Net zero Activity data'!AS64*ManureNEF*NtoN2O*kgtoGg,"ERROR")))</f>
        <v>0.19378713542621159</v>
      </c>
      <c r="AA983" s="94">
        <f>IF('Net zero activities &amp; levers'!$C$12="Off",'Activity data'!AT64*ManureNEF*NtoN2O*kgtoGg,IF('Net zero activities &amp; levers'!$C$12="PB",'Activity data'!AT64*ManureNEF*NtoN2O*kgtoGg,IF('Net zero activities &amp; levers'!$C$12="MS",'Net zero Activity data'!AT64*ManureNEF*NtoN2O*kgtoGg,"ERROR")))</f>
        <v>0.19793608752558689</v>
      </c>
      <c r="AB983" s="94">
        <f>IF('Net zero activities &amp; levers'!$C$12="Off",'Activity data'!AU64*ManureNEF*NtoN2O*kgtoGg,IF('Net zero activities &amp; levers'!$C$12="PB",'Activity data'!AU64*ManureNEF*NtoN2O*kgtoGg,IF('Net zero activities &amp; levers'!$C$12="MS",'Net zero Activity data'!AU64*ManureNEF*NtoN2O*kgtoGg,"ERROR")))</f>
        <v>0.20274560727871463</v>
      </c>
      <c r="AC983" s="94">
        <f>IF('Net zero activities &amp; levers'!$C$12="Off",'Activity data'!AV64*ManureNEF*NtoN2O*kgtoGg,IF('Net zero activities &amp; levers'!$C$12="PB",'Activity data'!AV64*ManureNEF*NtoN2O*kgtoGg,IF('Net zero activities &amp; levers'!$C$12="MS",'Net zero Activity data'!AV64*ManureNEF*NtoN2O*kgtoGg,"ERROR")))</f>
        <v>0.2082010892393113</v>
      </c>
      <c r="AD983" s="94">
        <f>IF('Net zero activities &amp; levers'!$C$12="Off",'Activity data'!AW64*ManureNEF*NtoN2O*kgtoGg,IF('Net zero activities &amp; levers'!$C$12="PB",'Activity data'!AW64*ManureNEF*NtoN2O*kgtoGg,IF('Net zero activities &amp; levers'!$C$12="MS",'Net zero Activity data'!AW64*ManureNEF*NtoN2O*kgtoGg,"ERROR")))</f>
        <v>0.21407047800501874</v>
      </c>
      <c r="AE983" s="94">
        <f>IF('Net zero activities &amp; levers'!$C$12="Off",'Activity data'!AX64*ManureNEF*NtoN2O*kgtoGg,IF('Net zero activities &amp; levers'!$C$12="PB",'Activity data'!AX64*ManureNEF*NtoN2O*kgtoGg,IF('Net zero activities &amp; levers'!$C$12="MS",'Net zero Activity data'!AX64*ManureNEF*NtoN2O*kgtoGg,"ERROR")))</f>
        <v>0.22035285326760637</v>
      </c>
      <c r="AF983" s="94">
        <f>IF('Net zero activities &amp; levers'!$C$12="Off",'Activity data'!AY64*ManureNEF*NtoN2O*kgtoGg,IF('Net zero activities &amp; levers'!$C$12="PB",'Activity data'!AY64*ManureNEF*NtoN2O*kgtoGg,IF('Net zero activities &amp; levers'!$C$12="MS",'Net zero Activity data'!AY64*ManureNEF*NtoN2O*kgtoGg,"ERROR")))</f>
        <v>0.22691830683757538</v>
      </c>
      <c r="AG983" s="94">
        <f>IF('Net zero activities &amp; levers'!$C$12="Off",'Activity data'!AZ64*ManureNEF*NtoN2O*kgtoGg,IF('Net zero activities &amp; levers'!$C$12="PB",'Activity data'!AZ64*ManureNEF*NtoN2O*kgtoGg,IF('Net zero activities &amp; levers'!$C$12="MS",'Net zero Activity data'!AZ64*ManureNEF*NtoN2O*kgtoGg,"ERROR")))</f>
        <v>0.23383349407065357</v>
      </c>
      <c r="AH983" s="94">
        <f>IF('Net zero activities &amp; levers'!$C$12="Off",'Activity data'!BA64*ManureNEF*NtoN2O*kgtoGg,IF('Net zero activities &amp; levers'!$C$12="PB",'Activity data'!BA64*ManureNEF*NtoN2O*kgtoGg,IF('Net zero activities &amp; levers'!$C$12="MS",'Net zero Activity data'!BA64*ManureNEF*NtoN2O*kgtoGg,"ERROR")))</f>
        <v>0.24104032281254165</v>
      </c>
      <c r="AI983" s="94">
        <f>IF('Net zero activities &amp; levers'!$C$12="Off",'Activity data'!BB64*ManureNEF*NtoN2O*kgtoGg,IF('Net zero activities &amp; levers'!$C$12="PB",'Activity data'!BB64*ManureNEF*NtoN2O*kgtoGg,IF('Net zero activities &amp; levers'!$C$12="MS",'Net zero Activity data'!BB64*ManureNEF*NtoN2O*kgtoGg,"ERROR")))</f>
        <v>0.24830078825991211</v>
      </c>
      <c r="AJ983" s="94">
        <f>IF('Net zero activities &amp; levers'!$C$12="Off",'Activity data'!BC64*ManureNEF*NtoN2O*kgtoGg,IF('Net zero activities &amp; levers'!$C$12="PB",'Activity data'!BC64*ManureNEF*NtoN2O*kgtoGg,IF('Net zero activities &amp; levers'!$C$12="MS",'Net zero Activity data'!BC64*ManureNEF*NtoN2O*kgtoGg,"ERROR")))</f>
        <v>0.25596851329364728</v>
      </c>
      <c r="AK983" s="94">
        <f>IF('Net zero activities &amp; levers'!$C$12="Off",'Activity data'!BD64*ManureNEF*NtoN2O*kgtoGg,IF('Net zero activities &amp; levers'!$C$12="PB",'Activity data'!BD64*ManureNEF*NtoN2O*kgtoGg,IF('Net zero activities &amp; levers'!$C$12="MS",'Net zero Activity data'!BD64*ManureNEF*NtoN2O*kgtoGg,"ERROR")))</f>
        <v>0.26381659798331969</v>
      </c>
      <c r="AL983" s="94">
        <f>IF('Net zero activities &amp; levers'!$C$12="Off",'Activity data'!BE64*ManureNEF*NtoN2O*kgtoGg,IF('Net zero activities &amp; levers'!$C$12="PB",'Activity data'!BE64*ManureNEF*NtoN2O*kgtoGg,IF('Net zero activities &amp; levers'!$C$12="MS",'Net zero Activity data'!BE64*ManureNEF*NtoN2O*kgtoGg,"ERROR")))</f>
        <v>0.27182892851236273</v>
      </c>
      <c r="AM983" s="94">
        <f>IF('Net zero activities &amp; levers'!$C$12="Off",'Activity data'!BF64*ManureNEF*NtoN2O*kgtoGg,IF('Net zero activities &amp; levers'!$C$12="PB",'Activity data'!BF64*ManureNEF*NtoN2O*kgtoGg,IF('Net zero activities &amp; levers'!$C$12="MS",'Net zero Activity data'!BF64*ManureNEF*NtoN2O*kgtoGg,"ERROR")))</f>
        <v>0.28011873521820613</v>
      </c>
      <c r="AN983" s="94">
        <f>IF('Net zero activities &amp; levers'!$C$12="Off",'Activity data'!BG64*ManureNEF*NtoN2O*kgtoGg,IF('Net zero activities &amp; levers'!$C$12="PB",'Activity data'!BG64*ManureNEF*NtoN2O*kgtoGg,IF('Net zero activities &amp; levers'!$C$12="MS",'Net zero Activity data'!BG64*ManureNEF*NtoN2O*kgtoGg,"ERROR")))</f>
        <v>0.28841666797515925</v>
      </c>
      <c r="AO983" s="94">
        <f>IF('Net zero activities &amp; levers'!$C$12="Off",'Activity data'!BH64*ManureNEF*NtoN2O*kgtoGg,IF('Net zero activities &amp; levers'!$C$12="PB",'Activity data'!BH64*ManureNEF*NtoN2O*kgtoGg,IF('Net zero activities &amp; levers'!$C$12="MS",'Net zero Activity data'!BH64*ManureNEF*NtoN2O*kgtoGg,"ERROR")))</f>
        <v>0.29710042873684378</v>
      </c>
      <c r="AP983" s="94">
        <f>IF('Net zero activities &amp; levers'!$C$12="Off",'Activity data'!BI64*ManureNEF*NtoN2O*kgtoGg,IF('Net zero activities &amp; levers'!$C$12="PB",'Activity data'!BI64*ManureNEF*NtoN2O*kgtoGg,IF('Net zero activities &amp; levers'!$C$12="MS",'Net zero Activity data'!BI64*ManureNEF*NtoN2O*kgtoGg,"ERROR")))</f>
        <v>0.30631512135319056</v>
      </c>
      <c r="AQ983" s="94">
        <f>IF('Net zero activities &amp; levers'!$C$12="Off",'Activity data'!BJ64*ManureNEF*NtoN2O*kgtoGg,IF('Net zero activities &amp; levers'!$C$12="PB",'Activity data'!BJ64*ManureNEF*NtoN2O*kgtoGg,IF('Net zero activities &amp; levers'!$C$12="MS",'Net zero Activity data'!BJ64*ManureNEF*NtoN2O*kgtoGg,"ERROR")))</f>
        <v>0.31583438977210859</v>
      </c>
      <c r="AR983" s="94">
        <f>IF('Net zero activities &amp; levers'!$C$12="Off",'Activity data'!BK64*ManureNEF*NtoN2O*kgtoGg,IF('Net zero activities &amp; levers'!$C$12="PB",'Activity data'!BK64*ManureNEF*NtoN2O*kgtoGg,IF('Net zero activities &amp; levers'!$C$12="MS",'Net zero Activity data'!BK64*ManureNEF*NtoN2O*kgtoGg,"ERROR")))</f>
        <v>0.32567682367490652</v>
      </c>
      <c r="AS983" s="94">
        <f>IF('Net zero activities &amp; levers'!$C$12="Off",'Activity data'!BL64*ManureNEF*NtoN2O*kgtoGg,IF('Net zero activities &amp; levers'!$C$12="PB",'Activity data'!BL64*ManureNEF*NtoN2O*kgtoGg,IF('Net zero activities &amp; levers'!$C$12="MS",'Net zero Activity data'!BL64*ManureNEF*NtoN2O*kgtoGg,"ERROR")))</f>
        <v>0.33611496479516756</v>
      </c>
      <c r="AT983" s="94">
        <f>IF('Net zero activities &amp; levers'!$C$12="Off",'Activity data'!BM64*ManureNEF*NtoN2O*kgtoGg,IF('Net zero activities &amp; levers'!$C$12="PB",'Activity data'!BM64*ManureNEF*NtoN2O*kgtoGg,IF('Net zero activities &amp; levers'!$C$12="MS",'Net zero Activity data'!BM64*ManureNEF*NtoN2O*kgtoGg,"ERROR")))</f>
        <v>0.34707529344515536</v>
      </c>
      <c r="AU983" s="94">
        <f>IF('Net zero activities &amp; levers'!$C$12="Off",'Activity data'!BN64*ManureNEF*NtoN2O*kgtoGg,IF('Net zero activities &amp; levers'!$C$12="PB",'Activity data'!BN64*ManureNEF*NtoN2O*kgtoGg,IF('Net zero activities &amp; levers'!$C$12="MS",'Net zero Activity data'!BN64*ManureNEF*NtoN2O*kgtoGg,"ERROR")))</f>
        <v>0.35851078392222901</v>
      </c>
      <c r="AV983" s="94">
        <f>IF('Net zero activities &amp; levers'!$C$12="Off",'Activity data'!BO64*ManureNEF*NtoN2O*kgtoGg,IF('Net zero activities &amp; levers'!$C$12="PB",'Activity data'!BO64*ManureNEF*NtoN2O*kgtoGg,IF('Net zero activities &amp; levers'!$C$12="MS",'Net zero Activity data'!BO64*ManureNEF*NtoN2O*kgtoGg,"ERROR")))</f>
        <v>0.37060965152650638</v>
      </c>
      <c r="AW983" s="94">
        <f>IF('Net zero activities &amp; levers'!$C$12="Off",'Activity data'!BP64*ManureNEF*NtoN2O*kgtoGg,IF('Net zero activities &amp; levers'!$C$12="PB",'Activity data'!BP64*ManureNEF*NtoN2O*kgtoGg,IF('Net zero activities &amp; levers'!$C$12="MS",'Net zero Activity data'!BP64*ManureNEF*NtoN2O*kgtoGg,"ERROR")))</f>
        <v>0.38235584366830411</v>
      </c>
      <c r="AY983" s="79"/>
      <c r="AZ983" s="79"/>
    </row>
    <row r="984" spans="1:52" x14ac:dyDescent="0.25">
      <c r="A984" s="95" t="str">
        <f t="shared" si="345"/>
        <v>DS Organic</v>
      </c>
      <c r="B984" s="95" t="s">
        <v>973</v>
      </c>
      <c r="C984" s="95" t="s">
        <v>1126</v>
      </c>
      <c r="D984" t="s">
        <v>369</v>
      </c>
      <c r="E984" t="s">
        <v>55</v>
      </c>
      <c r="F984" t="s">
        <v>421</v>
      </c>
      <c r="G984" t="s">
        <v>1181</v>
      </c>
      <c r="H984" t="s">
        <v>1182</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0.81318534024672107</v>
      </c>
      <c r="N984" s="94">
        <f>IF('Net zero activities &amp; levers'!$C$12="Off",'Activity data'!AG65*ManureNEF*NtoN2O*kgtoGg,IF('Net zero activities &amp; levers'!$C$12="PB",'Activity data'!AG65*ManureNEF*NtoN2O*kgtoGg,IF('Net zero activities &amp; levers'!$C$12="MS",'Net zero Activity data'!AG65*ManureNEF*NtoN2O*kgtoGg,"ERROR")))</f>
        <v>0.81796021384654038</v>
      </c>
      <c r="O984" s="94">
        <f>IF('Net zero activities &amp; levers'!$C$12="Off",'Activity data'!AH65*ManureNEF*NtoN2O*kgtoGg,IF('Net zero activities &amp; levers'!$C$12="PB",'Activity data'!AH65*ManureNEF*NtoN2O*kgtoGg,IF('Net zero activities &amp; levers'!$C$12="MS",'Net zero Activity data'!AH65*ManureNEF*NtoN2O*kgtoGg,"ERROR")))</f>
        <v>0.81503229757580586</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0.79997057217510736</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0.6929945167812448</v>
      </c>
      <c r="T984" s="94">
        <f>IF('Net zero activities &amp; levers'!$C$12="Off",'Activity data'!AM65*ManureNEF*NtoN2O*kgtoGg,IF('Net zero activities &amp; levers'!$C$12="PB",'Activity data'!AM65*ManureNEF*NtoN2O*kgtoGg,IF('Net zero activities &amp; levers'!$C$12="MS",'Net zero Activity data'!AM65*ManureNEF*NtoN2O*kgtoGg,"ERROR")))</f>
        <v>0.75569325830504319</v>
      </c>
      <c r="U984" s="94">
        <f>IF('Net zero activities &amp; levers'!$C$12="Off",'Activity data'!AN65*ManureNEF*NtoN2O*kgtoGg,IF('Net zero activities &amp; levers'!$C$12="PB",'Activity data'!AN65*ManureNEF*NtoN2O*kgtoGg,IF('Net zero activities &amp; levers'!$C$12="MS",'Net zero Activity data'!AN65*ManureNEF*NtoN2O*kgtoGg,"ERROR")))</f>
        <v>0.78586192008020839</v>
      </c>
      <c r="V984" s="94">
        <f>IF('Net zero activities &amp; levers'!$C$12="Off",'Activity data'!AO65*ManureNEF*NtoN2O*kgtoGg,IF('Net zero activities &amp; levers'!$C$12="PB",'Activity data'!AO65*ManureNEF*NtoN2O*kgtoGg,IF('Net zero activities &amp; levers'!$C$12="MS",'Net zero Activity data'!AO65*ManureNEF*NtoN2O*kgtoGg,"ERROR")))</f>
        <v>0.78963673487778696</v>
      </c>
      <c r="W984" s="94">
        <f>IF('Net zero activities &amp; levers'!$C$12="Off",'Activity data'!AP65*ManureNEF*NtoN2O*kgtoGg,IF('Net zero activities &amp; levers'!$C$12="PB",'Activity data'!AP65*ManureNEF*NtoN2O*kgtoGg,IF('Net zero activities &amp; levers'!$C$12="MS",'Net zero Activity data'!AP65*ManureNEF*NtoN2O*kgtoGg,"ERROR")))</f>
        <v>0.79398832301737687</v>
      </c>
      <c r="X984" s="94">
        <f>IF('Net zero activities &amp; levers'!$C$12="Off",'Activity data'!AQ65*ManureNEF*NtoN2O*kgtoGg,IF('Net zero activities &amp; levers'!$C$12="PB",'Activity data'!AQ65*ManureNEF*NtoN2O*kgtoGg,IF('Net zero activities &amp; levers'!$C$12="MS",'Net zero Activity data'!AQ65*ManureNEF*NtoN2O*kgtoGg,"ERROR")))</f>
        <v>0.80502399258159163</v>
      </c>
      <c r="Y984" s="94">
        <f>IF('Net zero activities &amp; levers'!$C$12="Off",'Activity data'!AR65*ManureNEF*NtoN2O*kgtoGg,IF('Net zero activities &amp; levers'!$C$12="PB",'Activity data'!AR65*ManureNEF*NtoN2O*kgtoGg,IF('Net zero activities &amp; levers'!$C$12="MS",'Net zero Activity data'!AR65*ManureNEF*NtoN2O*kgtoGg,"ERROR")))</f>
        <v>0.82319477266803398</v>
      </c>
      <c r="Z984" s="94">
        <f>IF('Net zero activities &amp; levers'!$C$12="Off",'Activity data'!AS65*ManureNEF*NtoN2O*kgtoGg,IF('Net zero activities &amp; levers'!$C$12="PB",'Activity data'!AS65*ManureNEF*NtoN2O*kgtoGg,IF('Net zero activities &amp; levers'!$C$12="MS",'Net zero Activity data'!AS65*ManureNEF*NtoN2O*kgtoGg,"ERROR")))</f>
        <v>0.84493550271536799</v>
      </c>
      <c r="AA984" s="94">
        <f>IF('Net zero activities &amp; levers'!$C$12="Off",'Activity data'!AT65*ManureNEF*NtoN2O*kgtoGg,IF('Net zero activities &amp; levers'!$C$12="PB",'Activity data'!AT65*ManureNEF*NtoN2O*kgtoGg,IF('Net zero activities &amp; levers'!$C$12="MS",'Net zero Activity data'!AT65*ManureNEF*NtoN2O*kgtoGg,"ERROR")))</f>
        <v>0.87120575605676209</v>
      </c>
      <c r="AB984" s="94">
        <f>IF('Net zero activities &amp; levers'!$C$12="Off",'Activity data'!AU65*ManureNEF*NtoN2O*kgtoGg,IF('Net zero activities &amp; levers'!$C$12="PB",'Activity data'!AU65*ManureNEF*NtoN2O*kgtoGg,IF('Net zero activities &amp; levers'!$C$12="MS",'Net zero Activity data'!AU65*ManureNEF*NtoN2O*kgtoGg,"ERROR")))</f>
        <v>0.90492220164986781</v>
      </c>
      <c r="AC984" s="94">
        <f>IF('Net zero activities &amp; levers'!$C$12="Off",'Activity data'!AV65*ManureNEF*NtoN2O*kgtoGg,IF('Net zero activities &amp; levers'!$C$12="PB",'Activity data'!AV65*ManureNEF*NtoN2O*kgtoGg,IF('Net zero activities &amp; levers'!$C$12="MS",'Net zero Activity data'!AV65*ManureNEF*NtoN2O*kgtoGg,"ERROR")))</f>
        <v>0.94570019320131005</v>
      </c>
      <c r="AD984" s="94">
        <f>IF('Net zero activities &amp; levers'!$C$12="Off",'Activity data'!AW65*ManureNEF*NtoN2O*kgtoGg,IF('Net zero activities &amp; levers'!$C$12="PB",'Activity data'!AW65*ManureNEF*NtoN2O*kgtoGg,IF('Net zero activities &amp; levers'!$C$12="MS",'Net zero Activity data'!AW65*ManureNEF*NtoN2O*kgtoGg,"ERROR")))</f>
        <v>0.9908342510405731</v>
      </c>
      <c r="AE984" s="94">
        <f>IF('Net zero activities &amp; levers'!$C$12="Off",'Activity data'!AX65*ManureNEF*NtoN2O*kgtoGg,IF('Net zero activities &amp; levers'!$C$12="PB",'Activity data'!AX65*ManureNEF*NtoN2O*kgtoGg,IF('Net zero activities &amp; levers'!$C$12="MS",'Net zero Activity data'!AX65*ManureNEF*NtoN2O*kgtoGg,"ERROR")))</f>
        <v>1.0401746402938727</v>
      </c>
      <c r="AF984" s="94">
        <f>IF('Net zero activities &amp; levers'!$C$12="Off",'Activity data'!AY65*ManureNEF*NtoN2O*kgtoGg,IF('Net zero activities &amp; levers'!$C$12="PB",'Activity data'!AY65*ManureNEF*NtoN2O*kgtoGg,IF('Net zero activities &amp; levers'!$C$12="MS",'Net zero Activity data'!AY65*ManureNEF*NtoN2O*kgtoGg,"ERROR")))</f>
        <v>1.0922195176686915</v>
      </c>
      <c r="AG984" s="94">
        <f>IF('Net zero activities &amp; levers'!$C$12="Off",'Activity data'!AZ65*ManureNEF*NtoN2O*kgtoGg,IF('Net zero activities &amp; levers'!$C$12="PB",'Activity data'!AZ65*ManureNEF*NtoN2O*kgtoGg,IF('Net zero activities &amp; levers'!$C$12="MS",'Net zero Activity data'!AZ65*ManureNEF*NtoN2O*kgtoGg,"ERROR")))</f>
        <v>1.1476653338002605</v>
      </c>
      <c r="AH984" s="94">
        <f>IF('Net zero activities &amp; levers'!$C$12="Off",'Activity data'!BA65*ManureNEF*NtoN2O*kgtoGg,IF('Net zero activities &amp; levers'!$C$12="PB",'Activity data'!BA65*ManureNEF*NtoN2O*kgtoGg,IF('Net zero activities &amp; levers'!$C$12="MS",'Net zero Activity data'!BA65*ManureNEF*NtoN2O*kgtoGg,"ERROR")))</f>
        <v>1.2058049098103554</v>
      </c>
      <c r="AI984" s="94">
        <f>IF('Net zero activities &amp; levers'!$C$12="Off",'Activity data'!BB65*ManureNEF*NtoN2O*kgtoGg,IF('Net zero activities &amp; levers'!$C$12="PB",'Activity data'!BB65*ManureNEF*NtoN2O*kgtoGg,IF('Net zero activities &amp; levers'!$C$12="MS",'Net zero Activity data'!BB65*ManureNEF*NtoN2O*kgtoGg,"ERROR")))</f>
        <v>1.2640288398876942</v>
      </c>
      <c r="AJ984" s="94">
        <f>IF('Net zero activities &amp; levers'!$C$12="Off",'Activity data'!BC65*ManureNEF*NtoN2O*kgtoGg,IF('Net zero activities &amp; levers'!$C$12="PB",'Activity data'!BC65*ManureNEF*NtoN2O*kgtoGg,IF('Net zero activities &amp; levers'!$C$12="MS",'Net zero Activity data'!BC65*ManureNEF*NtoN2O*kgtoGg,"ERROR")))</f>
        <v>1.3261031190213208</v>
      </c>
      <c r="AK984" s="94">
        <f>IF('Net zero activities &amp; levers'!$C$12="Off",'Activity data'!BD65*ManureNEF*NtoN2O*kgtoGg,IF('Net zero activities &amp; levers'!$C$12="PB",'Activity data'!BD65*ManureNEF*NtoN2O*kgtoGg,IF('Net zero activities &amp; levers'!$C$12="MS",'Net zero Activity data'!BD65*ManureNEF*NtoN2O*kgtoGg,"ERROR")))</f>
        <v>1.3896418297181288</v>
      </c>
      <c r="AL984" s="94">
        <f>IF('Net zero activities &amp; levers'!$C$12="Off",'Activity data'!BE65*ManureNEF*NtoN2O*kgtoGg,IF('Net zero activities &amp; levers'!$C$12="PB",'Activity data'!BE65*ManureNEF*NtoN2O*kgtoGg,IF('Net zero activities &amp; levers'!$C$12="MS",'Net zero Activity data'!BE65*ManureNEF*NtoN2O*kgtoGg,"ERROR")))</f>
        <v>1.4544565281623518</v>
      </c>
      <c r="AM984" s="94">
        <f>IF('Net zero activities &amp; levers'!$C$12="Off",'Activity data'!BF65*ManureNEF*NtoN2O*kgtoGg,IF('Net zero activities &amp; levers'!$C$12="PB",'Activity data'!BF65*ManureNEF*NtoN2O*kgtoGg,IF('Net zero activities &amp; levers'!$C$12="MS",'Net zero Activity data'!BF65*ManureNEF*NtoN2O*kgtoGg,"ERROR")))</f>
        <v>1.521690334823528</v>
      </c>
      <c r="AN984" s="94">
        <f>IF('Net zero activities &amp; levers'!$C$12="Off",'Activity data'!BG65*ManureNEF*NtoN2O*kgtoGg,IF('Net zero activities &amp; levers'!$C$12="PB",'Activity data'!BG65*ManureNEF*NtoN2O*kgtoGg,IF('Net zero activities &amp; levers'!$C$12="MS",'Net zero Activity data'!BG65*ManureNEF*NtoN2O*kgtoGg,"ERROR")))</f>
        <v>1.5885204638072115</v>
      </c>
      <c r="AO984" s="94">
        <f>IF('Net zero activities &amp; levers'!$C$12="Off",'Activity data'!BH65*ManureNEF*NtoN2O*kgtoGg,IF('Net zero activities &amp; levers'!$C$12="PB",'Activity data'!BH65*ManureNEF*NtoN2O*kgtoGg,IF('Net zero activities &amp; levers'!$C$12="MS",'Net zero Activity data'!BH65*ManureNEF*NtoN2O*kgtoGg,"ERROR")))</f>
        <v>1.6588648682392355</v>
      </c>
      <c r="AP984" s="94">
        <f>IF('Net zero activities &amp; levers'!$C$12="Off",'Activity data'!BI65*ManureNEF*NtoN2O*kgtoGg,IF('Net zero activities &amp; levers'!$C$12="PB",'Activity data'!BI65*ManureNEF*NtoN2O*kgtoGg,IF('Net zero activities &amp; levers'!$C$12="MS",'Net zero Activity data'!BI65*ManureNEF*NtoN2O*kgtoGg,"ERROR")))</f>
        <v>1.7341718158890906</v>
      </c>
      <c r="AQ984" s="94">
        <f>IF('Net zero activities &amp; levers'!$C$12="Off",'Activity data'!BJ65*ManureNEF*NtoN2O*kgtoGg,IF('Net zero activities &amp; levers'!$C$12="PB",'Activity data'!BJ65*ManureNEF*NtoN2O*kgtoGg,IF('Net zero activities &amp; levers'!$C$12="MS",'Net zero Activity data'!BJ65*ManureNEF*NtoN2O*kgtoGg,"ERROR")))</f>
        <v>1.812078309357211</v>
      </c>
      <c r="AR984" s="94">
        <f>IF('Net zero activities &amp; levers'!$C$12="Off",'Activity data'!BK65*ManureNEF*NtoN2O*kgtoGg,IF('Net zero activities &amp; levers'!$C$12="PB",'Activity data'!BK65*ManureNEF*NtoN2O*kgtoGg,IF('Net zero activities &amp; levers'!$C$12="MS",'Net zero Activity data'!BK65*ManureNEF*NtoN2O*kgtoGg,"ERROR")))</f>
        <v>1.8927662707454833</v>
      </c>
      <c r="AS984" s="94">
        <f>IF('Net zero activities &amp; levers'!$C$12="Off",'Activity data'!BL65*ManureNEF*NtoN2O*kgtoGg,IF('Net zero activities &amp; levers'!$C$12="PB",'Activity data'!BL65*ManureNEF*NtoN2O*kgtoGg,IF('Net zero activities &amp; levers'!$C$12="MS",'Net zero Activity data'!BL65*ManureNEF*NtoN2O*kgtoGg,"ERROR")))</f>
        <v>1.9789566108434027</v>
      </c>
      <c r="AT984" s="94">
        <f>IF('Net zero activities &amp; levers'!$C$12="Off",'Activity data'!BM65*ManureNEF*NtoN2O*kgtoGg,IF('Net zero activities &amp; levers'!$C$12="PB",'Activity data'!BM65*ManureNEF*NtoN2O*kgtoGg,IF('Net zero activities &amp; levers'!$C$12="MS",'Net zero Activity data'!BM65*ManureNEF*NtoN2O*kgtoGg,"ERROR")))</f>
        <v>2.0698402438653445</v>
      </c>
      <c r="AU984" s="94">
        <f>IF('Net zero activities &amp; levers'!$C$12="Off",'Activity data'!BN65*ManureNEF*NtoN2O*kgtoGg,IF('Net zero activities &amp; levers'!$C$12="PB",'Activity data'!BN65*ManureNEF*NtoN2O*kgtoGg,IF('Net zero activities &amp; levers'!$C$12="MS",'Net zero Activity data'!BN65*ManureNEF*NtoN2O*kgtoGg,"ERROR")))</f>
        <v>2.1648797356645511</v>
      </c>
      <c r="AV984" s="94">
        <f>IF('Net zero activities &amp; levers'!$C$12="Off",'Activity data'!BO65*ManureNEF*NtoN2O*kgtoGg,IF('Net zero activities &amp; levers'!$C$12="PB",'Activity data'!BO65*ManureNEF*NtoN2O*kgtoGg,IF('Net zero activities &amp; levers'!$C$12="MS",'Net zero Activity data'!BO65*ManureNEF*NtoN2O*kgtoGg,"ERROR")))</f>
        <v>2.2658660016789853</v>
      </c>
      <c r="AW984" s="94">
        <f>IF('Net zero activities &amp; levers'!$C$12="Off",'Activity data'!BP65*ManureNEF*NtoN2O*kgtoGg,IF('Net zero activities &amp; levers'!$C$12="PB",'Activity data'!BP65*ManureNEF*NtoN2O*kgtoGg,IF('Net zero activities &amp; levers'!$C$12="MS",'Net zero Activity data'!BP65*ManureNEF*NtoN2O*kgtoGg,"ERROR")))</f>
        <v>2.3628024258404521</v>
      </c>
      <c r="AY984" s="79"/>
      <c r="AZ984" s="79"/>
    </row>
    <row r="985" spans="1:52" x14ac:dyDescent="0.25">
      <c r="A985" s="95" t="str">
        <f t="shared" si="345"/>
        <v>DS U&amp;D</v>
      </c>
      <c r="B985" s="95" t="s">
        <v>973</v>
      </c>
      <c r="C985" s="95" t="s">
        <v>1335</v>
      </c>
      <c r="D985" t="s">
        <v>369</v>
      </c>
      <c r="E985" t="s">
        <v>55</v>
      </c>
      <c r="F985" t="s">
        <v>422</v>
      </c>
      <c r="G985" t="s">
        <v>1151</v>
      </c>
      <c r="H985" t="s">
        <v>1239</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5">
      <c r="A986" s="95" t="str">
        <f t="shared" si="345"/>
        <v>DS U&amp;D</v>
      </c>
      <c r="B986" s="95" t="s">
        <v>973</v>
      </c>
      <c r="C986" s="95" t="s">
        <v>1335</v>
      </c>
      <c r="D986" t="s">
        <v>369</v>
      </c>
      <c r="E986" t="s">
        <v>55</v>
      </c>
      <c r="F986" t="s">
        <v>422</v>
      </c>
      <c r="G986" t="s">
        <v>1153</v>
      </c>
      <c r="H986" t="s">
        <v>1240</v>
      </c>
      <c r="I986" t="s">
        <v>139</v>
      </c>
      <c r="J986" t="s">
        <v>287</v>
      </c>
      <c r="K986" s="22">
        <f t="shared" ref="K986:Z987" si="347">K1483</f>
        <v>1.0775797812462991</v>
      </c>
      <c r="L986" s="22">
        <f t="shared" si="347"/>
        <v>1.0836040032789309</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1.1114672588381174</v>
      </c>
      <c r="S986" s="22">
        <f t="shared" si="347"/>
        <v>1.0793644035028189</v>
      </c>
      <c r="T986" s="22">
        <f t="shared" si="347"/>
        <v>1.1011309234167481</v>
      </c>
      <c r="U986" s="22">
        <f t="shared" si="347"/>
        <v>1.1119360252245196</v>
      </c>
      <c r="V986" s="22">
        <f t="shared" si="347"/>
        <v>1.1147578792291293</v>
      </c>
      <c r="W986" s="22">
        <f t="shared" si="347"/>
        <v>1.1187702241985282</v>
      </c>
      <c r="X986" s="22">
        <f t="shared" si="347"/>
        <v>1.1255029693063063</v>
      </c>
      <c r="Y986" s="22">
        <f t="shared" si="347"/>
        <v>1.1343971625372145</v>
      </c>
      <c r="Z986" s="22">
        <f t="shared" si="347"/>
        <v>1.1443552033124911</v>
      </c>
      <c r="AA986" s="22">
        <f t="shared" si="346"/>
        <v>1.1556907140958508</v>
      </c>
      <c r="AB986" s="22">
        <f t="shared" si="346"/>
        <v>1.1693756036758489</v>
      </c>
      <c r="AC986" s="22">
        <f t="shared" si="346"/>
        <v>1.1853303744222352</v>
      </c>
      <c r="AD986" s="22">
        <f t="shared" si="346"/>
        <v>1.202695771968407</v>
      </c>
      <c r="AE986" s="22">
        <f t="shared" si="346"/>
        <v>1.2214561017242225</v>
      </c>
      <c r="AF986" s="22">
        <f t="shared" si="346"/>
        <v>1.2411353009439861</v>
      </c>
      <c r="AG986" s="22">
        <f t="shared" si="346"/>
        <v>1.2619534777795529</v>
      </c>
      <c r="AH986" s="22">
        <f t="shared" si="346"/>
        <v>1.2836965756368759</v>
      </c>
      <c r="AI986" s="22">
        <f t="shared" si="346"/>
        <v>1.3055267417806069</v>
      </c>
      <c r="AJ986" s="22">
        <f t="shared" si="346"/>
        <v>1.3286718687824415</v>
      </c>
      <c r="AK986" s="22">
        <f t="shared" si="346"/>
        <v>1.3523228735789439</v>
      </c>
      <c r="AL986" s="22">
        <f t="shared" si="346"/>
        <v>1.3764196040319214</v>
      </c>
      <c r="AM986" s="22">
        <f t="shared" si="346"/>
        <v>1.4013502875110349</v>
      </c>
      <c r="AN986" s="22">
        <f t="shared" si="346"/>
        <v>1.4261842268183196</v>
      </c>
      <c r="AO986" s="22">
        <f t="shared" si="346"/>
        <v>1.4522110683153209</v>
      </c>
      <c r="AP986" s="22">
        <f t="shared" si="346"/>
        <v>1.4799113366388263</v>
      </c>
      <c r="AQ986" s="22">
        <f t="shared" si="346"/>
        <v>1.5084997172355739</v>
      </c>
      <c r="AR986" s="22">
        <f t="shared" si="346"/>
        <v>1.538027931051154</v>
      </c>
      <c r="AS986" s="22">
        <f t="shared" si="346"/>
        <v>1.5694046317393286</v>
      </c>
      <c r="AT986" s="22">
        <f t="shared" si="346"/>
        <v>1.602365939528593</v>
      </c>
      <c r="AU986" s="22">
        <f t="shared" si="346"/>
        <v>1.6367417968061735</v>
      </c>
      <c r="AV986" s="22">
        <f t="shared" si="346"/>
        <v>1.673151630600247</v>
      </c>
      <c r="AW986" s="22">
        <f t="shared" si="346"/>
        <v>1.7081846028232541</v>
      </c>
      <c r="AY986" s="79"/>
      <c r="AZ986" s="79"/>
    </row>
    <row r="987" spans="1:52" x14ac:dyDescent="0.25">
      <c r="A987" s="95" t="str">
        <f t="shared" si="345"/>
        <v>DS U&amp;D</v>
      </c>
      <c r="B987" s="95" t="s">
        <v>973</v>
      </c>
      <c r="C987" s="95" t="s">
        <v>1335</v>
      </c>
      <c r="D987" t="s">
        <v>369</v>
      </c>
      <c r="E987" t="s">
        <v>55</v>
      </c>
      <c r="F987" t="s">
        <v>422</v>
      </c>
      <c r="G987" t="s">
        <v>1155</v>
      </c>
      <c r="H987" t="s">
        <v>1241</v>
      </c>
      <c r="I987" t="s">
        <v>139</v>
      </c>
      <c r="J987" t="s">
        <v>287</v>
      </c>
      <c r="K987" s="22">
        <f t="shared" si="347"/>
        <v>0.73383920392416069</v>
      </c>
      <c r="L987" s="22">
        <f t="shared" si="346"/>
        <v>0.73794174034663862</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0.75691680802528449</v>
      </c>
      <c r="S987" s="22">
        <f t="shared" si="346"/>
        <v>0.73505454389139269</v>
      </c>
      <c r="T987" s="22">
        <f t="shared" si="346"/>
        <v>0.74987769288121808</v>
      </c>
      <c r="U987" s="22">
        <f t="shared" si="346"/>
        <v>0.75723604114176524</v>
      </c>
      <c r="V987" s="22">
        <f t="shared" si="346"/>
        <v>0.75915774302627725</v>
      </c>
      <c r="W987" s="22">
        <f t="shared" si="346"/>
        <v>0.76189017740325427</v>
      </c>
      <c r="X987" s="22">
        <f t="shared" si="346"/>
        <v>0.7664752228876841</v>
      </c>
      <c r="Y987" s="22">
        <f t="shared" si="346"/>
        <v>0.77253222933278298</v>
      </c>
      <c r="Z987" s="22">
        <f t="shared" si="346"/>
        <v>0.77931372323453529</v>
      </c>
      <c r="AA987" s="22">
        <f t="shared" si="346"/>
        <v>0.78703328363656277</v>
      </c>
      <c r="AB987" s="22">
        <f t="shared" si="346"/>
        <v>0.79635278707375712</v>
      </c>
      <c r="AC987" s="22">
        <f t="shared" si="346"/>
        <v>0.80721809511598763</v>
      </c>
      <c r="AD987" s="22">
        <f t="shared" si="346"/>
        <v>0.81904404966050492</v>
      </c>
      <c r="AE987" s="22">
        <f t="shared" si="346"/>
        <v>0.83181996258403779</v>
      </c>
      <c r="AF987" s="22">
        <f t="shared" si="346"/>
        <v>0.8452216318995045</v>
      </c>
      <c r="AG987" s="22">
        <f t="shared" si="346"/>
        <v>0.85939895276431877</v>
      </c>
      <c r="AH987" s="22">
        <f t="shared" si="346"/>
        <v>0.87420615117333955</v>
      </c>
      <c r="AI987" s="22">
        <f t="shared" si="346"/>
        <v>0.88907264368113259</v>
      </c>
      <c r="AJ987" s="22">
        <f t="shared" si="346"/>
        <v>0.90483463353037208</v>
      </c>
      <c r="AK987" s="22">
        <f t="shared" si="346"/>
        <v>0.92094112961904073</v>
      </c>
      <c r="AL987" s="22">
        <f t="shared" si="346"/>
        <v>0.93735116792946294</v>
      </c>
      <c r="AM987" s="22">
        <f t="shared" si="346"/>
        <v>0.9543291339566633</v>
      </c>
      <c r="AN987" s="22">
        <f t="shared" si="346"/>
        <v>0.97124121654091655</v>
      </c>
      <c r="AO987" s="22">
        <f t="shared" si="346"/>
        <v>0.98896567367830823</v>
      </c>
      <c r="AP987" s="22">
        <f t="shared" si="346"/>
        <v>1.0078297459342822</v>
      </c>
      <c r="AQ987" s="22">
        <f t="shared" si="346"/>
        <v>1.0272986287248762</v>
      </c>
      <c r="AR987" s="22">
        <f t="shared" si="346"/>
        <v>1.0474075443679165</v>
      </c>
      <c r="AS987" s="22">
        <f t="shared" si="346"/>
        <v>1.068775292218703</v>
      </c>
      <c r="AT987" s="22">
        <f t="shared" si="346"/>
        <v>1.0912221683473529</v>
      </c>
      <c r="AU987" s="22">
        <f t="shared" si="346"/>
        <v>1.1146323623560173</v>
      </c>
      <c r="AV987" s="22">
        <f t="shared" si="346"/>
        <v>1.1394277082890591</v>
      </c>
      <c r="AW987" s="22">
        <f t="shared" si="346"/>
        <v>1.1632854020715975</v>
      </c>
      <c r="AY987" s="79"/>
      <c r="AZ987" s="79"/>
    </row>
    <row r="988" spans="1:52" x14ac:dyDescent="0.25">
      <c r="A988" s="95" t="str">
        <f t="shared" si="345"/>
        <v>DS U&amp;D</v>
      </c>
      <c r="B988" s="95" t="s">
        <v>973</v>
      </c>
      <c r="C988" s="95" t="s">
        <v>1335</v>
      </c>
      <c r="D988" t="s">
        <v>369</v>
      </c>
      <c r="E988" t="s">
        <v>55</v>
      </c>
      <c r="F988" t="s">
        <v>422</v>
      </c>
      <c r="G988" t="s">
        <v>1157</v>
      </c>
      <c r="H988" t="s">
        <v>1242</v>
      </c>
      <c r="I988" t="s">
        <v>139</v>
      </c>
      <c r="J988" t="s">
        <v>287</v>
      </c>
      <c r="K988" s="94">
        <f>IF('Net zero activities &amp; levers'!$C$12="Off",'Activity data'!AD69*UDCPPEF*NtoN2O*kgtoGg,'Net zero Activity data'!AD69*UDCPPEF*NtoN2O*kgtoGg)</f>
        <v>15.353527292296837</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15.169682504177882</v>
      </c>
      <c r="N988" s="94">
        <f>IF('Net zero activities &amp; levers'!$C$12="Off",'Activity data'!AG69*UDCPPEF*NtoN2O*kgtoGg,'Net zero Activity data'!AG69*UDCPPEF*NtoN2O*kgtoGg)</f>
        <v>14.967111251021189</v>
      </c>
      <c r="O988" s="94">
        <f>IF('Net zero activities &amp; levers'!$C$12="Off",'Activity data'!AH69*UDCPPEF*NtoN2O*kgtoGg,'Net zero Activity data'!AH69*UDCPPEF*NtoN2O*kgtoGg)</f>
        <v>14.673074129931946</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12.243525743929849</v>
      </c>
      <c r="T988" s="94">
        <f>IF('Net zero activities &amp; levers'!$C$12="Off",'Activity data'!AM69*UDCPPEF*NtoN2O*kgtoGg,'Net zero Activity data'!AM69*UDCPPEF*NtoN2O*kgtoGg)</f>
        <v>12.828892404772391</v>
      </c>
      <c r="U988" s="94">
        <f>IF('Net zero activities &amp; levers'!$C$12="Off",'Activity data'!AN69*UDCPPEF*NtoN2O*kgtoGg,'Net zero Activity data'!AN69*UDCPPEF*NtoN2O*kgtoGg)</f>
        <v>13.031546455407888</v>
      </c>
      <c r="V988" s="94">
        <f>IF('Net zero activities &amp; levers'!$C$12="Off",'Activity data'!AO69*UDCPPEF*NtoN2O*kgtoGg,'Net zero Activity data'!AO69*UDCPPEF*NtoN2O*kgtoGg)</f>
        <v>12.943540859671467</v>
      </c>
      <c r="W988" s="94">
        <f>IF('Net zero activities &amp; levers'!$C$12="Off",'Activity data'!AP69*UDCPPEF*NtoN2O*kgtoGg,'Net zero Activity data'!AP69*UDCPPEF*NtoN2O*kgtoGg)</f>
        <v>12.871954504278984</v>
      </c>
      <c r="X988" s="94">
        <f>IF('Net zero activities &amp; levers'!$C$12="Off",'Activity data'!AQ69*UDCPPEF*NtoN2O*kgtoGg,'Net zero Activity data'!AQ69*UDCPPEF*NtoN2O*kgtoGg)</f>
        <v>12.876656938031642</v>
      </c>
      <c r="Y988" s="94">
        <f>IF('Net zero activities &amp; levers'!$C$12="Off",'Activity data'!AR69*UDCPPEF*NtoN2O*kgtoGg,'Net zero Activity data'!AR69*UDCPPEF*NtoN2O*kgtoGg)</f>
        <v>12.952269652428015</v>
      </c>
      <c r="Z988" s="94">
        <f>IF('Net zero activities &amp; levers'!$C$12="Off",'Activity data'!AS69*UDCPPEF*NtoN2O*kgtoGg,'Net zero Activity data'!AS69*UDCPPEF*NtoN2O*kgtoGg)</f>
        <v>13.059558904717129</v>
      </c>
      <c r="AA988" s="94">
        <f>IF('Net zero activities &amp; levers'!$C$12="Off",'Activity data'!AT69*UDCPPEF*NtoN2O*kgtoGg,'Net zero Activity data'!AT69*UDCPPEF*NtoN2O*kgtoGg)</f>
        <v>13.207166717271191</v>
      </c>
      <c r="AB988" s="94">
        <f>IF('Net zero activities &amp; levers'!$C$12="Off",'Activity data'!AU69*UDCPPEF*NtoN2O*kgtoGg,'Net zero Activity data'!AU69*UDCPPEF*NtoN2O*kgtoGg)</f>
        <v>13.423383196860698</v>
      </c>
      <c r="AC988" s="94">
        <f>IF('Net zero activities &amp; levers'!$C$12="Off",'Activity data'!AV69*UDCPPEF*NtoN2O*kgtoGg,'Net zero Activity data'!AV69*UDCPPEF*NtoN2O*kgtoGg)</f>
        <v>13.702101889701561</v>
      </c>
      <c r="AD988" s="94">
        <f>IF('Net zero activities &amp; levers'!$C$12="Off",'Activity data'!AW69*UDCPPEF*NtoN2O*kgtoGg,'Net zero Activity data'!AW69*UDCPPEF*NtoN2O*kgtoGg)</f>
        <v>13.896423189138504</v>
      </c>
      <c r="AE988" s="94">
        <f>IF('Net zero activities &amp; levers'!$C$12="Off",'Activity data'!AX69*UDCPPEF*NtoN2O*kgtoGg,'Net zero Activity data'!AX69*UDCPPEF*NtoN2O*kgtoGg)</f>
        <v>14.113699365030318</v>
      </c>
      <c r="AF988" s="94">
        <f>IF('Net zero activities &amp; levers'!$C$12="Off",'Activity data'!AY69*UDCPPEF*NtoN2O*kgtoGg,'Net zero Activity data'!AY69*UDCPPEF*NtoN2O*kgtoGg)</f>
        <v>14.337556202398742</v>
      </c>
      <c r="AG988" s="94">
        <f>IF('Net zero activities &amp; levers'!$C$12="Off",'Activity data'!AZ69*UDCPPEF*NtoN2O*kgtoGg,'Net zero Activity data'!AZ69*UDCPPEF*NtoN2O*kgtoGg)</f>
        <v>14.572966422289987</v>
      </c>
      <c r="AH988" s="94">
        <f>IF('Net zero activities &amp; levers'!$C$12="Off",'Activity data'!BA69*UDCPPEF*NtoN2O*kgtoGg,'Net zero Activity data'!BA69*UDCPPEF*NtoN2O*kgtoGg)</f>
        <v>14.811902600863377</v>
      </c>
      <c r="AI988" s="94">
        <f>IF('Net zero activities &amp; levers'!$C$12="Off",'Activity data'!BB69*UDCPPEF*NtoN2O*kgtoGg,'Net zero Activity data'!BB69*UDCPPEF*NtoN2O*kgtoGg)</f>
        <v>15.030093790009266</v>
      </c>
      <c r="AJ988" s="94">
        <f>IF('Net zero activities &amp; levers'!$C$12="Off",'Activity data'!BC69*UDCPPEF*NtoN2O*kgtoGg,'Net zero Activity data'!BC69*UDCPPEF*NtoN2O*kgtoGg)</f>
        <v>15.260245449721568</v>
      </c>
      <c r="AK988" s="94">
        <f>IF('Net zero activities &amp; levers'!$C$12="Off",'Activity data'!BD69*UDCPPEF*NtoN2O*kgtoGg,'Net zero Activity data'!BD69*UDCPPEF*NtoN2O*kgtoGg)</f>
        <v>15.479975870373321</v>
      </c>
      <c r="AL988" s="94">
        <f>IF('Net zero activities &amp; levers'!$C$12="Off",'Activity data'!BE69*UDCPPEF*NtoN2O*kgtoGg,'Net zero Activity data'!BE69*UDCPPEF*NtoN2O*kgtoGg)</f>
        <v>15.687168192029855</v>
      </c>
      <c r="AM988" s="94">
        <f>IF('Net zero activities &amp; levers'!$C$12="Off",'Activity data'!BF69*UDCPPEF*NtoN2O*kgtoGg,'Net zero Activity data'!BF69*UDCPPEF*NtoN2O*kgtoGg)</f>
        <v>15.890679126882141</v>
      </c>
      <c r="AN988" s="94">
        <f>IF('Net zero activities &amp; levers'!$C$12="Off",'Activity data'!BG69*UDCPPEF*NtoN2O*kgtoGg,'Net zero Activity data'!BG69*UDCPPEF*NtoN2O*kgtoGg)</f>
        <v>16.149107215315812</v>
      </c>
      <c r="AO988" s="94">
        <f>IF('Net zero activities &amp; levers'!$C$12="Off",'Activity data'!BH69*UDCPPEF*NtoN2O*kgtoGg,'Net zero Activity data'!BH69*UDCPPEF*NtoN2O*kgtoGg)</f>
        <v>16.416401953220753</v>
      </c>
      <c r="AP988" s="94">
        <f>IF('Net zero activities &amp; levers'!$C$12="Off",'Activity data'!BI69*UDCPPEF*NtoN2O*kgtoGg,'Net zero Activity data'!BI69*UDCPPEF*NtoN2O*kgtoGg)</f>
        <v>16.702277130443278</v>
      </c>
      <c r="AQ988" s="94">
        <f>IF('Net zero activities &amp; levers'!$C$12="Off",'Activity data'!BJ69*UDCPPEF*NtoN2O*kgtoGg,'Net zero Activity data'!BJ69*UDCPPEF*NtoN2O*kgtoGg)</f>
        <v>16.98704006145238</v>
      </c>
      <c r="AR988" s="94">
        <f>IF('Net zero activities &amp; levers'!$C$12="Off",'Activity data'!BK69*UDCPPEF*NtoN2O*kgtoGg,'Net zero Activity data'!BK69*UDCPPEF*NtoN2O*kgtoGg)</f>
        <v>17.271060351529361</v>
      </c>
      <c r="AS988" s="94">
        <f>IF('Net zero activities &amp; levers'!$C$12="Off",'Activity data'!BL69*UDCPPEF*NtoN2O*kgtoGg,'Net zero Activity data'!BL69*UDCPPEF*NtoN2O*kgtoGg)</f>
        <v>17.573003837482712</v>
      </c>
      <c r="AT988" s="94">
        <f>IF('Net zero activities &amp; levers'!$C$12="Off",'Activity data'!BM69*UDCPPEF*NtoN2O*kgtoGg,'Net zero Activity data'!BM69*UDCPPEF*NtoN2O*kgtoGg)</f>
        <v>17.88505244077637</v>
      </c>
      <c r="AU988" s="94">
        <f>IF('Net zero activities &amp; levers'!$C$12="Off",'Activity data'!BN69*UDCPPEF*NtoN2O*kgtoGg,'Net zero Activity data'!BN69*UDCPPEF*NtoN2O*kgtoGg)</f>
        <v>18.201780897575926</v>
      </c>
      <c r="AV988" s="94">
        <f>IF('Net zero activities &amp; levers'!$C$12="Off",'Activity data'!BO69*UDCPPEF*NtoN2O*kgtoGg,'Net zero Activity data'!BO69*UDCPPEF*NtoN2O*kgtoGg)</f>
        <v>18.533967675320017</v>
      </c>
      <c r="AW988" s="94">
        <f>IF('Net zero activities &amp; levers'!$C$12="Off",'Activity data'!BP69*UDCPPEF*NtoN2O*kgtoGg,'Net zero Activity data'!BP69*UDCPPEF*NtoN2O*kgtoGg)</f>
        <v>18.812464966150909</v>
      </c>
      <c r="AY988" s="79"/>
      <c r="AZ988" s="79"/>
    </row>
    <row r="989" spans="1:52" x14ac:dyDescent="0.25">
      <c r="A989" s="95" t="str">
        <f t="shared" si="345"/>
        <v>DS U&amp;D</v>
      </c>
      <c r="B989" s="95" t="s">
        <v>973</v>
      </c>
      <c r="C989" s="95" t="s">
        <v>1335</v>
      </c>
      <c r="D989" t="s">
        <v>369</v>
      </c>
      <c r="E989" t="s">
        <v>55</v>
      </c>
      <c r="F989" t="s">
        <v>422</v>
      </c>
      <c r="G989" t="s">
        <v>1159</v>
      </c>
      <c r="H989" t="s">
        <v>1243</v>
      </c>
      <c r="I989" t="s">
        <v>139</v>
      </c>
      <c r="J989" t="s">
        <v>287</v>
      </c>
      <c r="K989" s="94">
        <f>IF('Net zero activities &amp; levers'!$C$12="Off",'Activity data'!AD70*UDCPPEF*NtoN2O*kgtoGg,'Net zero Activity data'!AD70*UDCPPEF*NtoN2O*kgtoGg)</f>
        <v>9.6543103644621411</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9.2264408662754729</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7.6987388784911763</v>
      </c>
      <c r="T989" s="94">
        <f>IF('Net zero activities &amp; levers'!$C$12="Off",'Activity data'!AM70*UDCPPEF*NtoN2O*kgtoGg,'Net zero Activity data'!AM70*UDCPPEF*NtoN2O*kgtoGg)</f>
        <v>8.0668179077067048</v>
      </c>
      <c r="U989" s="94">
        <f>IF('Net zero activities &amp; levers'!$C$12="Off",'Activity data'!AN70*UDCPPEF*NtoN2O*kgtoGg,'Net zero Activity data'!AN70*UDCPPEF*NtoN2O*kgtoGg)</f>
        <v>8.1942469384566685</v>
      </c>
      <c r="V989" s="94">
        <f>IF('Net zero activities &amp; levers'!$C$12="Off",'Activity data'!AO70*UDCPPEF*NtoN2O*kgtoGg,'Net zero Activity data'!AO70*UDCPPEF*NtoN2O*kgtoGg)</f>
        <v>8.1389089487638984</v>
      </c>
      <c r="W989" s="94">
        <f>IF('Net zero activities &amp; levers'!$C$12="Off",'Activity data'!AP70*UDCPPEF*NtoN2O*kgtoGg,'Net zero Activity data'!AP70*UDCPPEF*NtoN2O*kgtoGg)</f>
        <v>8.0938953906633806</v>
      </c>
      <c r="X989" s="94">
        <f>IF('Net zero activities &amp; levers'!$C$12="Off",'Activity data'!AQ70*UDCPPEF*NtoN2O*kgtoGg,'Net zero Activity data'!AQ70*UDCPPEF*NtoN2O*kgtoGg)</f>
        <v>8.0968522848058253</v>
      </c>
      <c r="Y989" s="94">
        <f>IF('Net zero activities &amp; levers'!$C$12="Off",'Activity data'!AR70*UDCPPEF*NtoN2O*kgtoGg,'Net zero Activity data'!AR70*UDCPPEF*NtoN2O*kgtoGg)</f>
        <v>8.1443976207006106</v>
      </c>
      <c r="Z989" s="94">
        <f>IF('Net zero activities &amp; levers'!$C$12="Off",'Activity data'!AS70*UDCPPEF*NtoN2O*kgtoGg,'Net zero Activity data'!AS70*UDCPPEF*NtoN2O*kgtoGg)</f>
        <v>8.2118611892116604</v>
      </c>
      <c r="AA989" s="94">
        <f>IF('Net zero activities &amp; levers'!$C$12="Off",'Activity data'!AT70*UDCPPEF*NtoN2O*kgtoGg,'Net zero Activity data'!AT70*UDCPPEF*NtoN2O*kgtoGg)</f>
        <v>8.304677100987929</v>
      </c>
      <c r="AB989" s="94">
        <f>IF('Net zero activities &amp; levers'!$C$12="Off",'Activity data'!AU70*UDCPPEF*NtoN2O*kgtoGg,'Net zero Activity data'!AU70*UDCPPEF*NtoN2O*kgtoGg)</f>
        <v>8.4406341980203354</v>
      </c>
      <c r="AC989" s="94">
        <f>IF('Net zero activities &amp; levers'!$C$12="Off",'Activity data'!AV70*UDCPPEF*NtoN2O*kgtoGg,'Net zero Activity data'!AV70*UDCPPEF*NtoN2O*kgtoGg)</f>
        <v>8.6158927372364591</v>
      </c>
      <c r="AD989" s="94">
        <f>IF('Net zero activities &amp; levers'!$C$12="Off",'Activity data'!AW70*UDCPPEF*NtoN2O*kgtoGg,'Net zero Activity data'!AW70*UDCPPEF*NtoN2O*kgtoGg)</f>
        <v>8.738082127301313</v>
      </c>
      <c r="AE989" s="94">
        <f>IF('Net zero activities &amp; levers'!$C$12="Off",'Activity data'!AX70*UDCPPEF*NtoN2O*kgtoGg,'Net zero Activity data'!AX70*UDCPPEF*NtoN2O*kgtoGg)</f>
        <v>8.8747055622246656</v>
      </c>
      <c r="AF989" s="94">
        <f>IF('Net zero activities &amp; levers'!$C$12="Off",'Activity data'!AY70*UDCPPEF*NtoN2O*kgtoGg,'Net zero Activity data'!AY70*UDCPPEF*NtoN2O*kgtoGg)</f>
        <v>9.015466922400579</v>
      </c>
      <c r="AG989" s="94">
        <f>IF('Net zero activities &amp; levers'!$C$12="Off",'Activity data'!AZ70*UDCPPEF*NtoN2O*kgtoGg,'Net zero Activity data'!AZ70*UDCPPEF*NtoN2O*kgtoGg)</f>
        <v>9.1634930588400287</v>
      </c>
      <c r="AH989" s="94">
        <f>IF('Net zero activities &amp; levers'!$C$12="Off",'Activity data'!BA70*UDCPPEF*NtoN2O*kgtoGg,'Net zero Activity data'!BA70*UDCPPEF*NtoN2O*kgtoGg)</f>
        <v>9.3137363209471946</v>
      </c>
      <c r="AI989" s="94">
        <f>IF('Net zero activities &amp; levers'!$C$12="Off",'Activity data'!BB70*UDCPPEF*NtoN2O*kgtoGg,'Net zero Activity data'!BB70*UDCPPEF*NtoN2O*kgtoGg)</f>
        <v>9.4509351169438833</v>
      </c>
      <c r="AJ989" s="94">
        <f>IF('Net zero activities &amp; levers'!$C$12="Off",'Activity data'!BC70*UDCPPEF*NtoN2O*kgtoGg,'Net zero Activity data'!BC70*UDCPPEF*NtoN2O*kgtoGg)</f>
        <v>9.5956546664947826</v>
      </c>
      <c r="AK989" s="94">
        <f>IF('Net zero activities &amp; levers'!$C$12="Off",'Activity data'!BD70*UDCPPEF*NtoN2O*kgtoGg,'Net zero Activity data'!BD70*UDCPPEF*NtoN2O*kgtoGg)</f>
        <v>9.7338213325058032</v>
      </c>
      <c r="AL989" s="94">
        <f>IF('Net zero activities &amp; levers'!$C$12="Off",'Activity data'!BE70*UDCPPEF*NtoN2O*kgtoGg,'Net zero Activity data'!BE70*UDCPPEF*NtoN2O*kgtoGg)</f>
        <v>9.8641040317399575</v>
      </c>
      <c r="AM989" s="94">
        <f>IF('Net zero activities &amp; levers'!$C$12="Off",'Activity data'!BF70*UDCPPEF*NtoN2O*kgtoGg,'Net zero Activity data'!BF70*UDCPPEF*NtoN2O*kgtoGg)</f>
        <v>9.9920718719776573</v>
      </c>
      <c r="AN989" s="94">
        <f>IF('Net zero activities &amp; levers'!$C$12="Off",'Activity data'!BG70*UDCPPEF*NtoN2O*kgtoGg,'Net zero Activity data'!BG70*UDCPPEF*NtoN2O*kgtoGg)</f>
        <v>10.154571662751145</v>
      </c>
      <c r="AO989" s="94">
        <f>IF('Net zero activities &amp; levers'!$C$12="Off",'Activity data'!BH70*UDCPPEF*NtoN2O*kgtoGg,'Net zero Activity data'!BH70*UDCPPEF*NtoN2O*kgtoGg)</f>
        <v>10.322646809874932</v>
      </c>
      <c r="AP989" s="94">
        <f>IF('Net zero activities &amp; levers'!$C$12="Off",'Activity data'!BI70*UDCPPEF*NtoN2O*kgtoGg,'Net zero Activity data'!BI70*UDCPPEF*NtoN2O*kgtoGg)</f>
        <v>10.502405352251484</v>
      </c>
      <c r="AQ989" s="94">
        <f>IF('Net zero activities &amp; levers'!$C$12="Off",'Activity data'!BJ70*UDCPPEF*NtoN2O*kgtoGg,'Net zero Activity data'!BJ70*UDCPPEF*NtoN2O*kgtoGg)</f>
        <v>10.681464513310528</v>
      </c>
      <c r="AR989" s="94">
        <f>IF('Net zero activities &amp; levers'!$C$12="Off",'Activity data'!BK70*UDCPPEF*NtoN2O*kgtoGg,'Net zero Activity data'!BK70*UDCPPEF*NtoN2O*kgtoGg)</f>
        <v>10.860056701151523</v>
      </c>
      <c r="AS989" s="94">
        <f>IF('Net zero activities &amp; levers'!$C$12="Off",'Activity data'!BL70*UDCPPEF*NtoN2O*kgtoGg,'Net zero Activity data'!BL70*UDCPPEF*NtoN2O*kgtoGg)</f>
        <v>11.049919009038504</v>
      </c>
      <c r="AT989" s="94">
        <f>IF('Net zero activities &amp; levers'!$C$12="Off",'Activity data'!BM70*UDCPPEF*NtoN2O*kgtoGg,'Net zero Activity data'!BM70*UDCPPEF*NtoN2O*kgtoGg)</f>
        <v>11.246135422872308</v>
      </c>
      <c r="AU989" s="94">
        <f>IF('Net zero activities &amp; levers'!$C$12="Off",'Activity data'!BN70*UDCPPEF*NtoN2O*kgtoGg,'Net zero Activity data'!BN70*UDCPPEF*NtoN2O*kgtoGg)</f>
        <v>11.445294532371156</v>
      </c>
      <c r="AV989" s="94">
        <f>IF('Net zero activities &amp; levers'!$C$12="Off",'Activity data'!BO70*UDCPPEF*NtoN2O*kgtoGg,'Net zero Activity data'!BO70*UDCPPEF*NtoN2O*kgtoGg)</f>
        <v>11.654173846567643</v>
      </c>
      <c r="AW989" s="94">
        <f>IF('Net zero activities &amp; levers'!$C$12="Off",'Activity data'!BP70*UDCPPEF*NtoN2O*kgtoGg,'Net zero Activity data'!BP70*UDCPPEF*NtoN2O*kgtoGg)</f>
        <v>11.829293168021046</v>
      </c>
      <c r="AY989" s="79"/>
      <c r="AZ989" s="79"/>
    </row>
    <row r="990" spans="1:52" x14ac:dyDescent="0.25">
      <c r="A990" s="95" t="str">
        <f t="shared" si="345"/>
        <v>DS U&amp;D</v>
      </c>
      <c r="B990" s="95" t="s">
        <v>973</v>
      </c>
      <c r="C990" s="95" t="s">
        <v>1335</v>
      </c>
      <c r="D990" t="s">
        <v>369</v>
      </c>
      <c r="E990" t="s">
        <v>55</v>
      </c>
      <c r="F990" t="s">
        <v>422</v>
      </c>
      <c r="G990" t="s">
        <v>1161</v>
      </c>
      <c r="H990" t="s">
        <v>1244</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5">
      <c r="A991" s="95" t="str">
        <f t="shared" si="345"/>
        <v>DS U&amp;D</v>
      </c>
      <c r="B991" s="95" t="s">
        <v>973</v>
      </c>
      <c r="C991" s="95" t="s">
        <v>1335</v>
      </c>
      <c r="D991" t="s">
        <v>369</v>
      </c>
      <c r="E991" t="s">
        <v>55</v>
      </c>
      <c r="F991" t="s">
        <v>422</v>
      </c>
      <c r="G991" t="s">
        <v>1163</v>
      </c>
      <c r="H991" t="s">
        <v>1245</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5.8849979697860864</v>
      </c>
      <c r="T991" s="94">
        <f>IF('Net zero activities &amp; levers'!$C$12="Off",'Activity data'!AM72*UDSOEF*NtoN2O*kgtoGg,IF('Net zero activities &amp; levers'!$C$12="PB",'Activity data'!AM72*UDSOEF*NtoN2O*kgtoGg,IF('Net zero activities &amp; levers'!$C$12="MS",'Net zero Activity data'!AM72*UDSOEF*NtoN2O*kgtoGg,"ERROR")))</f>
        <v>5.8892338696185709</v>
      </c>
      <c r="U991" s="94">
        <f>IF('Net zero activities &amp; levers'!$C$12="Off",'Activity data'!AN72*UDSOEF*NtoN2O*kgtoGg,IF('Net zero activities &amp; levers'!$C$12="PB",'Activity data'!AN72*UDSOEF*NtoN2O*kgtoGg,IF('Net zero activities &amp; levers'!$C$12="MS",'Net zero Activity data'!AN72*UDSOEF*NtoN2O*kgtoGg,"ERROR")))</f>
        <v>5.8877446174554535</v>
      </c>
      <c r="V991" s="94">
        <f>IF('Net zero activities &amp; levers'!$C$12="Off",'Activity data'!AO72*UDSOEF*NtoN2O*kgtoGg,IF('Net zero activities &amp; levers'!$C$12="PB",'Activity data'!AO72*UDSOEF*NtoN2O*kgtoGg,IF('Net zero activities &amp; levers'!$C$12="MS",'Net zero Activity data'!AO72*UDSOEF*NtoN2O*kgtoGg,"ERROR")))</f>
        <v>5.8876374031780276</v>
      </c>
      <c r="W991" s="94">
        <f>IF('Net zero activities &amp; levers'!$C$12="Off",'Activity data'!AP72*UDSOEF*NtoN2O*kgtoGg,IF('Net zero activities &amp; levers'!$C$12="PB",'Activity data'!AP72*UDSOEF*NtoN2O*kgtoGg,IF('Net zero activities &amp; levers'!$C$12="MS",'Net zero Activity data'!AP72*UDSOEF*NtoN2O*kgtoGg,"ERROR")))</f>
        <v>5.8938824759040038</v>
      </c>
      <c r="X991" s="94">
        <f>IF('Net zero activities &amp; levers'!$C$12="Off",'Activity data'!AQ72*UDSOEF*NtoN2O*kgtoGg,IF('Net zero activities &amp; levers'!$C$12="PB",'Activity data'!AQ72*UDSOEF*NtoN2O*kgtoGg,IF('Net zero activities &amp; levers'!$C$12="MS",'Net zero Activity data'!AQ72*UDSOEF*NtoN2O*kgtoGg,"ERROR")))</f>
        <v>5.9041031128445773</v>
      </c>
      <c r="Y991" s="94">
        <f>IF('Net zero activities &amp; levers'!$C$12="Off",'Activity data'!AR72*UDSOEF*NtoN2O*kgtoGg,IF('Net zero activities &amp; levers'!$C$12="PB",'Activity data'!AR72*UDSOEF*NtoN2O*kgtoGg,IF('Net zero activities &amp; levers'!$C$12="MS",'Net zero Activity data'!AR72*UDSOEF*NtoN2O*kgtoGg,"ERROR")))</f>
        <v>5.9139099273818276</v>
      </c>
      <c r="Z991" s="94">
        <f>IF('Net zero activities &amp; levers'!$C$12="Off",'Activity data'!AS72*UDSOEF*NtoN2O*kgtoGg,IF('Net zero activities &amp; levers'!$C$12="PB",'Activity data'!AS72*UDSOEF*NtoN2O*kgtoGg,IF('Net zero activities &amp; levers'!$C$12="MS",'Net zero Activity data'!AS72*UDSOEF*NtoN2O*kgtoGg,"ERROR")))</f>
        <v>5.9233345583346297</v>
      </c>
      <c r="AA991" s="94">
        <f>IF('Net zero activities &amp; levers'!$C$12="Off",'Activity data'!AT72*UDSOEF*NtoN2O*kgtoGg,IF('Net zero activities &amp; levers'!$C$12="PB",'Activity data'!AT72*UDSOEF*NtoN2O*kgtoGg,IF('Net zero activities &amp; levers'!$C$12="MS",'Net zero Activity data'!AT72*UDSOEF*NtoN2O*kgtoGg,"ERROR")))</f>
        <v>5.9323641435098171</v>
      </c>
      <c r="AB991" s="94">
        <f>IF('Net zero activities &amp; levers'!$C$12="Off",'Activity data'!AU72*UDSOEF*NtoN2O*kgtoGg,IF('Net zero activities &amp; levers'!$C$12="PB",'Activity data'!AU72*UDSOEF*NtoN2O*kgtoGg,IF('Net zero activities &amp; levers'!$C$12="MS",'Net zero Activity data'!AU72*UDSOEF*NtoN2O*kgtoGg,"ERROR")))</f>
        <v>5.9411868573928839</v>
      </c>
      <c r="AC991" s="94">
        <f>IF('Net zero activities &amp; levers'!$C$12="Off",'Activity data'!AV72*UDSOEF*NtoN2O*kgtoGg,IF('Net zero activities &amp; levers'!$C$12="PB",'Activity data'!AV72*UDSOEF*NtoN2O*kgtoGg,IF('Net zero activities &amp; levers'!$C$12="MS",'Net zero Activity data'!AV72*UDSOEF*NtoN2O*kgtoGg,"ERROR")))</f>
        <v>5.9499315766894556</v>
      </c>
      <c r="AD991" s="94">
        <f>IF('Net zero activities &amp; levers'!$C$12="Off",'Activity data'!AW72*UDSOEF*NtoN2O*kgtoGg,IF('Net zero activities &amp; levers'!$C$12="PB",'Activity data'!AW72*UDSOEF*NtoN2O*kgtoGg,IF('Net zero activities &amp; levers'!$C$12="MS",'Net zero Activity data'!AW72*UDSOEF*NtoN2O*kgtoGg,"ERROR")))</f>
        <v>5.9585105593958936</v>
      </c>
      <c r="AE991" s="94">
        <f>IF('Net zero activities &amp; levers'!$C$12="Off",'Activity data'!AX72*UDSOEF*NtoN2O*kgtoGg,IF('Net zero activities &amp; levers'!$C$12="PB",'Activity data'!AX72*UDSOEF*NtoN2O*kgtoGg,IF('Net zero activities &amp; levers'!$C$12="MS",'Net zero Activity data'!AX72*UDSOEF*NtoN2O*kgtoGg,"ERROR")))</f>
        <v>5.9670471572884827</v>
      </c>
      <c r="AF991" s="94">
        <f>IF('Net zero activities &amp; levers'!$C$12="Off",'Activity data'!AY72*UDSOEF*NtoN2O*kgtoGg,IF('Net zero activities &amp; levers'!$C$12="PB",'Activity data'!AY72*UDSOEF*NtoN2O*kgtoGg,IF('Net zero activities &amp; levers'!$C$12="MS",'Net zero Activity data'!AY72*UDSOEF*NtoN2O*kgtoGg,"ERROR")))</f>
        <v>5.9755144784339187</v>
      </c>
      <c r="AG991" s="94">
        <f>IF('Net zero activities &amp; levers'!$C$12="Off",'Activity data'!AZ72*UDSOEF*NtoN2O*kgtoGg,IF('Net zero activities &amp; levers'!$C$12="PB",'Activity data'!AZ72*UDSOEF*NtoN2O*kgtoGg,IF('Net zero activities &amp; levers'!$C$12="MS",'Net zero Activity data'!AZ72*UDSOEF*NtoN2O*kgtoGg,"ERROR")))</f>
        <v>5.9838446773332894</v>
      </c>
      <c r="AH991" s="94">
        <f>IF('Net zero activities &amp; levers'!$C$12="Off",'Activity data'!BA72*UDSOEF*NtoN2O*kgtoGg,IF('Net zero activities &amp; levers'!$C$12="PB",'Activity data'!BA72*UDSOEF*NtoN2O*kgtoGg,IF('Net zero activities &amp; levers'!$C$12="MS",'Net zero Activity data'!BA72*UDSOEF*NtoN2O*kgtoGg,"ERROR")))</f>
        <v>5.992074429551792</v>
      </c>
      <c r="AI991" s="94">
        <f>IF('Net zero activities &amp; levers'!$C$12="Off",'Activity data'!BB72*UDSOEF*NtoN2O*kgtoGg,IF('Net zero activities &amp; levers'!$C$12="PB",'Activity data'!BB72*UDSOEF*NtoN2O*kgtoGg,IF('Net zero activities &amp; levers'!$C$12="MS",'Net zero Activity data'!BB72*UDSOEF*NtoN2O*kgtoGg,"ERROR")))</f>
        <v>6.0002125174101231</v>
      </c>
      <c r="AJ991" s="94">
        <f>IF('Net zero activities &amp; levers'!$C$12="Off",'Activity data'!BC72*UDSOEF*NtoN2O*kgtoGg,IF('Net zero activities &amp; levers'!$C$12="PB",'Activity data'!BC72*UDSOEF*NtoN2O*kgtoGg,IF('Net zero activities &amp; levers'!$C$12="MS",'Net zero Activity data'!BC72*UDSOEF*NtoN2O*kgtoGg,"ERROR")))</f>
        <v>6.0082865692474714</v>
      </c>
      <c r="AK991" s="94">
        <f>IF('Net zero activities &amp; levers'!$C$12="Off",'Activity data'!BD72*UDSOEF*NtoN2O*kgtoGg,IF('Net zero activities &amp; levers'!$C$12="PB",'Activity data'!BD72*UDSOEF*NtoN2O*kgtoGg,IF('Net zero activities &amp; levers'!$C$12="MS",'Net zero Activity data'!BD72*UDSOEF*NtoN2O*kgtoGg,"ERROR")))</f>
        <v>6.0160495351454939</v>
      </c>
      <c r="AL991" s="94">
        <f>IF('Net zero activities &amp; levers'!$C$12="Off",'Activity data'!BE72*UDSOEF*NtoN2O*kgtoGg,IF('Net zero activities &amp; levers'!$C$12="PB",'Activity data'!BE72*UDSOEF*NtoN2O*kgtoGg,IF('Net zero activities &amp; levers'!$C$12="MS",'Net zero Activity data'!BE72*UDSOEF*NtoN2O*kgtoGg,"ERROR")))</f>
        <v>6.0234923325896075</v>
      </c>
      <c r="AM991" s="94">
        <f>IF('Net zero activities &amp; levers'!$C$12="Off",'Activity data'!BF72*UDSOEF*NtoN2O*kgtoGg,IF('Net zero activities &amp; levers'!$C$12="PB",'Activity data'!BF72*UDSOEF*NtoN2O*kgtoGg,IF('Net zero activities &amp; levers'!$C$12="MS",'Net zero Activity data'!BF72*UDSOEF*NtoN2O*kgtoGg,"ERROR")))</f>
        <v>6.0306845225857399</v>
      </c>
      <c r="AN991" s="94">
        <f>IF('Net zero activities &amp; levers'!$C$12="Off",'Activity data'!BG72*UDSOEF*NtoN2O*kgtoGg,IF('Net zero activities &amp; levers'!$C$12="PB",'Activity data'!BG72*UDSOEF*NtoN2O*kgtoGg,IF('Net zero activities &amp; levers'!$C$12="MS",'Net zero Activity data'!BG72*UDSOEF*NtoN2O*kgtoGg,"ERROR")))</f>
        <v>6.0375707245080381</v>
      </c>
      <c r="AO991" s="94">
        <f>IF('Net zero activities &amp; levers'!$C$12="Off",'Activity data'!BH72*UDSOEF*NtoN2O*kgtoGg,IF('Net zero activities &amp; levers'!$C$12="PB",'Activity data'!BH72*UDSOEF*NtoN2O*kgtoGg,IF('Net zero activities &amp; levers'!$C$12="MS",'Net zero Activity data'!BH72*UDSOEF*NtoN2O*kgtoGg,"ERROR")))</f>
        <v>6.0441634304657859</v>
      </c>
      <c r="AP991" s="94">
        <f>IF('Net zero activities &amp; levers'!$C$12="Off",'Activity data'!BI72*UDSOEF*NtoN2O*kgtoGg,IF('Net zero activities &amp; levers'!$C$12="PB",'Activity data'!BI72*UDSOEF*NtoN2O*kgtoGg,IF('Net zero activities &amp; levers'!$C$12="MS",'Net zero Activity data'!BI72*UDSOEF*NtoN2O*kgtoGg,"ERROR")))</f>
        <v>6.0504329467907079</v>
      </c>
      <c r="AQ991" s="94">
        <f>IF('Net zero activities &amp; levers'!$C$12="Off",'Activity data'!BJ72*UDSOEF*NtoN2O*kgtoGg,IF('Net zero activities &amp; levers'!$C$12="PB",'Activity data'!BJ72*UDSOEF*NtoN2O*kgtoGg,IF('Net zero activities &amp; levers'!$C$12="MS",'Net zero Activity data'!BJ72*UDSOEF*NtoN2O*kgtoGg,"ERROR")))</f>
        <v>6.0562895562131533</v>
      </c>
      <c r="AR991" s="94">
        <f>IF('Net zero activities &amp; levers'!$C$12="Off",'Activity data'!BK72*UDSOEF*NtoN2O*kgtoGg,IF('Net zero activities &amp; levers'!$C$12="PB",'Activity data'!BK72*UDSOEF*NtoN2O*kgtoGg,IF('Net zero activities &amp; levers'!$C$12="MS",'Net zero Activity data'!BK72*UDSOEF*NtoN2O*kgtoGg,"ERROR")))</f>
        <v>6.0616501197093573</v>
      </c>
      <c r="AS991" s="94">
        <f>IF('Net zero activities &amp; levers'!$C$12="Off",'Activity data'!BL72*UDSOEF*NtoN2O*kgtoGg,IF('Net zero activities &amp; levers'!$C$12="PB",'Activity data'!BL72*UDSOEF*NtoN2O*kgtoGg,IF('Net zero activities &amp; levers'!$C$12="MS",'Net zero Activity data'!BL72*UDSOEF*NtoN2O*kgtoGg,"ERROR")))</f>
        <v>6.0665092216069407</v>
      </c>
      <c r="AT991" s="94">
        <f>IF('Net zero activities &amp; levers'!$C$12="Off",'Activity data'!BM72*UDSOEF*NtoN2O*kgtoGg,IF('Net zero activities &amp; levers'!$C$12="PB",'Activity data'!BM72*UDSOEF*NtoN2O*kgtoGg,IF('Net zero activities &amp; levers'!$C$12="MS",'Net zero Activity data'!BM72*UDSOEF*NtoN2O*kgtoGg,"ERROR")))</f>
        <v>6.0708296779310995</v>
      </c>
      <c r="AU991" s="94">
        <f>IF('Net zero activities &amp; levers'!$C$12="Off",'Activity data'!BN72*UDSOEF*NtoN2O*kgtoGg,IF('Net zero activities &amp; levers'!$C$12="PB",'Activity data'!BN72*UDSOEF*NtoN2O*kgtoGg,IF('Net zero activities &amp; levers'!$C$12="MS",'Net zero Activity data'!BN72*UDSOEF*NtoN2O*kgtoGg,"ERROR")))</f>
        <v>6.0746094049856261</v>
      </c>
      <c r="AV991" s="94">
        <f>IF('Net zero activities &amp; levers'!$C$12="Off",'Activity data'!BO72*UDSOEF*NtoN2O*kgtoGg,IF('Net zero activities &amp; levers'!$C$12="PB",'Activity data'!BO72*UDSOEF*NtoN2O*kgtoGg,IF('Net zero activities &amp; levers'!$C$12="MS",'Net zero Activity data'!BO72*UDSOEF*NtoN2O*kgtoGg,"ERROR")))</f>
        <v>6.0779207352179032</v>
      </c>
      <c r="AW991" s="94">
        <f>IF('Net zero activities &amp; levers'!$C$12="Off",'Activity data'!BP72*UDSOEF*NtoN2O*kgtoGg,IF('Net zero activities &amp; levers'!$C$12="PB",'Activity data'!BP72*UDSOEF*NtoN2O*kgtoGg,IF('Net zero activities &amp; levers'!$C$12="MS",'Net zero Activity data'!BP72*UDSOEF*NtoN2O*kgtoGg,"ERROR")))</f>
        <v>6.0803335706264781</v>
      </c>
      <c r="AY991" s="79"/>
      <c r="AZ991" s="79"/>
    </row>
    <row r="992" spans="1:52" x14ac:dyDescent="0.25">
      <c r="A992" s="95" t="str">
        <f t="shared" si="345"/>
        <v>DS U&amp;D</v>
      </c>
      <c r="B992" s="95" t="s">
        <v>973</v>
      </c>
      <c r="C992" s="95" t="s">
        <v>1335</v>
      </c>
      <c r="D992" t="s">
        <v>369</v>
      </c>
      <c r="E992" t="s">
        <v>55</v>
      </c>
      <c r="F992" t="s">
        <v>422</v>
      </c>
      <c r="G992" t="s">
        <v>1165</v>
      </c>
      <c r="H992" t="s">
        <v>1246</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0.65693953925961401</v>
      </c>
      <c r="T992" s="94">
        <f>IF('Net zero activities &amp; levers'!$C$12="Off",'Activity data'!AM73*UDSOEF*NtoN2O*kgtoGg,IF('Net zero activities &amp; levers'!$C$12="PB",'Activity data'!AM73*UDSOEF*NtoN2O*kgtoGg,IF('Net zero activities &amp; levers'!$C$12="MS",'Net zero Activity data'!AM73*UDSOEF*NtoN2O*kgtoGg,"ERROR")))</f>
        <v>0.65741239075397129</v>
      </c>
      <c r="U992" s="94">
        <f>IF('Net zero activities &amp; levers'!$C$12="Off",'Activity data'!AN73*UDSOEF*NtoN2O*kgtoGg,IF('Net zero activities &amp; levers'!$C$12="PB",'Activity data'!AN73*UDSOEF*NtoN2O*kgtoGg,IF('Net zero activities &amp; levers'!$C$12="MS",'Net zero Activity data'!AN73*UDSOEF*NtoN2O*kgtoGg,"ERROR")))</f>
        <v>0.65724614623954603</v>
      </c>
      <c r="V992" s="94">
        <f>IF('Net zero activities &amp; levers'!$C$12="Off",'Activity data'!AO73*UDSOEF*NtoN2O*kgtoGg,IF('Net zero activities &amp; levers'!$C$12="PB",'Activity data'!AO73*UDSOEF*NtoN2O*kgtoGg,IF('Net zero activities &amp; levers'!$C$12="MS",'Net zero Activity data'!AO73*UDSOEF*NtoN2O*kgtoGg,"ERROR")))</f>
        <v>0.65723417796047845</v>
      </c>
      <c r="W992" s="94">
        <f>IF('Net zero activities &amp; levers'!$C$12="Off",'Activity data'!AP73*UDSOEF*NtoN2O*kgtoGg,IF('Net zero activities &amp; levers'!$C$12="PB",'Activity data'!AP73*UDSOEF*NtoN2O*kgtoGg,IF('Net zero activities &amp; levers'!$C$12="MS",'Net zero Activity data'!AP73*UDSOEF*NtoN2O*kgtoGg,"ERROR")))</f>
        <v>0.65793131247442549</v>
      </c>
      <c r="X992" s="94">
        <f>IF('Net zero activities &amp; levers'!$C$12="Off",'Activity data'!AQ73*UDSOEF*NtoN2O*kgtoGg,IF('Net zero activities &amp; levers'!$C$12="PB",'Activity data'!AQ73*UDSOEF*NtoN2O*kgtoGg,IF('Net zero activities &amp; levers'!$C$12="MS",'Net zero Activity data'!AQ73*UDSOEF*NtoN2O*kgtoGg,"ERROR")))</f>
        <v>0.65907223734086595</v>
      </c>
      <c r="Y992" s="94">
        <f>IF('Net zero activities &amp; levers'!$C$12="Off",'Activity data'!AR73*UDSOEF*NtoN2O*kgtoGg,IF('Net zero activities &amp; levers'!$C$12="PB",'Activity data'!AR73*UDSOEF*NtoN2O*kgtoGg,IF('Net zero activities &amp; levers'!$C$12="MS",'Net zero Activity data'!AR73*UDSOEF*NtoN2O*kgtoGg,"ERROR")))</f>
        <v>0.66016696740819658</v>
      </c>
      <c r="Z992" s="94">
        <f>IF('Net zero activities &amp; levers'!$C$12="Off",'Activity data'!AS73*UDSOEF*NtoN2O*kgtoGg,IF('Net zero activities &amp; levers'!$C$12="PB",'Activity data'!AS73*UDSOEF*NtoN2O*kgtoGg,IF('Net zero activities &amp; levers'!$C$12="MS",'Net zero Activity data'!AS73*UDSOEF*NtoN2O*kgtoGg,"ERROR")))</f>
        <v>0.66121903450280095</v>
      </c>
      <c r="AA992" s="94">
        <f>IF('Net zero activities &amp; levers'!$C$12="Off",'Activity data'!AT73*UDSOEF*NtoN2O*kgtoGg,IF('Net zero activities &amp; levers'!$C$12="PB",'Activity data'!AT73*UDSOEF*NtoN2O*kgtoGg,IF('Net zero activities &amp; levers'!$C$12="MS",'Net zero Activity data'!AT73*UDSOEF*NtoN2O*kgtoGg,"ERROR")))</f>
        <v>0.66222700282414093</v>
      </c>
      <c r="AB992" s="94">
        <f>IF('Net zero activities &amp; levers'!$C$12="Off",'Activity data'!AU73*UDSOEF*NtoN2O*kgtoGg,IF('Net zero activities &amp; levers'!$C$12="PB",'Activity data'!AU73*UDSOEF*NtoN2O*kgtoGg,IF('Net zero activities &amp; levers'!$C$12="MS",'Net zero Activity data'!AU73*UDSOEF*NtoN2O*kgtoGg,"ERROR")))</f>
        <v>0.66321187820100891</v>
      </c>
      <c r="AC992" s="94">
        <f>IF('Net zero activities &amp; levers'!$C$12="Off",'Activity data'!AV73*UDSOEF*NtoN2O*kgtoGg,IF('Net zero activities &amp; levers'!$C$12="PB",'Activity data'!AV73*UDSOEF*NtoN2O*kgtoGg,IF('Net zero activities &amp; levers'!$C$12="MS",'Net zero Activity data'!AV73*UDSOEF*NtoN2O*kgtoGg,"ERROR")))</f>
        <v>0.66418804707908485</v>
      </c>
      <c r="AD992" s="94">
        <f>IF('Net zero activities &amp; levers'!$C$12="Off",'Activity data'!AW73*UDSOEF*NtoN2O*kgtoGg,IF('Net zero activities &amp; levers'!$C$12="PB",'Activity data'!AW73*UDSOEF*NtoN2O*kgtoGg,IF('Net zero activities &amp; levers'!$C$12="MS",'Net zero Activity data'!AW73*UDSOEF*NtoN2O*kgtoGg,"ERROR")))</f>
        <v>0.66514571486001184</v>
      </c>
      <c r="AE992" s="94">
        <f>IF('Net zero activities &amp; levers'!$C$12="Off",'Activity data'!AX73*UDSOEF*NtoN2O*kgtoGg,IF('Net zero activities &amp; levers'!$C$12="PB",'Activity data'!AX73*UDSOEF*NtoN2O*kgtoGg,IF('Net zero activities &amp; levers'!$C$12="MS",'Net zero Activity data'!AX73*UDSOEF*NtoN2O*kgtoGg,"ERROR")))</f>
        <v>0.66609865124422019</v>
      </c>
      <c r="AF992" s="94">
        <f>IF('Net zero activities &amp; levers'!$C$12="Off",'Activity data'!AY73*UDSOEF*NtoN2O*kgtoGg,IF('Net zero activities &amp; levers'!$C$12="PB",'Activity data'!AY73*UDSOEF*NtoN2O*kgtoGg,IF('Net zero activities &amp; levers'!$C$12="MS",'Net zero Activity data'!AY73*UDSOEF*NtoN2O*kgtoGg,"ERROR")))</f>
        <v>0.6670438542979179</v>
      </c>
      <c r="AG992" s="94">
        <f>IF('Net zero activities &amp; levers'!$C$12="Off",'Activity data'!AZ73*UDSOEF*NtoN2O*kgtoGg,IF('Net zero activities &amp; levers'!$C$12="PB",'Activity data'!AZ73*UDSOEF*NtoN2O*kgtoGg,IF('Net zero activities &amp; levers'!$C$12="MS",'Net zero Activity data'!AZ73*UDSOEF*NtoN2O*kgtoGg,"ERROR")))</f>
        <v>0.6679737504601575</v>
      </c>
      <c r="AH992" s="94">
        <f>IF('Net zero activities &amp; levers'!$C$12="Off",'Activity data'!BA73*UDSOEF*NtoN2O*kgtoGg,IF('Net zero activities &amp; levers'!$C$12="PB",'Activity data'!BA73*UDSOEF*NtoN2O*kgtoGg,IF('Net zero activities &amp; levers'!$C$12="MS",'Net zero Activity data'!BA73*UDSOEF*NtoN2O*kgtoGg,"ERROR")))</f>
        <v>0.66889243380693197</v>
      </c>
      <c r="AI992" s="94">
        <f>IF('Net zero activities &amp; levers'!$C$12="Off",'Activity data'!BB73*UDSOEF*NtoN2O*kgtoGg,IF('Net zero activities &amp; levers'!$C$12="PB",'Activity data'!BB73*UDSOEF*NtoN2O*kgtoGg,IF('Net zero activities &amp; levers'!$C$12="MS",'Net zero Activity data'!BB73*UDSOEF*NtoN2O*kgtoGg,"ERROR")))</f>
        <v>0.66980088470454557</v>
      </c>
      <c r="AJ992" s="94">
        <f>IF('Net zero activities &amp; levers'!$C$12="Off",'Activity data'!BC73*UDSOEF*NtoN2O*kgtoGg,IF('Net zero activities &amp; levers'!$C$12="PB",'Activity data'!BC73*UDSOEF*NtoN2O*kgtoGg,IF('Net zero activities &amp; levers'!$C$12="MS",'Net zero Activity data'!BC73*UDSOEF*NtoN2O*kgtoGg,"ERROR")))</f>
        <v>0.67070218729143127</v>
      </c>
      <c r="AK992" s="94">
        <f>IF('Net zero activities &amp; levers'!$C$12="Off",'Activity data'!BD73*UDSOEF*NtoN2O*kgtoGg,IF('Net zero activities &amp; levers'!$C$12="PB",'Activity data'!BD73*UDSOEF*NtoN2O*kgtoGg,IF('Net zero activities &amp; levers'!$C$12="MS",'Net zero Activity data'!BD73*UDSOEF*NtoN2O*kgtoGg,"ERROR")))</f>
        <v>0.6715687635020805</v>
      </c>
      <c r="AL992" s="94">
        <f>IF('Net zero activities &amp; levers'!$C$12="Off",'Activity data'!BE73*UDSOEF*NtoN2O*kgtoGg,IF('Net zero activities &amp; levers'!$C$12="PB",'Activity data'!BE73*UDSOEF*NtoN2O*kgtoGg,IF('Net zero activities &amp; levers'!$C$12="MS",'Net zero Activity data'!BE73*UDSOEF*NtoN2O*kgtoGg,"ERROR")))</f>
        <v>0.67239959945968686</v>
      </c>
      <c r="AM992" s="94">
        <f>IF('Net zero activities &amp; levers'!$C$12="Off",'Activity data'!BF73*UDSOEF*NtoN2O*kgtoGg,IF('Net zero activities &amp; levers'!$C$12="PB",'Activity data'!BF73*UDSOEF*NtoN2O*kgtoGg,IF('Net zero activities &amp; levers'!$C$12="MS",'Net zero Activity data'!BF73*UDSOEF*NtoN2O*kgtoGg,"ERROR")))</f>
        <v>0.67320246022643382</v>
      </c>
      <c r="AN992" s="94">
        <f>IF('Net zero activities &amp; levers'!$C$12="Off",'Activity data'!BG73*UDSOEF*NtoN2O*kgtoGg,IF('Net zero activities &amp; levers'!$C$12="PB",'Activity data'!BG73*UDSOEF*NtoN2O*kgtoGg,IF('Net zero activities &amp; levers'!$C$12="MS",'Net zero Activity data'!BG73*UDSOEF*NtoN2O*kgtoGg,"ERROR")))</f>
        <v>0.67397116368925725</v>
      </c>
      <c r="AO992" s="94">
        <f>IF('Net zero activities &amp; levers'!$C$12="Off",'Activity data'!BH73*UDSOEF*NtoN2O*kgtoGg,IF('Net zero activities &amp; levers'!$C$12="PB",'Activity data'!BH73*UDSOEF*NtoN2O*kgtoGg,IF('Net zero activities &amp; levers'!$C$12="MS",'Net zero Activity data'!BH73*UDSOEF*NtoN2O*kgtoGg,"ERROR")))</f>
        <v>0.67470710433640646</v>
      </c>
      <c r="AP992" s="94">
        <f>IF('Net zero activities &amp; levers'!$C$12="Off",'Activity data'!BI73*UDSOEF*NtoN2O*kgtoGg,IF('Net zero activities &amp; levers'!$C$12="PB",'Activity data'!BI73*UDSOEF*NtoN2O*kgtoGg,IF('Net zero activities &amp; levers'!$C$12="MS",'Net zero Activity data'!BI73*UDSOEF*NtoN2O*kgtoGg,"ERROR")))</f>
        <v>0.67540696747773998</v>
      </c>
      <c r="AQ992" s="94">
        <f>IF('Net zero activities &amp; levers'!$C$12="Off",'Activity data'!BJ73*UDSOEF*NtoN2O*kgtoGg,IF('Net zero activities &amp; levers'!$C$12="PB",'Activity data'!BJ73*UDSOEF*NtoN2O*kgtoGg,IF('Net zero activities &amp; levers'!$C$12="MS",'Net zero Activity data'!BJ73*UDSOEF*NtoN2O*kgtoGg,"ERROR")))</f>
        <v>0.67606073801688993</v>
      </c>
      <c r="AR992" s="94">
        <f>IF('Net zero activities &amp; levers'!$C$12="Off",'Activity data'!BK73*UDSOEF*NtoN2O*kgtoGg,IF('Net zero activities &amp; levers'!$C$12="PB",'Activity data'!BK73*UDSOEF*NtoN2O*kgtoGg,IF('Net zero activities &amp; levers'!$C$12="MS",'Net zero Activity data'!BK73*UDSOEF*NtoN2O*kgtoGg,"ERROR")))</f>
        <v>0.67665913518396625</v>
      </c>
      <c r="AS992" s="94">
        <f>IF('Net zero activities &amp; levers'!$C$12="Off",'Activity data'!BL73*UDSOEF*NtoN2O*kgtoGg,IF('Net zero activities &amp; levers'!$C$12="PB",'Activity data'!BL73*UDSOEF*NtoN2O*kgtoGg,IF('Net zero activities &amp; levers'!$C$12="MS",'Net zero Activity data'!BL73*UDSOEF*NtoN2O*kgtoGg,"ERROR")))</f>
        <v>0.67720155443002239</v>
      </c>
      <c r="AT992" s="94">
        <f>IF('Net zero activities &amp; levers'!$C$12="Off",'Activity data'!BM73*UDSOEF*NtoN2O*kgtoGg,IF('Net zero activities &amp; levers'!$C$12="PB",'Activity data'!BM73*UDSOEF*NtoN2O*kgtoGg,IF('Net zero activities &amp; levers'!$C$12="MS",'Net zero Activity data'!BM73*UDSOEF*NtoN2O*kgtoGg,"ERROR")))</f>
        <v>0.67768384492554279</v>
      </c>
      <c r="AU992" s="94">
        <f>IF('Net zero activities &amp; levers'!$C$12="Off",'Activity data'!BN73*UDSOEF*NtoN2O*kgtoGg,IF('Net zero activities &amp; levers'!$C$12="PB",'Activity data'!BN73*UDSOEF*NtoN2O*kgtoGg,IF('Net zero activities &amp; levers'!$C$12="MS",'Net zero Activity data'!BN73*UDSOEF*NtoN2O*kgtoGg,"ERROR")))</f>
        <v>0.67810577406850514</v>
      </c>
      <c r="AV992" s="94">
        <f>IF('Net zero activities &amp; levers'!$C$12="Off",'Activity data'!BO73*UDSOEF*NtoN2O*kgtoGg,IF('Net zero activities &amp; levers'!$C$12="PB",'Activity data'!BO73*UDSOEF*NtoN2O*kgtoGg,IF('Net zero activities &amp; levers'!$C$12="MS",'Net zero Activity data'!BO73*UDSOEF*NtoN2O*kgtoGg,"ERROR")))</f>
        <v>0.67847541629579156</v>
      </c>
      <c r="AW992" s="94">
        <f>IF('Net zero activities &amp; levers'!$C$12="Off",'Activity data'!BP73*UDSOEF*NtoN2O*kgtoGg,IF('Net zero activities &amp; levers'!$C$12="PB",'Activity data'!BP73*UDSOEF*NtoN2O*kgtoGg,IF('Net zero activities &amp; levers'!$C$12="MS",'Net zero Activity data'!BP73*UDSOEF*NtoN2O*kgtoGg,"ERROR")))</f>
        <v>0.67874475997097328</v>
      </c>
      <c r="AY992" s="79"/>
      <c r="AZ992" s="79"/>
    </row>
    <row r="993" spans="1:52" x14ac:dyDescent="0.25">
      <c r="A993" s="95" t="str">
        <f t="shared" si="345"/>
        <v>DS U&amp;D</v>
      </c>
      <c r="B993" s="95" t="s">
        <v>973</v>
      </c>
      <c r="C993" s="95" t="s">
        <v>1335</v>
      </c>
      <c r="D993" t="s">
        <v>369</v>
      </c>
      <c r="E993" t="s">
        <v>55</v>
      </c>
      <c r="F993" t="s">
        <v>422</v>
      </c>
      <c r="G993" t="s">
        <v>1167</v>
      </c>
      <c r="H993" t="s">
        <v>1247</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0.73708994755228407</v>
      </c>
      <c r="R993" s="22">
        <f t="shared" si="348"/>
        <v>0.74193942345928476</v>
      </c>
      <c r="S993" s="22">
        <f t="shared" si="348"/>
        <v>0.74012019902027282</v>
      </c>
      <c r="T993" s="22">
        <f t="shared" si="348"/>
        <v>0.74139246635166289</v>
      </c>
      <c r="U993" s="22">
        <f t="shared" si="348"/>
        <v>0.74151592530175092</v>
      </c>
      <c r="V993" s="22">
        <f t="shared" si="348"/>
        <v>0.74185535866328745</v>
      </c>
      <c r="W993" s="22">
        <f t="shared" si="348"/>
        <v>0.74335608585495871</v>
      </c>
      <c r="X993" s="22">
        <f t="shared" si="348"/>
        <v>0.74556357164156939</v>
      </c>
      <c r="Y993" s="22">
        <f t="shared" si="348"/>
        <v>0.74764732173100068</v>
      </c>
      <c r="Z993" s="22">
        <f t="shared" si="348"/>
        <v>0.74961713361766258</v>
      </c>
      <c r="AA993" s="22">
        <f t="shared" ref="L993:AW996" si="349">AA1490</f>
        <v>0.75147401556229898</v>
      </c>
      <c r="AB993" s="22">
        <f t="shared" si="349"/>
        <v>0.75325638993383137</v>
      </c>
      <c r="AC993" s="22">
        <f t="shared" si="349"/>
        <v>0.75499099939868619</v>
      </c>
      <c r="AD993" s="22">
        <f t="shared" si="349"/>
        <v>0.75666368217952507</v>
      </c>
      <c r="AE993" s="22">
        <f t="shared" si="349"/>
        <v>0.75829956195489012</v>
      </c>
      <c r="AF993" s="22">
        <f t="shared" si="349"/>
        <v>0.75989544125855291</v>
      </c>
      <c r="AG993" s="22">
        <f t="shared" si="349"/>
        <v>0.76144040021050008</v>
      </c>
      <c r="AH993" s="22">
        <f t="shared" si="349"/>
        <v>0.76294284733285755</v>
      </c>
      <c r="AI993" s="22">
        <f t="shared" si="349"/>
        <v>0.76440585179872644</v>
      </c>
      <c r="AJ993" s="22">
        <f t="shared" si="349"/>
        <v>0.76583583721390103</v>
      </c>
      <c r="AK993" s="22">
        <f t="shared" si="349"/>
        <v>0.76718846615565761</v>
      </c>
      <c r="AL993" s="22">
        <f t="shared" si="349"/>
        <v>0.76846341889719361</v>
      </c>
      <c r="AM993" s="22">
        <f t="shared" si="349"/>
        <v>0.769674739992807</v>
      </c>
      <c r="AN993" s="22">
        <f t="shared" si="349"/>
        <v>0.77081339983246644</v>
      </c>
      <c r="AO993" s="22">
        <f t="shared" si="349"/>
        <v>0.77188278784323794</v>
      </c>
      <c r="AP993" s="22">
        <f t="shared" si="349"/>
        <v>0.77287850467741359</v>
      </c>
      <c r="AQ993" s="22">
        <f t="shared" si="349"/>
        <v>0.77378518098285765</v>
      </c>
      <c r="AR993" s="22">
        <f t="shared" si="349"/>
        <v>0.77458869841791256</v>
      </c>
      <c r="AS993" s="22">
        <f t="shared" si="349"/>
        <v>0.77528911180488913</v>
      </c>
      <c r="AT993" s="22">
        <f t="shared" si="349"/>
        <v>0.77588066613277407</v>
      </c>
      <c r="AU993" s="22">
        <f t="shared" si="349"/>
        <v>0.77636396136599817</v>
      </c>
      <c r="AV993" s="22">
        <f t="shared" si="349"/>
        <v>0.77675301530412866</v>
      </c>
      <c r="AW993" s="22">
        <f t="shared" si="349"/>
        <v>0.77697098593778646</v>
      </c>
      <c r="AY993" s="79"/>
      <c r="AZ993" s="79"/>
    </row>
    <row r="994" spans="1:52" x14ac:dyDescent="0.25">
      <c r="A994" s="95" t="str">
        <f t="shared" si="345"/>
        <v>DS U&amp;D</v>
      </c>
      <c r="B994" s="95" t="s">
        <v>973</v>
      </c>
      <c r="C994" s="95" t="s">
        <v>1335</v>
      </c>
      <c r="D994" t="s">
        <v>369</v>
      </c>
      <c r="E994" t="s">
        <v>55</v>
      </c>
      <c r="F994" t="s">
        <v>422</v>
      </c>
      <c r="G994" t="s">
        <v>1169</v>
      </c>
      <c r="H994" t="s">
        <v>1248</v>
      </c>
      <c r="I994" t="s">
        <v>139</v>
      </c>
      <c r="J994" t="s">
        <v>287</v>
      </c>
      <c r="K994" s="22">
        <f t="shared" si="348"/>
        <v>1.1867254191644501</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1.2198688909683482</v>
      </c>
      <c r="R994" s="22">
        <f t="shared" si="349"/>
        <v>1.2278946750888551</v>
      </c>
      <c r="S994" s="22">
        <f t="shared" si="349"/>
        <v>1.2248838955955119</v>
      </c>
      <c r="T994" s="22">
        <f t="shared" si="349"/>
        <v>1.2269894721858747</v>
      </c>
      <c r="U994" s="22">
        <f t="shared" si="349"/>
        <v>1.2271937942404954</v>
      </c>
      <c r="V994" s="22">
        <f t="shared" si="349"/>
        <v>1.2277555495590562</v>
      </c>
      <c r="W994" s="22">
        <f t="shared" si="349"/>
        <v>1.2302392225775656</v>
      </c>
      <c r="X994" s="22">
        <f t="shared" si="349"/>
        <v>1.2338925667145779</v>
      </c>
      <c r="Y994" s="22">
        <f t="shared" si="349"/>
        <v>1.2373411307861553</v>
      </c>
      <c r="Z994" s="22">
        <f t="shared" si="349"/>
        <v>1.2406011294465342</v>
      </c>
      <c r="AA994" s="22">
        <f t="shared" si="349"/>
        <v>1.2436742313467632</v>
      </c>
      <c r="AB994" s="22">
        <f t="shared" si="349"/>
        <v>1.2466240247269491</v>
      </c>
      <c r="AC994" s="22">
        <f t="shared" si="349"/>
        <v>1.2494947681568149</v>
      </c>
      <c r="AD994" s="22">
        <f t="shared" si="349"/>
        <v>1.2522630241825274</v>
      </c>
      <c r="AE994" s="22">
        <f t="shared" si="349"/>
        <v>1.2549703719817464</v>
      </c>
      <c r="AF994" s="22">
        <f t="shared" si="349"/>
        <v>1.2576115198128128</v>
      </c>
      <c r="AG994" s="22">
        <f t="shared" si="349"/>
        <v>1.2601683954961149</v>
      </c>
      <c r="AH994" s="22">
        <f t="shared" si="349"/>
        <v>1.2626549149649742</v>
      </c>
      <c r="AI994" s="22">
        <f t="shared" si="349"/>
        <v>1.2650761576385281</v>
      </c>
      <c r="AJ994" s="22">
        <f t="shared" si="349"/>
        <v>1.2674427544538867</v>
      </c>
      <c r="AK994" s="22">
        <f t="shared" si="349"/>
        <v>1.2696813278770511</v>
      </c>
      <c r="AL994" s="22">
        <f t="shared" si="349"/>
        <v>1.2717913487666579</v>
      </c>
      <c r="AM994" s="22">
        <f t="shared" si="349"/>
        <v>1.2737960605747884</v>
      </c>
      <c r="AN994" s="22">
        <f t="shared" si="349"/>
        <v>1.2756805194802561</v>
      </c>
      <c r="AO994" s="22">
        <f t="shared" si="349"/>
        <v>1.2774503349160069</v>
      </c>
      <c r="AP994" s="22">
        <f t="shared" si="349"/>
        <v>1.2790982260509465</v>
      </c>
      <c r="AQ994" s="22">
        <f t="shared" si="349"/>
        <v>1.2805987569194814</v>
      </c>
      <c r="AR994" s="22">
        <f t="shared" si="349"/>
        <v>1.2819285619529504</v>
      </c>
      <c r="AS994" s="22">
        <f t="shared" si="349"/>
        <v>1.2830877318811631</v>
      </c>
      <c r="AT994" s="22">
        <f t="shared" si="349"/>
        <v>1.2840667422777918</v>
      </c>
      <c r="AU994" s="22">
        <f t="shared" si="349"/>
        <v>1.2848665860717841</v>
      </c>
      <c r="AV994" s="22">
        <f t="shared" si="349"/>
        <v>1.2855104624366835</v>
      </c>
      <c r="AW994" s="22">
        <f t="shared" si="349"/>
        <v>1.2858711994078322</v>
      </c>
      <c r="AY994" s="79"/>
      <c r="AZ994" s="79"/>
    </row>
    <row r="995" spans="1:52" x14ac:dyDescent="0.25">
      <c r="A995" s="95" t="str">
        <f t="shared" si="345"/>
        <v>DS U&amp;D</v>
      </c>
      <c r="B995" s="95" t="s">
        <v>973</v>
      </c>
      <c r="C995" s="95" t="s">
        <v>1335</v>
      </c>
      <c r="D995" t="s">
        <v>369</v>
      </c>
      <c r="E995" t="s">
        <v>55</v>
      </c>
      <c r="F995" t="s">
        <v>422</v>
      </c>
      <c r="G995" t="s">
        <v>1171</v>
      </c>
      <c r="H995" t="s">
        <v>1249</v>
      </c>
      <c r="I995" t="s">
        <v>139</v>
      </c>
      <c r="J995" t="s">
        <v>287</v>
      </c>
      <c r="K995" s="22">
        <f t="shared" si="348"/>
        <v>0.19147730421375916</v>
      </c>
      <c r="L995" s="22">
        <f t="shared" si="349"/>
        <v>0.19240499933397132</v>
      </c>
      <c r="M995" s="22">
        <f t="shared" si="349"/>
        <v>0.19381280191845884</v>
      </c>
      <c r="N995" s="22">
        <f t="shared" si="349"/>
        <v>0.19411375969056655</v>
      </c>
      <c r="O995" s="22">
        <f t="shared" si="349"/>
        <v>0.19368291106027893</v>
      </c>
      <c r="P995" s="22">
        <f t="shared" si="349"/>
        <v>0.19253602379697463</v>
      </c>
      <c r="Q995" s="22">
        <f t="shared" si="349"/>
        <v>0.19190012409058904</v>
      </c>
      <c r="R995" s="22">
        <f t="shared" si="349"/>
        <v>0.19132863754616411</v>
      </c>
      <c r="S995" s="22">
        <f t="shared" si="349"/>
        <v>0.18266880885015579</v>
      </c>
      <c r="T995" s="22">
        <f t="shared" si="349"/>
        <v>0.18809378134692423</v>
      </c>
      <c r="U995" s="22">
        <f t="shared" si="349"/>
        <v>0.19079942650123977</v>
      </c>
      <c r="V995" s="22">
        <f t="shared" si="349"/>
        <v>0.19120805768125793</v>
      </c>
      <c r="W995" s="22">
        <f t="shared" si="349"/>
        <v>0.191567581973451</v>
      </c>
      <c r="X995" s="22">
        <f t="shared" si="349"/>
        <v>0.19243995083448096</v>
      </c>
      <c r="Y995" s="22">
        <f t="shared" si="349"/>
        <v>0.1939290152815269</v>
      </c>
      <c r="Z995" s="22">
        <f t="shared" si="349"/>
        <v>0.19572566733105584</v>
      </c>
      <c r="AA995" s="22">
        <f t="shared" si="349"/>
        <v>0.19791142753361757</v>
      </c>
      <c r="AB995" s="22">
        <f t="shared" si="349"/>
        <v>0.20073163120248141</v>
      </c>
      <c r="AC995" s="22">
        <f t="shared" si="349"/>
        <v>0.20414944143031946</v>
      </c>
      <c r="AD995" s="22">
        <f t="shared" si="349"/>
        <v>0.2079342142091529</v>
      </c>
      <c r="AE995" s="22">
        <f t="shared" si="349"/>
        <v>0.2120704701686861</v>
      </c>
      <c r="AF995" s="22">
        <f t="shared" si="349"/>
        <v>0.21643036681214611</v>
      </c>
      <c r="AG995" s="22">
        <f t="shared" si="349"/>
        <v>0.22107481526755876</v>
      </c>
      <c r="AH995" s="22">
        <f t="shared" si="349"/>
        <v>0.22594299924319575</v>
      </c>
      <c r="AI995" s="22">
        <f t="shared" si="349"/>
        <v>0.23081287404445633</v>
      </c>
      <c r="AJ995" s="22">
        <f t="shared" si="349"/>
        <v>0.23600481014510816</v>
      </c>
      <c r="AK995" s="22">
        <f t="shared" si="349"/>
        <v>0.24132262653826006</v>
      </c>
      <c r="AL995" s="22">
        <f t="shared" si="349"/>
        <v>0.24675186109010536</v>
      </c>
      <c r="AM995" s="22">
        <f t="shared" si="349"/>
        <v>0.25238913765935056</v>
      </c>
      <c r="AN995" s="22">
        <f t="shared" si="349"/>
        <v>0.25799715238539928</v>
      </c>
      <c r="AO995" s="22">
        <f t="shared" si="349"/>
        <v>0.26391035530015045</v>
      </c>
      <c r="AP995" s="22">
        <f t="shared" si="349"/>
        <v>0.27025468976471112</v>
      </c>
      <c r="AQ995" s="22">
        <f t="shared" si="349"/>
        <v>0.27683409216202315</v>
      </c>
      <c r="AR995" s="22">
        <f t="shared" si="349"/>
        <v>0.28366954305937575</v>
      </c>
      <c r="AS995" s="22">
        <f t="shared" si="349"/>
        <v>0.29099654328717883</v>
      </c>
      <c r="AT995" s="22">
        <f t="shared" si="349"/>
        <v>0.29875152246319292</v>
      </c>
      <c r="AU995" s="22">
        <f t="shared" si="349"/>
        <v>0.30689307002053717</v>
      </c>
      <c r="AV995" s="22">
        <f t="shared" si="349"/>
        <v>0.31557625829716562</v>
      </c>
      <c r="AW995" s="22">
        <f t="shared" si="349"/>
        <v>0.32396777623584005</v>
      </c>
      <c r="AY995" s="79"/>
      <c r="AZ995" s="79"/>
    </row>
    <row r="996" spans="1:52" x14ac:dyDescent="0.25">
      <c r="A996" s="95" t="str">
        <f t="shared" si="345"/>
        <v>DS U&amp;D</v>
      </c>
      <c r="B996" s="95" t="s">
        <v>973</v>
      </c>
      <c r="C996" s="95" t="s">
        <v>1335</v>
      </c>
      <c r="D996" t="s">
        <v>369</v>
      </c>
      <c r="E996" t="s">
        <v>55</v>
      </c>
      <c r="F996" t="s">
        <v>422</v>
      </c>
      <c r="G996" t="s">
        <v>1173</v>
      </c>
      <c r="H996" t="s">
        <v>1250</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5">
      <c r="A997" s="95" t="str">
        <f t="shared" si="345"/>
        <v>DS U&amp;D</v>
      </c>
      <c r="B997" s="95" t="s">
        <v>973</v>
      </c>
      <c r="C997" s="95" t="s">
        <v>1335</v>
      </c>
      <c r="D997" t="s">
        <v>369</v>
      </c>
      <c r="E997" t="s">
        <v>55</v>
      </c>
      <c r="F997" t="s">
        <v>422</v>
      </c>
      <c r="G997" t="s">
        <v>1175</v>
      </c>
      <c r="H997" t="s">
        <v>1251</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5">
      <c r="A998" s="95" t="str">
        <f t="shared" si="345"/>
        <v>DS U&amp;D</v>
      </c>
      <c r="B998" s="95" t="s">
        <v>973</v>
      </c>
      <c r="C998" s="95" t="s">
        <v>1335</v>
      </c>
      <c r="D998" t="s">
        <v>369</v>
      </c>
      <c r="E998" t="s">
        <v>55</v>
      </c>
      <c r="F998" t="s">
        <v>422</v>
      </c>
      <c r="G998" t="s">
        <v>1177</v>
      </c>
      <c r="H998" t="s">
        <v>1252</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5">
      <c r="A999" s="95" t="str">
        <f t="shared" si="345"/>
        <v>DS U&amp;D</v>
      </c>
      <c r="B999" s="95" t="s">
        <v>973</v>
      </c>
      <c r="C999" s="95" t="s">
        <v>1335</v>
      </c>
      <c r="D999" t="s">
        <v>369</v>
      </c>
      <c r="E999" t="s">
        <v>55</v>
      </c>
      <c r="F999" t="s">
        <v>422</v>
      </c>
      <c r="G999" t="s">
        <v>1179</v>
      </c>
      <c r="H999" t="s">
        <v>1253</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5">
      <c r="A1000" s="95" t="str">
        <f t="shared" si="345"/>
        <v>DS U&amp;D</v>
      </c>
      <c r="B1000" s="95" t="s">
        <v>973</v>
      </c>
      <c r="C1000" s="95" t="s">
        <v>1335</v>
      </c>
      <c r="D1000" t="s">
        <v>369</v>
      </c>
      <c r="E1000" t="s">
        <v>55</v>
      </c>
      <c r="F1000" t="s">
        <v>422</v>
      </c>
      <c r="G1000" t="s">
        <v>1181</v>
      </c>
      <c r="H1000" t="s">
        <v>1254</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5">
      <c r="A1001" s="95" t="str">
        <f t="shared" si="345"/>
        <v>DS FSOM</v>
      </c>
      <c r="B1001" s="95" t="s">
        <v>973</v>
      </c>
      <c r="C1001" s="95" t="s">
        <v>60</v>
      </c>
      <c r="D1001" t="s">
        <v>369</v>
      </c>
      <c r="E1001" t="s">
        <v>55</v>
      </c>
      <c r="F1001" t="s">
        <v>60</v>
      </c>
      <c r="G1001" t="s">
        <v>1265</v>
      </c>
      <c r="H1001" t="s">
        <v>1266</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5">
      <c r="A1002" s="95" t="str">
        <f t="shared" si="345"/>
        <v>DS FSOM</v>
      </c>
      <c r="B1002" s="95" t="s">
        <v>973</v>
      </c>
      <c r="C1002" s="95" t="s">
        <v>60</v>
      </c>
      <c r="D1002" t="s">
        <v>369</v>
      </c>
      <c r="E1002" t="s">
        <v>55</v>
      </c>
      <c r="F1002" t="s">
        <v>60</v>
      </c>
      <c r="G1002" t="s">
        <v>1267</v>
      </c>
      <c r="H1002" t="s">
        <v>1268</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5">
      <c r="A1003" s="95" t="str">
        <f t="shared" si="345"/>
        <v>DS FSOM</v>
      </c>
      <c r="B1003" s="95" t="s">
        <v>973</v>
      </c>
      <c r="C1003" s="95" t="s">
        <v>60</v>
      </c>
      <c r="D1003" t="s">
        <v>369</v>
      </c>
      <c r="E1003" t="s">
        <v>55</v>
      </c>
      <c r="F1003" t="s">
        <v>60</v>
      </c>
      <c r="G1003" t="s">
        <v>1269</v>
      </c>
      <c r="H1003" t="s">
        <v>1270</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5">
      <c r="A1004" s="95" t="str">
        <f t="shared" si="345"/>
        <v>DS FSOM</v>
      </c>
      <c r="B1004" s="95" t="s">
        <v>973</v>
      </c>
      <c r="C1004" s="95" t="s">
        <v>60</v>
      </c>
      <c r="D1004" t="s">
        <v>369</v>
      </c>
      <c r="E1004" t="s">
        <v>55</v>
      </c>
      <c r="F1004" t="s">
        <v>60</v>
      </c>
      <c r="G1004" t="s">
        <v>1271</v>
      </c>
      <c r="H1004" t="s">
        <v>1272</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5">
      <c r="A1005" s="95" t="str">
        <f t="shared" si="345"/>
        <v>DS FSOM</v>
      </c>
      <c r="B1005" s="95" t="s">
        <v>973</v>
      </c>
      <c r="C1005" s="95" t="s">
        <v>60</v>
      </c>
      <c r="D1005" t="s">
        <v>369</v>
      </c>
      <c r="E1005" t="s">
        <v>55</v>
      </c>
      <c r="F1005" t="s">
        <v>60</v>
      </c>
      <c r="G1005" t="s">
        <v>1273</v>
      </c>
      <c r="H1005" t="s">
        <v>1274</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5">
      <c r="A1006" s="95" t="str">
        <f t="shared" si="345"/>
        <v>DS FSOM</v>
      </c>
      <c r="B1006" s="95" t="s">
        <v>973</v>
      </c>
      <c r="C1006" s="95" t="s">
        <v>60</v>
      </c>
      <c r="D1006" t="s">
        <v>369</v>
      </c>
      <c r="E1006" t="s">
        <v>55</v>
      </c>
      <c r="F1006" t="s">
        <v>60</v>
      </c>
      <c r="G1006" t="s">
        <v>1275</v>
      </c>
      <c r="H1006" t="s">
        <v>1276</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5">
      <c r="A1007" s="95" t="str">
        <f t="shared" si="345"/>
        <v>DS FSOM</v>
      </c>
      <c r="B1007" s="95" t="s">
        <v>973</v>
      </c>
      <c r="C1007" s="95" t="s">
        <v>60</v>
      </c>
      <c r="D1007" t="s">
        <v>369</v>
      </c>
      <c r="E1007" t="s">
        <v>55</v>
      </c>
      <c r="F1007" t="s">
        <v>60</v>
      </c>
      <c r="G1007" t="s">
        <v>1277</v>
      </c>
      <c r="H1007" t="s">
        <v>1278</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5">
      <c r="A1008" s="95" t="str">
        <f t="shared" si="345"/>
        <v>DS FSOM</v>
      </c>
      <c r="B1008" s="95" t="s">
        <v>973</v>
      </c>
      <c r="C1008" s="95" t="s">
        <v>60</v>
      </c>
      <c r="D1008" t="s">
        <v>369</v>
      </c>
      <c r="E1008" t="s">
        <v>55</v>
      </c>
      <c r="F1008" t="s">
        <v>60</v>
      </c>
      <c r="G1008" t="s">
        <v>1279</v>
      </c>
      <c r="H1008" t="s">
        <v>1280</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5">
      <c r="A1009" s="95" t="str">
        <f t="shared" si="345"/>
        <v>DS FSOM</v>
      </c>
      <c r="B1009" s="95" t="s">
        <v>973</v>
      </c>
      <c r="C1009" s="95" t="s">
        <v>60</v>
      </c>
      <c r="D1009" t="s">
        <v>369</v>
      </c>
      <c r="E1009" t="s">
        <v>55</v>
      </c>
      <c r="F1009" t="s">
        <v>60</v>
      </c>
      <c r="G1009" t="s">
        <v>1281</v>
      </c>
      <c r="H1009" t="s">
        <v>1282</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5">
      <c r="A1010" s="95" t="str">
        <f t="shared" si="345"/>
        <v>DS FSOM</v>
      </c>
      <c r="B1010" s="95" t="s">
        <v>973</v>
      </c>
      <c r="C1010" s="95" t="s">
        <v>60</v>
      </c>
      <c r="D1010" t="s">
        <v>369</v>
      </c>
      <c r="E1010" t="s">
        <v>55</v>
      </c>
      <c r="F1010" t="s">
        <v>60</v>
      </c>
      <c r="G1010" t="s">
        <v>1283</v>
      </c>
      <c r="H1010" t="s">
        <v>1284</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5">
      <c r="A1011" s="95" t="str">
        <f t="shared" si="345"/>
        <v>DS FSOM</v>
      </c>
      <c r="B1011" s="95" t="s">
        <v>973</v>
      </c>
      <c r="C1011" s="95" t="s">
        <v>60</v>
      </c>
      <c r="D1011" t="s">
        <v>369</v>
      </c>
      <c r="E1011" t="s">
        <v>55</v>
      </c>
      <c r="F1011" t="s">
        <v>60</v>
      </c>
      <c r="G1011" t="s">
        <v>1285</v>
      </c>
      <c r="H1011" t="s">
        <v>1286</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5">
      <c r="A1012" s="95" t="str">
        <f t="shared" si="345"/>
        <v>DS FSOM</v>
      </c>
      <c r="B1012" s="95" t="s">
        <v>973</v>
      </c>
      <c r="C1012" s="95" t="s">
        <v>60</v>
      </c>
      <c r="D1012" t="s">
        <v>369</v>
      </c>
      <c r="E1012" t="s">
        <v>55</v>
      </c>
      <c r="F1012" t="s">
        <v>60</v>
      </c>
      <c r="G1012" t="s">
        <v>1287</v>
      </c>
      <c r="H1012" t="s">
        <v>1288</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5">
      <c r="A1013" s="95" t="str">
        <f t="shared" si="345"/>
        <v>DS Volatilisation</v>
      </c>
      <c r="B1013" s="95" t="s">
        <v>973</v>
      </c>
      <c r="C1013" s="95" t="s">
        <v>62</v>
      </c>
      <c r="D1013" t="s">
        <v>369</v>
      </c>
      <c r="E1013" t="s">
        <v>61</v>
      </c>
      <c r="F1013" t="s">
        <v>62</v>
      </c>
      <c r="G1013" t="s">
        <v>435</v>
      </c>
      <c r="H1013" t="s">
        <v>1183</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0.66036342435905737</v>
      </c>
      <c r="U1013" s="22">
        <f t="shared" si="353"/>
        <v>0.66004971859529549</v>
      </c>
      <c r="V1013" s="22">
        <f t="shared" si="353"/>
        <v>0.65987679285209155</v>
      </c>
      <c r="W1013" s="22">
        <f t="shared" si="353"/>
        <v>0.65980968039636112</v>
      </c>
      <c r="X1013" s="22">
        <f t="shared" si="353"/>
        <v>0.65973729403354264</v>
      </c>
      <c r="Y1013" s="22">
        <f t="shared" si="353"/>
        <v>0.6596371673513507</v>
      </c>
      <c r="Z1013" s="22">
        <f t="shared" si="353"/>
        <v>0.65951092743964945</v>
      </c>
      <c r="AA1013" s="22">
        <f t="shared" si="353"/>
        <v>0.65937292152761395</v>
      </c>
      <c r="AB1013" s="22">
        <f t="shared" si="353"/>
        <v>0.65921980493186427</v>
      </c>
      <c r="AC1013" s="22">
        <f t="shared" si="353"/>
        <v>0.65904099002136718</v>
      </c>
      <c r="AD1013" s="22">
        <f t="shared" si="353"/>
        <v>0.6588390077412124</v>
      </c>
      <c r="AE1013" s="22">
        <f t="shared" si="353"/>
        <v>0.65862502813307378</v>
      </c>
      <c r="AF1013" s="22">
        <f t="shared" si="353"/>
        <v>0.65840030111280701</v>
      </c>
      <c r="AG1013" s="22">
        <f t="shared" si="353"/>
        <v>0.65817083248767305</v>
      </c>
      <c r="AH1013" s="22">
        <f t="shared" si="353"/>
        <v>0.65793473576190653</v>
      </c>
      <c r="AI1013" s="22">
        <f t="shared" si="353"/>
        <v>0.65769490947439302</v>
      </c>
      <c r="AJ1013" s="22">
        <f t="shared" si="353"/>
        <v>0.65746015679174796</v>
      </c>
      <c r="AK1013" s="22">
        <f t="shared" si="353"/>
        <v>0.65721839556094175</v>
      </c>
      <c r="AL1013" s="22">
        <f t="shared" si="353"/>
        <v>0.65697772026100598</v>
      </c>
      <c r="AM1013" s="22">
        <f t="shared" si="353"/>
        <v>0.65673876647835383</v>
      </c>
      <c r="AN1013" s="22">
        <f t="shared" si="353"/>
        <v>0.65649818227366441</v>
      </c>
      <c r="AO1013" s="22">
        <f t="shared" si="353"/>
        <v>0.65626429517048157</v>
      </c>
      <c r="AP1013" s="22">
        <f t="shared" si="353"/>
        <v>0.65602587146144697</v>
      </c>
      <c r="AQ1013" s="22">
        <f t="shared" si="353"/>
        <v>0.65577947514353263</v>
      </c>
      <c r="AR1013" s="22">
        <f t="shared" si="353"/>
        <v>0.65553213474499905</v>
      </c>
      <c r="AS1013" s="22">
        <f t="shared" si="353"/>
        <v>0.65528365550023426</v>
      </c>
      <c r="AT1013" s="22">
        <f t="shared" si="353"/>
        <v>0.65502749591835585</v>
      </c>
      <c r="AU1013" s="22">
        <f t="shared" si="353"/>
        <v>0.65476643110027843</v>
      </c>
      <c r="AV1013" s="22">
        <f t="shared" si="353"/>
        <v>0.65450232737774761</v>
      </c>
      <c r="AW1013" s="22">
        <f t="shared" si="353"/>
        <v>0.65423151331477958</v>
      </c>
      <c r="AY1013" s="79"/>
      <c r="AZ1013" s="79"/>
    </row>
    <row r="1014" spans="1:52" x14ac:dyDescent="0.25">
      <c r="A1014" s="95" t="str">
        <f t="shared" si="345"/>
        <v>DS Volatilisation</v>
      </c>
      <c r="B1014" s="95" t="s">
        <v>973</v>
      </c>
      <c r="C1014" s="95" t="s">
        <v>62</v>
      </c>
      <c r="D1014" t="s">
        <v>369</v>
      </c>
      <c r="E1014" t="s">
        <v>61</v>
      </c>
      <c r="F1014" t="s">
        <v>62</v>
      </c>
      <c r="G1014" t="s">
        <v>436</v>
      </c>
      <c r="H1014" t="s">
        <v>1184</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8.7167972015395577E-3</v>
      </c>
      <c r="U1014" s="94">
        <f>IF('Net zero activities &amp; levers'!$C$12="Off",'Activity data'!AN48*ttokg*FracGASM*MSVolatEF*NtoN2O*kgtoGg,'Net zero Activity data'!AN48*ttokg*FracGASM*MSVolatEF*NtoN2O*kgtoGg)</f>
        <v>8.7126562854578996E-3</v>
      </c>
      <c r="V1014" s="94">
        <f>IF('Net zero activities &amp; levers'!$C$12="Off",'Activity data'!AO48*ttokg*FracGASM*MSVolatEF*NtoN2O*kgtoGg,'Net zero Activity data'!AO48*ttokg*FracGASM*MSVolatEF*NtoN2O*kgtoGg)</f>
        <v>8.7103736656476104E-3</v>
      </c>
      <c r="W1014" s="94">
        <f>IF('Net zero activities &amp; levers'!$C$12="Off",'Activity data'!AP48*ttokg*FracGASM*MSVolatEF*NtoN2O*kgtoGg,'Net zero Activity data'!AP48*ttokg*FracGASM*MSVolatEF*NtoN2O*kgtoGg)</f>
        <v>8.7094877812319699E-3</v>
      </c>
      <c r="X1014" s="94">
        <f>IF('Net zero activities &amp; levers'!$C$12="Off",'Activity data'!AQ48*ttokg*FracGASM*MSVolatEF*NtoN2O*kgtoGg,'Net zero Activity data'!AQ48*ttokg*FracGASM*MSVolatEF*NtoN2O*kgtoGg)</f>
        <v>8.7085322812427632E-3</v>
      </c>
      <c r="Y1014" s="94">
        <f>IF('Net zero activities &amp; levers'!$C$12="Off",'Activity data'!AR48*ttokg*FracGASM*MSVolatEF*NtoN2O*kgtoGg,'Net zero Activity data'!AR48*ttokg*FracGASM*MSVolatEF*NtoN2O*kgtoGg)</f>
        <v>8.7072106090378288E-3</v>
      </c>
      <c r="Z1014" s="94">
        <f>IF('Net zero activities &amp; levers'!$C$12="Off",'Activity data'!AS48*ttokg*FracGASM*MSVolatEF*NtoN2O*kgtoGg,'Net zero Activity data'!AS48*ttokg*FracGASM*MSVolatEF*NtoN2O*kgtoGg)</f>
        <v>8.7055442422033745E-3</v>
      </c>
      <c r="AA1014" s="94">
        <f>IF('Net zero activities &amp; levers'!$C$12="Off",'Activity data'!AT48*ttokg*FracGASM*MSVolatEF*NtoN2O*kgtoGg,'Net zero Activity data'!AT48*ttokg*FracGASM*MSVolatEF*NtoN2O*kgtoGg)</f>
        <v>8.7037225641645056E-3</v>
      </c>
      <c r="AB1014" s="94">
        <f>IF('Net zero activities &amp; levers'!$C$12="Off",'Activity data'!AU48*ttokg*FracGASM*MSVolatEF*NtoN2O*kgtoGg,'Net zero Activity data'!AU48*ttokg*FracGASM*MSVolatEF*NtoN2O*kgtoGg)</f>
        <v>8.7017014251006084E-3</v>
      </c>
      <c r="AC1014" s="94">
        <f>IF('Net zero activities &amp; levers'!$C$12="Off",'Activity data'!AV48*ttokg*FracGASM*MSVolatEF*NtoN2O*kgtoGg,'Net zero Activity data'!AV48*ttokg*FracGASM*MSVolatEF*NtoN2O*kgtoGg)</f>
        <v>8.699341068282046E-3</v>
      </c>
      <c r="AD1014" s="94">
        <f>IF('Net zero activities &amp; levers'!$C$12="Off",'Activity data'!AW48*ttokg*FracGASM*MSVolatEF*NtoN2O*kgtoGg,'Net zero Activity data'!AW48*ttokg*FracGASM*MSVolatEF*NtoN2O*kgtoGg)</f>
        <v>8.6966749021840043E-3</v>
      </c>
      <c r="AE1014" s="94">
        <f>IF('Net zero activities &amp; levers'!$C$12="Off",'Activity data'!AX48*ttokg*FracGASM*MSVolatEF*NtoN2O*kgtoGg,'Net zero Activity data'!AX48*ttokg*FracGASM*MSVolatEF*NtoN2O*kgtoGg)</f>
        <v>8.6938503713565752E-3</v>
      </c>
      <c r="AF1014" s="94">
        <f>IF('Net zero activities &amp; levers'!$C$12="Off",'Activity data'!AY48*ttokg*FracGASM*MSVolatEF*NtoN2O*kgtoGg,'Net zero Activity data'!AY48*ttokg*FracGASM*MSVolatEF*NtoN2O*kgtoGg)</f>
        <v>8.6908839746890534E-3</v>
      </c>
      <c r="AG1014" s="94">
        <f>IF('Net zero activities &amp; levers'!$C$12="Off",'Activity data'!AZ48*ttokg*FracGASM*MSVolatEF*NtoN2O*kgtoGg,'Net zero Activity data'!AZ48*ttokg*FracGASM*MSVolatEF*NtoN2O*kgtoGg)</f>
        <v>8.687854988837283E-3</v>
      </c>
      <c r="AH1014" s="94">
        <f>IF('Net zero activities &amp; levers'!$C$12="Off",'Activity data'!BA48*ttokg*FracGASM*MSVolatEF*NtoN2O*kgtoGg,'Net zero Activity data'!BA48*ttokg*FracGASM*MSVolatEF*NtoN2O*kgtoGg)</f>
        <v>8.6847385120571701E-3</v>
      </c>
      <c r="AI1014" s="94">
        <f>IF('Net zero activities &amp; levers'!$C$12="Off",'Activity data'!BB48*ttokg*FracGASM*MSVolatEF*NtoN2O*kgtoGg,'Net zero Activity data'!BB48*ttokg*FracGASM*MSVolatEF*NtoN2O*kgtoGg)</f>
        <v>8.6815728050619895E-3</v>
      </c>
      <c r="AJ1014" s="94">
        <f>IF('Net zero activities &amp; levers'!$C$12="Off",'Activity data'!BC48*ttokg*FracGASM*MSVolatEF*NtoN2O*kgtoGg,'Net zero Activity data'!BC48*ttokg*FracGASM*MSVolatEF*NtoN2O*kgtoGg)</f>
        <v>8.6784740696510734E-3</v>
      </c>
      <c r="AK1014" s="94">
        <f>IF('Net zero activities &amp; levers'!$C$12="Off",'Activity data'!BD48*ttokg*FracGASM*MSVolatEF*NtoN2O*kgtoGg,'Net zero Activity data'!BD48*ttokg*FracGASM*MSVolatEF*NtoN2O*kgtoGg)</f>
        <v>8.6752828214044318E-3</v>
      </c>
      <c r="AL1014" s="94">
        <f>IF('Net zero activities &amp; levers'!$C$12="Off",'Activity data'!BE48*ttokg*FracGASM*MSVolatEF*NtoN2O*kgtoGg,'Net zero Activity data'!BE48*ttokg*FracGASM*MSVolatEF*NtoN2O*kgtoGg)</f>
        <v>8.672105907445278E-3</v>
      </c>
      <c r="AM1014" s="94">
        <f>IF('Net zero activities &amp; levers'!$C$12="Off",'Activity data'!BF48*ttokg*FracGASM*MSVolatEF*NtoN2O*kgtoGg,'Net zero Activity data'!BF48*ttokg*FracGASM*MSVolatEF*NtoN2O*kgtoGg)</f>
        <v>8.6689517175142713E-3</v>
      </c>
      <c r="AN1014" s="94">
        <f>IF('Net zero activities &amp; levers'!$C$12="Off",'Activity data'!BG48*ttokg*FracGASM*MSVolatEF*NtoN2O*kgtoGg,'Net zero Activity data'!BG48*ttokg*FracGASM*MSVolatEF*NtoN2O*kgtoGg)</f>
        <v>8.6657760060123695E-3</v>
      </c>
      <c r="AO1014" s="94">
        <f>IF('Net zero activities &amp; levers'!$C$12="Off",'Activity data'!BH48*ttokg*FracGASM*MSVolatEF*NtoN2O*kgtoGg,'Net zero Activity data'!BH48*ttokg*FracGASM*MSVolatEF*NtoN2O*kgtoGg)</f>
        <v>8.6626886962503594E-3</v>
      </c>
      <c r="AP1014" s="94">
        <f>IF('Net zero activities &amp; levers'!$C$12="Off",'Activity data'!BI48*ttokg*FracGASM*MSVolatEF*NtoN2O*kgtoGg,'Net zero Activity data'!BI48*ttokg*FracGASM*MSVolatEF*NtoN2O*kgtoGg)</f>
        <v>8.6595415032911013E-3</v>
      </c>
      <c r="AQ1014" s="94">
        <f>IF('Net zero activities &amp; levers'!$C$12="Off",'Activity data'!BJ48*ttokg*FracGASM*MSVolatEF*NtoN2O*kgtoGg,'Net zero Activity data'!BJ48*ttokg*FracGASM*MSVolatEF*NtoN2O*kgtoGg)</f>
        <v>8.6562890718946302E-3</v>
      </c>
      <c r="AR1014" s="94">
        <f>IF('Net zero activities &amp; levers'!$C$12="Off",'Activity data'!BK48*ttokg*FracGASM*MSVolatEF*NtoN2O*kgtoGg,'Net zero Activity data'!BK48*ttokg*FracGASM*MSVolatEF*NtoN2O*kgtoGg)</f>
        <v>8.65302417863399E-3</v>
      </c>
      <c r="AS1014" s="94">
        <f>IF('Net zero activities &amp; levers'!$C$12="Off",'Activity data'!BL48*ttokg*FracGASM*MSVolatEF*NtoN2O*kgtoGg,'Net zero Activity data'!BL48*ttokg*FracGASM*MSVolatEF*NtoN2O*kgtoGg)</f>
        <v>8.6497442526030921E-3</v>
      </c>
      <c r="AT1014" s="94">
        <f>IF('Net zero activities &amp; levers'!$C$12="Off",'Activity data'!BM48*ttokg*FracGASM*MSVolatEF*NtoN2O*kgtoGg,'Net zero Activity data'!BM48*ttokg*FracGASM*MSVolatEF*NtoN2O*kgtoGg)</f>
        <v>8.6463629461222963E-3</v>
      </c>
      <c r="AU1014" s="94">
        <f>IF('Net zero activities &amp; levers'!$C$12="Off",'Activity data'!BN48*ttokg*FracGASM*MSVolatEF*NtoN2O*kgtoGg,'Net zero Activity data'!BN48*ttokg*FracGASM*MSVolatEF*NtoN2O*kgtoGg)</f>
        <v>8.6429168905236796E-3</v>
      </c>
      <c r="AV1014" s="94">
        <f>IF('Net zero activities &amp; levers'!$C$12="Off",'Activity data'!BO48*ttokg*FracGASM*MSVolatEF*NtoN2O*kgtoGg,'Net zero Activity data'!BO48*ttokg*FracGASM*MSVolatEF*NtoN2O*kgtoGg)</f>
        <v>8.6394307213862702E-3</v>
      </c>
      <c r="AW1014" s="94">
        <f>IF('Net zero activities &amp; levers'!$C$12="Off",'Activity data'!BP48*ttokg*FracGASM*MSVolatEF*NtoN2O*kgtoGg,'Net zero Activity data'!BP48*ttokg*FracGASM*MSVolatEF*NtoN2O*kgtoGg)</f>
        <v>8.6358559757550891E-3</v>
      </c>
      <c r="AY1014" s="79"/>
      <c r="AZ1014" s="79"/>
    </row>
    <row r="1015" spans="1:52" x14ac:dyDescent="0.25">
      <c r="A1015" s="95" t="str">
        <f t="shared" si="345"/>
        <v>DS Volatilisation</v>
      </c>
      <c r="B1015" s="95" t="s">
        <v>973</v>
      </c>
      <c r="C1015" s="95" t="s">
        <v>62</v>
      </c>
      <c r="D1015" t="s">
        <v>369</v>
      </c>
      <c r="E1015" t="s">
        <v>61</v>
      </c>
      <c r="F1015" t="s">
        <v>62</v>
      </c>
      <c r="G1015" t="s">
        <v>437</v>
      </c>
      <c r="H1015" t="s">
        <v>1185</v>
      </c>
      <c r="I1015" t="s">
        <v>139</v>
      </c>
      <c r="J1015" t="s">
        <v>287</v>
      </c>
      <c r="K1015" s="94">
        <f>IF('Net zero activities &amp; levers'!$C$12="Off",SUM('Activity data'!AD50:AD65)*FracGASM*MSVolatEF*NtoN2O*kgtoGg,SUM('Net zero Activity data'!AD50:AD65)*FracGASM*MSVolatEF*NtoN2O*kgtoGg)</f>
        <v>1.2008407282256133</v>
      </c>
      <c r="L1015" s="94">
        <f>IF('Net zero activities &amp; levers'!$C$12="Off",SUM('Activity data'!AE50:AE65)*FracGASM*MSVolatEF*NtoN2O*kgtoGg,SUM('Net zero Activity data'!AE50:AE65)*FracGASM*MSVolatEF*NtoN2O*kgtoGg)</f>
        <v>1.2019035107607592</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1.2055442230548152</v>
      </c>
      <c r="O1015" s="94">
        <f>IF('Net zero activities &amp; levers'!$C$12="Off",SUM('Activity data'!AH50:AH65)*FracGASM*MSVolatEF*NtoN2O*kgtoGg,SUM('Net zero Activity data'!AH50:AH65)*FracGASM*MSVolatEF*NtoN2O*kgtoGg)</f>
        <v>1.1958435838326273</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1.0635026929062164</v>
      </c>
      <c r="T1015" s="94">
        <f>IF('Net zero activities &amp; levers'!$C$12="Off",SUM('Activity data'!AM50:AM65)*FracGASM*MSVolatEF*NtoN2O*kgtoGg,SUM('Net zero Activity data'!AM50:AM65)*FracGASM*MSVolatEF*NtoN2O*kgtoGg)</f>
        <v>1.1127914653577025</v>
      </c>
      <c r="U1015" s="94">
        <f>IF('Net zero activities &amp; levers'!$C$12="Off",SUM('Activity data'!AN50:AN65)*FracGASM*MSVolatEF*NtoN2O*kgtoGg,SUM('Net zero Activity data'!AN50:AN65)*FracGASM*MSVolatEF*NtoN2O*kgtoGg)</f>
        <v>1.1339456607288676</v>
      </c>
      <c r="V1015" s="94">
        <f>IF('Net zero activities &amp; levers'!$C$12="Off",SUM('Activity data'!AO50:AO65)*FracGASM*MSVolatEF*NtoN2O*kgtoGg,SUM('Net zero Activity data'!AO50:AO65)*FracGASM*MSVolatEF*NtoN2O*kgtoGg)</f>
        <v>1.1334093263464944</v>
      </c>
      <c r="W1015" s="94">
        <f>IF('Net zero activities &amp; levers'!$C$12="Off",SUM('Activity data'!AP50:AP65)*FracGASM*MSVolatEF*NtoN2O*kgtoGg,SUM('Net zero Activity data'!AP50:AP65)*FracGASM*MSVolatEF*NtoN2O*kgtoGg)</f>
        <v>1.1341671660422112</v>
      </c>
      <c r="X1015" s="94">
        <f>IF('Net zero activities &amp; levers'!$C$12="Off",SUM('Activity data'!AQ50:AQ65)*FracGASM*MSVolatEF*NtoN2O*kgtoGg,SUM('Net zero Activity data'!AQ50:AQ65)*FracGASM*MSVolatEF*NtoN2O*kgtoGg)</f>
        <v>1.1408235439735572</v>
      </c>
      <c r="Y1015" s="94">
        <f>IF('Net zero activities &amp; levers'!$C$12="Off",SUM('Activity data'!AR50:AR65)*FracGASM*MSVolatEF*NtoN2O*kgtoGg,SUM('Net zero Activity data'!AR50:AR65)*FracGASM*MSVolatEF*NtoN2O*kgtoGg)</f>
        <v>1.1530569851412431</v>
      </c>
      <c r="Z1015" s="94">
        <f>IF('Net zero activities &amp; levers'!$C$12="Off",SUM('Activity data'!AS50:AS65)*FracGASM*MSVolatEF*NtoN2O*kgtoGg,SUM('Net zero Activity data'!AS50:AS65)*FracGASM*MSVolatEF*NtoN2O*kgtoGg)</f>
        <v>1.1679322279348805</v>
      </c>
      <c r="AA1015" s="94">
        <f>IF('Net zero activities &amp; levers'!$C$12="Off",SUM('Activity data'!AT50:AT65)*FracGASM*MSVolatEF*NtoN2O*kgtoGg,SUM('Net zero Activity data'!AT50:AT65)*FracGASM*MSVolatEF*NtoN2O*kgtoGg)</f>
        <v>1.1861792833479095</v>
      </c>
      <c r="AB1015" s="94">
        <f>IF('Net zero activities &amp; levers'!$C$12="Off",SUM('Activity data'!AU50:AU65)*FracGASM*MSVolatEF*NtoN2O*kgtoGg,SUM('Net zero Activity data'!AU50:AU65)*FracGASM*MSVolatEF*NtoN2O*kgtoGg)</f>
        <v>1.2100969940218784</v>
      </c>
      <c r="AC1015" s="94">
        <f>IF('Net zero activities &amp; levers'!$C$12="Off",SUM('Activity data'!AV50:AV65)*FracGASM*MSVolatEF*NtoN2O*kgtoGg,SUM('Net zero Activity data'!AV50:AV65)*FracGASM*MSVolatEF*NtoN2O*kgtoGg)</f>
        <v>1.2393194864291859</v>
      </c>
      <c r="AD1015" s="94">
        <f>IF('Net zero activities &amp; levers'!$C$12="Off",SUM('Activity data'!AW50:AW65)*FracGASM*MSVolatEF*NtoN2O*kgtoGg,SUM('Net zero Activity data'!AW50:AW65)*FracGASM*MSVolatEF*NtoN2O*kgtoGg)</f>
        <v>1.2672278032377093</v>
      </c>
      <c r="AE1015" s="94">
        <f>IF('Net zero activities &amp; levers'!$C$12="Off",SUM('Activity data'!AX50:AX65)*FracGASM*MSVolatEF*NtoN2O*kgtoGg,SUM('Net zero Activity data'!AX50:AX65)*FracGASM*MSVolatEF*NtoN2O*kgtoGg)</f>
        <v>1.2977962214580763</v>
      </c>
      <c r="AF1015" s="94">
        <f>IF('Net zero activities &amp; levers'!$C$12="Off",SUM('Activity data'!AY50:AY65)*FracGASM*MSVolatEF*NtoN2O*kgtoGg,SUM('Net zero Activity data'!AY50:AY65)*FracGASM*MSVolatEF*NtoN2O*kgtoGg)</f>
        <v>1.329788063562543</v>
      </c>
      <c r="AG1015" s="94">
        <f>IF('Net zero activities &amp; levers'!$C$12="Off",SUM('Activity data'!AZ50:AZ65)*FracGASM*MSVolatEF*NtoN2O*kgtoGg,SUM('Net zero Activity data'!AZ50:AZ65)*FracGASM*MSVolatEF*NtoN2O*kgtoGg)</f>
        <v>1.3636827815165269</v>
      </c>
      <c r="AH1015" s="94">
        <f>IF('Net zero activities &amp; levers'!$C$12="Off",SUM('Activity data'!BA50:BA65)*FracGASM*MSVolatEF*NtoN2O*kgtoGg,SUM('Net zero Activity data'!BA50:BA65)*FracGASM*MSVolatEF*NtoN2O*kgtoGg)</f>
        <v>1.3988919386644247</v>
      </c>
      <c r="AI1015" s="94">
        <f>IF('Net zero activities &amp; levers'!$C$12="Off",SUM('Activity data'!BB50:BB65)*FracGASM*MSVolatEF*NtoN2O*kgtoGg,SUM('Net zero Activity data'!BB50:BB65)*FracGASM*MSVolatEF*NtoN2O*kgtoGg)</f>
        <v>1.4334139363721508</v>
      </c>
      <c r="AJ1015" s="94">
        <f>IF('Net zero activities &amp; levers'!$C$12="Off",SUM('Activity data'!BC50:BC65)*FracGASM*MSVolatEF*NtoN2O*kgtoGg,SUM('Net zero Activity data'!BC50:BC65)*FracGASM*MSVolatEF*NtoN2O*kgtoGg)</f>
        <v>1.4700649477851668</v>
      </c>
      <c r="AK1015" s="94">
        <f>IF('Net zero activities &amp; levers'!$C$12="Off",SUM('Activity data'!BD50:BD65)*FracGASM*MSVolatEF*NtoN2O*kgtoGg,SUM('Net zero Activity data'!BD50:BD65)*FracGASM*MSVolatEF*NtoN2O*kgtoGg)</f>
        <v>1.5069886120645011</v>
      </c>
      <c r="AL1015" s="94">
        <f>IF('Net zero activities &amp; levers'!$C$12="Off",SUM('Activity data'!BE50:BE65)*FracGASM*MSVolatEF*NtoN2O*kgtoGg,SUM('Net zero Activity data'!BE50:BE65)*FracGASM*MSVolatEF*NtoN2O*kgtoGg)</f>
        <v>1.5440287360100955</v>
      </c>
      <c r="AM1015" s="94">
        <f>IF('Net zero activities &amp; levers'!$C$12="Off",SUM('Activity data'!BF50:BF65)*FracGASM*MSVolatEF*NtoN2O*kgtoGg,SUM('Net zero Activity data'!BF50:BF65)*FracGASM*MSVolatEF*NtoN2O*kgtoGg)</f>
        <v>1.5820093604594603</v>
      </c>
      <c r="AN1015" s="94">
        <f>IF('Net zero activities &amp; levers'!$C$12="Off",SUM('Activity data'!BG50:BG65)*FracGASM*MSVolatEF*NtoN2O*kgtoGg,SUM('Net zero Activity data'!BG50:BG65)*FracGASM*MSVolatEF*NtoN2O*kgtoGg)</f>
        <v>1.6219033183214897</v>
      </c>
      <c r="AO1015" s="94">
        <f>IF('Net zero activities &amp; levers'!$C$12="Off",SUM('Activity data'!BH50:BH65)*FracGASM*MSVolatEF*NtoN2O*kgtoGg,SUM('Net zero Activity data'!BH50:BH65)*FracGASM*MSVolatEF*NtoN2O*kgtoGg)</f>
        <v>1.6636708318066389</v>
      </c>
      <c r="AP1015" s="94">
        <f>IF('Net zero activities &amp; levers'!$C$12="Off",SUM('Activity data'!BI50:BI65)*FracGASM*MSVolatEF*NtoN2O*kgtoGg,SUM('Net zero Activity data'!BI50:BI65)*FracGASM*MSVolatEF*NtoN2O*kgtoGg)</f>
        <v>1.7082959626143681</v>
      </c>
      <c r="AQ1015" s="94">
        <f>IF('Net zero activities &amp; levers'!$C$12="Off",SUM('Activity data'!BJ50:BJ65)*FracGASM*MSVolatEF*NtoN2O*kgtoGg,SUM('Net zero Activity data'!BJ50:BJ65)*FracGASM*MSVolatEF*NtoN2O*kgtoGg)</f>
        <v>1.7540375132373072</v>
      </c>
      <c r="AR1015" s="94">
        <f>IF('Net zero activities &amp; levers'!$C$12="Off",SUM('Activity data'!BK50:BK65)*FracGASM*MSVolatEF*NtoN2O*kgtoGg,SUM('Net zero Activity data'!BK50:BK65)*FracGASM*MSVolatEF*NtoN2O*kgtoGg)</f>
        <v>1.8009857640186506</v>
      </c>
      <c r="AS1015" s="94">
        <f>IF('Net zero activities &amp; levers'!$C$12="Off",SUM('Activity data'!BL50:BL65)*FracGASM*MSVolatEF*NtoN2O*kgtoGg,SUM('Net zero Activity data'!BL50:BL65)*FracGASM*MSVolatEF*NtoN2O*kgtoGg)</f>
        <v>1.8510064312178449</v>
      </c>
      <c r="AT1015" s="94">
        <f>IF('Net zero activities &amp; levers'!$C$12="Off",SUM('Activity data'!BM50:BM65)*FracGASM*MSVolatEF*NtoN2O*kgtoGg,SUM('Net zero Activity data'!BM50:BM65)*FracGASM*MSVolatEF*NtoN2O*kgtoGg)</f>
        <v>1.9034681141674186</v>
      </c>
      <c r="AU1015" s="94">
        <f>IF('Net zero activities &amp; levers'!$C$12="Off",SUM('Activity data'!BN50:BN65)*FracGASM*MSVolatEF*NtoN2O*kgtoGg,SUM('Net zero Activity data'!BN50:BN65)*FracGASM*MSVolatEF*NtoN2O*kgtoGg)</f>
        <v>1.9579460640600546</v>
      </c>
      <c r="AV1015" s="94">
        <f>IF('Net zero activities &amp; levers'!$C$12="Off",SUM('Activity data'!BO50:BO65)*FracGASM*MSVolatEF*NtoN2O*kgtoGg,SUM('Net zero Activity data'!BO50:BO65)*FracGASM*MSVolatEF*NtoN2O*kgtoGg)</f>
        <v>2.0156248390942006</v>
      </c>
      <c r="AW1015" s="94">
        <f>IF('Net zero activities &amp; levers'!$C$12="Off",SUM('Activity data'!BP50:BP65)*FracGASM*MSVolatEF*NtoN2O*kgtoGg,SUM('Net zero Activity data'!BP50:BP65)*FracGASM*MSVolatEF*NtoN2O*kgtoGg)</f>
        <v>2.0696024098416643</v>
      </c>
      <c r="AY1015" s="79"/>
      <c r="AZ1015" s="79"/>
    </row>
    <row r="1016" spans="1:52" x14ac:dyDescent="0.25">
      <c r="A1016" s="95" t="str">
        <f t="shared" si="345"/>
        <v>DS Volatilisation</v>
      </c>
      <c r="B1016" s="95" t="s">
        <v>973</v>
      </c>
      <c r="C1016" s="95" t="s">
        <v>62</v>
      </c>
      <c r="D1016" t="s">
        <v>369</v>
      </c>
      <c r="E1016" t="s">
        <v>61</v>
      </c>
      <c r="F1016" t="s">
        <v>62</v>
      </c>
      <c r="G1016" t="s">
        <v>438</v>
      </c>
      <c r="H1016" t="s">
        <v>1264</v>
      </c>
      <c r="I1016" t="s">
        <v>139</v>
      </c>
      <c r="J1016" t="s">
        <v>287</v>
      </c>
      <c r="K1016" s="94">
        <f>IF('Net zero activities &amp; levers'!$C$12="Off",SUM('Activity data'!AD66:AD81)*FracGASM*MSVolatEF*NtoN2O*kgtoGg,SUM('Net zero Activity data'!AD66:AD81)*FracGASM*MSVolatEF*NtoN2O*kgtoGg)</f>
        <v>4.3975799639737021</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4.3473821211305586</v>
      </c>
      <c r="O1016" s="94">
        <f>IF('Net zero activities &amp; levers'!$C$12="Off",SUM('Activity data'!AH66:AH81)*FracGASM*MSVolatEF*NtoN2O*kgtoGg,SUM('Net zero Activity data'!AH66:AH81)*FracGASM*MSVolatEF*NtoN2O*kgtoGg)</f>
        <v>4.3052096453824591</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3.920518553769567</v>
      </c>
      <c r="T1016" s="94">
        <f>IF('Net zero activities &amp; levers'!$C$12="Off",SUM('Activity data'!AM66:AM81)*FracGASM*MSVolatEF*NtoN2O*kgtoGg,SUM('Net zero Activity data'!AM66:AM81)*FracGASM*MSVolatEF*NtoN2O*kgtoGg)</f>
        <v>4.022224403214822</v>
      </c>
      <c r="U1016" s="94">
        <f>IF('Net zero activities &amp; levers'!$C$12="Off",SUM('Activity data'!AN66:AN81)*FracGASM*MSVolatEF*NtoN2O*kgtoGg,SUM('Net zero Activity data'!AN66:AN81)*FracGASM*MSVolatEF*NtoN2O*kgtoGg)</f>
        <v>4.0573246422564955</v>
      </c>
      <c r="V1016" s="94">
        <f>IF('Net zero activities &amp; levers'!$C$12="Off",SUM('Activity data'!AO66:AO81)*FracGASM*MSVolatEF*NtoN2O*kgtoGg,SUM('Net zero Activity data'!AO66:AO81)*FracGASM*MSVolatEF*NtoN2O*kgtoGg)</f>
        <v>4.0437027667632135</v>
      </c>
      <c r="W1016" s="94">
        <f>IF('Net zero activities &amp; levers'!$C$12="Off",SUM('Activity data'!AP66:AP81)*FracGASM*MSVolatEF*NtoN2O*kgtoGg,SUM('Net zero Activity data'!AP66:AP81)*FracGASM*MSVolatEF*NtoN2O*kgtoGg)</f>
        <v>4.0349744796970102</v>
      </c>
      <c r="X1016" s="94">
        <f>IF('Net zero activities &amp; levers'!$C$12="Off",SUM('Activity data'!AQ66:AQ81)*FracGASM*MSVolatEF*NtoN2O*kgtoGg,SUM('Net zero Activity data'!AQ66:AQ81)*FracGASM*MSVolatEF*NtoN2O*kgtoGg)</f>
        <v>4.0404911436640738</v>
      </c>
      <c r="Y1016" s="94">
        <f>IF('Net zero activities &amp; levers'!$C$12="Off",SUM('Activity data'!AR66:AR81)*FracGASM*MSVolatEF*NtoN2O*kgtoGg,SUM('Net zero Activity data'!AR66:AR81)*FracGASM*MSVolatEF*NtoN2O*kgtoGg)</f>
        <v>4.0578866533033189</v>
      </c>
      <c r="Z1016" s="94">
        <f>IF('Net zero activities &amp; levers'!$C$12="Off",SUM('Activity data'!AS66:AS81)*FracGASM*MSVolatEF*NtoN2O*kgtoGg,SUM('Net zero Activity data'!AS66:AS81)*FracGASM*MSVolatEF*NtoN2O*kgtoGg)</f>
        <v>4.0805365209798321</v>
      </c>
      <c r="AA1016" s="94">
        <f>IF('Net zero activities &amp; levers'!$C$12="Off",SUM('Activity data'!AT66:AT81)*FracGASM*MSVolatEF*NtoN2O*kgtoGg,SUM('Net zero Activity data'!AT66:AT81)*FracGASM*MSVolatEF*NtoN2O*kgtoGg)</f>
        <v>4.109915060040195</v>
      </c>
      <c r="AB1016" s="94">
        <f>IF('Net zero activities &amp; levers'!$C$12="Off",SUM('Activity data'!AU66:AU81)*FracGASM*MSVolatEF*NtoN2O*kgtoGg,SUM('Net zero Activity data'!AU66:AU81)*FracGASM*MSVolatEF*NtoN2O*kgtoGg)</f>
        <v>4.1509048491402085</v>
      </c>
      <c r="AC1016" s="94">
        <f>IF('Net zero activities &amp; levers'!$C$12="Off",SUM('Activity data'!AV66:AV81)*FracGASM*MSVolatEF*NtoN2O*kgtoGg,SUM('Net zero Activity data'!AV66:AV81)*FracGASM*MSVolatEF*NtoN2O*kgtoGg)</f>
        <v>4.202533390484211</v>
      </c>
      <c r="AD1016" s="94">
        <f>IF('Net zero activities &amp; levers'!$C$12="Off",SUM('Activity data'!AW66:AW81)*FracGASM*MSVolatEF*NtoN2O*kgtoGg,SUM('Net zero Activity data'!AW66:AW81)*FracGASM*MSVolatEF*NtoN2O*kgtoGg)</f>
        <v>4.2406560670580085</v>
      </c>
      <c r="AE1016" s="94">
        <f>IF('Net zero activities &amp; levers'!$C$12="Off",SUM('Activity data'!AX66:AX81)*FracGASM*MSVolatEF*NtoN2O*kgtoGg,SUM('Net zero Activity data'!AX66:AX81)*FracGASM*MSVolatEF*NtoN2O*kgtoGg)</f>
        <v>4.2827934559696441</v>
      </c>
      <c r="AF1016" s="94">
        <f>IF('Net zero activities &amp; levers'!$C$12="Off",SUM('Activity data'!AY66:AY81)*FracGASM*MSVolatEF*NtoN2O*kgtoGg,SUM('Net zero Activity data'!AY66:AY81)*FracGASM*MSVolatEF*NtoN2O*kgtoGg)</f>
        <v>4.3261652521730651</v>
      </c>
      <c r="AG1016" s="94">
        <f>IF('Net zero activities &amp; levers'!$C$12="Off",SUM('Activity data'!AZ66:AZ81)*FracGASM*MSVolatEF*NtoN2O*kgtoGg,SUM('Net zero Activity data'!AZ66:AZ81)*FracGASM*MSVolatEF*NtoN2O*kgtoGg)</f>
        <v>4.3716097132066274</v>
      </c>
      <c r="AH1016" s="94">
        <f>IF('Net zero activities &amp; levers'!$C$12="Off",SUM('Activity data'!BA66:BA81)*FracGASM*MSVolatEF*NtoN2O*kgtoGg,SUM('Net zero Activity data'!BA66:BA81)*FracGASM*MSVolatEF*NtoN2O*kgtoGg)</f>
        <v>4.417783804127744</v>
      </c>
      <c r="AI1016" s="94">
        <f>IF('Net zero activities &amp; levers'!$C$12="Off",SUM('Activity data'!BB66:BB81)*FracGASM*MSVolatEF*NtoN2O*kgtoGg,SUM('Net zero Activity data'!BB66:BB81)*FracGASM*MSVolatEF*NtoN2O*kgtoGg)</f>
        <v>4.46055260064648</v>
      </c>
      <c r="AJ1016" s="94">
        <f>IF('Net zero activities &amp; levers'!$C$12="Off",SUM('Activity data'!BC66:BC81)*FracGASM*MSVolatEF*NtoN2O*kgtoGg,SUM('Net zero Activity data'!BC66:BC81)*FracGASM*MSVolatEF*NtoN2O*kgtoGg)</f>
        <v>4.5055232078089906</v>
      </c>
      <c r="AK1016" s="94">
        <f>IF('Net zero activities &amp; levers'!$C$12="Off",SUM('Activity data'!BD66:BD81)*FracGASM*MSVolatEF*NtoN2O*kgtoGg,SUM('Net zero Activity data'!BD66:BD81)*FracGASM*MSVolatEF*NtoN2O*kgtoGg)</f>
        <v>4.5487963787371326</v>
      </c>
      <c r="AL1016" s="94">
        <f>IF('Net zero activities &amp; levers'!$C$12="Off",SUM('Activity data'!BE66:BE81)*FracGASM*MSVolatEF*NtoN2O*kgtoGg,SUM('Net zero Activity data'!BE66:BE81)*FracGASM*MSVolatEF*NtoN2O*kgtoGg)</f>
        <v>4.5900121260194853</v>
      </c>
      <c r="AM1016" s="94">
        <f>IF('Net zero activities &amp; levers'!$C$12="Off",SUM('Activity data'!BF66:BF81)*FracGASM*MSVolatEF*NtoN2O*kgtoGg,SUM('Net zero Activity data'!BF66:BF81)*FracGASM*MSVolatEF*NtoN2O*kgtoGg)</f>
        <v>4.6307205405262888</v>
      </c>
      <c r="AN1016" s="94">
        <f>IF('Net zero activities &amp; levers'!$C$12="Off",SUM('Activity data'!BG66:BG81)*FracGASM*MSVolatEF*NtoN2O*kgtoGg,SUM('Net zero Activity data'!BG66:BG81)*FracGASM*MSVolatEF*NtoN2O*kgtoGg)</f>
        <v>4.6802451384074173</v>
      </c>
      <c r="AO1016" s="94">
        <f>IF('Net zero activities &amp; levers'!$C$12="Off",SUM('Activity data'!BH66:BH81)*FracGASM*MSVolatEF*NtoN2O*kgtoGg,SUM('Net zero Activity data'!BH66:BH81)*FracGASM*MSVolatEF*NtoN2O*kgtoGg)</f>
        <v>4.7313734673669652</v>
      </c>
      <c r="AP1016" s="94">
        <f>IF('Net zero activities &amp; levers'!$C$12="Off",SUM('Activity data'!BI66:BI81)*FracGASM*MSVolatEF*NtoN2O*kgtoGg,SUM('Net zero Activity data'!BI66:BI81)*FracGASM*MSVolatEF*NtoN2O*kgtoGg)</f>
        <v>4.7857847377648062</v>
      </c>
      <c r="AQ1016" s="94">
        <f>IF('Net zero activities &amp; levers'!$C$12="Off",SUM('Activity data'!BJ66:BJ81)*FracGASM*MSVolatEF*NtoN2O*kgtoGg,SUM('Net zero Activity data'!BJ66:BJ81)*FracGASM*MSVolatEF*NtoN2O*kgtoGg)</f>
        <v>4.8400720712169321</v>
      </c>
      <c r="AR1016" s="94">
        <f>IF('Net zero activities &amp; levers'!$C$12="Off",SUM('Activity data'!BK66:BK81)*FracGASM*MSVolatEF*NtoN2O*kgtoGg,SUM('Net zero Activity data'!BK66:BK81)*FracGASM*MSVolatEF*NtoN2O*kgtoGg)</f>
        <v>4.8942825787604232</v>
      </c>
      <c r="AS1016" s="94">
        <f>IF('Net zero activities &amp; levers'!$C$12="Off",SUM('Activity data'!BL66:BL81)*FracGASM*MSVolatEF*NtoN2O*kgtoGg,SUM('Net zero Activity data'!BL66:BL81)*FracGASM*MSVolatEF*NtoN2O*kgtoGg)</f>
        <v>4.9516552239356777</v>
      </c>
      <c r="AT1016" s="94">
        <f>IF('Net zero activities &amp; levers'!$C$12="Off",SUM('Activity data'!BM66:BM81)*FracGASM*MSVolatEF*NtoN2O*kgtoGg,SUM('Net zero Activity data'!BM66:BM81)*FracGASM*MSVolatEF*NtoN2O*kgtoGg)</f>
        <v>5.010848202184258</v>
      </c>
      <c r="AU1016" s="94">
        <f>IF('Net zero activities &amp; levers'!$C$12="Off",SUM('Activity data'!BN66:BN81)*FracGASM*MSVolatEF*NtoN2O*kgtoGg,SUM('Net zero Activity data'!BN66:BN81)*FracGASM*MSVolatEF*NtoN2O*kgtoGg)</f>
        <v>5.070940832499133</v>
      </c>
      <c r="AV1016" s="94">
        <f>IF('Net zero activities &amp; levers'!$C$12="Off",SUM('Activity data'!BO66:BO81)*FracGASM*MSVolatEF*NtoN2O*kgtoGg,SUM('Net zero Activity data'!BO66:BO81)*FracGASM*MSVolatEF*NtoN2O*kgtoGg)</f>
        <v>5.1338473778737468</v>
      </c>
      <c r="AW1016" s="94">
        <f>IF('Net zero activities &amp; levers'!$C$12="Off",SUM('Activity data'!BP66:BP81)*FracGASM*MSVolatEF*NtoN2O*kgtoGg,SUM('Net zero Activity data'!BP66:BP81)*FracGASM*MSVolatEF*NtoN2O*kgtoGg)</f>
        <v>5.1874285866281769</v>
      </c>
      <c r="AY1016" s="79"/>
      <c r="AZ1016" s="79"/>
    </row>
    <row r="1017" spans="1:52" x14ac:dyDescent="0.25">
      <c r="A1017" s="95" t="str">
        <f t="shared" si="345"/>
        <v>DS Leaching</v>
      </c>
      <c r="B1017" s="95" t="s">
        <v>973</v>
      </c>
      <c r="C1017" s="95" t="s">
        <v>1189</v>
      </c>
      <c r="D1017" t="s">
        <v>369</v>
      </c>
      <c r="E1017" t="s">
        <v>61</v>
      </c>
      <c r="F1017" t="s">
        <v>63</v>
      </c>
      <c r="G1017" t="s">
        <v>435</v>
      </c>
      <c r="H1017" t="s">
        <v>1186</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2.2782538140387479E-4</v>
      </c>
      <c r="U1017" s="22">
        <f t="shared" si="355"/>
        <v>2.2771715291537687E-4</v>
      </c>
      <c r="V1017" s="22">
        <f t="shared" si="355"/>
        <v>2.2765749353397156E-4</v>
      </c>
      <c r="W1017" s="22">
        <f t="shared" si="355"/>
        <v>2.2763433973674462E-4</v>
      </c>
      <c r="X1017" s="22">
        <f t="shared" si="355"/>
        <v>2.2760936644157216E-4</v>
      </c>
      <c r="Y1017" s="22">
        <f t="shared" si="355"/>
        <v>2.2757482273621599E-4</v>
      </c>
      <c r="Z1017" s="22">
        <f t="shared" si="355"/>
        <v>2.27531269966679E-4</v>
      </c>
      <c r="AA1017" s="22">
        <f t="shared" si="355"/>
        <v>2.2748365792702683E-4</v>
      </c>
      <c r="AB1017" s="22">
        <f t="shared" si="355"/>
        <v>2.2743083270149308E-4</v>
      </c>
      <c r="AC1017" s="22">
        <f t="shared" si="355"/>
        <v>2.2736914155737162E-4</v>
      </c>
      <c r="AD1017" s="22">
        <f t="shared" si="355"/>
        <v>2.272994576707182E-4</v>
      </c>
      <c r="AE1017" s="22">
        <f t="shared" si="355"/>
        <v>2.2722563470591042E-4</v>
      </c>
      <c r="AF1017" s="22">
        <f t="shared" si="355"/>
        <v>2.2714810388391836E-4</v>
      </c>
      <c r="AG1017" s="22">
        <f t="shared" si="355"/>
        <v>2.2706893720824713E-4</v>
      </c>
      <c r="AH1017" s="22">
        <f t="shared" si="355"/>
        <v>2.2698748383785777E-4</v>
      </c>
      <c r="AI1017" s="22">
        <f t="shared" si="355"/>
        <v>2.2690474376866552E-4</v>
      </c>
      <c r="AJ1017" s="22">
        <f t="shared" si="355"/>
        <v>2.2682375409315307E-4</v>
      </c>
      <c r="AK1017" s="22">
        <f t="shared" si="355"/>
        <v>2.2674034646852486E-4</v>
      </c>
      <c r="AL1017" s="22">
        <f t="shared" si="355"/>
        <v>2.26657313490047E-4</v>
      </c>
      <c r="AM1017" s="22">
        <f t="shared" si="355"/>
        <v>2.2657487443503212E-4</v>
      </c>
      <c r="AN1017" s="22">
        <f t="shared" si="355"/>
        <v>2.2649187288441419E-4</v>
      </c>
      <c r="AO1017" s="22">
        <f t="shared" si="355"/>
        <v>2.2641118183381611E-4</v>
      </c>
      <c r="AP1017" s="22">
        <f t="shared" si="355"/>
        <v>2.2632892565419918E-4</v>
      </c>
      <c r="AQ1017" s="22">
        <f t="shared" si="355"/>
        <v>2.2624391892451869E-4</v>
      </c>
      <c r="AR1017" s="22">
        <f t="shared" si="355"/>
        <v>2.2615858648702465E-4</v>
      </c>
      <c r="AS1017" s="22">
        <f t="shared" si="355"/>
        <v>2.2607286114758075E-4</v>
      </c>
      <c r="AT1017" s="22">
        <f t="shared" si="355"/>
        <v>2.2598448609183276E-4</v>
      </c>
      <c r="AU1017" s="22">
        <f t="shared" si="355"/>
        <v>2.2589441872959606E-4</v>
      </c>
      <c r="AV1017" s="22">
        <f t="shared" si="355"/>
        <v>2.2580330294532294E-4</v>
      </c>
      <c r="AW1017" s="22">
        <f t="shared" si="355"/>
        <v>2.2570987209359888E-4</v>
      </c>
      <c r="AY1017" s="79"/>
      <c r="AZ1017" s="79"/>
    </row>
    <row r="1018" spans="1:52" x14ac:dyDescent="0.25">
      <c r="A1018" s="95" t="str">
        <f t="shared" si="345"/>
        <v>DS Leaching</v>
      </c>
      <c r="B1018" s="95" t="s">
        <v>973</v>
      </c>
      <c r="C1018" s="95" t="s">
        <v>1189</v>
      </c>
      <c r="D1018" t="s">
        <v>369</v>
      </c>
      <c r="E1018" t="s">
        <v>61</v>
      </c>
      <c r="F1018" t="s">
        <v>63</v>
      </c>
      <c r="G1018" t="s">
        <v>436</v>
      </c>
      <c r="H1018" t="s">
        <v>1187</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1.5036475172655738E-6</v>
      </c>
      <c r="U1018" s="94">
        <f>IF('Net zero activities &amp; levers'!$C$12="Off",'Activity data'!AN48*FracLEACH*MSLeachEF*NtoN2O*kgtoGg,'Net zero Activity data'!R48*FracLEACH*MSLeachEF*NtoN2O*kgtoGg)</f>
        <v>1.5029332092414877E-6</v>
      </c>
      <c r="V1018" s="94">
        <f>IF('Net zero activities &amp; levers'!$C$12="Off",'Activity data'!AO48*FracLEACH*MSLeachEF*NtoN2O*kgtoGg,'Net zero Activity data'!S48*FracLEACH*MSLeachEF*NtoN2O*kgtoGg)</f>
        <v>1.5025394573242125E-6</v>
      </c>
      <c r="W1018" s="94">
        <f>IF('Net zero activities &amp; levers'!$C$12="Off",'Activity data'!AP48*FracLEACH*MSLeachEF*NtoN2O*kgtoGg,'Net zero Activity data'!T48*FracLEACH*MSLeachEF*NtoN2O*kgtoGg)</f>
        <v>1.5023866422625144E-6</v>
      </c>
      <c r="X1018" s="94">
        <f>IF('Net zero activities &amp; levers'!$C$12="Off",'Activity data'!AQ48*FracLEACH*MSLeachEF*NtoN2O*kgtoGg,'Net zero Activity data'!U48*FracLEACH*MSLeachEF*NtoN2O*kgtoGg)</f>
        <v>1.5022218185143764E-6</v>
      </c>
      <c r="Y1018" s="94">
        <f>IF('Net zero activities &amp; levers'!$C$12="Off",'Activity data'!AR48*FracLEACH*MSLeachEF*NtoN2O*kgtoGg,'Net zero Activity data'!V48*FracLEACH*MSLeachEF*NtoN2O*kgtoGg)</f>
        <v>1.5019938300590255E-6</v>
      </c>
      <c r="Z1018" s="94">
        <f>IF('Net zero activities &amp; levers'!$C$12="Off",'Activity data'!AS48*FracLEACH*MSLeachEF*NtoN2O*kgtoGg,'Net zero Activity data'!W48*FracLEACH*MSLeachEF*NtoN2O*kgtoGg)</f>
        <v>1.5017063817800821E-6</v>
      </c>
      <c r="AA1018" s="94">
        <f>IF('Net zero activities &amp; levers'!$C$12="Off",'Activity data'!AT48*FracLEACH*MSLeachEF*NtoN2O*kgtoGg,'Net zero Activity data'!X48*FracLEACH*MSLeachEF*NtoN2O*kgtoGg)</f>
        <v>1.5013921423183768E-6</v>
      </c>
      <c r="AB1018" s="94">
        <f>IF('Net zero activities &amp; levers'!$C$12="Off",'Activity data'!AU48*FracLEACH*MSLeachEF*NtoN2O*kgtoGg,'Net zero Activity data'!Y48*FracLEACH*MSLeachEF*NtoN2O*kgtoGg)</f>
        <v>1.5010434958298549E-6</v>
      </c>
      <c r="AC1018" s="94">
        <f>IF('Net zero activities &amp; levers'!$C$12="Off",'Activity data'!AV48*FracLEACH*MSLeachEF*NtoN2O*kgtoGg,'Net zero Activity data'!Z48*FracLEACH*MSLeachEF*NtoN2O*kgtoGg)</f>
        <v>1.5006363342786528E-6</v>
      </c>
      <c r="AD1018" s="94">
        <f>IF('Net zero activities &amp; levers'!$C$12="Off",'Activity data'!AW48*FracLEACH*MSLeachEF*NtoN2O*kgtoGg,'Net zero Activity data'!AA48*FracLEACH*MSLeachEF*NtoN2O*kgtoGg)</f>
        <v>1.5001764206267405E-6</v>
      </c>
      <c r="AE1018" s="94">
        <f>IF('Net zero activities &amp; levers'!$C$12="Off",'Activity data'!AX48*FracLEACH*MSLeachEF*NtoN2O*kgtoGg,'Net zero Activity data'!AB48*FracLEACH*MSLeachEF*NtoN2O*kgtoGg)</f>
        <v>1.4996891890590088E-6</v>
      </c>
      <c r="AF1018" s="94">
        <f>IF('Net zero activities &amp; levers'!$C$12="Off",'Activity data'!AY48*FracLEACH*MSLeachEF*NtoN2O*kgtoGg,'Net zero Activity data'!AC48*FracLEACH*MSLeachEF*NtoN2O*kgtoGg)</f>
        <v>1.4991774856338616E-6</v>
      </c>
      <c r="AG1018" s="94">
        <f>IF('Net zero activities &amp; levers'!$C$12="Off",'Activity data'!AZ48*FracLEACH*MSLeachEF*NtoN2O*kgtoGg,'Net zero Activity data'!AD48*FracLEACH*MSLeachEF*NtoN2O*kgtoGg)</f>
        <v>1.4986549855744315E-6</v>
      </c>
      <c r="AH1018" s="94">
        <f>IF('Net zero activities &amp; levers'!$C$12="Off",'Activity data'!BA48*FracLEACH*MSLeachEF*NtoN2O*kgtoGg,'Net zero Activity data'!AE48*FracLEACH*MSLeachEF*NtoN2O*kgtoGg)</f>
        <v>1.4981173933298619E-6</v>
      </c>
      <c r="AI1018" s="94">
        <f>IF('Net zero activities &amp; levers'!$C$12="Off",'Activity data'!BB48*FracLEACH*MSLeachEF*NtoN2O*kgtoGg,'Net zero Activity data'!AF48*FracLEACH*MSLeachEF*NtoN2O*kgtoGg)</f>
        <v>1.4975713088731927E-6</v>
      </c>
      <c r="AJ1018" s="94">
        <f>IF('Net zero activities &amp; levers'!$C$12="Off",'Activity data'!BC48*FracLEACH*MSLeachEF*NtoN2O*kgtoGg,'Net zero Activity data'!AG48*FracLEACH*MSLeachEF*NtoN2O*kgtoGg)</f>
        <v>1.4970367770148105E-6</v>
      </c>
      <c r="AK1018" s="94">
        <f>IF('Net zero activities &amp; levers'!$C$12="Off",'Activity data'!BD48*FracLEACH*MSLeachEF*NtoN2O*kgtoGg,'Net zero Activity data'!AH48*FracLEACH*MSLeachEF*NtoN2O*kgtoGg)</f>
        <v>1.4964862866922644E-6</v>
      </c>
      <c r="AL1018" s="94">
        <f>IF('Net zero activities &amp; levers'!$C$12="Off",'Activity data'!BE48*FracLEACH*MSLeachEF*NtoN2O*kgtoGg,'Net zero Activity data'!AI48*FracLEACH*MSLeachEF*NtoN2O*kgtoGg)</f>
        <v>1.4959382690343105E-6</v>
      </c>
      <c r="AM1018" s="94">
        <f>IF('Net zero activities &amp; levers'!$C$12="Off",'Activity data'!BF48*FracLEACH*MSLeachEF*NtoN2O*kgtoGg,'Net zero Activity data'!AJ48*FracLEACH*MSLeachEF*NtoN2O*kgtoGg)</f>
        <v>1.4953941712712119E-6</v>
      </c>
      <c r="AN1018" s="94">
        <f>IF('Net zero activities &amp; levers'!$C$12="Off",'Activity data'!BG48*FracLEACH*MSLeachEF*NtoN2O*kgtoGg,'Net zero Activity data'!AK48*FracLEACH*MSLeachEF*NtoN2O*kgtoGg)</f>
        <v>1.4948463610371335E-6</v>
      </c>
      <c r="AO1018" s="94">
        <f>IF('Net zero activities &amp; levers'!$C$12="Off",'Activity data'!BH48*FracLEACH*MSLeachEF*NtoN2O*kgtoGg,'Net zero Activity data'!AL48*FracLEACH*MSLeachEF*NtoN2O*kgtoGg)</f>
        <v>1.4943138001031867E-6</v>
      </c>
      <c r="AP1018" s="94">
        <f>IF('Net zero activities &amp; levers'!$C$12="Off",'Activity data'!BI48*FracLEACH*MSLeachEF*NtoN2O*kgtoGg,'Net zero Activity data'!AM48*FracLEACH*MSLeachEF*NtoN2O*kgtoGg)</f>
        <v>1.4937709093177149E-6</v>
      </c>
      <c r="AQ1018" s="94">
        <f>IF('Net zero activities &amp; levers'!$C$12="Off",'Activity data'!BJ48*FracLEACH*MSLeachEF*NtoN2O*kgtoGg,'Net zero Activity data'!AN48*FracLEACH*MSLeachEF*NtoN2O*kgtoGg)</f>
        <v>1.4932098649018236E-6</v>
      </c>
      <c r="AR1018" s="94">
        <f>IF('Net zero activities &amp; levers'!$C$12="Off",'Activity data'!BK48*FracLEACH*MSLeachEF*NtoN2O*kgtoGg,'Net zero Activity data'!AO48*FracLEACH*MSLeachEF*NtoN2O*kgtoGg)</f>
        <v>1.4926466708143633E-6</v>
      </c>
      <c r="AS1018" s="94">
        <f>IF('Net zero activities &amp; levers'!$C$12="Off",'Activity data'!BL48*FracLEACH*MSLeachEF*NtoN2O*kgtoGg,'Net zero Activity data'!AP48*FracLEACH*MSLeachEF*NtoN2O*kgtoGg)</f>
        <v>1.4920808835740333E-6</v>
      </c>
      <c r="AT1018" s="94">
        <f>IF('Net zero activities &amp; levers'!$C$12="Off",'Activity data'!BM48*FracLEACH*MSLeachEF*NtoN2O*kgtoGg,'Net zero Activity data'!AQ48*FracLEACH*MSLeachEF*NtoN2O*kgtoGg)</f>
        <v>1.4914976082060963E-6</v>
      </c>
      <c r="AU1018" s="94">
        <f>IF('Net zero activities &amp; levers'!$C$12="Off",'Activity data'!BN48*FracLEACH*MSLeachEF*NtoN2O*kgtoGg,'Net zero Activity data'!AR48*FracLEACH*MSLeachEF*NtoN2O*kgtoGg)</f>
        <v>1.4909031636153342E-6</v>
      </c>
      <c r="AV1018" s="94">
        <f>IF('Net zero activities &amp; levers'!$C$12="Off",'Activity data'!BO48*FracLEACH*MSLeachEF*NtoN2O*kgtoGg,'Net zero Activity data'!AS48*FracLEACH*MSLeachEF*NtoN2O*kgtoGg)</f>
        <v>1.4903017994391313E-6</v>
      </c>
      <c r="AW1018" s="94">
        <f>IF('Net zero activities &amp; levers'!$C$12="Off",'Activity data'!BP48*FracLEACH*MSLeachEF*NtoN2O*kgtoGg,'Net zero Activity data'!AT48*FracLEACH*MSLeachEF*NtoN2O*kgtoGg)</f>
        <v>1.4896851558177531E-6</v>
      </c>
      <c r="AY1018" s="79"/>
      <c r="AZ1018" s="79"/>
    </row>
    <row r="1019" spans="1:52" x14ac:dyDescent="0.25">
      <c r="A1019" s="95" t="str">
        <f t="shared" si="345"/>
        <v>DS Leaching</v>
      </c>
      <c r="B1019" s="95" t="s">
        <v>973</v>
      </c>
      <c r="C1019" s="95" t="s">
        <v>1189</v>
      </c>
      <c r="D1019" t="s">
        <v>369</v>
      </c>
      <c r="E1019" t="s">
        <v>61</v>
      </c>
      <c r="F1019" t="s">
        <v>63</v>
      </c>
      <c r="G1019" t="s">
        <v>437</v>
      </c>
      <c r="H1019" t="s">
        <v>1188</v>
      </c>
      <c r="I1019" t="s">
        <v>139</v>
      </c>
      <c r="J1019" t="s">
        <v>287</v>
      </c>
      <c r="K1019" s="94">
        <f>IF('Net zero activities &amp; levers'!$C$12="Off",SUM('Activity data'!AD50:AD65)*FracLEACH*MSLeachEF*NtoN2O*kgtoGg,SUM('Net zero Activity data'!AD50:AD65)*FracLEACH*MSLeachEF*NtoN2O*kgtoGg)</f>
        <v>0.20714502561891826</v>
      </c>
      <c r="L1019" s="94">
        <f>IF('Net zero activities &amp; levers'!$C$12="Off",SUM('Activity data'!AE50:AE65)*FracLEACH*MSLeachEF*NtoN2O*kgtoGg,SUM('Net zero Activity data'!AE50:AE65)*FracLEACH*MSLeachEF*NtoN2O*kgtoGg)</f>
        <v>0.20732835560623097</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0.20795637847695561</v>
      </c>
      <c r="O1019" s="94">
        <f>IF('Net zero activities &amp; levers'!$C$12="Off",SUM('Activity data'!AH50:AH65)*FracLEACH*MSLeachEF*NtoN2O*kgtoGg,SUM('Net zero Activity data'!AH50:AH65)*FracLEACH*MSLeachEF*NtoN2O*kgtoGg)</f>
        <v>0.20628301821112818</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0.18345421452632232</v>
      </c>
      <c r="T1019" s="94">
        <f>IF('Net zero activities &amp; levers'!$C$12="Off",SUM('Activity data'!AM50:AM65)*FracLEACH*MSLeachEF*NtoN2O*kgtoGg,SUM('Net zero Activity data'!AM50:AM65)*FracLEACH*MSLeachEF*NtoN2O*kgtoGg)</f>
        <v>0.19195652777420363</v>
      </c>
      <c r="U1019" s="94">
        <f>IF('Net zero activities &amp; levers'!$C$12="Off",SUM('Activity data'!AN50:AN65)*FracLEACH*MSLeachEF*NtoN2O*kgtoGg,SUM('Net zero Activity data'!AN50:AN65)*FracLEACH*MSLeachEF*NtoN2O*kgtoGg)</f>
        <v>0.19560562647572965</v>
      </c>
      <c r="V1019" s="94">
        <f>IF('Net zero activities &amp; levers'!$C$12="Off",SUM('Activity data'!AO50:AO65)*FracLEACH*MSLeachEF*NtoN2O*kgtoGg,SUM('Net zero Activity data'!AO50:AO65)*FracLEACH*MSLeachEF*NtoN2O*kgtoGg)</f>
        <v>0.19551310879477027</v>
      </c>
      <c r="W1019" s="94">
        <f>IF('Net zero activities &amp; levers'!$C$12="Off",SUM('Activity data'!AP50:AP65)*FracLEACH*MSLeachEF*NtoN2O*kgtoGg,SUM('Net zero Activity data'!AP50:AP65)*FracLEACH*MSLeachEF*NtoN2O*kgtoGg)</f>
        <v>0.19564383614228145</v>
      </c>
      <c r="X1019" s="94">
        <f>IF('Net zero activities &amp; levers'!$C$12="Off",SUM('Activity data'!AQ50:AQ65)*FracLEACH*MSLeachEF*NtoN2O*kgtoGg,SUM('Net zero Activity data'!AQ50:AQ65)*FracLEACH*MSLeachEF*NtoN2O*kgtoGg)</f>
        <v>0.19679206133543856</v>
      </c>
      <c r="Y1019" s="94">
        <f>IF('Net zero activities &amp; levers'!$C$12="Off",SUM('Activity data'!AR50:AR65)*FracLEACH*MSLeachEF*NtoN2O*kgtoGg,SUM('Net zero Activity data'!AR50:AR65)*FracLEACH*MSLeachEF*NtoN2O*kgtoGg)</f>
        <v>0.19890232993686438</v>
      </c>
      <c r="Z1019" s="94">
        <f>IF('Net zero activities &amp; levers'!$C$12="Off",SUM('Activity data'!AS50:AS65)*FracLEACH*MSLeachEF*NtoN2O*kgtoGg,SUM('Net zero Activity data'!AS50:AS65)*FracLEACH*MSLeachEF*NtoN2O*kgtoGg)</f>
        <v>0.20146830931876691</v>
      </c>
      <c r="AA1019" s="94">
        <f>IF('Net zero activities &amp; levers'!$C$12="Off",SUM('Activity data'!AT50:AT65)*FracLEACH*MSLeachEF*NtoN2O*kgtoGg,SUM('Net zero Activity data'!AT50:AT65)*FracLEACH*MSLeachEF*NtoN2O*kgtoGg)</f>
        <v>0.20461592637751433</v>
      </c>
      <c r="AB1019" s="94">
        <f>IF('Net zero activities &amp; levers'!$C$12="Off",SUM('Activity data'!AU50:AU65)*FracLEACH*MSLeachEF*NtoN2O*kgtoGg,SUM('Net zero Activity data'!AU50:AU65)*FracLEACH*MSLeachEF*NtoN2O*kgtoGg)</f>
        <v>0.20874173146877406</v>
      </c>
      <c r="AC1019" s="94">
        <f>IF('Net zero activities &amp; levers'!$C$12="Off",SUM('Activity data'!AV50:AV65)*FracLEACH*MSLeachEF*NtoN2O*kgtoGg,SUM('Net zero Activity data'!AV50:AV65)*FracLEACH*MSLeachEF*NtoN2O*kgtoGg)</f>
        <v>0.21378261140903454</v>
      </c>
      <c r="AD1019" s="94">
        <f>IF('Net zero activities &amp; levers'!$C$12="Off",SUM('Activity data'!AW50:AW65)*FracLEACH*MSLeachEF*NtoN2O*kgtoGg,SUM('Net zero Activity data'!AW50:AW65)*FracLEACH*MSLeachEF*NtoN2O*kgtoGg)</f>
        <v>0.21859679605850485</v>
      </c>
      <c r="AE1019" s="94">
        <f>IF('Net zero activities &amp; levers'!$C$12="Off",SUM('Activity data'!AX50:AX65)*FracLEACH*MSLeachEF*NtoN2O*kgtoGg,SUM('Net zero Activity data'!AX50:AX65)*FracLEACH*MSLeachEF*NtoN2O*kgtoGg)</f>
        <v>0.22386984820151812</v>
      </c>
      <c r="AF1019" s="94">
        <f>IF('Net zero activities &amp; levers'!$C$12="Off",SUM('Activity data'!AY50:AY65)*FracLEACH*MSLeachEF*NtoN2O*kgtoGg,SUM('Net zero Activity data'!AY50:AY65)*FracLEACH*MSLeachEF*NtoN2O*kgtoGg)</f>
        <v>0.22938844096453867</v>
      </c>
      <c r="AG1019" s="94">
        <f>IF('Net zero activities &amp; levers'!$C$12="Off",SUM('Activity data'!AZ50:AZ65)*FracLEACH*MSLeachEF*NtoN2O*kgtoGg,SUM('Net zero Activity data'!AZ50:AZ65)*FracLEACH*MSLeachEF*NtoN2O*kgtoGg)</f>
        <v>0.23523527981160089</v>
      </c>
      <c r="AH1019" s="94">
        <f>IF('Net zero activities &amp; levers'!$C$12="Off",SUM('Activity data'!BA50:BA65)*FracLEACH*MSLeachEF*NtoN2O*kgtoGg,SUM('Net zero Activity data'!BA50:BA65)*FracLEACH*MSLeachEF*NtoN2O*kgtoGg)</f>
        <v>0.24130885941961319</v>
      </c>
      <c r="AI1019" s="94">
        <f>IF('Net zero activities &amp; levers'!$C$12="Off",SUM('Activity data'!BB50:BB65)*FracLEACH*MSLeachEF*NtoN2O*kgtoGg,SUM('Net zero Activity data'!BB50:BB65)*FracLEACH*MSLeachEF*NtoN2O*kgtoGg)</f>
        <v>0.2472639040241959</v>
      </c>
      <c r="AJ1019" s="94">
        <f>IF('Net zero activities &amp; levers'!$C$12="Off",SUM('Activity data'!BC50:BC65)*FracLEACH*MSLeachEF*NtoN2O*kgtoGg,SUM('Net zero Activity data'!BC50:BC65)*FracLEACH*MSLeachEF*NtoN2O*kgtoGg)</f>
        <v>0.2535862034929412</v>
      </c>
      <c r="AK1019" s="94">
        <f>IF('Net zero activities &amp; levers'!$C$12="Off",SUM('Activity data'!BD50:BD65)*FracLEACH*MSLeachEF*NtoN2O*kgtoGg,SUM('Net zero Activity data'!BD50:BD65)*FracLEACH*MSLeachEF*NtoN2O*kgtoGg)</f>
        <v>0.25995553558112644</v>
      </c>
      <c r="AL1019" s="94">
        <f>IF('Net zero activities &amp; levers'!$C$12="Off",SUM('Activity data'!BE50:BE65)*FracLEACH*MSLeachEF*NtoN2O*kgtoGg,SUM('Net zero Activity data'!BE50:BE65)*FracLEACH*MSLeachEF*NtoN2O*kgtoGg)</f>
        <v>0.26634495696174137</v>
      </c>
      <c r="AM1019" s="94">
        <f>IF('Net zero activities &amp; levers'!$C$12="Off",SUM('Activity data'!BF50:BF65)*FracLEACH*MSLeachEF*NtoN2O*kgtoGg,SUM('Net zero Activity data'!BF50:BF65)*FracLEACH*MSLeachEF*NtoN2O*kgtoGg)</f>
        <v>0.27289661467925691</v>
      </c>
      <c r="AN1019" s="94">
        <f>IF('Net zero activities &amp; levers'!$C$12="Off",SUM('Activity data'!BG50:BG65)*FracLEACH*MSLeachEF*NtoN2O*kgtoGg,SUM('Net zero Activity data'!BG50:BG65)*FracLEACH*MSLeachEF*NtoN2O*kgtoGg)</f>
        <v>0.27977832241045703</v>
      </c>
      <c r="AO1019" s="94">
        <f>IF('Net zero activities &amp; levers'!$C$12="Off",SUM('Activity data'!BH50:BH65)*FracLEACH*MSLeachEF*NtoN2O*kgtoGg,SUM('Net zero Activity data'!BH50:BH65)*FracLEACH*MSLeachEF*NtoN2O*kgtoGg)</f>
        <v>0.28698321848664521</v>
      </c>
      <c r="AP1019" s="94">
        <f>IF('Net zero activities &amp; levers'!$C$12="Off",SUM('Activity data'!BI50:BI65)*FracLEACH*MSLeachEF*NtoN2O*kgtoGg,SUM('Net zero Activity data'!BI50:BI65)*FracLEACH*MSLeachEF*NtoN2O*kgtoGg)</f>
        <v>0.29468105355097846</v>
      </c>
      <c r="AQ1019" s="94">
        <f>IF('Net zero activities &amp; levers'!$C$12="Off",SUM('Activity data'!BJ50:BJ65)*FracLEACH*MSLeachEF*NtoN2O*kgtoGg,SUM('Net zero Activity data'!BJ50:BJ65)*FracLEACH*MSLeachEF*NtoN2O*kgtoGg)</f>
        <v>0.3025714710334354</v>
      </c>
      <c r="AR1019" s="94">
        <f>IF('Net zero activities &amp; levers'!$C$12="Off",SUM('Activity data'!BK50:BK65)*FracLEACH*MSLeachEF*NtoN2O*kgtoGg,SUM('Net zero Activity data'!BK50:BK65)*FracLEACH*MSLeachEF*NtoN2O*kgtoGg)</f>
        <v>0.31067004429321721</v>
      </c>
      <c r="AS1019" s="94">
        <f>IF('Net zero activities &amp; levers'!$C$12="Off",SUM('Activity data'!BL50:BL65)*FracLEACH*MSLeachEF*NtoN2O*kgtoGg,SUM('Net zero Activity data'!BL50:BL65)*FracLEACH*MSLeachEF*NtoN2O*kgtoGg)</f>
        <v>0.31929860938507826</v>
      </c>
      <c r="AT1019" s="94">
        <f>IF('Net zero activities &amp; levers'!$C$12="Off",SUM('Activity data'!BM50:BM65)*FracLEACH*MSLeachEF*NtoN2O*kgtoGg,SUM('Net zero Activity data'!BM50:BM65)*FracLEACH*MSLeachEF*NtoN2O*kgtoGg)</f>
        <v>0.32834824969387966</v>
      </c>
      <c r="AU1019" s="94">
        <f>IF('Net zero activities &amp; levers'!$C$12="Off",SUM('Activity data'!BN50:BN65)*FracLEACH*MSLeachEF*NtoN2O*kgtoGg,SUM('Net zero Activity data'!BN50:BN65)*FracLEACH*MSLeachEF*NtoN2O*kgtoGg)</f>
        <v>0.33774569605035937</v>
      </c>
      <c r="AV1019" s="94">
        <f>IF('Net zero activities &amp; levers'!$C$12="Off",SUM('Activity data'!BO50:BO65)*FracLEACH*MSLeachEF*NtoN2O*kgtoGg,SUM('Net zero Activity data'!BO50:BO65)*FracLEACH*MSLeachEF*NtoN2O*kgtoGg)</f>
        <v>0.34769528474374956</v>
      </c>
      <c r="AW1019" s="94">
        <f>IF('Net zero activities &amp; levers'!$C$12="Off",SUM('Activity data'!BP50:BP65)*FracLEACH*MSLeachEF*NtoN2O*kgtoGg,SUM('Net zero Activity data'!BP50:BP65)*FracLEACH*MSLeachEF*NtoN2O*kgtoGg)</f>
        <v>0.3570064156976871</v>
      </c>
      <c r="AY1019" s="79"/>
      <c r="AZ1019" s="79"/>
    </row>
    <row r="1020" spans="1:52" x14ac:dyDescent="0.25">
      <c r="A1020" s="95" t="str">
        <f t="shared" si="345"/>
        <v>DS Leaching</v>
      </c>
      <c r="B1020" s="95" t="s">
        <v>973</v>
      </c>
      <c r="C1020" s="95" t="s">
        <v>1189</v>
      </c>
      <c r="D1020" t="s">
        <v>369</v>
      </c>
      <c r="E1020" t="s">
        <v>61</v>
      </c>
      <c r="F1020" t="s">
        <v>63</v>
      </c>
      <c r="G1020" t="s">
        <v>438</v>
      </c>
      <c r="H1020" t="s">
        <v>1190</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5">
      <c r="A1021" s="95" t="str">
        <f t="shared" si="345"/>
        <v>DS Leaching</v>
      </c>
      <c r="B1021" s="95" t="s">
        <v>973</v>
      </c>
      <c r="C1021" s="95" t="s">
        <v>1189</v>
      </c>
      <c r="D1021" t="s">
        <v>369</v>
      </c>
      <c r="E1021" t="s">
        <v>61</v>
      </c>
      <c r="F1021" t="s">
        <v>63</v>
      </c>
      <c r="G1021" t="s">
        <v>439</v>
      </c>
      <c r="H1021" t="s">
        <v>1191</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0.10248443536314014</v>
      </c>
      <c r="U1021" s="22">
        <f t="shared" si="356"/>
        <v>0.10329242458615623</v>
      </c>
      <c r="V1021" s="22">
        <f t="shared" si="356"/>
        <v>0.1037378169028777</v>
      </c>
      <c r="W1021" s="22">
        <f t="shared" si="356"/>
        <v>0.10391067359607317</v>
      </c>
      <c r="X1021" s="22">
        <f t="shared" si="356"/>
        <v>0.10409711390991817</v>
      </c>
      <c r="Y1021" s="22">
        <f t="shared" si="356"/>
        <v>0.10435500295593778</v>
      </c>
      <c r="Z1021" s="22">
        <f t="shared" si="356"/>
        <v>0.10468014995657268</v>
      </c>
      <c r="AA1021" s="22">
        <f t="shared" si="356"/>
        <v>0.10503560179239499</v>
      </c>
      <c r="AB1021" s="22">
        <f t="shared" si="356"/>
        <v>0.10542997312222666</v>
      </c>
      <c r="AC1021" s="22">
        <f t="shared" si="356"/>
        <v>0.10589053374076159</v>
      </c>
      <c r="AD1021" s="22">
        <f t="shared" si="356"/>
        <v>0.10641076487597649</v>
      </c>
      <c r="AE1021" s="22">
        <f t="shared" si="356"/>
        <v>0.10696189666025695</v>
      </c>
      <c r="AF1021" s="22">
        <f t="shared" si="356"/>
        <v>0.10754070977582914</v>
      </c>
      <c r="AG1021" s="22">
        <f t="shared" si="356"/>
        <v>0.10813173549975955</v>
      </c>
      <c r="AH1021" s="22">
        <f t="shared" si="356"/>
        <v>0.10873983274260557</v>
      </c>
      <c r="AI1021" s="22">
        <f t="shared" si="356"/>
        <v>0.10935753594761956</v>
      </c>
      <c r="AJ1021" s="22">
        <f t="shared" si="356"/>
        <v>0.10996217143590806</v>
      </c>
      <c r="AK1021" s="22">
        <f t="shared" si="356"/>
        <v>0.11058485833426822</v>
      </c>
      <c r="AL1021" s="22">
        <f t="shared" si="356"/>
        <v>0.11120474827910765</v>
      </c>
      <c r="AM1021" s="22">
        <f t="shared" si="356"/>
        <v>0.11182020423651956</v>
      </c>
      <c r="AN1021" s="22">
        <f t="shared" si="356"/>
        <v>0.11243985955392911</v>
      </c>
      <c r="AO1021" s="22">
        <f t="shared" si="356"/>
        <v>0.11304226563186594</v>
      </c>
      <c r="AP1021" s="22">
        <f t="shared" si="356"/>
        <v>0.1136563563170396</v>
      </c>
      <c r="AQ1021" s="22">
        <f t="shared" si="356"/>
        <v>0.1142909814736776</v>
      </c>
      <c r="AR1021" s="22">
        <f t="shared" si="356"/>
        <v>0.11492803823041334</v>
      </c>
      <c r="AS1021" s="22">
        <f t="shared" si="356"/>
        <v>0.11556802823093357</v>
      </c>
      <c r="AT1021" s="22">
        <f t="shared" si="356"/>
        <v>0.11622779991969046</v>
      </c>
      <c r="AU1021" s="22">
        <f t="shared" si="356"/>
        <v>0.11690020567017985</v>
      </c>
      <c r="AV1021" s="22">
        <f t="shared" si="356"/>
        <v>0.11758043850684917</v>
      </c>
      <c r="AW1021" s="22">
        <f t="shared" si="356"/>
        <v>0.11827795468154553</v>
      </c>
      <c r="AY1021" s="79"/>
      <c r="AZ1021" s="79"/>
    </row>
    <row r="1022" spans="1:52" x14ac:dyDescent="0.25">
      <c r="A1022" s="95" t="str">
        <f t="shared" si="345"/>
        <v>DS Leaching</v>
      </c>
      <c r="B1022" s="95" t="s">
        <v>973</v>
      </c>
      <c r="C1022" s="95" t="s">
        <v>1189</v>
      </c>
      <c r="D1022" t="s">
        <v>369</v>
      </c>
      <c r="E1022" t="s">
        <v>61</v>
      </c>
      <c r="F1022" t="s">
        <v>63</v>
      </c>
      <c r="G1022" t="s">
        <v>1192</v>
      </c>
      <c r="H1022" t="s">
        <v>1193</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5">
      <c r="A1023" s="95" t="str">
        <f t="shared" si="345"/>
        <v>DS Leaching</v>
      </c>
      <c r="B1023" s="95" t="s">
        <v>973</v>
      </c>
      <c r="C1023" s="95" t="s">
        <v>1189</v>
      </c>
      <c r="D1023" t="s">
        <v>369</v>
      </c>
      <c r="E1023" t="s">
        <v>61</v>
      </c>
      <c r="F1023" t="s">
        <v>63</v>
      </c>
      <c r="G1023" t="s">
        <v>1194</v>
      </c>
      <c r="H1023" t="s">
        <v>1195</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5">
      <c r="A1024" s="95" t="str">
        <f t="shared" si="345"/>
        <v>DS Leaching</v>
      </c>
      <c r="B1024" s="95" t="s">
        <v>973</v>
      </c>
      <c r="C1024" s="95" t="s">
        <v>1189</v>
      </c>
      <c r="D1024" t="s">
        <v>369</v>
      </c>
      <c r="E1024" t="s">
        <v>61</v>
      </c>
      <c r="F1024" t="s">
        <v>63</v>
      </c>
      <c r="G1024" t="s">
        <v>1196</v>
      </c>
      <c r="H1024" t="s">
        <v>1197</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5">
      <c r="A1025" s="95" t="str">
        <f t="shared" si="345"/>
        <v>DS Leaching</v>
      </c>
      <c r="B1025" s="95" t="s">
        <v>973</v>
      </c>
      <c r="C1025" s="95" t="s">
        <v>1189</v>
      </c>
      <c r="D1025" t="s">
        <v>369</v>
      </c>
      <c r="E1025" t="s">
        <v>61</v>
      </c>
      <c r="F1025" t="s">
        <v>63</v>
      </c>
      <c r="G1025" t="s">
        <v>1198</v>
      </c>
      <c r="H1025" t="s">
        <v>1199</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5">
      <c r="A1026" s="95" t="str">
        <f t="shared" si="345"/>
        <v>DS Leaching</v>
      </c>
      <c r="B1026" s="95" t="s">
        <v>973</v>
      </c>
      <c r="C1026" s="95" t="s">
        <v>1189</v>
      </c>
      <c r="D1026" t="s">
        <v>369</v>
      </c>
      <c r="E1026" t="s">
        <v>61</v>
      </c>
      <c r="F1026" t="s">
        <v>63</v>
      </c>
      <c r="G1026" t="s">
        <v>1200</v>
      </c>
      <c r="H1026" t="s">
        <v>1201</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5">
      <c r="A1027" s="95" t="str">
        <f t="shared" si="345"/>
        <v>DS Leaching</v>
      </c>
      <c r="B1027" s="95" t="s">
        <v>973</v>
      </c>
      <c r="C1027" s="95" t="s">
        <v>1189</v>
      </c>
      <c r="D1027" t="s">
        <v>369</v>
      </c>
      <c r="E1027" t="s">
        <v>61</v>
      </c>
      <c r="F1027" t="s">
        <v>63</v>
      </c>
      <c r="G1027" t="s">
        <v>1202</v>
      </c>
      <c r="H1027" t="s">
        <v>1203</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5">
      <c r="A1028" s="95" t="str">
        <f t="shared" si="345"/>
        <v>DS Leaching</v>
      </c>
      <c r="B1028" s="95" t="s">
        <v>973</v>
      </c>
      <c r="C1028" s="95" t="s">
        <v>1189</v>
      </c>
      <c r="D1028" t="s">
        <v>369</v>
      </c>
      <c r="E1028" t="s">
        <v>61</v>
      </c>
      <c r="F1028" t="s">
        <v>63</v>
      </c>
      <c r="G1028" t="s">
        <v>1204</v>
      </c>
      <c r="H1028" t="s">
        <v>1205</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5">
      <c r="A1029" s="95" t="str">
        <f t="shared" si="345"/>
        <v>DS Leaching</v>
      </c>
      <c r="B1029" s="95" t="s">
        <v>973</v>
      </c>
      <c r="C1029" s="95" t="s">
        <v>1189</v>
      </c>
      <c r="D1029" t="s">
        <v>369</v>
      </c>
      <c r="E1029" t="s">
        <v>61</v>
      </c>
      <c r="F1029" t="s">
        <v>63</v>
      </c>
      <c r="G1029" t="s">
        <v>1206</v>
      </c>
      <c r="H1029" t="s">
        <v>1207</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5">
      <c r="A1030" s="95" t="str">
        <f t="shared" si="345"/>
        <v>DS Leaching</v>
      </c>
      <c r="B1030" s="95" t="s">
        <v>973</v>
      </c>
      <c r="C1030" s="95" t="s">
        <v>1189</v>
      </c>
      <c r="D1030" t="s">
        <v>369</v>
      </c>
      <c r="E1030" t="s">
        <v>61</v>
      </c>
      <c r="F1030" t="s">
        <v>63</v>
      </c>
      <c r="G1030" t="s">
        <v>1208</v>
      </c>
      <c r="H1030" t="s">
        <v>1209</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5">
      <c r="A1031" s="95" t="str">
        <f t="shared" si="345"/>
        <v>DS Leaching</v>
      </c>
      <c r="B1031" s="95" t="s">
        <v>973</v>
      </c>
      <c r="C1031" s="95" t="s">
        <v>1189</v>
      </c>
      <c r="D1031" t="s">
        <v>369</v>
      </c>
      <c r="E1031" t="s">
        <v>61</v>
      </c>
      <c r="F1031" t="s">
        <v>63</v>
      </c>
      <c r="G1031" t="s">
        <v>1210</v>
      </c>
      <c r="H1031" t="s">
        <v>1211</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5">
      <c r="A1032" s="95" t="str">
        <f t="shared" si="345"/>
        <v>DS Leaching</v>
      </c>
      <c r="B1032" s="95" t="s">
        <v>973</v>
      </c>
      <c r="C1032" s="95" t="s">
        <v>1189</v>
      </c>
      <c r="D1032" t="s">
        <v>369</v>
      </c>
      <c r="E1032" t="s">
        <v>61</v>
      </c>
      <c r="F1032" t="s">
        <v>63</v>
      </c>
      <c r="G1032" t="s">
        <v>1212</v>
      </c>
      <c r="H1032" t="s">
        <v>1213</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5">
      <c r="A1033" s="95" t="str">
        <f t="shared" si="345"/>
        <v xml:space="preserve">DS </v>
      </c>
      <c r="B1033" s="95" t="s">
        <v>973</v>
      </c>
      <c r="C1033" s="95"/>
      <c r="D1033" t="s">
        <v>369</v>
      </c>
      <c r="E1033" t="s">
        <v>61</v>
      </c>
      <c r="F1033" t="s">
        <v>63</v>
      </c>
      <c r="G1033" t="s">
        <v>1214</v>
      </c>
      <c r="H1033" t="s">
        <v>1215</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5">
      <c r="A1034" s="95" t="str">
        <f t="shared" si="345"/>
        <v>DS MM Volatilisation</v>
      </c>
      <c r="B1034" s="95" t="s">
        <v>973</v>
      </c>
      <c r="C1034" s="95" t="s">
        <v>1331</v>
      </c>
      <c r="D1034" t="s">
        <v>369</v>
      </c>
      <c r="E1034" t="s">
        <v>64</v>
      </c>
      <c r="F1034" t="s">
        <v>62</v>
      </c>
      <c r="G1034" t="s">
        <v>1151</v>
      </c>
      <c r="H1034" t="s">
        <v>1289</v>
      </c>
      <c r="I1034" t="s">
        <v>139</v>
      </c>
      <c r="J1034" t="s">
        <v>287</v>
      </c>
      <c r="K1034" s="22">
        <f t="shared" ref="K1034:AW1034" si="360">K1531</f>
        <v>0.39609736661915962</v>
      </c>
      <c r="L1034" s="22">
        <f t="shared" si="360"/>
        <v>0.39831175345583053</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0.40855374420631202</v>
      </c>
      <c r="S1034" s="22">
        <f t="shared" si="360"/>
        <v>0.39675335904637443</v>
      </c>
      <c r="T1034" s="22">
        <f t="shared" si="360"/>
        <v>0.40475430836671095</v>
      </c>
      <c r="U1034" s="22">
        <f t="shared" si="360"/>
        <v>0.40872605361155973</v>
      </c>
      <c r="V1034" s="22">
        <f t="shared" si="360"/>
        <v>0.40976331225325113</v>
      </c>
      <c r="W1034" s="22">
        <f t="shared" si="360"/>
        <v>0.41123817221629572</v>
      </c>
      <c r="X1034" s="22">
        <f t="shared" si="360"/>
        <v>0.41371299835327524</v>
      </c>
      <c r="Y1034" s="22">
        <f t="shared" si="360"/>
        <v>0.41698233077605895</v>
      </c>
      <c r="Z1034" s="22">
        <f t="shared" si="360"/>
        <v>0.42064271286230337</v>
      </c>
      <c r="AA1034" s="22">
        <f t="shared" si="360"/>
        <v>0.42480942612911948</v>
      </c>
      <c r="AB1034" s="22">
        <f t="shared" si="360"/>
        <v>0.42983972534171444</v>
      </c>
      <c r="AC1034" s="22">
        <f t="shared" si="360"/>
        <v>0.43570438871758699</v>
      </c>
      <c r="AD1034" s="22">
        <f t="shared" si="360"/>
        <v>0.44208757106569879</v>
      </c>
      <c r="AE1034" s="22">
        <f t="shared" si="360"/>
        <v>0.44898350336000287</v>
      </c>
      <c r="AF1034" s="22">
        <f t="shared" si="360"/>
        <v>0.45621719419550344</v>
      </c>
      <c r="AG1034" s="22">
        <f t="shared" si="360"/>
        <v>0.46386955104730232</v>
      </c>
      <c r="AH1034" s="22">
        <f t="shared" si="360"/>
        <v>0.47186189087523389</v>
      </c>
      <c r="AI1034" s="22">
        <f t="shared" si="360"/>
        <v>0.47988623531160551</v>
      </c>
      <c r="AJ1034" s="22">
        <f t="shared" si="360"/>
        <v>0.48839393378093798</v>
      </c>
      <c r="AK1034" s="22">
        <f t="shared" si="360"/>
        <v>0.49708758308730938</v>
      </c>
      <c r="AL1034" s="22">
        <f t="shared" si="360"/>
        <v>0.50594507247479314</v>
      </c>
      <c r="AM1034" s="22">
        <f t="shared" si="360"/>
        <v>0.51510910677271904</v>
      </c>
      <c r="AN1034" s="22">
        <f t="shared" si="360"/>
        <v>0.52423757979493812</v>
      </c>
      <c r="AO1034" s="22">
        <f t="shared" si="360"/>
        <v>0.53380454045789072</v>
      </c>
      <c r="AP1034" s="22">
        <f t="shared" si="360"/>
        <v>0.54398662027094624</v>
      </c>
      <c r="AQ1034" s="22">
        <f t="shared" si="360"/>
        <v>0.55449515288018025</v>
      </c>
      <c r="AR1034" s="22">
        <f t="shared" si="360"/>
        <v>0.56534914989912133</v>
      </c>
      <c r="AS1034" s="22">
        <f t="shared" si="360"/>
        <v>0.57688261473585911</v>
      </c>
      <c r="AT1034" s="22">
        <f t="shared" si="360"/>
        <v>0.58899855031934889</v>
      </c>
      <c r="AU1034" s="22">
        <f t="shared" si="360"/>
        <v>0.60163444677907796</v>
      </c>
      <c r="AV1034" s="22">
        <f t="shared" si="360"/>
        <v>0.61501799344157537</v>
      </c>
      <c r="AW1034" s="22">
        <f t="shared" si="360"/>
        <v>0.62789543257311353</v>
      </c>
      <c r="AY1034" s="79"/>
      <c r="AZ1034" s="79"/>
    </row>
    <row r="1035" spans="1:52" x14ac:dyDescent="0.25">
      <c r="A1035" s="95" t="str">
        <f t="shared" si="345"/>
        <v>DS MM Volatilisation</v>
      </c>
      <c r="B1035" s="95" t="s">
        <v>973</v>
      </c>
      <c r="C1035" s="95" t="s">
        <v>1331</v>
      </c>
      <c r="D1035" t="s">
        <v>369</v>
      </c>
      <c r="E1035" t="s">
        <v>64</v>
      </c>
      <c r="F1035" t="s">
        <v>62</v>
      </c>
      <c r="G1035" t="s">
        <v>1153</v>
      </c>
      <c r="H1035" t="s">
        <v>1290</v>
      </c>
      <c r="I1035" t="s">
        <v>139</v>
      </c>
      <c r="J1035" t="s">
        <v>287</v>
      </c>
      <c r="K1035" s="22">
        <f t="shared" ref="K1035:AW1035" si="361">K1532</f>
        <v>3.1249813656142676E-2</v>
      </c>
      <c r="L1035" s="22">
        <f t="shared" si="361"/>
        <v>3.1424516095088999E-2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3.2232550506305399E-2</v>
      </c>
      <c r="S1035" s="22">
        <f t="shared" si="361"/>
        <v>3.1301567701581753E-2</v>
      </c>
      <c r="T1035" s="22">
        <f t="shared" si="361"/>
        <v>3.1932796779085698E-2</v>
      </c>
      <c r="U1035" s="22">
        <f t="shared" si="361"/>
        <v>3.2246144731511071E-2</v>
      </c>
      <c r="V1035" s="22">
        <f t="shared" si="361"/>
        <v>3.2327978497644752E-2</v>
      </c>
      <c r="W1035" s="22">
        <f t="shared" si="361"/>
        <v>3.2444336501757327E-2</v>
      </c>
      <c r="X1035" s="22">
        <f t="shared" si="361"/>
        <v>3.2639586109882893E-2</v>
      </c>
      <c r="Y1035" s="22">
        <f t="shared" si="361"/>
        <v>3.2897517713579225E-2</v>
      </c>
      <c r="Z1035" s="22">
        <f t="shared" si="361"/>
        <v>3.318630089606224E-2</v>
      </c>
      <c r="AA1035" s="22">
        <f t="shared" si="361"/>
        <v>3.3515030708779675E-2</v>
      </c>
      <c r="AB1035" s="22">
        <f t="shared" si="361"/>
        <v>3.3911892506599629E-2</v>
      </c>
      <c r="AC1035" s="22">
        <f t="shared" si="361"/>
        <v>3.4374580858244831E-2</v>
      </c>
      <c r="AD1035" s="22">
        <f t="shared" si="361"/>
        <v>3.4878177387083813E-2</v>
      </c>
      <c r="AE1035" s="22">
        <f t="shared" si="361"/>
        <v>3.5422226950002453E-2</v>
      </c>
      <c r="AF1035" s="22">
        <f t="shared" si="361"/>
        <v>3.5992923727375593E-2</v>
      </c>
      <c r="AG1035" s="22">
        <f t="shared" si="361"/>
        <v>3.6596650855607031E-2</v>
      </c>
      <c r="AH1035" s="22">
        <f t="shared" si="361"/>
        <v>3.7227200693469409E-2</v>
      </c>
      <c r="AI1035" s="22">
        <f t="shared" si="361"/>
        <v>3.7860275511637599E-2</v>
      </c>
      <c r="AJ1035" s="22">
        <f t="shared" si="361"/>
        <v>3.8531484194690796E-2</v>
      </c>
      <c r="AK1035" s="22">
        <f t="shared" si="361"/>
        <v>3.9217363333789369E-2</v>
      </c>
      <c r="AL1035" s="22">
        <f t="shared" si="361"/>
        <v>3.9916168516925726E-2</v>
      </c>
      <c r="AM1035" s="22">
        <f t="shared" si="361"/>
        <v>4.0639158337820017E-2</v>
      </c>
      <c r="AN1035" s="22">
        <f t="shared" si="361"/>
        <v>4.1359342577731273E-2</v>
      </c>
      <c r="AO1035" s="22">
        <f t="shared" si="361"/>
        <v>4.211412098114431E-2</v>
      </c>
      <c r="AP1035" s="22">
        <f t="shared" si="361"/>
        <v>4.2917428762525973E-2</v>
      </c>
      <c r="AQ1035" s="22">
        <f t="shared" si="361"/>
        <v>4.3746491799831644E-2</v>
      </c>
      <c r="AR1035" s="22">
        <f t="shared" si="361"/>
        <v>4.4602810000483467E-2</v>
      </c>
      <c r="AS1035" s="22">
        <f t="shared" si="361"/>
        <v>4.5512734320440534E-2</v>
      </c>
      <c r="AT1035" s="22">
        <f t="shared" si="361"/>
        <v>4.64686122463292E-2</v>
      </c>
      <c r="AU1035" s="22">
        <f t="shared" si="361"/>
        <v>4.7465512107379045E-2</v>
      </c>
      <c r="AV1035" s="22">
        <f t="shared" si="361"/>
        <v>4.8521397287407161E-2</v>
      </c>
      <c r="AW1035" s="22">
        <f t="shared" si="361"/>
        <v>4.953735348187438E-2</v>
      </c>
      <c r="AY1035" s="79"/>
      <c r="AZ1035" s="79"/>
    </row>
    <row r="1036" spans="1:52" x14ac:dyDescent="0.25">
      <c r="A1036" s="95" t="str">
        <f t="shared" si="345"/>
        <v>DS MM Volatilisation</v>
      </c>
      <c r="B1036" s="95" t="s">
        <v>973</v>
      </c>
      <c r="C1036" s="95" t="s">
        <v>1331</v>
      </c>
      <c r="D1036" t="s">
        <v>369</v>
      </c>
      <c r="E1036" t="s">
        <v>64</v>
      </c>
      <c r="F1036" t="s">
        <v>62</v>
      </c>
      <c r="G1036" t="s">
        <v>1155</v>
      </c>
      <c r="H1036" t="s">
        <v>1291</v>
      </c>
      <c r="I1036" t="s">
        <v>139</v>
      </c>
      <c r="J1036" t="s">
        <v>287</v>
      </c>
      <c r="K1036" s="22">
        <f t="shared" ref="K1036:AW1036" si="362">K1533</f>
        <v>2.8967336997006343E-4</v>
      </c>
      <c r="L1036" s="22">
        <f t="shared" si="362"/>
        <v>2.9129279224209421E-4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2.9878295053629658E-4</v>
      </c>
      <c r="S1036" s="22">
        <f t="shared" si="362"/>
        <v>2.9015310943081291E-4</v>
      </c>
      <c r="T1036" s="22">
        <f t="shared" si="362"/>
        <v>2.9600435245311237E-4</v>
      </c>
      <c r="U1036" s="22">
        <f t="shared" si="362"/>
        <v>2.9890896360859154E-4</v>
      </c>
      <c r="V1036" s="22">
        <f t="shared" si="362"/>
        <v>2.9966753014195159E-4</v>
      </c>
      <c r="W1036" s="22">
        <f t="shared" si="362"/>
        <v>3.0074612265917932E-4</v>
      </c>
      <c r="X1036" s="22">
        <f t="shared" si="362"/>
        <v>3.0255600903461219E-4</v>
      </c>
      <c r="Y1036" s="22">
        <f t="shared" si="362"/>
        <v>3.0494693263136179E-4</v>
      </c>
      <c r="Z1036" s="22">
        <f t="shared" si="362"/>
        <v>3.0762383811889561E-4</v>
      </c>
      <c r="AA1036" s="22">
        <f t="shared" si="362"/>
        <v>3.1067103301443271E-4</v>
      </c>
      <c r="AB1036" s="22">
        <f t="shared" si="362"/>
        <v>3.1434978437121989E-4</v>
      </c>
      <c r="AC1036" s="22">
        <f t="shared" si="362"/>
        <v>3.1863872175631096E-4</v>
      </c>
      <c r="AD1036" s="22">
        <f t="shared" si="362"/>
        <v>3.2330686170809402E-4</v>
      </c>
      <c r="AE1036" s="22">
        <f t="shared" si="362"/>
        <v>3.2834998523054116E-4</v>
      </c>
      <c r="AF1036" s="22">
        <f t="shared" si="362"/>
        <v>3.3364011785506768E-4</v>
      </c>
      <c r="AG1036" s="22">
        <f t="shared" si="362"/>
        <v>3.3923642872275747E-4</v>
      </c>
      <c r="AH1036" s="22">
        <f t="shared" si="362"/>
        <v>3.4508137546316036E-4</v>
      </c>
      <c r="AI1036" s="22">
        <f t="shared" si="362"/>
        <v>3.5094972776886815E-4</v>
      </c>
      <c r="AJ1036" s="22">
        <f t="shared" si="362"/>
        <v>3.5717156586725218E-4</v>
      </c>
      <c r="AK1036" s="22">
        <f t="shared" si="362"/>
        <v>3.6352939327067397E-4</v>
      </c>
      <c r="AL1036" s="22">
        <f t="shared" si="362"/>
        <v>3.7000703997215649E-4</v>
      </c>
      <c r="AM1036" s="22">
        <f t="shared" si="362"/>
        <v>3.7670886866710392E-4</v>
      </c>
      <c r="AN1036" s="22">
        <f t="shared" si="362"/>
        <v>3.8338469073983557E-4</v>
      </c>
      <c r="AO1036" s="22">
        <f t="shared" si="362"/>
        <v>3.9038118697827962E-4</v>
      </c>
      <c r="AP1036" s="22">
        <f t="shared" si="362"/>
        <v>3.9782753128984823E-4</v>
      </c>
      <c r="AQ1036" s="22">
        <f t="shared" si="362"/>
        <v>4.0551261660192481E-4</v>
      </c>
      <c r="AR1036" s="22">
        <f t="shared" si="362"/>
        <v>4.134503464610197E-4</v>
      </c>
      <c r="AS1036" s="22">
        <f t="shared" si="362"/>
        <v>4.218849837705407E-4</v>
      </c>
      <c r="AT1036" s="22">
        <f t="shared" si="362"/>
        <v>4.3074559276869194E-4</v>
      </c>
      <c r="AU1036" s="22">
        <f t="shared" si="362"/>
        <v>4.3998645882474367E-4</v>
      </c>
      <c r="AV1036" s="22">
        <f t="shared" si="362"/>
        <v>4.4977409537726024E-4</v>
      </c>
      <c r="AW1036" s="22">
        <f t="shared" si="362"/>
        <v>4.5919160608089382E-4</v>
      </c>
      <c r="AY1036" s="79"/>
      <c r="AZ1036" s="79"/>
    </row>
    <row r="1037" spans="1:52" x14ac:dyDescent="0.25">
      <c r="A1037" s="95" t="str">
        <f t="shared" si="345"/>
        <v>DS MM Volatilisation</v>
      </c>
      <c r="B1037" s="95" t="s">
        <v>973</v>
      </c>
      <c r="C1037" s="95" t="s">
        <v>1331</v>
      </c>
      <c r="D1037" t="s">
        <v>369</v>
      </c>
      <c r="E1037" t="s">
        <v>64</v>
      </c>
      <c r="F1037" t="s">
        <v>62</v>
      </c>
      <c r="G1037" t="s">
        <v>1157</v>
      </c>
      <c r="H1037" t="s">
        <v>1292</v>
      </c>
      <c r="I1037" t="s">
        <v>139</v>
      </c>
      <c r="J1037" t="s">
        <v>287</v>
      </c>
      <c r="K1037" s="94">
        <f>IF('Net zero activities &amp; levers'!$C$12="Off",Constants!$H66*'Activity data'!AD8*Constants!$H84*EF!$H209*MMVolatEF*NtoN2O*kgtoGg,Constants!$H66*'Net zero Activity data'!AD8*Constants!$H84*EF!$H209*MMVolatEF*NtoN2O*kgtoGg)</f>
        <v>3.2323215352203869E-3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3.1936173693006072E-3</v>
      </c>
      <c r="N1037" s="94">
        <f>IF('Net zero activities &amp; levers'!$C$12="Off",Constants!$H66*'Activity data'!AG8*Constants!$H84*EF!$H209*MMVolatEF*NtoN2O*kgtoGg,Constants!$H66*'Net zero Activity data'!AG8*Constants!$H84*EF!$H209*MMVolatEF*NtoN2O*kgtoGg)</f>
        <v>3.150970789688672E-3</v>
      </c>
      <c r="O1037" s="94">
        <f>IF('Net zero activities &amp; levers'!$C$12="Off",Constants!$H66*'Activity data'!AH8*Constants!$H84*EF!$H209*MMVolatEF*NtoN2O*kgtoGg,Constants!$H66*'Net zero Activity data'!AH8*Constants!$H84*EF!$H209*MMVolatEF*NtoN2O*kgtoGg)</f>
        <v>3.0890682378804098E-3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2.5775843671431266E-3</v>
      </c>
      <c r="T1037" s="94">
        <f>IF('Net zero activities &amp; levers'!$C$12="Off",Constants!$H66*'Activity data'!AM8*Constants!$H84*EF!$H209*MMVolatEF*NtoN2O*kgtoGg,Constants!$H66*'Net zero Activity data'!AM8*Constants!$H84*EF!$H209*MMVolatEF*NtoN2O*kgtoGg)</f>
        <v>2.7008194536362932E-3</v>
      </c>
      <c r="U1037" s="94">
        <f>IF('Net zero activities &amp; levers'!$C$12="Off",Constants!$H66*'Activity data'!AN8*Constants!$H84*EF!$H209*MMVolatEF*NtoN2O*kgtoGg,Constants!$H66*'Net zero Activity data'!AN8*Constants!$H84*EF!$H209*MMVolatEF*NtoN2O*kgtoGg)</f>
        <v>2.7434834642963983E-3</v>
      </c>
      <c r="V1037" s="94">
        <f>IF('Net zero activities &amp; levers'!$C$12="Off",Constants!$H66*'Activity data'!AO8*Constants!$H84*EF!$H209*MMVolatEF*NtoN2O*kgtoGg,Constants!$H66*'Net zero Activity data'!AO8*Constants!$H84*EF!$H209*MMVolatEF*NtoN2O*kgtoGg)</f>
        <v>2.7249559704571515E-3</v>
      </c>
      <c r="W1037" s="94">
        <f>IF('Net zero activities &amp; levers'!$C$12="Off",Constants!$H66*'Activity data'!AP8*Constants!$H84*EF!$H209*MMVolatEF*NtoN2O*kgtoGg,Constants!$H66*'Net zero Activity data'!AP8*Constants!$H84*EF!$H209*MMVolatEF*NtoN2O*kgtoGg)</f>
        <v>2.7098851587955765E-3</v>
      </c>
      <c r="X1037" s="94">
        <f>IF('Net zero activities &amp; levers'!$C$12="Off",Constants!$H66*'Activity data'!AQ8*Constants!$H84*EF!$H209*MMVolatEF*NtoN2O*kgtoGg,Constants!$H66*'Net zero Activity data'!AQ8*Constants!$H84*EF!$H209*MMVolatEF*NtoN2O*kgtoGg)</f>
        <v>2.7108751448487677E-3</v>
      </c>
      <c r="Y1037" s="94">
        <f>IF('Net zero activities &amp; levers'!$C$12="Off",Constants!$H66*'Activity data'!AR8*Constants!$H84*EF!$H209*MMVolatEF*NtoN2O*kgtoGg,Constants!$H66*'Net zero Activity data'!AR8*Constants!$H84*EF!$H209*MMVolatEF*NtoN2O*kgtoGg)</f>
        <v>2.7267936110374771E-3</v>
      </c>
      <c r="Z1037" s="94">
        <f>IF('Net zero activities &amp; levers'!$C$12="Off",Constants!$H66*'Activity data'!AS8*Constants!$H84*EF!$H209*MMVolatEF*NtoN2O*kgtoGg,Constants!$H66*'Net zero Activity data'!AS8*Constants!$H84*EF!$H209*MMVolatEF*NtoN2O*kgtoGg)</f>
        <v>2.7493808220457119E-3</v>
      </c>
      <c r="AA1037" s="94">
        <f>IF('Net zero activities &amp; levers'!$C$12="Off",Constants!$H66*'Activity data'!AT8*Constants!$H84*EF!$H209*MMVolatEF*NtoN2O*kgtoGg,Constants!$H66*'Net zero Activity data'!AT8*Constants!$H84*EF!$H209*MMVolatEF*NtoN2O*kgtoGg)</f>
        <v>2.7804561510044621E-3</v>
      </c>
      <c r="AB1037" s="94">
        <f>IF('Net zero activities &amp; levers'!$C$12="Off",Constants!$H66*'Activity data'!AU8*Constants!$H84*EF!$H209*MMVolatEF*NtoN2O*kgtoGg,Constants!$H66*'Net zero Activity data'!AU8*Constants!$H84*EF!$H209*MMVolatEF*NtoN2O*kgtoGg)</f>
        <v>2.8259754098654112E-3</v>
      </c>
      <c r="AC1037" s="94">
        <f>IF('Net zero activities &amp; levers'!$C$12="Off",Constants!$H66*'Activity data'!AV8*Constants!$H84*EF!$H209*MMVolatEF*NtoN2O*kgtoGg,Constants!$H66*'Net zero Activity data'!AV8*Constants!$H84*EF!$H209*MMVolatEF*NtoN2O*kgtoGg)</f>
        <v>2.8846530294108553E-3</v>
      </c>
      <c r="AD1037" s="94">
        <f>IF('Net zero activities &amp; levers'!$C$12="Off",Constants!$H66*'Activity data'!AW8*Constants!$H84*EF!$H209*MMVolatEF*NtoN2O*kgtoGg,Constants!$H66*'Net zero Activity data'!AW8*Constants!$H84*EF!$H209*MMVolatEF*NtoN2O*kgtoGg)</f>
        <v>2.9255627766607379E-3</v>
      </c>
      <c r="AE1037" s="94">
        <f>IF('Net zero activities &amp; levers'!$C$12="Off",Constants!$H66*'Activity data'!AX8*Constants!$H84*EF!$H209*MMVolatEF*NtoN2O*kgtoGg,Constants!$H66*'Net zero Activity data'!AX8*Constants!$H84*EF!$H209*MMVolatEF*NtoN2O*kgtoGg)</f>
        <v>2.9713051294800673E-3</v>
      </c>
      <c r="AF1037" s="94">
        <f>IF('Net zero activities &amp; levers'!$C$12="Off",Constants!$H66*'Activity data'!AY8*Constants!$H84*EF!$H209*MMVolatEF*NtoN2O*kgtoGg,Constants!$H66*'Net zero Activity data'!AY8*Constants!$H84*EF!$H209*MMVolatEF*NtoN2O*kgtoGg)</f>
        <v>3.0184328847155249E-3</v>
      </c>
      <c r="AG1037" s="94">
        <f>IF('Net zero activities &amp; levers'!$C$12="Off",Constants!$H66*'Activity data'!AZ8*Constants!$H84*EF!$H209*MMVolatEF*NtoN2O*kgtoGg,Constants!$H66*'Net zero Activity data'!AZ8*Constants!$H84*EF!$H209*MMVolatEF*NtoN2O*kgtoGg)</f>
        <v>3.0679929310084191E-3</v>
      </c>
      <c r="AH1037" s="94">
        <f>IF('Net zero activities &amp; levers'!$C$12="Off",Constants!$H66*'Activity data'!BA8*Constants!$H84*EF!$H209*MMVolatEF*NtoN2O*kgtoGg,Constants!$H66*'Net zero Activity data'!BA8*Constants!$H84*EF!$H209*MMVolatEF*NtoN2O*kgtoGg)</f>
        <v>3.1182952843922906E-3</v>
      </c>
      <c r="AI1037" s="94">
        <f>IF('Net zero activities &amp; levers'!$C$12="Off",Constants!$H66*'Activity data'!BB8*Constants!$H84*EF!$H209*MMVolatEF*NtoN2O*kgtoGg,Constants!$H66*'Net zero Activity data'!BB8*Constants!$H84*EF!$H209*MMVolatEF*NtoN2O*kgtoGg)</f>
        <v>3.1642302715808976E-3</v>
      </c>
      <c r="AJ1037" s="94">
        <f>IF('Net zero activities &amp; levers'!$C$12="Off",Constants!$H66*'Activity data'!BC8*Constants!$H84*EF!$H209*MMVolatEF*NtoN2O*kgtoGg,Constants!$H66*'Net zero Activity data'!BC8*Constants!$H84*EF!$H209*MMVolatEF*NtoN2O*kgtoGg)</f>
        <v>3.2126832525729617E-3</v>
      </c>
      <c r="AK1037" s="94">
        <f>IF('Net zero activities &amp; levers'!$C$12="Off",Constants!$H66*'Activity data'!BD8*Constants!$H84*EF!$H209*MMVolatEF*NtoN2O*kgtoGg,Constants!$H66*'Net zero Activity data'!BD8*Constants!$H84*EF!$H209*MMVolatEF*NtoN2O*kgtoGg)</f>
        <v>3.2589422884996468E-3</v>
      </c>
      <c r="AL1037" s="94">
        <f>IF('Net zero activities &amp; levers'!$C$12="Off",Constants!$H66*'Activity data'!BE8*Constants!$H84*EF!$H209*MMVolatEF*NtoN2O*kgtoGg,Constants!$H66*'Net zero Activity data'!BE8*Constants!$H84*EF!$H209*MMVolatEF*NtoN2O*kgtoGg)</f>
        <v>3.3025617246378643E-3</v>
      </c>
      <c r="AM1037" s="94">
        <f>IF('Net zero activities &amp; levers'!$C$12="Off",Constants!$H66*'Activity data'!BF8*Constants!$H84*EF!$H209*MMVolatEF*NtoN2O*kgtoGg,Constants!$H66*'Net zero Activity data'!BF8*Constants!$H84*EF!$H209*MMVolatEF*NtoN2O*kgtoGg)</f>
        <v>3.3454061319751881E-3</v>
      </c>
      <c r="AN1037" s="94">
        <f>IF('Net zero activities &amp; levers'!$C$12="Off",Constants!$H66*'Activity data'!BG8*Constants!$H84*EF!$H209*MMVolatEF*NtoN2O*kgtoGg,Constants!$H66*'Net zero Activity data'!BG8*Constants!$H84*EF!$H209*MMVolatEF*NtoN2O*kgtoGg)</f>
        <v>3.3998120453296449E-3</v>
      </c>
      <c r="AO1037" s="94">
        <f>IF('Net zero activities &amp; levers'!$C$12="Off",Constants!$H66*'Activity data'!BH8*Constants!$H84*EF!$H209*MMVolatEF*NtoN2O*kgtoGg,Constants!$H66*'Net zero Activity data'!BH8*Constants!$H84*EF!$H209*MMVolatEF*NtoN2O*kgtoGg)</f>
        <v>3.4560846217306851E-3</v>
      </c>
      <c r="AP1037" s="94">
        <f>IF('Net zero activities &amp; levers'!$C$12="Off",Constants!$H66*'Activity data'!BI8*Constants!$H84*EF!$H209*MMVolatEF*NtoN2O*kgtoGg,Constants!$H66*'Net zero Activity data'!BI8*Constants!$H84*EF!$H209*MMVolatEF*NtoN2O*kgtoGg)</f>
        <v>3.5162688695670069E-3</v>
      </c>
      <c r="AQ1037" s="94">
        <f>IF('Net zero activities &amp; levers'!$C$12="Off",Constants!$H66*'Activity data'!BJ8*Constants!$H84*EF!$H209*MMVolatEF*NtoN2O*kgtoGg,Constants!$H66*'Net zero Activity data'!BJ8*Constants!$H84*EF!$H209*MMVolatEF*NtoN2O*kgtoGg)</f>
        <v>3.576218960305765E-3</v>
      </c>
      <c r="AR1037" s="94">
        <f>IF('Net zero activities &amp; levers'!$C$12="Off",Constants!$H66*'Activity data'!BK8*Constants!$H84*EF!$H209*MMVolatEF*NtoN2O*kgtoGg,Constants!$H66*'Net zero Activity data'!BK8*Constants!$H84*EF!$H209*MMVolatEF*NtoN2O*kgtoGg)</f>
        <v>3.6360127055851286E-3</v>
      </c>
      <c r="AS1037" s="94">
        <f>IF('Net zero activities &amp; levers'!$C$12="Off",Constants!$H66*'Activity data'!BL8*Constants!$H84*EF!$H209*MMVolatEF*NtoN2O*kgtoGg,Constants!$H66*'Net zero Activity data'!BL8*Constants!$H84*EF!$H209*MMVolatEF*NtoN2O*kgtoGg)</f>
        <v>3.6995797552595183E-3</v>
      </c>
      <c r="AT1037" s="94">
        <f>IF('Net zero activities &amp; levers'!$C$12="Off",Constants!$H66*'Activity data'!BM8*Constants!$H84*EF!$H209*MMVolatEF*NtoN2O*kgtoGg,Constants!$H66*'Net zero Activity data'!BM8*Constants!$H84*EF!$H209*MMVolatEF*NtoN2O*kgtoGg)</f>
        <v>3.7652741980581834E-3</v>
      </c>
      <c r="AU1037" s="94">
        <f>IF('Net zero activities &amp; levers'!$C$12="Off",Constants!$H66*'Activity data'!BN8*Constants!$H84*EF!$H209*MMVolatEF*NtoN2O*kgtoGg,Constants!$H66*'Net zero Activity data'!BN8*Constants!$H84*EF!$H209*MMVolatEF*NtoN2O*kgtoGg)</f>
        <v>3.831953873173879E-3</v>
      </c>
      <c r="AV1037" s="94">
        <f>IF('Net zero activities &amp; levers'!$C$12="Off",Constants!$H66*'Activity data'!BO8*Constants!$H84*EF!$H209*MMVolatEF*NtoN2O*kgtoGg,Constants!$H66*'Net zero Activity data'!BO8*Constants!$H84*EF!$H209*MMVolatEF*NtoN2O*kgtoGg)</f>
        <v>3.9018879316463188E-3</v>
      </c>
      <c r="AW1037" s="94">
        <f>IF('Net zero activities &amp; levers'!$C$12="Off",Constants!$H66*'Activity data'!BP8*Constants!$H84*EF!$H209*MMVolatEF*NtoN2O*kgtoGg,Constants!$H66*'Net zero Activity data'!BP8*Constants!$H84*EF!$H209*MMVolatEF*NtoN2O*kgtoGg)</f>
        <v>3.9605189402422969E-3</v>
      </c>
      <c r="AY1037" s="79"/>
      <c r="AZ1037" s="79"/>
    </row>
    <row r="1038" spans="1:52" x14ac:dyDescent="0.25">
      <c r="A1038" s="95" t="str">
        <f t="shared" si="345"/>
        <v>DS MM Volatilisation</v>
      </c>
      <c r="B1038" s="95" t="s">
        <v>973</v>
      </c>
      <c r="C1038" s="95" t="s">
        <v>1331</v>
      </c>
      <c r="D1038" t="s">
        <v>369</v>
      </c>
      <c r="E1038" t="s">
        <v>64</v>
      </c>
      <c r="F1038" t="s">
        <v>62</v>
      </c>
      <c r="G1038" t="s">
        <v>1159</v>
      </c>
      <c r="H1038" t="s">
        <v>1293</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1.5685552742581484E-2</v>
      </c>
      <c r="O1038" s="94">
        <f>IF('Net zero activities &amp; levers'!$C$12="Off",Constants!$H67*'Activity data'!AH9*Constants!$H85*EF!$H210*MMVolatEF*NtoN2O*kgtoGg,Constants!$H67*'Net zero Activity data'!AH9*Constants!$H85*EF!$H210*MMVolatEF*NtoN2O*kgtoGg)</f>
        <v>1.5377401443792453E-2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1.283123146415196E-2</v>
      </c>
      <c r="T1038" s="94">
        <f>IF('Net zero activities &amp; levers'!$C$12="Off",Constants!$H67*'Activity data'!AM9*Constants!$H85*EF!$H210*MMVolatEF*NtoN2O*kgtoGg,Constants!$H67*'Net zero Activity data'!AM9*Constants!$H85*EF!$H210*MMVolatEF*NtoN2O*kgtoGg)</f>
        <v>1.3444696512844507E-2</v>
      </c>
      <c r="U1038" s="94">
        <f>IF('Net zero activities &amp; levers'!$C$12="Off",Constants!$H67*'Activity data'!AN9*Constants!$H85*EF!$H210*MMVolatEF*NtoN2O*kgtoGg,Constants!$H67*'Net zero Activity data'!AN9*Constants!$H85*EF!$H210*MMVolatEF*NtoN2O*kgtoGg)</f>
        <v>1.3657078230761113E-2</v>
      </c>
      <c r="V1038" s="94">
        <f>IF('Net zero activities &amp; levers'!$C$12="Off",Constants!$H67*'Activity data'!AO9*Constants!$H85*EF!$H210*MMVolatEF*NtoN2O*kgtoGg,Constants!$H67*'Net zero Activity data'!AO9*Constants!$H85*EF!$H210*MMVolatEF*NtoN2O*kgtoGg)</f>
        <v>1.3564848247939834E-2</v>
      </c>
      <c r="W1038" s="94">
        <f>IF('Net zero activities &amp; levers'!$C$12="Off",Constants!$H67*'Activity data'!AP9*Constants!$H85*EF!$H210*MMVolatEF*NtoN2O*kgtoGg,Constants!$H67*'Net zero Activity data'!AP9*Constants!$H85*EF!$H210*MMVolatEF*NtoN2O*kgtoGg)</f>
        <v>1.3489825651105632E-2</v>
      </c>
      <c r="X1038" s="94">
        <f>IF('Net zero activities &amp; levers'!$C$12="Off",Constants!$H67*'Activity data'!AQ9*Constants!$H85*EF!$H210*MMVolatEF*NtoN2O*kgtoGg,Constants!$H67*'Net zero Activity data'!AQ9*Constants!$H85*EF!$H210*MMVolatEF*NtoN2O*kgtoGg)</f>
        <v>1.3494753808009711E-2</v>
      </c>
      <c r="Y1038" s="94">
        <f>IF('Net zero activities &amp; levers'!$C$12="Off",Constants!$H67*'Activity data'!AR9*Constants!$H85*EF!$H210*MMVolatEF*NtoN2O*kgtoGg,Constants!$H67*'Net zero Activity data'!AR9*Constants!$H85*EF!$H210*MMVolatEF*NtoN2O*kgtoGg)</f>
        <v>1.3573996034501018E-2</v>
      </c>
      <c r="Z1038" s="94">
        <f>IF('Net zero activities &amp; levers'!$C$12="Off",Constants!$H67*'Activity data'!AS9*Constants!$H85*EF!$H210*MMVolatEF*NtoN2O*kgtoGg,Constants!$H67*'Net zero Activity data'!AS9*Constants!$H85*EF!$H210*MMVolatEF*NtoN2O*kgtoGg)</f>
        <v>1.3686435315352767E-2</v>
      </c>
      <c r="AA1038" s="94">
        <f>IF('Net zero activities &amp; levers'!$C$12="Off",Constants!$H67*'Activity data'!AT9*Constants!$H85*EF!$H210*MMVolatEF*NtoN2O*kgtoGg,Constants!$H67*'Net zero Activity data'!AT9*Constants!$H85*EF!$H210*MMVolatEF*NtoN2O*kgtoGg)</f>
        <v>1.3841128501646547E-2</v>
      </c>
      <c r="AB1038" s="94">
        <f>IF('Net zero activities &amp; levers'!$C$12="Off",Constants!$H67*'Activity data'!AU9*Constants!$H85*EF!$H210*MMVolatEF*NtoN2O*kgtoGg,Constants!$H67*'Net zero Activity data'!AU9*Constants!$H85*EF!$H210*MMVolatEF*NtoN2O*kgtoGg)</f>
        <v>1.4067723663367223E-2</v>
      </c>
      <c r="AC1038" s="94">
        <f>IF('Net zero activities &amp; levers'!$C$12="Off",Constants!$H67*'Activity data'!AV9*Constants!$H85*EF!$H210*MMVolatEF*NtoN2O*kgtoGg,Constants!$H67*'Net zero Activity data'!AV9*Constants!$H85*EF!$H210*MMVolatEF*NtoN2O*kgtoGg)</f>
        <v>1.4359821228727431E-2</v>
      </c>
      <c r="AD1038" s="94">
        <f>IF('Net zero activities &amp; levers'!$C$12="Off",Constants!$H67*'Activity data'!AW9*Constants!$H85*EF!$H210*MMVolatEF*NtoN2O*kgtoGg,Constants!$H67*'Net zero Activity data'!AW9*Constants!$H85*EF!$H210*MMVolatEF*NtoN2O*kgtoGg)</f>
        <v>1.4563470212168856E-2</v>
      </c>
      <c r="AE1038" s="94">
        <f>IF('Net zero activities &amp; levers'!$C$12="Off",Constants!$H67*'Activity data'!AX9*Constants!$H85*EF!$H210*MMVolatEF*NtoN2O*kgtoGg,Constants!$H67*'Net zero Activity data'!AX9*Constants!$H85*EF!$H210*MMVolatEF*NtoN2O*kgtoGg)</f>
        <v>1.4791175937041108E-2</v>
      </c>
      <c r="AF1038" s="94">
        <f>IF('Net zero activities &amp; levers'!$C$12="Off",Constants!$H67*'Activity data'!AY9*Constants!$H85*EF!$H210*MMVolatEF*NtoN2O*kgtoGg,Constants!$H67*'Net zero Activity data'!AY9*Constants!$H85*EF!$H210*MMVolatEF*NtoN2O*kgtoGg)</f>
        <v>1.5025778204000962E-2</v>
      </c>
      <c r="AG1038" s="94">
        <f>IF('Net zero activities &amp; levers'!$C$12="Off",Constants!$H67*'Activity data'!AZ9*Constants!$H85*EF!$H210*MMVolatEF*NtoN2O*kgtoGg,Constants!$H67*'Net zero Activity data'!AZ9*Constants!$H85*EF!$H210*MMVolatEF*NtoN2O*kgtoGg)</f>
        <v>1.5272488431400047E-2</v>
      </c>
      <c r="AH1038" s="94">
        <f>IF('Net zero activities &amp; levers'!$C$12="Off",Constants!$H67*'Activity data'!BA9*Constants!$H85*EF!$H210*MMVolatEF*NtoN2O*kgtoGg,Constants!$H67*'Net zero Activity data'!BA9*Constants!$H85*EF!$H210*MMVolatEF*NtoN2O*kgtoGg)</f>
        <v>1.5522893868245321E-2</v>
      </c>
      <c r="AI1038" s="94">
        <f>IF('Net zero activities &amp; levers'!$C$12="Off",Constants!$H67*'Activity data'!BB9*Constants!$H85*EF!$H210*MMVolatEF*NtoN2O*kgtoGg,Constants!$H67*'Net zero Activity data'!BB9*Constants!$H85*EF!$H210*MMVolatEF*NtoN2O*kgtoGg)</f>
        <v>1.5751558528239808E-2</v>
      </c>
      <c r="AJ1038" s="94">
        <f>IF('Net zero activities &amp; levers'!$C$12="Off",Constants!$H67*'Activity data'!BC9*Constants!$H85*EF!$H210*MMVolatEF*NtoN2O*kgtoGg,Constants!$H67*'Net zero Activity data'!BC9*Constants!$H85*EF!$H210*MMVolatEF*NtoN2O*kgtoGg)</f>
        <v>1.5992757777491307E-2</v>
      </c>
      <c r="AK1038" s="94">
        <f>IF('Net zero activities &amp; levers'!$C$12="Off",Constants!$H67*'Activity data'!BD9*Constants!$H85*EF!$H210*MMVolatEF*NtoN2O*kgtoGg,Constants!$H67*'Net zero Activity data'!BD9*Constants!$H85*EF!$H210*MMVolatEF*NtoN2O*kgtoGg)</f>
        <v>1.622303555417634E-2</v>
      </c>
      <c r="AL1038" s="94">
        <f>IF('Net zero activities &amp; levers'!$C$12="Off",Constants!$H67*'Activity data'!BE9*Constants!$H85*EF!$H210*MMVolatEF*NtoN2O*kgtoGg,Constants!$H67*'Net zero Activity data'!BE9*Constants!$H85*EF!$H210*MMVolatEF*NtoN2O*kgtoGg)</f>
        <v>1.6440173386233263E-2</v>
      </c>
      <c r="AM1038" s="94">
        <f>IF('Net zero activities &amp; levers'!$C$12="Off",Constants!$H67*'Activity data'!BF9*Constants!$H85*EF!$H210*MMVolatEF*NtoN2O*kgtoGg,Constants!$H67*'Net zero Activity data'!BF9*Constants!$H85*EF!$H210*MMVolatEF*NtoN2O*kgtoGg)</f>
        <v>1.6653453119962761E-2</v>
      </c>
      <c r="AN1038" s="94">
        <f>IF('Net zero activities &amp; levers'!$C$12="Off",Constants!$H67*'Activity data'!BG9*Constants!$H85*EF!$H210*MMVolatEF*NtoN2O*kgtoGg,Constants!$H67*'Net zero Activity data'!BG9*Constants!$H85*EF!$H210*MMVolatEF*NtoN2O*kgtoGg)</f>
        <v>1.6924286104585243E-2</v>
      </c>
      <c r="AO1038" s="94">
        <f>IF('Net zero activities &amp; levers'!$C$12="Off",Constants!$H67*'Activity data'!BH9*Constants!$H85*EF!$H210*MMVolatEF*NtoN2O*kgtoGg,Constants!$H67*'Net zero Activity data'!BH9*Constants!$H85*EF!$H210*MMVolatEF*NtoN2O*kgtoGg)</f>
        <v>1.7204411349791553E-2</v>
      </c>
      <c r="AP1038" s="94">
        <f>IF('Net zero activities &amp; levers'!$C$12="Off",Constants!$H67*'Activity data'!BI9*Constants!$H85*EF!$H210*MMVolatEF*NtoN2O*kgtoGg,Constants!$H67*'Net zero Activity data'!BI9*Constants!$H85*EF!$H210*MMVolatEF*NtoN2O*kgtoGg)</f>
        <v>1.7504008920419142E-2</v>
      </c>
      <c r="AQ1038" s="94">
        <f>IF('Net zero activities &amp; levers'!$C$12="Off",Constants!$H67*'Activity data'!BJ9*Constants!$H85*EF!$H210*MMVolatEF*NtoN2O*kgtoGg,Constants!$H67*'Net zero Activity data'!BJ9*Constants!$H85*EF!$H210*MMVolatEF*NtoN2O*kgtoGg)</f>
        <v>1.7802440855517548E-2</v>
      </c>
      <c r="AR1038" s="94">
        <f>IF('Net zero activities &amp; levers'!$C$12="Off",Constants!$H67*'Activity data'!BK9*Constants!$H85*EF!$H210*MMVolatEF*NtoN2O*kgtoGg,Constants!$H67*'Net zero Activity data'!BK9*Constants!$H85*EF!$H210*MMVolatEF*NtoN2O*kgtoGg)</f>
        <v>1.8100094501919208E-2</v>
      </c>
      <c r="AS1038" s="94">
        <f>IF('Net zero activities &amp; levers'!$C$12="Off",Constants!$H67*'Activity data'!BL9*Constants!$H85*EF!$H210*MMVolatEF*NtoN2O*kgtoGg,Constants!$H67*'Net zero Activity data'!BL9*Constants!$H85*EF!$H210*MMVolatEF*NtoN2O*kgtoGg)</f>
        <v>1.8416531681730838E-2</v>
      </c>
      <c r="AT1038" s="94">
        <f>IF('Net zero activities &amp; levers'!$C$12="Off",Constants!$H67*'Activity data'!BM9*Constants!$H85*EF!$H210*MMVolatEF*NtoN2O*kgtoGg,Constants!$H67*'Net zero Activity data'!BM9*Constants!$H85*EF!$H210*MMVolatEF*NtoN2O*kgtoGg)</f>
        <v>1.874355903812051E-2</v>
      </c>
      <c r="AU1038" s="94">
        <f>IF('Net zero activities &amp; levers'!$C$12="Off",Constants!$H67*'Activity data'!BN9*Constants!$H85*EF!$H210*MMVolatEF*NtoN2O*kgtoGg,Constants!$H67*'Net zero Activity data'!BN9*Constants!$H85*EF!$H210*MMVolatEF*NtoN2O*kgtoGg)</f>
        <v>1.9075490887285256E-2</v>
      </c>
      <c r="AV1038" s="94">
        <f>IF('Net zero activities &amp; levers'!$C$12="Off",Constants!$H67*'Activity data'!BO9*Constants!$H85*EF!$H210*MMVolatEF*NtoN2O*kgtoGg,Constants!$H67*'Net zero Activity data'!BO9*Constants!$H85*EF!$H210*MMVolatEF*NtoN2O*kgtoGg)</f>
        <v>1.9423623077612737E-2</v>
      </c>
      <c r="AW1038" s="94">
        <f>IF('Net zero activities &amp; levers'!$C$12="Off",Constants!$H67*'Activity data'!BP9*Constants!$H85*EF!$H210*MMVolatEF*NtoN2O*kgtoGg,Constants!$H67*'Net zero Activity data'!BP9*Constants!$H85*EF!$H210*MMVolatEF*NtoN2O*kgtoGg)</f>
        <v>1.9715488613368411E-2</v>
      </c>
      <c r="AY1038" s="79"/>
      <c r="AZ1038" s="79"/>
    </row>
    <row r="1039" spans="1:52" x14ac:dyDescent="0.25">
      <c r="A1039" s="95" t="str">
        <f t="shared" si="345"/>
        <v>DS MM Volatilisation</v>
      </c>
      <c r="B1039" s="95" t="s">
        <v>973</v>
      </c>
      <c r="C1039" s="95" t="s">
        <v>1331</v>
      </c>
      <c r="D1039" t="s">
        <v>369</v>
      </c>
      <c r="E1039" t="s">
        <v>64</v>
      </c>
      <c r="F1039" t="s">
        <v>62</v>
      </c>
      <c r="G1039" t="s">
        <v>1161</v>
      </c>
      <c r="H1039" t="s">
        <v>1294</v>
      </c>
      <c r="I1039" t="s">
        <v>139</v>
      </c>
      <c r="J1039" t="s">
        <v>287</v>
      </c>
      <c r="K1039" s="94">
        <f>IF('Net zero activities &amp; levers'!$C$12="Off",Constants!$H68*'Activity data'!AD10*Constants!$H86*EF!$H211*MMVolatEF*NtoN2O*kgtoGg,Constants!$H68*'Net zero Activity data'!AD10*Constants!$H86*EF!$H211*MMVolatEF*NtoN2O*kgtoGg)</f>
        <v>0.15836052531214867</v>
      </c>
      <c r="L1039" s="94">
        <f>IF('Net zero activities &amp; levers'!$C$12="Off",Constants!$H68*'Activity data'!AE10*Constants!$H86*EF!$H211*MMVolatEF*NtoN2O*kgtoGg,Constants!$H68*'Net zero Activity data'!AE10*Constants!$H86*EF!$H211*MMVolatEF*NtoN2O*kgtoGg)</f>
        <v>0.16370016056893633</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0.17476418316081965</v>
      </c>
      <c r="O1039" s="94">
        <f>IF('Net zero activities &amp; levers'!$C$12="Off",Constants!$H68*'Activity data'!AH10*Constants!$H86*EF!$H211*MMVolatEF*NtoN2O*kgtoGg,Constants!$H68*'Net zero Activity data'!AH10*Constants!$H86*EF!$H211*MMVolatEF*NtoN2O*kgtoGg)</f>
        <v>0.17840915017095652</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0.17460856438309952</v>
      </c>
      <c r="T1039" s="94">
        <f>IF('Net zero activities &amp; levers'!$C$12="Off",Constants!$H68*'Activity data'!AM10*Constants!$H86*EF!$H211*MMVolatEF*NtoN2O*kgtoGg,Constants!$H68*'Net zero Activity data'!AM10*Constants!$H86*EF!$H211*MMVolatEF*NtoN2O*kgtoGg)</f>
        <v>0.1873645711352227</v>
      </c>
      <c r="U1039" s="94">
        <f>IF('Net zero activities &amp; levers'!$C$12="Off",Constants!$H68*'Activity data'!AN10*Constants!$H86*EF!$H211*MMVolatEF*NtoN2O*kgtoGg,Constants!$H68*'Net zero Activity data'!AN10*Constants!$H86*EF!$H211*MMVolatEF*NtoN2O*kgtoGg)</f>
        <v>0.19484677000767164</v>
      </c>
      <c r="V1039" s="94">
        <f>IF('Net zero activities &amp; levers'!$C$12="Off",Constants!$H68*'Activity data'!AO10*Constants!$H86*EF!$H211*MMVolatEF*NtoN2O*kgtoGg,Constants!$H68*'Net zero Activity data'!AO10*Constants!$H86*EF!$H211*MMVolatEF*NtoN2O*kgtoGg)</f>
        <v>0.19807112255457257</v>
      </c>
      <c r="W1039" s="94">
        <f>IF('Net zero activities &amp; levers'!$C$12="Off",Constants!$H68*'Activity data'!AP10*Constants!$H86*EF!$H211*MMVolatEF*NtoN2O*kgtoGg,Constants!$H68*'Net zero Activity data'!AP10*Constants!$H86*EF!$H211*MMVolatEF*NtoN2O*kgtoGg)</f>
        <v>0.20154228480865111</v>
      </c>
      <c r="X1039" s="94">
        <f>IF('Net zero activities &amp; levers'!$C$12="Off",Constants!$H68*'Activity data'!AQ10*Constants!$H86*EF!$H211*MMVolatEF*NtoN2O*kgtoGg,Constants!$H68*'Net zero Activity data'!AQ10*Constants!$H86*EF!$H211*MMVolatEF*NtoN2O*kgtoGg)</f>
        <v>0.20623914667732615</v>
      </c>
      <c r="Y1039" s="94">
        <f>IF('Net zero activities &amp; levers'!$C$12="Off",Constants!$H68*'Activity data'!AR10*Constants!$H86*EF!$H211*MMVolatEF*NtoN2O*kgtoGg,Constants!$H68*'Net zero Activity data'!AR10*Constants!$H86*EF!$H211*MMVolatEF*NtoN2O*kgtoGg)</f>
        <v>0.21215915392676254</v>
      </c>
      <c r="Z1039" s="94">
        <f>IF('Net zero activities &amp; levers'!$C$12="Off",Constants!$H68*'Activity data'!AS10*Constants!$H86*EF!$H211*MMVolatEF*NtoN2O*kgtoGg,Constants!$H68*'Net zero Activity data'!AS10*Constants!$H86*EF!$H211*MMVolatEF*NtoN2O*kgtoGg)</f>
        <v>0.21872684602749243</v>
      </c>
      <c r="AA1039" s="94">
        <f>IF('Net zero activities &amp; levers'!$C$12="Off",Constants!$H68*'Activity data'!AT10*Constants!$H86*EF!$H211*MMVolatEF*NtoN2O*kgtoGg,Constants!$H68*'Net zero Activity data'!AT10*Constants!$H86*EF!$H211*MMVolatEF*NtoN2O*kgtoGg)</f>
        <v>0.22612997396880463</v>
      </c>
      <c r="AB1039" s="94">
        <f>IF('Net zero activities &amp; levers'!$C$12="Off",Constants!$H68*'Activity data'!AU10*Constants!$H86*EF!$H211*MMVolatEF*NtoN2O*kgtoGg,Constants!$H68*'Net zero Activity data'!AU10*Constants!$H86*EF!$H211*MMVolatEF*NtoN2O*kgtoGg)</f>
        <v>0.23491426249732866</v>
      </c>
      <c r="AC1039" s="94">
        <f>IF('Net zero activities &amp; levers'!$C$12="Off",Constants!$H68*'Activity data'!AV10*Constants!$H86*EF!$H211*MMVolatEF*NtoN2O*kgtoGg,Constants!$H68*'Net zero Activity data'!AV10*Constants!$H86*EF!$H211*MMVolatEF*NtoN2O*kgtoGg)</f>
        <v>0.24505515121890351</v>
      </c>
      <c r="AD1039" s="94">
        <f>IF('Net zero activities &amp; levers'!$C$12="Off",Constants!$H68*'Activity data'!AW10*Constants!$H86*EF!$H211*MMVolatEF*NtoN2O*kgtoGg,Constants!$H68*'Net zero Activity data'!AW10*Constants!$H86*EF!$H211*MMVolatEF*NtoN2O*kgtoGg)</f>
        <v>0.25677243358478996</v>
      </c>
      <c r="AE1039" s="94">
        <f>IF('Net zero activities &amp; levers'!$C$12="Off",Constants!$H68*'Activity data'!AX10*Constants!$H86*EF!$H211*MMVolatEF*NtoN2O*kgtoGg,Constants!$H68*'Net zero Activity data'!AX10*Constants!$H86*EF!$H211*MMVolatEF*NtoN2O*kgtoGg)</f>
        <v>0.26945216276183381</v>
      </c>
      <c r="AF1039" s="94">
        <f>IF('Net zero activities &amp; levers'!$C$12="Off",Constants!$H68*'Activity data'!AY10*Constants!$H86*EF!$H211*MMVolatEF*NtoN2O*kgtoGg,Constants!$H68*'Net zero Activity data'!AY10*Constants!$H86*EF!$H211*MMVolatEF*NtoN2O*kgtoGg)</f>
        <v>0.2828440567855407</v>
      </c>
      <c r="AG1039" s="94">
        <f>IF('Net zero activities &amp; levers'!$C$12="Off",Constants!$H68*'Activity data'!AZ10*Constants!$H86*EF!$H211*MMVolatEF*NtoN2O*kgtoGg,Constants!$H68*'Net zero Activity data'!AZ10*Constants!$H86*EF!$H211*MMVolatEF*NtoN2O*kgtoGg)</f>
        <v>0.29709510424120422</v>
      </c>
      <c r="AH1039" s="94">
        <f>IF('Net zero activities &amp; levers'!$C$12="Off",Constants!$H68*'Activity data'!BA10*Constants!$H86*EF!$H211*MMVolatEF*NtoN2O*kgtoGg,Constants!$H68*'Net zero Activity data'!BA10*Constants!$H86*EF!$H211*MMVolatEF*NtoN2O*kgtoGg)</f>
        <v>0.31209530848649036</v>
      </c>
      <c r="AI1039" s="94">
        <f>IF('Net zero activities &amp; levers'!$C$12="Off",Constants!$H68*'Activity data'!BB10*Constants!$H86*EF!$H211*MMVolatEF*NtoN2O*kgtoGg,Constants!$H68*'Net zero Activity data'!BB10*Constants!$H86*EF!$H211*MMVolatEF*NtoN2O*kgtoGg)</f>
        <v>0.32736251218808471</v>
      </c>
      <c r="AJ1039" s="94">
        <f>IF('Net zero activities &amp; levers'!$C$12="Off",Constants!$H68*'Activity data'!BC10*Constants!$H86*EF!$H211*MMVolatEF*NtoN2O*kgtoGg,Constants!$H68*'Net zero Activity data'!BC10*Constants!$H86*EF!$H211*MMVolatEF*NtoN2O*kgtoGg)</f>
        <v>0.34362947600093458</v>
      </c>
      <c r="AK1039" s="94">
        <f>IF('Net zero activities &amp; levers'!$C$12="Off",Constants!$H68*'Activity data'!BD10*Constants!$H86*EF!$H211*MMVolatEF*NtoN2O*kgtoGg,Constants!$H68*'Net zero Activity data'!BD10*Constants!$H86*EF!$H211*MMVolatEF*NtoN2O*kgtoGg)</f>
        <v>0.36044618553686847</v>
      </c>
      <c r="AL1039" s="94">
        <f>IF('Net zero activities &amp; levers'!$C$12="Off",Constants!$H68*'Activity data'!BE10*Constants!$H86*EF!$H211*MMVolatEF*NtoN2O*kgtoGg,Constants!$H68*'Net zero Activity data'!BE10*Constants!$H86*EF!$H211*MMVolatEF*NtoN2O*kgtoGg)</f>
        <v>0.37778487893593249</v>
      </c>
      <c r="AM1039" s="94">
        <f>IF('Net zero activities &amp; levers'!$C$12="Off",Constants!$H68*'Activity data'!BF10*Constants!$H86*EF!$H211*MMVolatEF*NtoN2O*kgtoGg,Constants!$H68*'Net zero Activity data'!BF10*Constants!$H86*EF!$H211*MMVolatEF*NtoN2O*kgtoGg)</f>
        <v>0.3958859410797253</v>
      </c>
      <c r="AN1039" s="94">
        <f>IF('Net zero activities &amp; levers'!$C$12="Off",Constants!$H68*'Activity data'!BG10*Constants!$H86*EF!$H211*MMVolatEF*NtoN2O*kgtoGg,Constants!$H68*'Net zero Activity data'!BG10*Constants!$H86*EF!$H211*MMVolatEF*NtoN2O*kgtoGg)</f>
        <v>0.41367585516143429</v>
      </c>
      <c r="AO1039" s="94">
        <f>IF('Net zero activities &amp; levers'!$C$12="Off",Constants!$H68*'Activity data'!BH10*Constants!$H86*EF!$H211*MMVolatEF*NtoN2O*kgtoGg,Constants!$H68*'Net zero Activity data'!BH10*Constants!$H86*EF!$H211*MMVolatEF*NtoN2O*kgtoGg)</f>
        <v>0.43242905153599548</v>
      </c>
      <c r="AP1039" s="94">
        <f>IF('Net zero activities &amp; levers'!$C$12="Off",Constants!$H68*'Activity data'!BI10*Constants!$H86*EF!$H211*MMVolatEF*NtoN2O*kgtoGg,Constants!$H68*'Net zero Activity data'!BI10*Constants!$H86*EF!$H211*MMVolatEF*NtoN2O*kgtoGg)</f>
        <v>0.45246435767624088</v>
      </c>
      <c r="AQ1039" s="94">
        <f>IF('Net zero activities &amp; levers'!$C$12="Off",Constants!$H68*'Activity data'!BJ10*Constants!$H86*EF!$H211*MMVolatEF*NtoN2O*kgtoGg,Constants!$H68*'Net zero Activity data'!BJ10*Constants!$H86*EF!$H211*MMVolatEF*NtoN2O*kgtoGg)</f>
        <v>0.47331488964480717</v>
      </c>
      <c r="AR1039" s="94">
        <f>IF('Net zero activities &amp; levers'!$C$12="Off",Constants!$H68*'Activity data'!BK10*Constants!$H86*EF!$H211*MMVolatEF*NtoN2O*kgtoGg,Constants!$H68*'Net zero Activity data'!BK10*Constants!$H86*EF!$H211*MMVolatEF*NtoN2O*kgtoGg)</f>
        <v>0.49503125359509215</v>
      </c>
      <c r="AS1039" s="94">
        <f>IF('Net zero activities &amp; levers'!$C$12="Off",Constants!$H68*'Activity data'!BL10*Constants!$H86*EF!$H211*MMVolatEF*NtoN2O*kgtoGg,Constants!$H68*'Net zero Activity data'!BL10*Constants!$H86*EF!$H211*MMVolatEF*NtoN2O*kgtoGg)</f>
        <v>0.51820746125670647</v>
      </c>
      <c r="AT1039" s="94">
        <f>IF('Net zero activities &amp; levers'!$C$12="Off",Constants!$H68*'Activity data'!BM10*Constants!$H86*EF!$H211*MMVolatEF*NtoN2O*kgtoGg,Constants!$H68*'Net zero Activity data'!BM10*Constants!$H86*EF!$H211*MMVolatEF*NtoN2O*kgtoGg)</f>
        <v>0.54270067079521189</v>
      </c>
      <c r="AU1039" s="94">
        <f>IF('Net zero activities &amp; levers'!$C$12="Off",Constants!$H68*'Activity data'!BN10*Constants!$H86*EF!$H211*MMVolatEF*NtoN2O*kgtoGg,Constants!$H68*'Net zero Activity data'!BN10*Constants!$H86*EF!$H211*MMVolatEF*NtoN2O*kgtoGg)</f>
        <v>0.56842164327333022</v>
      </c>
      <c r="AV1039" s="94">
        <f>IF('Net zero activities &amp; levers'!$C$12="Off",Constants!$H68*'Activity data'!BO10*Constants!$H86*EF!$H211*MMVolatEF*NtoN2O*kgtoGg,Constants!$H68*'Net zero Activity data'!BO10*Constants!$H86*EF!$H211*MMVolatEF*NtoN2O*kgtoGg)</f>
        <v>0.59578776955032364</v>
      </c>
      <c r="AW1039" s="94">
        <f>IF('Net zero activities &amp; levers'!$C$12="Off",Constants!$H68*'Activity data'!BP10*Constants!$H86*EF!$H211*MMVolatEF*NtoN2O*kgtoGg,Constants!$H68*'Net zero Activity data'!BP10*Constants!$H86*EF!$H211*MMVolatEF*NtoN2O*kgtoGg)</f>
        <v>0.6226172294628034</v>
      </c>
      <c r="AY1039" s="79"/>
      <c r="AZ1039" s="79"/>
    </row>
    <row r="1040" spans="1:52" x14ac:dyDescent="0.25">
      <c r="A1040" s="95" t="str">
        <f t="shared" si="345"/>
        <v>DS MM Volatilisation</v>
      </c>
      <c r="B1040" s="95" t="s">
        <v>973</v>
      </c>
      <c r="C1040" s="95" t="s">
        <v>1331</v>
      </c>
      <c r="D1040" t="s">
        <v>369</v>
      </c>
      <c r="E1040" t="s">
        <v>64</v>
      </c>
      <c r="F1040" t="s">
        <v>62</v>
      </c>
      <c r="G1040" t="s">
        <v>1163</v>
      </c>
      <c r="H1040" t="s">
        <v>1295</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1.1888884787446641E-4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1.18974421608456E-4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1.1894433570617077E-4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1.1894216976117226E-4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1.1906833284654552E-4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1.1927481036049653E-4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1.1947292782589552E-4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1.1966332441080059E-4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1.198457402729256E-4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1.2002397691702796E-4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1.2020063791291827E-4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1.2037395069486653E-4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1.2054640721794917E-4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1.2071746421078628E-4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1.2088575105723818E-4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1.2105200867781398E-4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1.2121641449313381E-4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1.2137952665146409E-4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1.2153635424536354E-4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1.2168671378968904E-4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1.2183201055728766E-4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1.2197112574763714E-4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1.2210431172658153E-4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1.2223096862203452E-4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1.2234928396390209E-4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1.2245757817594662E-4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1.2255574185064525E-4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1.2264302379658788E-4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1.2271938191890156E-4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1.2278627747914955E-4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1.2283502162881773E-4</v>
      </c>
      <c r="AY1040" s="79"/>
      <c r="AZ1040" s="79"/>
    </row>
    <row r="1041" spans="1:52" x14ac:dyDescent="0.25">
      <c r="A1041" s="95" t="str">
        <f t="shared" si="345"/>
        <v>DS MM Volatilisation</v>
      </c>
      <c r="B1041" s="95" t="s">
        <v>973</v>
      </c>
      <c r="C1041" s="95" t="s">
        <v>1331</v>
      </c>
      <c r="D1041" t="s">
        <v>369</v>
      </c>
      <c r="E1041" t="s">
        <v>64</v>
      </c>
      <c r="F1041" t="s">
        <v>62</v>
      </c>
      <c r="G1041" t="s">
        <v>1165</v>
      </c>
      <c r="H1041" t="s">
        <v>1296</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8.158765245643595E-4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8.1646377561380335E-4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8.1625731065233949E-4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8.1624244682188473E-4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8.1710824291178659E-4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8.1852519798784992E-4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8.1988478210372824E-4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8.2119138155993044E-4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8.2244321318482034E-4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8.2366636486254352E-4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8.2487870363047661E-4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8.2606806522936944E-4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8.2725155073878963E-4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8.2842543195064012E-4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8.2958030299084108E-4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8.3072124843764142E-4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8.3184948584274219E-4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8.3296884550710043E-4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8.3404507725258427E-4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8.3507692190961139E-4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8.3607402318444201E-4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8.3702870329149695E-4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8.3794269409521473E-4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8.3881187896429009E-4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8.3962381979516996E-4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8.4036699047040963E-4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8.4104064017922141E-4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8.4163961385914194E-4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8.4216362263346621E-4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8.4262269443187052E-4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8.4295720189943475E-4</v>
      </c>
      <c r="AY1041" s="79"/>
      <c r="AZ1041" s="79"/>
    </row>
    <row r="1042" spans="1:52" x14ac:dyDescent="0.25">
      <c r="A1042" s="95" t="str">
        <f t="shared" si="345"/>
        <v>DS MM Volatilisation</v>
      </c>
      <c r="B1042" s="95" t="s">
        <v>973</v>
      </c>
      <c r="C1042" s="95" t="s">
        <v>1331</v>
      </c>
      <c r="D1042" t="s">
        <v>369</v>
      </c>
      <c r="E1042" t="s">
        <v>64</v>
      </c>
      <c r="F1042" t="s">
        <v>62</v>
      </c>
      <c r="G1042" t="s">
        <v>1167</v>
      </c>
      <c r="H1042" t="s">
        <v>1297</v>
      </c>
      <c r="I1042" t="s">
        <v>139</v>
      </c>
      <c r="J1042" t="s">
        <v>287</v>
      </c>
      <c r="K1042" s="22">
        <f t="shared" ref="K1042:Z1045" si="363">K1539</f>
        <v>1.4486129996083081E-5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1.4890706011157255E-5</v>
      </c>
      <c r="R1042" s="22">
        <f t="shared" si="363"/>
        <v>1.4988675221399694E-5</v>
      </c>
      <c r="S1042" s="22">
        <f t="shared" si="363"/>
        <v>1.4951923212530766E-5</v>
      </c>
      <c r="T1042" s="22">
        <f t="shared" si="363"/>
        <v>1.4977625582861877E-5</v>
      </c>
      <c r="U1042" s="22">
        <f t="shared" si="363"/>
        <v>1.4980119703065675E-5</v>
      </c>
      <c r="V1042" s="22">
        <f t="shared" si="363"/>
        <v>1.4986976942692676E-5</v>
      </c>
      <c r="W1042" s="22">
        <f t="shared" si="363"/>
        <v>1.5017294663736538E-5</v>
      </c>
      <c r="X1042" s="22">
        <f t="shared" si="363"/>
        <v>1.5061890336193319E-5</v>
      </c>
      <c r="Y1042" s="22">
        <f t="shared" si="363"/>
        <v>1.5103986297595971E-5</v>
      </c>
      <c r="Z1042" s="22">
        <f t="shared" si="363"/>
        <v>1.5143780477124499E-5</v>
      </c>
      <c r="AA1042" s="22">
        <f t="shared" ref="L1042:AW1045" si="364">AA1539</f>
        <v>1.5181293243682811E-5</v>
      </c>
      <c r="AB1042" s="22">
        <f t="shared" si="364"/>
        <v>1.5217300806744068E-5</v>
      </c>
      <c r="AC1042" s="22">
        <f t="shared" si="364"/>
        <v>1.5252343422195684E-5</v>
      </c>
      <c r="AD1042" s="22">
        <f t="shared" si="364"/>
        <v>1.5286134993525756E-5</v>
      </c>
      <c r="AE1042" s="22">
        <f t="shared" si="364"/>
        <v>1.531918306979576E-5</v>
      </c>
      <c r="AF1042" s="22">
        <f t="shared" si="364"/>
        <v>1.5351423055728344E-5</v>
      </c>
      <c r="AG1042" s="22">
        <f t="shared" si="364"/>
        <v>1.5382634347686873E-5</v>
      </c>
      <c r="AH1042" s="22">
        <f t="shared" si="364"/>
        <v>1.5412986814805202E-5</v>
      </c>
      <c r="AI1042" s="22">
        <f t="shared" si="364"/>
        <v>1.5442542460580333E-5</v>
      </c>
      <c r="AJ1042" s="22">
        <f t="shared" si="364"/>
        <v>1.5471431054826288E-5</v>
      </c>
      <c r="AK1042" s="22">
        <f t="shared" si="364"/>
        <v>1.5498756892033488E-5</v>
      </c>
      <c r="AL1042" s="22">
        <f t="shared" si="364"/>
        <v>1.5524513513074621E-5</v>
      </c>
      <c r="AM1042" s="22">
        <f t="shared" si="364"/>
        <v>1.5548984646319332E-5</v>
      </c>
      <c r="AN1042" s="22">
        <f t="shared" si="364"/>
        <v>1.5571987875403361E-5</v>
      </c>
      <c r="AO1042" s="22">
        <f t="shared" si="364"/>
        <v>1.5593591673600764E-5</v>
      </c>
      <c r="AP1042" s="22">
        <f t="shared" si="364"/>
        <v>1.5613707165200276E-5</v>
      </c>
      <c r="AQ1042" s="22">
        <f t="shared" si="364"/>
        <v>1.5632023858239551E-5</v>
      </c>
      <c r="AR1042" s="22">
        <f t="shared" si="364"/>
        <v>1.5648256533695206E-5</v>
      </c>
      <c r="AS1042" s="22">
        <f t="shared" si="364"/>
        <v>1.5662406299088669E-5</v>
      </c>
      <c r="AT1042" s="22">
        <f t="shared" si="364"/>
        <v>1.5674356891571193E-5</v>
      </c>
      <c r="AU1042" s="22">
        <f t="shared" si="364"/>
        <v>1.5684120431636331E-5</v>
      </c>
      <c r="AV1042" s="22">
        <f t="shared" si="364"/>
        <v>1.5691980107154113E-5</v>
      </c>
      <c r="AW1042" s="22">
        <f t="shared" si="364"/>
        <v>1.5696383554298718E-5</v>
      </c>
      <c r="AY1042" s="79"/>
      <c r="AZ1042" s="79"/>
    </row>
    <row r="1043" spans="1:52" x14ac:dyDescent="0.25">
      <c r="A1043" s="95" t="str">
        <f t="shared" si="345"/>
        <v>DS MM Volatilisation</v>
      </c>
      <c r="B1043" s="95" t="s">
        <v>973</v>
      </c>
      <c r="C1043" s="95" t="s">
        <v>1331</v>
      </c>
      <c r="D1043" t="s">
        <v>369</v>
      </c>
      <c r="E1043" t="s">
        <v>64</v>
      </c>
      <c r="F1043" t="s">
        <v>62</v>
      </c>
      <c r="G1043" t="s">
        <v>1169</v>
      </c>
      <c r="H1043" t="s">
        <v>1298</v>
      </c>
      <c r="I1043" t="s">
        <v>139</v>
      </c>
      <c r="J1043" t="s">
        <v>287</v>
      </c>
      <c r="K1043" s="22">
        <f t="shared" si="363"/>
        <v>1.4738364076719785E-3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1.5149984613639165E-3</v>
      </c>
      <c r="R1043" s="22">
        <f t="shared" si="364"/>
        <v>1.5249659674490626E-3</v>
      </c>
      <c r="S1043" s="22">
        <f t="shared" si="364"/>
        <v>1.5212267735621682E-3</v>
      </c>
      <c r="T1043" s="22">
        <f t="shared" si="364"/>
        <v>1.523841763843748E-3</v>
      </c>
      <c r="U1043" s="22">
        <f t="shared" si="364"/>
        <v>1.5240955186535188E-3</v>
      </c>
      <c r="V1043" s="22">
        <f t="shared" si="364"/>
        <v>1.5247931825168926E-3</v>
      </c>
      <c r="W1043" s="22">
        <f t="shared" si="364"/>
        <v>1.5278777441689124E-3</v>
      </c>
      <c r="X1043" s="22">
        <f t="shared" si="364"/>
        <v>1.53241496188746E-3</v>
      </c>
      <c r="Y1043" s="22">
        <f t="shared" si="364"/>
        <v>1.536697855976355E-3</v>
      </c>
      <c r="Z1043" s="22">
        <f t="shared" si="364"/>
        <v>1.5407465639900506E-3</v>
      </c>
      <c r="AA1043" s="22">
        <f t="shared" si="364"/>
        <v>1.5445631582854966E-3</v>
      </c>
      <c r="AB1043" s="22">
        <f t="shared" si="364"/>
        <v>1.5482266113544371E-3</v>
      </c>
      <c r="AC1043" s="22">
        <f t="shared" si="364"/>
        <v>1.551791889485077E-3</v>
      </c>
      <c r="AD1043" s="22">
        <f t="shared" si="364"/>
        <v>1.555229884871849E-3</v>
      </c>
      <c r="AE1043" s="22">
        <f t="shared" si="364"/>
        <v>1.5585922361708792E-3</v>
      </c>
      <c r="AF1043" s="22">
        <f t="shared" si="364"/>
        <v>1.561872371380429E-3</v>
      </c>
      <c r="AG1043" s="22">
        <f t="shared" si="364"/>
        <v>1.5650478460193693E-3</v>
      </c>
      <c r="AH1043" s="22">
        <f t="shared" si="364"/>
        <v>1.5681359427790809E-3</v>
      </c>
      <c r="AI1043" s="22">
        <f t="shared" si="364"/>
        <v>1.5711429699704306E-3</v>
      </c>
      <c r="AJ1043" s="22">
        <f t="shared" si="364"/>
        <v>1.5740821305314401E-3</v>
      </c>
      <c r="AK1043" s="22">
        <f t="shared" si="364"/>
        <v>1.5768622942989184E-3</v>
      </c>
      <c r="AL1043" s="22">
        <f t="shared" si="364"/>
        <v>1.5794828041134305E-3</v>
      </c>
      <c r="AM1043" s="22">
        <f t="shared" si="364"/>
        <v>1.5819725268428828E-3</v>
      </c>
      <c r="AN1043" s="22">
        <f t="shared" si="364"/>
        <v>1.5843129032254801E-3</v>
      </c>
      <c r="AO1043" s="22">
        <f t="shared" si="364"/>
        <v>1.586510899815041E-3</v>
      </c>
      <c r="AP1043" s="22">
        <f t="shared" si="364"/>
        <v>1.5885574742890791E-3</v>
      </c>
      <c r="AQ1043" s="22">
        <f t="shared" si="364"/>
        <v>1.5904210368193567E-3</v>
      </c>
      <c r="AR1043" s="22">
        <f t="shared" si="364"/>
        <v>1.592072568877052E-3</v>
      </c>
      <c r="AS1043" s="22">
        <f t="shared" si="364"/>
        <v>1.5935121831427352E-3</v>
      </c>
      <c r="AT1043" s="22">
        <f t="shared" si="364"/>
        <v>1.5947280508933873E-3</v>
      </c>
      <c r="AU1043" s="22">
        <f t="shared" si="364"/>
        <v>1.5957214052826996E-3</v>
      </c>
      <c r="AV1043" s="22">
        <f t="shared" si="364"/>
        <v>1.5965210581874944E-3</v>
      </c>
      <c r="AW1043" s="22">
        <f t="shared" si="364"/>
        <v>1.596969070232308E-3</v>
      </c>
      <c r="AY1043" s="79"/>
      <c r="AZ1043" s="79"/>
    </row>
    <row r="1044" spans="1:52" x14ac:dyDescent="0.25">
      <c r="A1044" s="95" t="str">
        <f t="shared" si="345"/>
        <v>DS MM Volatilisation</v>
      </c>
      <c r="B1044" s="95" t="s">
        <v>973</v>
      </c>
      <c r="C1044" s="95" t="s">
        <v>1331</v>
      </c>
      <c r="D1044" t="s">
        <v>369</v>
      </c>
      <c r="E1044" t="s">
        <v>64</v>
      </c>
      <c r="F1044" t="s">
        <v>62</v>
      </c>
      <c r="G1044" t="s">
        <v>1171</v>
      </c>
      <c r="H1044" t="s">
        <v>1299</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5">
      <c r="A1045" s="95" t="str">
        <f t="shared" si="345"/>
        <v>DS MM Volatilisation</v>
      </c>
      <c r="B1045" s="95" t="s">
        <v>973</v>
      </c>
      <c r="C1045" s="95" t="s">
        <v>1331</v>
      </c>
      <c r="D1045" t="s">
        <v>369</v>
      </c>
      <c r="E1045" t="s">
        <v>64</v>
      </c>
      <c r="F1045" t="s">
        <v>62</v>
      </c>
      <c r="G1045" t="s">
        <v>1173</v>
      </c>
      <c r="H1045" t="s">
        <v>1300</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5">
      <c r="A1046" s="95" t="str">
        <f t="shared" si="345"/>
        <v>DS MM Volatilisation</v>
      </c>
      <c r="B1046" s="95" t="s">
        <v>973</v>
      </c>
      <c r="C1046" s="95" t="s">
        <v>1331</v>
      </c>
      <c r="D1046" t="s">
        <v>369</v>
      </c>
      <c r="E1046" t="s">
        <v>64</v>
      </c>
      <c r="F1046" t="s">
        <v>62</v>
      </c>
      <c r="G1046" t="s">
        <v>1175</v>
      </c>
      <c r="H1046" t="s">
        <v>1301</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0.13004550543955865</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0.12890938840294827</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0.12695857121838466</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0.12056837226162823</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0.10830895289651481</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0.11320330426035914</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0.11468301383498544</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0.11355120382559489</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0.11255578294046394</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0.11224814770681171</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0.11260156809388705</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0.11325984846472106</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0.11429808983181136</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0.11596592254580176</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0.11820511582305605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0.12075365463644311</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0.12358623956337132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0.12656118355318</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0.12972957848678721</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0.13302313311609873</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0.13621929545186015</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0.13962684476435561</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0.14304119066791054</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0.14644440679500975</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0.14992455211372072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0.15325657222760428</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0.15674333681767427</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0.16048535923438295</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0.16429277839644263</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0.16817259395975112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0.17231652203790412</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0.17665242177214358</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0.18113086971422945</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0.18586803919890985</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0.19015603509530893</v>
      </c>
      <c r="AY1046" s="79"/>
      <c r="AZ1046" s="79"/>
    </row>
    <row r="1047" spans="1:52" x14ac:dyDescent="0.25">
      <c r="A1047" s="95" t="str">
        <f t="shared" si="345"/>
        <v>DS MM Volatilisation</v>
      </c>
      <c r="B1047" s="95" t="s">
        <v>973</v>
      </c>
      <c r="C1047" s="95" t="s">
        <v>1331</v>
      </c>
      <c r="D1047" t="s">
        <v>369</v>
      </c>
      <c r="E1047" t="s">
        <v>64</v>
      </c>
      <c r="F1047" t="s">
        <v>62</v>
      </c>
      <c r="G1047" t="s">
        <v>1177</v>
      </c>
      <c r="H1047" t="s">
        <v>1302</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1.2655466337890211E-2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1.2355059245839609E-2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1.1905551806853848E-2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1.1733192711380727E-2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1.0540159022343456E-2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1.1016456136354276E-2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1.1160455074635459E-2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1.1050312217899923E-2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1.0953442161059227E-2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1.092350443018052E-2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1.0957897774238343E-2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1.1021958773854017E-2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1.1122995934864729E-2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1.1285302203718813E-2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1.1503210812313454E-2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1.1751223591029727E-2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1.2026878509443005E-2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1.231638719636668E-2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1.2624721692756056E-2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1.2945236189603672E-2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1.3256272889518386E-2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1.3587880856077676E-2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1.3920150237493829E-2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1.4251336517184878E-2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1.459000921320037E-2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1.4914267004701089E-2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1.5253583859586839E-2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1.5617741302554344E-2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1.5988262874036725E-2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1.6365829750282931E-2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1.676909891458386E-2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1.7191049930466051E-2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1.7626873121628955E-2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1.8087873974735078E-2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1.8505163196230787E-2</v>
      </c>
      <c r="AY1047" s="79"/>
      <c r="AZ1047" s="79"/>
    </row>
    <row r="1048" spans="1:52" x14ac:dyDescent="0.25">
      <c r="A1048" s="95" t="str">
        <f t="shared" si="345"/>
        <v>DS MM Volatilisation</v>
      </c>
      <c r="B1048" s="95" t="s">
        <v>973</v>
      </c>
      <c r="C1048" s="95" t="s">
        <v>1331</v>
      </c>
      <c r="D1048" t="s">
        <v>369</v>
      </c>
      <c r="E1048" t="s">
        <v>64</v>
      </c>
      <c r="F1048" t="s">
        <v>62</v>
      </c>
      <c r="G1048" t="s">
        <v>1179</v>
      </c>
      <c r="H1048" t="s">
        <v>1303</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6.9075990112688196E-2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7.1960031651071718E-2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7.3674037695468111E-2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7.4492152680205134E-2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7.5399470920563483E-2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7.6582710746940591E-2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7.8007027191938444E-2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7.95518212189988E-2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8.125501320297529E-2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8.3229375715267798E-2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8.5468913054205911E-2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8.7878363840128426E-2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9.0457350276048634E-2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9.3152543573947852E-2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9.5991306514799535E-2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9.8949791609125759E-2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0.10193029518056052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0.10507798344014782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0.10829971138803891</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0.11158886411942164</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0.11499192397451925</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0.11839831966593896</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0.12196310213771001</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0.12574583816913645</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0.12965360602860704</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0.13369403699154539</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0.1379790125366526</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0.14247835199666176</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0.14717275078625591</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0.15213947342494369</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0.15696141877860778</v>
      </c>
      <c r="AY1048" s="79"/>
      <c r="AZ1048" s="79"/>
    </row>
    <row r="1049" spans="1:52" x14ac:dyDescent="0.25">
      <c r="A1049" s="95" t="str">
        <f t="shared" si="345"/>
        <v>DS MM Volatilisation</v>
      </c>
      <c r="B1049" s="95" t="s">
        <v>973</v>
      </c>
      <c r="C1049" s="95" t="s">
        <v>1331</v>
      </c>
      <c r="D1049" t="s">
        <v>369</v>
      </c>
      <c r="E1049" t="s">
        <v>64</v>
      </c>
      <c r="F1049" t="s">
        <v>62</v>
      </c>
      <c r="G1049" t="s">
        <v>1181</v>
      </c>
      <c r="H1049" t="s">
        <v>1304</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0.3209942132552846</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0.3217232753588708</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0.31577785743754239</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0.27355046715049131</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0.2982999703835697</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0.31020865266324016</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0.31169871113596848</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0.313416443296333</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0.31777262865062833</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0.32494530500053975</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0.33352717212448735</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0.34389700896977449</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0.35720613223021092</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0.37330270784262232</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0.39111878330548938</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0.41059525274758124</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0.4311392832902729</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0.45302578965799745</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0.47597562229356133</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0.49895875258724764</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0.52346175750841617</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0.54854282752031391</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0.57412757690619154</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0.60066723743034001</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0.62704755150284652</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0.65481507956811935</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0.68454150627200949</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0.71529406948310958</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0.74714458055742761</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0.78116708322765893</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0.81704220152579388</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0.85455779039390145</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0.8944207901364416</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0.93268516809491542</v>
      </c>
      <c r="AY1049" s="79"/>
      <c r="AZ1049" s="79"/>
    </row>
    <row r="1050" spans="1:52" x14ac:dyDescent="0.25">
      <c r="A1050" s="95" t="str">
        <f t="shared" si="345"/>
        <v>DS MM Leaching</v>
      </c>
      <c r="B1050" s="95" t="s">
        <v>973</v>
      </c>
      <c r="C1050" s="95" t="s">
        <v>1332</v>
      </c>
      <c r="D1050" t="s">
        <v>369</v>
      </c>
      <c r="E1050" t="s">
        <v>64</v>
      </c>
      <c r="F1050" t="s">
        <v>63</v>
      </c>
      <c r="G1050" t="s">
        <v>1151</v>
      </c>
      <c r="H1050" t="s">
        <v>1305</v>
      </c>
      <c r="I1050" t="s">
        <v>139</v>
      </c>
      <c r="J1050" t="s">
        <v>287</v>
      </c>
      <c r="K1050" s="22">
        <f t="shared" ref="K1050:AW1050" si="365">K1547</f>
        <v>8.9211118607918846E-2</v>
      </c>
      <c r="L1050" s="22">
        <f t="shared" si="365"/>
        <v>8.9709854381943815E-2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9.2016609055475665E-2</v>
      </c>
      <c r="S1050" s="22">
        <f t="shared" si="365"/>
        <v>8.9358864650084344E-2</v>
      </c>
      <c r="T1050" s="22">
        <f t="shared" si="365"/>
        <v>9.1160880262772734E-2</v>
      </c>
      <c r="U1050" s="22">
        <f t="shared" si="365"/>
        <v>9.2055417480081031E-2</v>
      </c>
      <c r="V1050" s="22">
        <f t="shared" si="365"/>
        <v>9.2289034291272776E-2</v>
      </c>
      <c r="W1050" s="22">
        <f t="shared" si="365"/>
        <v>9.2621209958625161E-2</v>
      </c>
      <c r="X1050" s="22">
        <f t="shared" si="365"/>
        <v>9.3178603232719648E-2</v>
      </c>
      <c r="Y1050" s="22">
        <f t="shared" si="365"/>
        <v>9.3914939363977226E-2</v>
      </c>
      <c r="Z1050" s="22">
        <f t="shared" si="365"/>
        <v>9.4739349743762011E-2</v>
      </c>
      <c r="AA1050" s="22">
        <f t="shared" si="365"/>
        <v>9.5677798677729631E-2</v>
      </c>
      <c r="AB1050" s="22">
        <f t="shared" si="365"/>
        <v>9.6810748950836578E-2</v>
      </c>
      <c r="AC1050" s="22">
        <f t="shared" si="365"/>
        <v>9.8131619080537594E-2</v>
      </c>
      <c r="AD1050" s="22">
        <f t="shared" si="365"/>
        <v>9.956927276254475E-2</v>
      </c>
      <c r="AE1050" s="22">
        <f t="shared" si="365"/>
        <v>0.10112241066666731</v>
      </c>
      <c r="AF1050" s="22">
        <f t="shared" si="365"/>
        <v>0.10275162031430257</v>
      </c>
      <c r="AG1050" s="22">
        <f t="shared" si="365"/>
        <v>0.10447512410975278</v>
      </c>
      <c r="AH1050" s="22">
        <f t="shared" si="365"/>
        <v>0.10627520064757517</v>
      </c>
      <c r="AI1050" s="22">
        <f t="shared" si="365"/>
        <v>0.10808248543054177</v>
      </c>
      <c r="AJ1050" s="22">
        <f t="shared" si="365"/>
        <v>0.10999863373444546</v>
      </c>
      <c r="AK1050" s="22">
        <f t="shared" si="365"/>
        <v>0.11195666285750208</v>
      </c>
      <c r="AL1050" s="22">
        <f t="shared" si="365"/>
        <v>0.11395159289972816</v>
      </c>
      <c r="AM1050" s="22">
        <f t="shared" si="365"/>
        <v>0.11601556458845022</v>
      </c>
      <c r="AN1050" s="22">
        <f t="shared" si="365"/>
        <v>0.1180715269808419</v>
      </c>
      <c r="AO1050" s="22">
        <f t="shared" si="365"/>
        <v>0.12022624785087629</v>
      </c>
      <c r="AP1050" s="22">
        <f t="shared" si="365"/>
        <v>0.12251950907003291</v>
      </c>
      <c r="AQ1050" s="22">
        <f t="shared" si="365"/>
        <v>0.12488629569373427</v>
      </c>
      <c r="AR1050" s="22">
        <f t="shared" si="365"/>
        <v>0.12733088961691924</v>
      </c>
      <c r="AS1050" s="22">
        <f t="shared" si="365"/>
        <v>0.1299285168324007</v>
      </c>
      <c r="AT1050" s="22">
        <f t="shared" si="365"/>
        <v>0.13265733115300649</v>
      </c>
      <c r="AU1050" s="22">
        <f t="shared" si="365"/>
        <v>0.1355032537790716</v>
      </c>
      <c r="AV1050" s="22">
        <f t="shared" si="365"/>
        <v>0.13851756609044491</v>
      </c>
      <c r="AW1050" s="22">
        <f t="shared" si="365"/>
        <v>0.1414178902191697</v>
      </c>
      <c r="AY1050" s="79"/>
      <c r="AZ1050" s="79"/>
    </row>
    <row r="1051" spans="1:52" x14ac:dyDescent="0.25">
      <c r="A1051" s="95" t="str">
        <f t="shared" si="345"/>
        <v>DS MM Leaching</v>
      </c>
      <c r="B1051" s="95" t="s">
        <v>973</v>
      </c>
      <c r="C1051" s="95" t="s">
        <v>1332</v>
      </c>
      <c r="D1051" t="s">
        <v>369</v>
      </c>
      <c r="E1051" t="s">
        <v>64</v>
      </c>
      <c r="F1051" t="s">
        <v>63</v>
      </c>
      <c r="G1051" t="s">
        <v>1153</v>
      </c>
      <c r="H1051" t="s">
        <v>1306</v>
      </c>
      <c r="I1051" t="s">
        <v>139</v>
      </c>
      <c r="J1051" t="s">
        <v>287</v>
      </c>
      <c r="K1051" s="22">
        <f t="shared" ref="K1051:AW1051" si="366">K1548</f>
        <v>2.6939494531157477E-2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2.7786681470952937E-2</v>
      </c>
      <c r="S1051" s="22">
        <f t="shared" si="366"/>
        <v>2.6984110087570477E-2</v>
      </c>
      <c r="T1051" s="22">
        <f t="shared" si="366"/>
        <v>2.7528273085418706E-2</v>
      </c>
      <c r="U1051" s="22">
        <f t="shared" si="366"/>
        <v>2.7798400630612993E-2</v>
      </c>
      <c r="V1051" s="22">
        <f t="shared" si="366"/>
        <v>2.786894698072824E-2</v>
      </c>
      <c r="W1051" s="22">
        <f t="shared" si="366"/>
        <v>2.7969255604963213E-2</v>
      </c>
      <c r="X1051" s="22">
        <f t="shared" si="366"/>
        <v>2.8137574232657669E-2</v>
      </c>
      <c r="Y1051" s="22">
        <f t="shared" si="366"/>
        <v>2.8359929063430364E-2</v>
      </c>
      <c r="Z1051" s="22">
        <f t="shared" si="366"/>
        <v>2.8608880082812278E-2</v>
      </c>
      <c r="AA1051" s="22">
        <f t="shared" si="366"/>
        <v>2.8892267852396274E-2</v>
      </c>
      <c r="AB1051" s="22">
        <f t="shared" si="366"/>
        <v>2.9234390091896226E-2</v>
      </c>
      <c r="AC1051" s="22">
        <f t="shared" si="366"/>
        <v>2.9633259360555886E-2</v>
      </c>
      <c r="AD1051" s="22">
        <f t="shared" si="366"/>
        <v>3.0067394299210185E-2</v>
      </c>
      <c r="AE1051" s="22">
        <f t="shared" si="366"/>
        <v>3.0536402543105565E-2</v>
      </c>
      <c r="AF1051" s="22">
        <f t="shared" si="366"/>
        <v>3.102838252359965E-2</v>
      </c>
      <c r="AG1051" s="22">
        <f t="shared" si="366"/>
        <v>3.1548836944488824E-2</v>
      </c>
      <c r="AH1051" s="22">
        <f t="shared" si="366"/>
        <v>3.2092414390921906E-2</v>
      </c>
      <c r="AI1051" s="22">
        <f t="shared" si="366"/>
        <v>3.2638168544515178E-2</v>
      </c>
      <c r="AJ1051" s="22">
        <f t="shared" si="366"/>
        <v>3.3216796719561036E-2</v>
      </c>
      <c r="AK1051" s="22">
        <f t="shared" si="366"/>
        <v>3.3808071839473604E-2</v>
      </c>
      <c r="AL1051" s="22">
        <f t="shared" si="366"/>
        <v>3.4410490100798045E-2</v>
      </c>
      <c r="AM1051" s="22">
        <f t="shared" si="366"/>
        <v>3.5033757187775863E-2</v>
      </c>
      <c r="AN1051" s="22">
        <f t="shared" si="366"/>
        <v>3.5654605670458001E-2</v>
      </c>
      <c r="AO1051" s="22">
        <f t="shared" si="366"/>
        <v>3.6305276707883034E-2</v>
      </c>
      <c r="AP1051" s="22">
        <f t="shared" si="366"/>
        <v>3.699778341597066E-2</v>
      </c>
      <c r="AQ1051" s="22">
        <f t="shared" si="366"/>
        <v>3.7712492930889352E-2</v>
      </c>
      <c r="AR1051" s="22">
        <f t="shared" si="366"/>
        <v>3.8450698276278859E-2</v>
      </c>
      <c r="AS1051" s="22">
        <f t="shared" si="366"/>
        <v>3.9235115793483218E-2</v>
      </c>
      <c r="AT1051" s="22">
        <f t="shared" si="366"/>
        <v>4.0059148488214832E-2</v>
      </c>
      <c r="AU1051" s="22">
        <f t="shared" si="366"/>
        <v>4.0918544920154343E-2</v>
      </c>
      <c r="AV1051" s="22">
        <f t="shared" si="366"/>
        <v>4.1828790765006174E-2</v>
      </c>
      <c r="AW1051" s="22">
        <f t="shared" si="366"/>
        <v>4.2704615070581362E-2</v>
      </c>
      <c r="AY1051" s="79"/>
      <c r="AZ1051" s="79"/>
    </row>
    <row r="1052" spans="1:52" x14ac:dyDescent="0.25">
      <c r="A1052" s="95" t="str">
        <f t="shared" si="345"/>
        <v>DS MM Leaching</v>
      </c>
      <c r="B1052" s="95" t="s">
        <v>973</v>
      </c>
      <c r="C1052" s="95" t="s">
        <v>1332</v>
      </c>
      <c r="D1052" t="s">
        <v>369</v>
      </c>
      <c r="E1052" t="s">
        <v>64</v>
      </c>
      <c r="F1052" t="s">
        <v>63</v>
      </c>
      <c r="G1052" t="s">
        <v>1155</v>
      </c>
      <c r="H1052" t="s">
        <v>1307</v>
      </c>
      <c r="I1052" t="s">
        <v>139</v>
      </c>
      <c r="J1052" t="s">
        <v>287</v>
      </c>
      <c r="K1052" s="22">
        <f t="shared" ref="K1052:AW1052" si="367">K1549</f>
        <v>1.4483668498503175E-3</v>
      </c>
      <c r="L1052" s="22">
        <f t="shared" si="367"/>
        <v>1.4564639612104711E-3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1.4939147526814829E-3</v>
      </c>
      <c r="S1052" s="22">
        <f t="shared" si="367"/>
        <v>1.4507655471540646E-3</v>
      </c>
      <c r="T1052" s="22">
        <f t="shared" si="367"/>
        <v>1.4800217622655623E-3</v>
      </c>
      <c r="U1052" s="22">
        <f t="shared" si="367"/>
        <v>1.4945448180429578E-3</v>
      </c>
      <c r="V1052" s="22">
        <f t="shared" si="367"/>
        <v>1.4983376507097578E-3</v>
      </c>
      <c r="W1052" s="22">
        <f t="shared" si="367"/>
        <v>1.5037306132958967E-3</v>
      </c>
      <c r="X1052" s="22">
        <f t="shared" si="367"/>
        <v>1.5127800451730611E-3</v>
      </c>
      <c r="Y1052" s="22">
        <f t="shared" si="367"/>
        <v>1.5247346631568088E-3</v>
      </c>
      <c r="Z1052" s="22">
        <f t="shared" si="367"/>
        <v>1.5381191905944778E-3</v>
      </c>
      <c r="AA1052" s="22">
        <f t="shared" si="367"/>
        <v>1.5533551650721636E-3</v>
      </c>
      <c r="AB1052" s="22">
        <f t="shared" si="367"/>
        <v>1.5717489218560997E-3</v>
      </c>
      <c r="AC1052" s="22">
        <f t="shared" si="367"/>
        <v>1.5931936087815548E-3</v>
      </c>
      <c r="AD1052" s="22">
        <f t="shared" si="367"/>
        <v>1.6165343085404703E-3</v>
      </c>
      <c r="AE1052" s="22">
        <f t="shared" si="367"/>
        <v>1.641749926152706E-3</v>
      </c>
      <c r="AF1052" s="22">
        <f t="shared" si="367"/>
        <v>1.6682005892753381E-3</v>
      </c>
      <c r="AG1052" s="22">
        <f t="shared" si="367"/>
        <v>1.6961821436137869E-3</v>
      </c>
      <c r="AH1052" s="22">
        <f t="shared" si="367"/>
        <v>1.7254068773158021E-3</v>
      </c>
      <c r="AI1052" s="22">
        <f t="shared" si="367"/>
        <v>1.7547486388443409E-3</v>
      </c>
      <c r="AJ1052" s="22">
        <f t="shared" si="367"/>
        <v>1.785857829336261E-3</v>
      </c>
      <c r="AK1052" s="22">
        <f t="shared" si="367"/>
        <v>1.81764696635337E-3</v>
      </c>
      <c r="AL1052" s="22">
        <f t="shared" si="367"/>
        <v>1.8500351998607825E-3</v>
      </c>
      <c r="AM1052" s="22">
        <f t="shared" si="367"/>
        <v>1.88354434333552E-3</v>
      </c>
      <c r="AN1052" s="22">
        <f t="shared" si="367"/>
        <v>1.9169234536991781E-3</v>
      </c>
      <c r="AO1052" s="22">
        <f t="shared" si="367"/>
        <v>1.9519059348913977E-3</v>
      </c>
      <c r="AP1052" s="22">
        <f t="shared" si="367"/>
        <v>1.9891376564492419E-3</v>
      </c>
      <c r="AQ1052" s="22">
        <f t="shared" si="367"/>
        <v>2.0275630830096244E-3</v>
      </c>
      <c r="AR1052" s="22">
        <f t="shared" si="367"/>
        <v>2.0672517323050989E-3</v>
      </c>
      <c r="AS1052" s="22">
        <f t="shared" si="367"/>
        <v>2.1094249188527039E-3</v>
      </c>
      <c r="AT1052" s="22">
        <f t="shared" si="367"/>
        <v>2.1537279638434597E-3</v>
      </c>
      <c r="AU1052" s="22">
        <f t="shared" si="367"/>
        <v>2.1999322941237188E-3</v>
      </c>
      <c r="AV1052" s="22">
        <f t="shared" si="367"/>
        <v>2.2488704768863013E-3</v>
      </c>
      <c r="AW1052" s="22">
        <f t="shared" si="367"/>
        <v>2.2959580304044692E-3</v>
      </c>
      <c r="AY1052" s="79"/>
      <c r="AZ1052" s="79"/>
    </row>
    <row r="1053" spans="1:52" x14ac:dyDescent="0.25">
      <c r="A1053" s="95" t="str">
        <f t="shared" si="345"/>
        <v>DS MM Leaching</v>
      </c>
      <c r="B1053" s="95" t="s">
        <v>973</v>
      </c>
      <c r="C1053" s="95" t="s">
        <v>1332</v>
      </c>
      <c r="D1053" t="s">
        <v>369</v>
      </c>
      <c r="E1053" t="s">
        <v>64</v>
      </c>
      <c r="F1053" t="s">
        <v>63</v>
      </c>
      <c r="G1053" t="s">
        <v>1157</v>
      </c>
      <c r="H1053" t="s">
        <v>1308</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2.9940162837193186E-2</v>
      </c>
      <c r="N1053" s="94">
        <f>IF('Net zero activities &amp; levers'!$C$12="Off",Constants!$H66*'Activity data'!AG8*Constants!$H84*FracLEACHMM*MMLeachEF*NtoN2O*kgtoGg,Constants!$H66*'Net zero Activity data'!AG8*Constants!$H84*FracLEACHMM*MMLeachEF*NtoN2O*kgtoGg)</f>
        <v>2.9540351153331298E-2</v>
      </c>
      <c r="O1053" s="94">
        <f>IF('Net zero activities &amp; levers'!$C$12="Off",Constants!$H66*'Activity data'!AH8*Constants!$H84*FracLEACHMM*MMLeachEF*NtoN2O*kgtoGg,Constants!$H66*'Net zero Activity data'!AH8*Constants!$H84*FracLEACHMM*MMLeachEF*NtoN2O*kgtoGg)</f>
        <v>2.8960014730128842E-2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2.416485344196681E-2</v>
      </c>
      <c r="T1053" s="94">
        <f>IF('Net zero activities &amp; levers'!$C$12="Off",Constants!$H66*'Activity data'!AM8*Constants!$H84*FracLEACHMM*MMLeachEF*NtoN2O*kgtoGg,Constants!$H66*'Net zero Activity data'!AM8*Constants!$H84*FracLEACHMM*MMLeachEF*NtoN2O*kgtoGg)</f>
        <v>2.5320182377840249E-2</v>
      </c>
      <c r="U1053" s="94">
        <f>IF('Net zero activities &amp; levers'!$C$12="Off",Constants!$H66*'Activity data'!AN8*Constants!$H84*FracLEACHMM*MMLeachEF*NtoN2O*kgtoGg,Constants!$H66*'Net zero Activity data'!AN8*Constants!$H84*FracLEACHMM*MMLeachEF*NtoN2O*kgtoGg)</f>
        <v>2.5720157477778727E-2</v>
      </c>
      <c r="V1053" s="94">
        <f>IF('Net zero activities &amp; levers'!$C$12="Off",Constants!$H66*'Activity data'!AO8*Constants!$H84*FracLEACHMM*MMLeachEF*NtoN2O*kgtoGg,Constants!$H66*'Net zero Activity data'!AO8*Constants!$H84*FracLEACHMM*MMLeachEF*NtoN2O*kgtoGg)</f>
        <v>2.5546462223035794E-2</v>
      </c>
      <c r="W1053" s="94">
        <f>IF('Net zero activities &amp; levers'!$C$12="Off",Constants!$H66*'Activity data'!AP8*Constants!$H84*FracLEACHMM*MMLeachEF*NtoN2O*kgtoGg,Constants!$H66*'Net zero Activity data'!AP8*Constants!$H84*FracLEACHMM*MMLeachEF*NtoN2O*kgtoGg)</f>
        <v>2.5405173363708521E-2</v>
      </c>
      <c r="X1053" s="94">
        <f>IF('Net zero activities &amp; levers'!$C$12="Off",Constants!$H66*'Activity data'!AQ8*Constants!$H84*FracLEACHMM*MMLeachEF*NtoN2O*kgtoGg,Constants!$H66*'Net zero Activity data'!AQ8*Constants!$H84*FracLEACHMM*MMLeachEF*NtoN2O*kgtoGg)</f>
        <v>2.5414454482957191E-2</v>
      </c>
      <c r="Y1053" s="94">
        <f>IF('Net zero activities &amp; levers'!$C$12="Off",Constants!$H66*'Activity data'!AR8*Constants!$H84*FracLEACHMM*MMLeachEF*NtoN2O*kgtoGg,Constants!$H66*'Net zero Activity data'!AR8*Constants!$H84*FracLEACHMM*MMLeachEF*NtoN2O*kgtoGg)</f>
        <v>2.5563690103476349E-2</v>
      </c>
      <c r="Z1053" s="94">
        <f>IF('Net zero activities &amp; levers'!$C$12="Off",Constants!$H66*'Activity data'!AS8*Constants!$H84*FracLEACHMM*MMLeachEF*NtoN2O*kgtoGg,Constants!$H66*'Net zero Activity data'!AS8*Constants!$H84*FracLEACHMM*MMLeachEF*NtoN2O*kgtoGg)</f>
        <v>2.5775445206678543E-2</v>
      </c>
      <c r="AA1053" s="94">
        <f>IF('Net zero activities &amp; levers'!$C$12="Off",Constants!$H66*'Activity data'!AT8*Constants!$H84*FracLEACHMM*MMLeachEF*NtoN2O*kgtoGg,Constants!$H66*'Net zero Activity data'!AT8*Constants!$H84*FracLEACHMM*MMLeachEF*NtoN2O*kgtoGg)</f>
        <v>2.6066776415666827E-2</v>
      </c>
      <c r="AB1053" s="94">
        <f>IF('Net zero activities &amp; levers'!$C$12="Off",Constants!$H66*'Activity data'!AU8*Constants!$H84*FracLEACHMM*MMLeachEF*NtoN2O*kgtoGg,Constants!$H66*'Net zero Activity data'!AU8*Constants!$H84*FracLEACHMM*MMLeachEF*NtoN2O*kgtoGg)</f>
        <v>2.6493519467488225E-2</v>
      </c>
      <c r="AC1053" s="94">
        <f>IF('Net zero activities &amp; levers'!$C$12="Off",Constants!$H66*'Activity data'!AV8*Constants!$H84*FracLEACHMM*MMLeachEF*NtoN2O*kgtoGg,Constants!$H66*'Net zero Activity data'!AV8*Constants!$H84*FracLEACHMM*MMLeachEF*NtoN2O*kgtoGg)</f>
        <v>2.7043622150726768E-2</v>
      </c>
      <c r="AD1053" s="94">
        <f>IF('Net zero activities &amp; levers'!$C$12="Off",Constants!$H66*'Activity data'!AW8*Constants!$H84*FracLEACHMM*MMLeachEF*NtoN2O*kgtoGg,Constants!$H66*'Net zero Activity data'!AW8*Constants!$H84*FracLEACHMM*MMLeachEF*NtoN2O*kgtoGg)</f>
        <v>2.7427151031194422E-2</v>
      </c>
      <c r="AE1053" s="94">
        <f>IF('Net zero activities &amp; levers'!$C$12="Off",Constants!$H66*'Activity data'!AX8*Constants!$H84*FracLEACHMM*MMLeachEF*NtoN2O*kgtoGg,Constants!$H66*'Net zero Activity data'!AX8*Constants!$H84*FracLEACHMM*MMLeachEF*NtoN2O*kgtoGg)</f>
        <v>2.7855985588875625E-2</v>
      </c>
      <c r="AF1053" s="94">
        <f>IF('Net zero activities &amp; levers'!$C$12="Off",Constants!$H66*'Activity data'!AY8*Constants!$H84*FracLEACHMM*MMLeachEF*NtoN2O*kgtoGg,Constants!$H66*'Net zero Activity data'!AY8*Constants!$H84*FracLEACHMM*MMLeachEF*NtoN2O*kgtoGg)</f>
        <v>2.8297808294208047E-2</v>
      </c>
      <c r="AG1053" s="94">
        <f>IF('Net zero activities &amp; levers'!$C$12="Off",Constants!$H66*'Activity data'!AZ8*Constants!$H84*FracLEACHMM*MMLeachEF*NtoN2O*kgtoGg,Constants!$H66*'Net zero Activity data'!AZ8*Constants!$H84*FracLEACHMM*MMLeachEF*NtoN2O*kgtoGg)</f>
        <v>2.8762433728203925E-2</v>
      </c>
      <c r="AH1053" s="94">
        <f>IF('Net zero activities &amp; levers'!$C$12="Off",Constants!$H66*'Activity data'!BA8*Constants!$H84*FracLEACHMM*MMLeachEF*NtoN2O*kgtoGg,Constants!$H66*'Net zero Activity data'!BA8*Constants!$H84*FracLEACHMM*MMLeachEF*NtoN2O*kgtoGg)</f>
        <v>2.9234018291177721E-2</v>
      </c>
      <c r="AI1053" s="94">
        <f>IF('Net zero activities &amp; levers'!$C$12="Off",Constants!$H66*'Activity data'!BB8*Constants!$H84*FracLEACHMM*MMLeachEF*NtoN2O*kgtoGg,Constants!$H66*'Net zero Activity data'!BB8*Constants!$H84*FracLEACHMM*MMLeachEF*NtoN2O*kgtoGg)</f>
        <v>2.9664658796070921E-2</v>
      </c>
      <c r="AJ1053" s="94">
        <f>IF('Net zero activities &amp; levers'!$C$12="Off",Constants!$H66*'Activity data'!BC8*Constants!$H84*FracLEACHMM*MMLeachEF*NtoN2O*kgtoGg,Constants!$H66*'Net zero Activity data'!BC8*Constants!$H84*FracLEACHMM*MMLeachEF*NtoN2O*kgtoGg)</f>
        <v>3.0118905492871519E-2</v>
      </c>
      <c r="AK1053" s="94">
        <f>IF('Net zero activities &amp; levers'!$C$12="Off",Constants!$H66*'Activity data'!BD8*Constants!$H84*FracLEACHMM*MMLeachEF*NtoN2O*kgtoGg,Constants!$H66*'Net zero Activity data'!BD8*Constants!$H84*FracLEACHMM*MMLeachEF*NtoN2O*kgtoGg)</f>
        <v>3.0552583954684191E-2</v>
      </c>
      <c r="AL1053" s="94">
        <f>IF('Net zero activities &amp; levers'!$C$12="Off",Constants!$H66*'Activity data'!BE8*Constants!$H84*FracLEACHMM*MMLeachEF*NtoN2O*kgtoGg,Constants!$H66*'Net zero Activity data'!BE8*Constants!$H84*FracLEACHMM*MMLeachEF*NtoN2O*kgtoGg)</f>
        <v>3.0961516168479985E-2</v>
      </c>
      <c r="AM1053" s="94">
        <f>IF('Net zero activities &amp; levers'!$C$12="Off",Constants!$H66*'Activity data'!BF8*Constants!$H84*FracLEACHMM*MMLeachEF*NtoN2O*kgtoGg,Constants!$H66*'Net zero Activity data'!BF8*Constants!$H84*FracLEACHMM*MMLeachEF*NtoN2O*kgtoGg)</f>
        <v>3.1363182487267389E-2</v>
      </c>
      <c r="AN1053" s="94">
        <f>IF('Net zero activities &amp; levers'!$C$12="Off",Constants!$H66*'Activity data'!BG8*Constants!$H84*FracLEACHMM*MMLeachEF*NtoN2O*kgtoGg,Constants!$H66*'Net zero Activity data'!BG8*Constants!$H84*FracLEACHMM*MMLeachEF*NtoN2O*kgtoGg)</f>
        <v>3.1873237924965422E-2</v>
      </c>
      <c r="AO1053" s="94">
        <f>IF('Net zero activities &amp; levers'!$C$12="Off",Constants!$H66*'Activity data'!BH8*Constants!$H84*FracLEACHMM*MMLeachEF*NtoN2O*kgtoGg,Constants!$H66*'Net zero Activity data'!BH8*Constants!$H84*FracLEACHMM*MMLeachEF*NtoN2O*kgtoGg)</f>
        <v>3.2400793328725176E-2</v>
      </c>
      <c r="AP1053" s="94">
        <f>IF('Net zero activities &amp; levers'!$C$12="Off",Constants!$H66*'Activity data'!BI8*Constants!$H84*FracLEACHMM*MMLeachEF*NtoN2O*kgtoGg,Constants!$H66*'Net zero Activity data'!BI8*Constants!$H84*FracLEACHMM*MMLeachEF*NtoN2O*kgtoGg)</f>
        <v>3.2965020652190688E-2</v>
      </c>
      <c r="AQ1053" s="94">
        <f>IF('Net zero activities &amp; levers'!$C$12="Off",Constants!$H66*'Activity data'!BJ8*Constants!$H84*FracLEACHMM*MMLeachEF*NtoN2O*kgtoGg,Constants!$H66*'Net zero Activity data'!BJ8*Constants!$H84*FracLEACHMM*MMLeachEF*NtoN2O*kgtoGg)</f>
        <v>3.3527052752866549E-2</v>
      </c>
      <c r="AR1053" s="94">
        <f>IF('Net zero activities &amp; levers'!$C$12="Off",Constants!$H66*'Activity data'!BK8*Constants!$H84*FracLEACHMM*MMLeachEF*NtoN2O*kgtoGg,Constants!$H66*'Net zero Activity data'!BK8*Constants!$H84*FracLEACHMM*MMLeachEF*NtoN2O*kgtoGg)</f>
        <v>3.4087619114860586E-2</v>
      </c>
      <c r="AS1053" s="94">
        <f>IF('Net zero activities &amp; levers'!$C$12="Off",Constants!$H66*'Activity data'!BL8*Constants!$H84*FracLEACHMM*MMLeachEF*NtoN2O*kgtoGg,Constants!$H66*'Net zero Activity data'!BL8*Constants!$H84*FracLEACHMM*MMLeachEF*NtoN2O*kgtoGg)</f>
        <v>3.4683560205557983E-2</v>
      </c>
      <c r="AT1053" s="94">
        <f>IF('Net zero activities &amp; levers'!$C$12="Off",Constants!$H66*'Activity data'!BM8*Constants!$H84*FracLEACHMM*MMLeachEF*NtoN2O*kgtoGg,Constants!$H66*'Net zero Activity data'!BM8*Constants!$H84*FracLEACHMM*MMLeachEF*NtoN2O*kgtoGg)</f>
        <v>3.5299445606795467E-2</v>
      </c>
      <c r="AU1053" s="94">
        <f>IF('Net zero activities &amp; levers'!$C$12="Off",Constants!$H66*'Activity data'!BN8*Constants!$H84*FracLEACHMM*MMLeachEF*NtoN2O*kgtoGg,Constants!$H66*'Net zero Activity data'!BN8*Constants!$H84*FracLEACHMM*MMLeachEF*NtoN2O*kgtoGg)</f>
        <v>3.5924567561005115E-2</v>
      </c>
      <c r="AV1053" s="94">
        <f>IF('Net zero activities &amp; levers'!$C$12="Off",Constants!$H66*'Activity data'!BO8*Constants!$H84*FracLEACHMM*MMLeachEF*NtoN2O*kgtoGg,Constants!$H66*'Net zero Activity data'!BO8*Constants!$H84*FracLEACHMM*MMLeachEF*NtoN2O*kgtoGg)</f>
        <v>3.6580199359184239E-2</v>
      </c>
      <c r="AW1053" s="94">
        <f>IF('Net zero activities &amp; levers'!$C$12="Off",Constants!$H66*'Activity data'!BP8*Constants!$H84*FracLEACHMM*MMLeachEF*NtoN2O*kgtoGg,Constants!$H66*'Net zero Activity data'!BP8*Constants!$H84*FracLEACHMM*MMLeachEF*NtoN2O*kgtoGg)</f>
        <v>3.712986506477154E-2</v>
      </c>
      <c r="AY1053" s="79"/>
      <c r="AZ1053" s="79"/>
    </row>
    <row r="1054" spans="1:52" x14ac:dyDescent="0.25">
      <c r="A1054" s="95" t="str">
        <f t="shared" si="345"/>
        <v>DS MM Leaching</v>
      </c>
      <c r="B1054" s="95" t="s">
        <v>973</v>
      </c>
      <c r="C1054" s="95" t="s">
        <v>1332</v>
      </c>
      <c r="D1054" t="s">
        <v>369</v>
      </c>
      <c r="E1054" t="s">
        <v>64</v>
      </c>
      <c r="F1054" t="s">
        <v>63</v>
      </c>
      <c r="G1054" t="s">
        <v>1159</v>
      </c>
      <c r="H1054" t="s">
        <v>1309</v>
      </c>
      <c r="I1054" t="s">
        <v>139</v>
      </c>
      <c r="J1054" t="s">
        <v>287</v>
      </c>
      <c r="K1054" s="94">
        <f>IF('Net zero activities &amp; levers'!$C$12="Off",Constants!$H67*'Activity data'!AD9*Constants!$H85*FracLEACHMM*MMLeachEF*NtoN2O*kgtoGg,Constants!$H67*'Net zero Activity data'!AD9*Constants!$H85*FracLEACHMM*MMLeachEF*NtoN2O*kgtoGg)</f>
        <v>4.0226293185258916E-2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3.9213881856453713E-2</v>
      </c>
      <c r="O1054" s="94">
        <f>IF('Net zero activities &amp; levers'!$C$12="Off",Constants!$H67*'Activity data'!AH9*Constants!$H85*FracLEACHMM*MMLeachEF*NtoN2O*kgtoGg,Constants!$H67*'Net zero Activity data'!AH9*Constants!$H85*FracLEACHMM*MMLeachEF*NtoN2O*kgtoGg)</f>
        <v>3.8443503609481136E-2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3.20780786603799E-2</v>
      </c>
      <c r="T1054" s="94">
        <f>IF('Net zero activities &amp; levers'!$C$12="Off",Constants!$H67*'Activity data'!AM9*Constants!$H85*FracLEACHMM*MMLeachEF*NtoN2O*kgtoGg,Constants!$H67*'Net zero Activity data'!AM9*Constants!$H85*FracLEACHMM*MMLeachEF*NtoN2O*kgtoGg)</f>
        <v>3.3611741282111272E-2</v>
      </c>
      <c r="U1054" s="94">
        <f>IF('Net zero activities &amp; levers'!$C$12="Off",Constants!$H67*'Activity data'!AN9*Constants!$H85*FracLEACHMM*MMLeachEF*NtoN2O*kgtoGg,Constants!$H67*'Net zero Activity data'!AN9*Constants!$H85*FracLEACHMM*MMLeachEF*NtoN2O*kgtoGg)</f>
        <v>3.414269557690279E-2</v>
      </c>
      <c r="V1054" s="94">
        <f>IF('Net zero activities &amp; levers'!$C$12="Off",Constants!$H67*'Activity data'!AO9*Constants!$H85*FracLEACHMM*MMLeachEF*NtoN2O*kgtoGg,Constants!$H67*'Net zero Activity data'!AO9*Constants!$H85*FracLEACHMM*MMLeachEF*NtoN2O*kgtoGg)</f>
        <v>3.3912120619849585E-2</v>
      </c>
      <c r="W1054" s="94">
        <f>IF('Net zero activities &amp; levers'!$C$12="Off",Constants!$H67*'Activity data'!AP9*Constants!$H85*FracLEACHMM*MMLeachEF*NtoN2O*kgtoGg,Constants!$H67*'Net zero Activity data'!AP9*Constants!$H85*FracLEACHMM*MMLeachEF*NtoN2O*kgtoGg)</f>
        <v>3.372456412776409E-2</v>
      </c>
      <c r="X1054" s="94">
        <f>IF('Net zero activities &amp; levers'!$C$12="Off",Constants!$H67*'Activity data'!AQ9*Constants!$H85*FracLEACHMM*MMLeachEF*NtoN2O*kgtoGg,Constants!$H67*'Net zero Activity data'!AQ9*Constants!$H85*FracLEACHMM*MMLeachEF*NtoN2O*kgtoGg)</f>
        <v>3.3736884520024282E-2</v>
      </c>
      <c r="Y1054" s="94">
        <f>IF('Net zero activities &amp; levers'!$C$12="Off",Constants!$H67*'Activity data'!AR9*Constants!$H85*FracLEACHMM*MMLeachEF*NtoN2O*kgtoGg,Constants!$H67*'Net zero Activity data'!AR9*Constants!$H85*FracLEACHMM*MMLeachEF*NtoN2O*kgtoGg)</f>
        <v>3.3934990086252545E-2</v>
      </c>
      <c r="Z1054" s="94">
        <f>IF('Net zero activities &amp; levers'!$C$12="Off",Constants!$H67*'Activity data'!AS9*Constants!$H85*FracLEACHMM*MMLeachEF*NtoN2O*kgtoGg,Constants!$H67*'Net zero Activity data'!AS9*Constants!$H85*FracLEACHMM*MMLeachEF*NtoN2O*kgtoGg)</f>
        <v>3.4216088288381921E-2</v>
      </c>
      <c r="AA1054" s="94">
        <f>IF('Net zero activities &amp; levers'!$C$12="Off",Constants!$H67*'Activity data'!AT9*Constants!$H85*FracLEACHMM*MMLeachEF*NtoN2O*kgtoGg,Constants!$H67*'Net zero Activity data'!AT9*Constants!$H85*FracLEACHMM*MMLeachEF*NtoN2O*kgtoGg)</f>
        <v>3.4602821254116366E-2</v>
      </c>
      <c r="AB1054" s="94">
        <f>IF('Net zero activities &amp; levers'!$C$12="Off",Constants!$H67*'Activity data'!AU9*Constants!$H85*FracLEACHMM*MMLeachEF*NtoN2O*kgtoGg,Constants!$H67*'Net zero Activity data'!AU9*Constants!$H85*FracLEACHMM*MMLeachEF*NtoN2O*kgtoGg)</f>
        <v>3.5169309158418066E-2</v>
      </c>
      <c r="AC1054" s="94">
        <f>IF('Net zero activities &amp; levers'!$C$12="Off",Constants!$H67*'Activity data'!AV9*Constants!$H85*FracLEACHMM*MMLeachEF*NtoN2O*kgtoGg,Constants!$H67*'Net zero Activity data'!AV9*Constants!$H85*FracLEACHMM*MMLeachEF*NtoN2O*kgtoGg)</f>
        <v>3.589955307181858E-2</v>
      </c>
      <c r="AD1054" s="94">
        <f>IF('Net zero activities &amp; levers'!$C$12="Off",Constants!$H67*'Activity data'!AW9*Constants!$H85*FracLEACHMM*MMLeachEF*NtoN2O*kgtoGg,Constants!$H67*'Net zero Activity data'!AW9*Constants!$H85*FracLEACHMM*MMLeachEF*NtoN2O*kgtoGg)</f>
        <v>3.6408675530422145E-2</v>
      </c>
      <c r="AE1054" s="94">
        <f>IF('Net zero activities &amp; levers'!$C$12="Off",Constants!$H67*'Activity data'!AX9*Constants!$H85*FracLEACHMM*MMLeachEF*NtoN2O*kgtoGg,Constants!$H67*'Net zero Activity data'!AX9*Constants!$H85*FracLEACHMM*MMLeachEF*NtoN2O*kgtoGg)</f>
        <v>3.6977939842602774E-2</v>
      </c>
      <c r="AF1054" s="94">
        <f>IF('Net zero activities &amp; levers'!$C$12="Off",Constants!$H67*'Activity data'!AY9*Constants!$H85*FracLEACHMM*MMLeachEF*NtoN2O*kgtoGg,Constants!$H67*'Net zero Activity data'!AY9*Constants!$H85*FracLEACHMM*MMLeachEF*NtoN2O*kgtoGg)</f>
        <v>3.7564445510002403E-2</v>
      </c>
      <c r="AG1054" s="94">
        <f>IF('Net zero activities &amp; levers'!$C$12="Off",Constants!$H67*'Activity data'!AZ9*Constants!$H85*FracLEACHMM*MMLeachEF*NtoN2O*kgtoGg,Constants!$H67*'Net zero Activity data'!AZ9*Constants!$H85*FracLEACHMM*MMLeachEF*NtoN2O*kgtoGg)</f>
        <v>3.8181221078500117E-2</v>
      </c>
      <c r="AH1054" s="94">
        <f>IF('Net zero activities &amp; levers'!$C$12="Off",Constants!$H67*'Activity data'!BA9*Constants!$H85*FracLEACHMM*MMLeachEF*NtoN2O*kgtoGg,Constants!$H67*'Net zero Activity data'!BA9*Constants!$H85*FracLEACHMM*MMLeachEF*NtoN2O*kgtoGg)</f>
        <v>3.8807234670613311E-2</v>
      </c>
      <c r="AI1054" s="94">
        <f>IF('Net zero activities &amp; levers'!$C$12="Off",Constants!$H67*'Activity data'!BB9*Constants!$H85*FracLEACHMM*MMLeachEF*NtoN2O*kgtoGg,Constants!$H67*'Net zero Activity data'!BB9*Constants!$H85*FracLEACHMM*MMLeachEF*NtoN2O*kgtoGg)</f>
        <v>3.9378896320599516E-2</v>
      </c>
      <c r="AJ1054" s="94">
        <f>IF('Net zero activities &amp; levers'!$C$12="Off",Constants!$H67*'Activity data'!BC9*Constants!$H85*FracLEACHMM*MMLeachEF*NtoN2O*kgtoGg,Constants!$H67*'Net zero Activity data'!BC9*Constants!$H85*FracLEACHMM*MMLeachEF*NtoN2O*kgtoGg)</f>
        <v>3.9981894443728266E-2</v>
      </c>
      <c r="AK1054" s="94">
        <f>IF('Net zero activities &amp; levers'!$C$12="Off",Constants!$H67*'Activity data'!BD9*Constants!$H85*FracLEACHMM*MMLeachEF*NtoN2O*kgtoGg,Constants!$H67*'Net zero Activity data'!BD9*Constants!$H85*FracLEACHMM*MMLeachEF*NtoN2O*kgtoGg)</f>
        <v>4.0557588885440844E-2</v>
      </c>
      <c r="AL1054" s="94">
        <f>IF('Net zero activities &amp; levers'!$C$12="Off",Constants!$H67*'Activity data'!BE9*Constants!$H85*FracLEACHMM*MMLeachEF*NtoN2O*kgtoGg,Constants!$H67*'Net zero Activity data'!BE9*Constants!$H85*FracLEACHMM*MMLeachEF*NtoN2O*kgtoGg)</f>
        <v>4.1100433465583154E-2</v>
      </c>
      <c r="AM1054" s="94">
        <f>IF('Net zero activities &amp; levers'!$C$12="Off",Constants!$H67*'Activity data'!BF9*Constants!$H85*FracLEACHMM*MMLeachEF*NtoN2O*kgtoGg,Constants!$H67*'Net zero Activity data'!BF9*Constants!$H85*FracLEACHMM*MMLeachEF*NtoN2O*kgtoGg)</f>
        <v>4.1633632799906894E-2</v>
      </c>
      <c r="AN1054" s="94">
        <f>IF('Net zero activities &amp; levers'!$C$12="Off",Constants!$H67*'Activity data'!BG9*Constants!$H85*FracLEACHMM*MMLeachEF*NtoN2O*kgtoGg,Constants!$H67*'Net zero Activity data'!BG9*Constants!$H85*FracLEACHMM*MMLeachEF*NtoN2O*kgtoGg)</f>
        <v>4.23107152614631E-2</v>
      </c>
      <c r="AO1054" s="94">
        <f>IF('Net zero activities &amp; levers'!$C$12="Off",Constants!$H67*'Activity data'!BH9*Constants!$H85*FracLEACHMM*MMLeachEF*NtoN2O*kgtoGg,Constants!$H67*'Net zero Activity data'!BH9*Constants!$H85*FracLEACHMM*MMLeachEF*NtoN2O*kgtoGg)</f>
        <v>4.3011028374478885E-2</v>
      </c>
      <c r="AP1054" s="94">
        <f>IF('Net zero activities &amp; levers'!$C$12="Off",Constants!$H67*'Activity data'!BI9*Constants!$H85*FracLEACHMM*MMLeachEF*NtoN2O*kgtoGg,Constants!$H67*'Net zero Activity data'!BI9*Constants!$H85*FracLEACHMM*MMLeachEF*NtoN2O*kgtoGg)</f>
        <v>4.3760022301047856E-2</v>
      </c>
      <c r="AQ1054" s="94">
        <f>IF('Net zero activities &amp; levers'!$C$12="Off",Constants!$H67*'Activity data'!BJ9*Constants!$H85*FracLEACHMM*MMLeachEF*NtoN2O*kgtoGg,Constants!$H67*'Net zero Activity data'!BJ9*Constants!$H85*FracLEACHMM*MMLeachEF*NtoN2O*kgtoGg)</f>
        <v>4.4506102138793871E-2</v>
      </c>
      <c r="AR1054" s="94">
        <f>IF('Net zero activities &amp; levers'!$C$12="Off",Constants!$H67*'Activity data'!BK9*Constants!$H85*FracLEACHMM*MMLeachEF*NtoN2O*kgtoGg,Constants!$H67*'Net zero Activity data'!BK9*Constants!$H85*FracLEACHMM*MMLeachEF*NtoN2O*kgtoGg)</f>
        <v>4.5250236254798015E-2</v>
      </c>
      <c r="AS1054" s="94">
        <f>IF('Net zero activities &amp; levers'!$C$12="Off",Constants!$H67*'Activity data'!BL9*Constants!$H85*FracLEACHMM*MMLeachEF*NtoN2O*kgtoGg,Constants!$H67*'Net zero Activity data'!BL9*Constants!$H85*FracLEACHMM*MMLeachEF*NtoN2O*kgtoGg)</f>
        <v>4.6041329204327096E-2</v>
      </c>
      <c r="AT1054" s="94">
        <f>IF('Net zero activities &amp; levers'!$C$12="Off",Constants!$H67*'Activity data'!BM9*Constants!$H85*FracLEACHMM*MMLeachEF*NtoN2O*kgtoGg,Constants!$H67*'Net zero Activity data'!BM9*Constants!$H85*FracLEACHMM*MMLeachEF*NtoN2O*kgtoGg)</f>
        <v>4.6858897595301277E-2</v>
      </c>
      <c r="AU1054" s="94">
        <f>IF('Net zero activities &amp; levers'!$C$12="Off",Constants!$H67*'Activity data'!BN9*Constants!$H85*FracLEACHMM*MMLeachEF*NtoN2O*kgtoGg,Constants!$H67*'Net zero Activity data'!BN9*Constants!$H85*FracLEACHMM*MMLeachEF*NtoN2O*kgtoGg)</f>
        <v>4.7688727218213149E-2</v>
      </c>
      <c r="AV1054" s="94">
        <f>IF('Net zero activities &amp; levers'!$C$12="Off",Constants!$H67*'Activity data'!BO9*Constants!$H85*FracLEACHMM*MMLeachEF*NtoN2O*kgtoGg,Constants!$H67*'Net zero Activity data'!BO9*Constants!$H85*FracLEACHMM*MMLeachEF*NtoN2O*kgtoGg)</f>
        <v>4.8559057694031842E-2</v>
      </c>
      <c r="AW1054" s="94">
        <f>IF('Net zero activities &amp; levers'!$C$12="Off",Constants!$H67*'Activity data'!BP9*Constants!$H85*FracLEACHMM*MMLeachEF*NtoN2O*kgtoGg,Constants!$H67*'Net zero Activity data'!BP9*Constants!$H85*FracLEACHMM*MMLeachEF*NtoN2O*kgtoGg)</f>
        <v>4.928872153342103E-2</v>
      </c>
      <c r="AY1054" s="79"/>
      <c r="AZ1054" s="79"/>
    </row>
    <row r="1055" spans="1:52" x14ac:dyDescent="0.25">
      <c r="A1055" s="95" t="str">
        <f t="shared" si="345"/>
        <v>DS MM Leaching</v>
      </c>
      <c r="B1055" s="95" t="s">
        <v>973</v>
      </c>
      <c r="C1055" s="95" t="s">
        <v>1332</v>
      </c>
      <c r="D1055" t="s">
        <v>369</v>
      </c>
      <c r="E1055" t="s">
        <v>64</v>
      </c>
      <c r="F1055" t="s">
        <v>63</v>
      </c>
      <c r="G1055" t="s">
        <v>1161</v>
      </c>
      <c r="H1055" t="s">
        <v>1310</v>
      </c>
      <c r="I1055" t="s">
        <v>139</v>
      </c>
      <c r="J1055" t="s">
        <v>287</v>
      </c>
      <c r="K1055" s="94">
        <f>IF('Net zero activities &amp; levers'!$C$12="Off",Constants!$H68*'Activity data'!AD10*Constants!$H86*FracLEACHMM*MMLeachEF*NtoN2O*kgtoGg,Constants!$H68*'Net zero Activity data'!AD10*Constants!$H86*FracLEACHMM*MMLeachEF*NtoN2O*kgtoGg)</f>
        <v>4.1968337096859189E-2</v>
      </c>
      <c r="L1055" s="94">
        <f>IF('Net zero activities &amp; levers'!$C$12="Off",Constants!$H68*'Activity data'!AE10*Constants!$H86*FracLEACHMM*MMLeachEF*NtoN2O*kgtoGg,Constants!$H68*'Net zero Activity data'!AE10*Constants!$H86*FracLEACHMM*MMLeachEF*NtoN2O*kgtoGg)</f>
        <v>4.3383434779753448E-2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4.6315596244033488E-2</v>
      </c>
      <c r="O1055" s="94">
        <f>IF('Net zero activities &amp; levers'!$C$12="Off",Constants!$H68*'Activity data'!AH10*Constants!$H86*FracLEACHMM*MMLeachEF*NtoN2O*kgtoGg,Constants!$H68*'Net zero Activity data'!AH10*Constants!$H86*FracLEACHMM*MMLeachEF*NtoN2O*kgtoGg)</f>
        <v>4.7281576900430174E-2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4.6274354518489276E-2</v>
      </c>
      <c r="T1055" s="94">
        <f>IF('Net zero activities &amp; levers'!$C$12="Off",Constants!$H68*'Activity data'!AM10*Constants!$H86*FracLEACHMM*MMLeachEF*NtoN2O*kgtoGg,Constants!$H68*'Net zero Activity data'!AM10*Constants!$H86*FracLEACHMM*MMLeachEF*NtoN2O*kgtoGg)</f>
        <v>4.9654921678945953E-2</v>
      </c>
      <c r="U1055" s="94">
        <f>IF('Net zero activities &amp; levers'!$C$12="Off",Constants!$H68*'Activity data'!AN10*Constants!$H86*FracLEACHMM*MMLeachEF*NtoN2O*kgtoGg,Constants!$H68*'Net zero Activity data'!AN10*Constants!$H86*FracLEACHMM*MMLeachEF*NtoN2O*kgtoGg)</f>
        <v>5.1637836574471289E-2</v>
      </c>
      <c r="V1055" s="94">
        <f>IF('Net zero activities &amp; levers'!$C$12="Off",Constants!$H68*'Activity data'!AO10*Constants!$H86*FracLEACHMM*MMLeachEF*NtoN2O*kgtoGg,Constants!$H68*'Net zero Activity data'!AO10*Constants!$H86*FracLEACHMM*MMLeachEF*NtoN2O*kgtoGg)</f>
        <v>5.2492346966759522E-2</v>
      </c>
      <c r="W1055" s="94">
        <f>IF('Net zero activities &amp; levers'!$C$12="Off",Constants!$H68*'Activity data'!AP10*Constants!$H86*FracLEACHMM*MMLeachEF*NtoN2O*kgtoGg,Constants!$H68*'Net zero Activity data'!AP10*Constants!$H86*FracLEACHMM*MMLeachEF*NtoN2O*kgtoGg)</f>
        <v>5.3412266292045346E-2</v>
      </c>
      <c r="X1055" s="94">
        <f>IF('Net zero activities &amp; levers'!$C$12="Off",Constants!$H68*'Activity data'!AQ10*Constants!$H86*FracLEACHMM*MMLeachEF*NtoN2O*kgtoGg,Constants!$H68*'Net zero Activity data'!AQ10*Constants!$H86*FracLEACHMM*MMLeachEF*NtoN2O*kgtoGg)</f>
        <v>5.4657017670669474E-2</v>
      </c>
      <c r="Y1055" s="94">
        <f>IF('Net zero activities &amp; levers'!$C$12="Off",Constants!$H68*'Activity data'!AR10*Constants!$H86*FracLEACHMM*MMLeachEF*NtoN2O*kgtoGg,Constants!$H68*'Net zero Activity data'!AR10*Constants!$H86*FracLEACHMM*MMLeachEF*NtoN2O*kgtoGg)</f>
        <v>5.6225924185537776E-2</v>
      </c>
      <c r="Z1055" s="94">
        <f>IF('Net zero activities &amp; levers'!$C$12="Off",Constants!$H68*'Activity data'!AS10*Constants!$H86*FracLEACHMM*MMLeachEF*NtoN2O*kgtoGg,Constants!$H68*'Net zero Activity data'!AS10*Constants!$H86*FracLEACHMM*MMLeachEF*NtoN2O*kgtoGg)</f>
        <v>5.7966478629194101E-2</v>
      </c>
      <c r="AA1055" s="94">
        <f>IF('Net zero activities &amp; levers'!$C$12="Off",Constants!$H68*'Activity data'!AT10*Constants!$H86*FracLEACHMM*MMLeachEF*NtoN2O*kgtoGg,Constants!$H68*'Net zero Activity data'!AT10*Constants!$H86*FracLEACHMM*MMLeachEF*NtoN2O*kgtoGg)</f>
        <v>5.9928438330955298E-2</v>
      </c>
      <c r="AB1055" s="94">
        <f>IF('Net zero activities &amp; levers'!$C$12="Off",Constants!$H68*'Activity data'!AU10*Constants!$H86*FracLEACHMM*MMLeachEF*NtoN2O*kgtoGg,Constants!$H68*'Net zero Activity data'!AU10*Constants!$H86*FracLEACHMM*MMLeachEF*NtoN2O*kgtoGg)</f>
        <v>6.2256429990458134E-2</v>
      </c>
      <c r="AC1055" s="94">
        <f>IF('Net zero activities &amp; levers'!$C$12="Off",Constants!$H68*'Activity data'!AV10*Constants!$H86*FracLEACHMM*MMLeachEF*NtoN2O*kgtoGg,Constants!$H68*'Net zero Activity data'!AV10*Constants!$H86*FracLEACHMM*MMLeachEF*NtoN2O*kgtoGg)</f>
        <v>6.4943944669320713E-2</v>
      </c>
      <c r="AD1055" s="94">
        <f>IF('Net zero activities &amp; levers'!$C$12="Off",Constants!$H68*'Activity data'!AW10*Constants!$H86*FracLEACHMM*MMLeachEF*NtoN2O*kgtoGg,Constants!$H68*'Net zero Activity data'!AW10*Constants!$H86*FracLEACHMM*MMLeachEF*NtoN2O*kgtoGg)</f>
        <v>6.8049231515403694E-2</v>
      </c>
      <c r="AE1055" s="94">
        <f>IF('Net zero activities &amp; levers'!$C$12="Off",Constants!$H68*'Activity data'!AX10*Constants!$H86*FracLEACHMM*MMLeachEF*NtoN2O*kgtoGg,Constants!$H68*'Net zero Activity data'!AX10*Constants!$H86*FracLEACHMM*MMLeachEF*NtoN2O*kgtoGg)</f>
        <v>7.140958377080403E-2</v>
      </c>
      <c r="AF1055" s="94">
        <f>IF('Net zero activities &amp; levers'!$C$12="Off",Constants!$H68*'Activity data'!AY10*Constants!$H86*FracLEACHMM*MMLeachEF*NtoN2O*kgtoGg,Constants!$H68*'Net zero Activity data'!AY10*Constants!$H86*FracLEACHMM*MMLeachEF*NtoN2O*kgtoGg)</f>
        <v>7.4958672292987819E-2</v>
      </c>
      <c r="AG1055" s="94">
        <f>IF('Net zero activities &amp; levers'!$C$12="Off",Constants!$H68*'Activity data'!AZ10*Constants!$H86*FracLEACHMM*MMLeachEF*NtoN2O*kgtoGg,Constants!$H68*'Net zero Activity data'!AZ10*Constants!$H86*FracLEACHMM*MMLeachEF*NtoN2O*kgtoGg)</f>
        <v>7.8735451654029412E-2</v>
      </c>
      <c r="AH1055" s="94">
        <f>IF('Net zero activities &amp; levers'!$C$12="Off",Constants!$H68*'Activity data'!BA10*Constants!$H86*FracLEACHMM*MMLeachEF*NtoN2O*kgtoGg,Constants!$H68*'Net zero Activity data'!BA10*Constants!$H86*FracLEACHMM*MMLeachEF*NtoN2O*kgtoGg)</f>
        <v>8.2710770800306643E-2</v>
      </c>
      <c r="AI1055" s="94">
        <f>IF('Net zero activities &amp; levers'!$C$12="Off",Constants!$H68*'Activity data'!BB10*Constants!$H86*FracLEACHMM*MMLeachEF*NtoN2O*kgtoGg,Constants!$H68*'Net zero Activity data'!BB10*Constants!$H86*FracLEACHMM*MMLeachEF*NtoN2O*kgtoGg)</f>
        <v>8.6756849519810442E-2</v>
      </c>
      <c r="AJ1055" s="94">
        <f>IF('Net zero activities &amp; levers'!$C$12="Off",Constants!$H68*'Activity data'!BC10*Constants!$H86*FracLEACHMM*MMLeachEF*NtoN2O*kgtoGg,Constants!$H68*'Net zero Activity data'!BC10*Constants!$H86*FracLEACHMM*MMLeachEF*NtoN2O*kgtoGg)</f>
        <v>9.1067882332403163E-2</v>
      </c>
      <c r="AK1055" s="94">
        <f>IF('Net zero activities &amp; levers'!$C$12="Off",Constants!$H68*'Activity data'!BD10*Constants!$H86*FracLEACHMM*MMLeachEF*NtoN2O*kgtoGg,Constants!$H68*'Net zero Activity data'!BD10*Constants!$H86*FracLEACHMM*MMLeachEF*NtoN2O*kgtoGg)</f>
        <v>9.5524607474435114E-2</v>
      </c>
      <c r="AL1055" s="94">
        <f>IF('Net zero activities &amp; levers'!$C$12="Off",Constants!$H68*'Activity data'!BE10*Constants!$H86*FracLEACHMM*MMLeachEF*NtoN2O*kgtoGg,Constants!$H68*'Net zero Activity data'!BE10*Constants!$H86*FracLEACHMM*MMLeachEF*NtoN2O*kgtoGg)</f>
        <v>0.10011966756252628</v>
      </c>
      <c r="AM1055" s="94">
        <f>IF('Net zero activities &amp; levers'!$C$12="Off",Constants!$H68*'Activity data'!BF10*Constants!$H86*FracLEACHMM*MMLeachEF*NtoN2O*kgtoGg,Constants!$H68*'Net zero Activity data'!BF10*Constants!$H86*FracLEACHMM*MMLeachEF*NtoN2O*kgtoGg)</f>
        <v>0.10491676883738305</v>
      </c>
      <c r="AN1055" s="94">
        <f>IF('Net zero activities &amp; levers'!$C$12="Off",Constants!$H68*'Activity data'!BG10*Constants!$H86*FracLEACHMM*MMLeachEF*NtoN2O*kgtoGg,Constants!$H68*'Net zero Activity data'!BG10*Constants!$H86*FracLEACHMM*MMLeachEF*NtoN2O*kgtoGg)</f>
        <v>0.10963141037847199</v>
      </c>
      <c r="AO1055" s="94">
        <f>IF('Net zero activities &amp; levers'!$C$12="Off",Constants!$H68*'Activity data'!BH10*Constants!$H86*FracLEACHMM*MMLeachEF*NtoN2O*kgtoGg,Constants!$H68*'Net zero Activity data'!BH10*Constants!$H86*FracLEACHMM*MMLeachEF*NtoN2O*kgtoGg)</f>
        <v>0.11460133874628856</v>
      </c>
      <c r="AP1055" s="94">
        <f>IF('Net zero activities &amp; levers'!$C$12="Off",Constants!$H68*'Activity data'!BI10*Constants!$H86*FracLEACHMM*MMLeachEF*NtoN2O*kgtoGg,Constants!$H68*'Net zero Activity data'!BI10*Constants!$H86*FracLEACHMM*MMLeachEF*NtoN2O*kgtoGg)</f>
        <v>0.11991104885412743</v>
      </c>
      <c r="AQ1055" s="94">
        <f>IF('Net zero activities &amp; levers'!$C$12="Off",Constants!$H68*'Activity data'!BJ10*Constants!$H86*FracLEACHMM*MMLeachEF*NtoN2O*kgtoGg,Constants!$H68*'Net zero Activity data'!BJ10*Constants!$H86*FracLEACHMM*MMLeachEF*NtoN2O*kgtoGg)</f>
        <v>0.12543680820975456</v>
      </c>
      <c r="AR1055" s="94">
        <f>IF('Net zero activities &amp; levers'!$C$12="Off",Constants!$H68*'Activity data'!BK10*Constants!$H86*FracLEACHMM*MMLeachEF*NtoN2O*kgtoGg,Constants!$H68*'Net zero Activity data'!BK10*Constants!$H86*FracLEACHMM*MMLeachEF*NtoN2O*kgtoGg)</f>
        <v>0.13119202833792193</v>
      </c>
      <c r="AS1055" s="94">
        <f>IF('Net zero activities &amp; levers'!$C$12="Off",Constants!$H68*'Activity data'!BL10*Constants!$H86*FracLEACHMM*MMLeachEF*NtoN2O*kgtoGg,Constants!$H68*'Net zero Activity data'!BL10*Constants!$H86*FracLEACHMM*MMLeachEF*NtoN2O*kgtoGg)</f>
        <v>0.13733413284188337</v>
      </c>
      <c r="AT1055" s="94">
        <f>IF('Net zero activities &amp; levers'!$C$12="Off",Constants!$H68*'Activity data'!BM10*Constants!$H86*FracLEACHMM*MMLeachEF*NtoN2O*kgtoGg,Constants!$H68*'Net zero Activity data'!BM10*Constants!$H86*FracLEACHMM*MMLeachEF*NtoN2O*kgtoGg)</f>
        <v>0.14382526611180527</v>
      </c>
      <c r="AU1055" s="94">
        <f>IF('Net zero activities &amp; levers'!$C$12="Off",Constants!$H68*'Activity data'!BN10*Constants!$H86*FracLEACHMM*MMLeachEF*NtoN2O*kgtoGg,Constants!$H68*'Net zero Activity data'!BN10*Constants!$H86*FracLEACHMM*MMLeachEF*NtoN2O*kgtoGg)</f>
        <v>0.15064177825264938</v>
      </c>
      <c r="AV1055" s="94">
        <f>IF('Net zero activities &amp; levers'!$C$12="Off",Constants!$H68*'Activity data'!BO10*Constants!$H86*FracLEACHMM*MMLeachEF*NtoN2O*kgtoGg,Constants!$H68*'Net zero Activity data'!BO10*Constants!$H86*FracLEACHMM*MMLeachEF*NtoN2O*kgtoGg)</f>
        <v>0.15789428521651691</v>
      </c>
      <c r="AW1055" s="94">
        <f>IF('Net zero activities &amp; levers'!$C$12="Off",Constants!$H68*'Activity data'!BP10*Constants!$H86*FracLEACHMM*MMLeachEF*NtoN2O*kgtoGg,Constants!$H68*'Net zero Activity data'!BP10*Constants!$H86*FracLEACHMM*MMLeachEF*NtoN2O*kgtoGg)</f>
        <v>0.16500456611205044</v>
      </c>
      <c r="AY1055" s="79"/>
      <c r="AZ1055" s="79"/>
    </row>
    <row r="1056" spans="1:52" x14ac:dyDescent="0.25">
      <c r="A1056" s="95" t="str">
        <f t="shared" si="345"/>
        <v>DS MM Leaching</v>
      </c>
      <c r="B1056" s="95" t="s">
        <v>973</v>
      </c>
      <c r="C1056" s="95" t="s">
        <v>1332</v>
      </c>
      <c r="D1056" t="s">
        <v>369</v>
      </c>
      <c r="E1056" t="s">
        <v>64</v>
      </c>
      <c r="F1056" t="s">
        <v>63</v>
      </c>
      <c r="G1056" t="s">
        <v>1163</v>
      </c>
      <c r="H1056" t="s">
        <v>1311</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4.4583317952924901E-3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4.461540810317099E-3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4.460412588981404E-3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4.4603313660439596E-3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4.4650624817454574E-3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4.472805388518619E-3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4.480234793471081E-3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4.4873746654050216E-3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4.494215260234709E-3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4.5008991343885481E-3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4.5075239217344356E-3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4.5140231510574953E-3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4.5204902706730936E-3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4.5269049079044851E-3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4.5332156646464309E-3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4.5394503254180246E-3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4.5456155434925177E-3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4.5517322494299031E-3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4.5576132842011325E-3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4.5632517671133398E-3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4.5687003958982874E-3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4.5739172155363928E-3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4.5789116897468072E-3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4.5836613233262938E-3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4.5880981486463275E-3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4.592159181597999E-3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4.5958403193991975E-3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4.5991133923720465E-3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4.6019768219588081E-3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4.6044854054681089E-3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4.6063133110806655E-3</v>
      </c>
      <c r="AY1056" s="79"/>
      <c r="AZ1056" s="79"/>
    </row>
    <row r="1057" spans="1:52" x14ac:dyDescent="0.25">
      <c r="A1057" s="95" t="str">
        <f t="shared" si="345"/>
        <v>DS MM Leaching</v>
      </c>
      <c r="B1057" s="95" t="s">
        <v>973</v>
      </c>
      <c r="C1057" s="95" t="s">
        <v>1332</v>
      </c>
      <c r="D1057" t="s">
        <v>369</v>
      </c>
      <c r="E1057" t="s">
        <v>64</v>
      </c>
      <c r="F1057" t="s">
        <v>63</v>
      </c>
      <c r="G1057" t="s">
        <v>1165</v>
      </c>
      <c r="H1057" t="s">
        <v>1312</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3.7085296571107255E-3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3.7111989800627421E-3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3.7102605029651799E-3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3.7101929400994759E-3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3.7141283768717579E-3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3.7205690817629544E-3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3.7267490095624013E-3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3.732688097999684E-3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3.7383782417491837E-3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3.7439380221024701E-3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3.7494486528658025E-3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3.7548548419516796E-3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3.7602343215399525E-3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3.7655701452301818E-3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3.7708195590492773E-3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3.7760056747165515E-3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3.7811340265579189E-3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3.7862220250322745E-3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3.791113987511746E-3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3.7958041904982334E-3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3.8003364690201913E-3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3.8046759240522587E-3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3.8088304277055216E-3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3.8127812680195002E-3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3.8164719081598638E-3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3.8198499566836808E-3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3.822912000814643E-3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3.8256346084506454E-3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3.8280164665157558E-3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3.830103156508502E-3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3.831623644997431E-3</v>
      </c>
      <c r="AY1057" s="79"/>
      <c r="AZ1057" s="79"/>
    </row>
    <row r="1058" spans="1:52" x14ac:dyDescent="0.25">
      <c r="A1058" s="95" t="str">
        <f t="shared" ref="A1058:A1065" si="368">B1058&amp;" "&amp;C1058</f>
        <v>DS MM Leaching</v>
      </c>
      <c r="B1058" s="95" t="s">
        <v>973</v>
      </c>
      <c r="C1058" s="95" t="s">
        <v>1332</v>
      </c>
      <c r="D1058" t="s">
        <v>369</v>
      </c>
      <c r="E1058" t="s">
        <v>64</v>
      </c>
      <c r="F1058" t="s">
        <v>63</v>
      </c>
      <c r="G1058" t="s">
        <v>1167</v>
      </c>
      <c r="H1058" t="s">
        <v>1313</v>
      </c>
      <c r="I1058" t="s">
        <v>139</v>
      </c>
      <c r="J1058" t="s">
        <v>287</v>
      </c>
      <c r="K1058" s="22">
        <f t="shared" ref="K1058:AW1058" si="369">K1555</f>
        <v>5.4322987485311551E-4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5.5840147541839707E-4</v>
      </c>
      <c r="R1058" s="22">
        <f t="shared" si="369"/>
        <v>5.620753208024884E-4</v>
      </c>
      <c r="S1058" s="22">
        <f t="shared" si="369"/>
        <v>5.6069712046990367E-4</v>
      </c>
      <c r="T1058" s="22">
        <f t="shared" si="369"/>
        <v>5.6166095935732032E-4</v>
      </c>
      <c r="U1058" s="22">
        <f t="shared" si="369"/>
        <v>5.6175448886496286E-4</v>
      </c>
      <c r="V1058" s="22">
        <f t="shared" si="369"/>
        <v>5.6201163535097535E-4</v>
      </c>
      <c r="W1058" s="22">
        <f t="shared" si="369"/>
        <v>5.6314854989012028E-4</v>
      </c>
      <c r="X1058" s="22">
        <f t="shared" si="369"/>
        <v>5.6482088760724937E-4</v>
      </c>
      <c r="Y1058" s="22">
        <f t="shared" si="369"/>
        <v>5.6639948615984891E-4</v>
      </c>
      <c r="Z1058" s="22">
        <f t="shared" si="369"/>
        <v>5.6789176789216864E-4</v>
      </c>
      <c r="AA1058" s="22">
        <f t="shared" si="369"/>
        <v>5.692984966381053E-4</v>
      </c>
      <c r="AB1058" s="22">
        <f t="shared" si="369"/>
        <v>5.7064878025290242E-4</v>
      </c>
      <c r="AC1058" s="22">
        <f t="shared" si="369"/>
        <v>5.7196287833233815E-4</v>
      </c>
      <c r="AD1058" s="22">
        <f t="shared" si="369"/>
        <v>5.7323006225721597E-4</v>
      </c>
      <c r="AE1058" s="22">
        <f t="shared" si="369"/>
        <v>5.7446936511734096E-4</v>
      </c>
      <c r="AF1058" s="22">
        <f t="shared" si="369"/>
        <v>5.7567836458981281E-4</v>
      </c>
      <c r="AG1058" s="22">
        <f t="shared" si="369"/>
        <v>5.7684878803825762E-4</v>
      </c>
      <c r="AH1058" s="22">
        <f t="shared" si="369"/>
        <v>5.7798700555519505E-4</v>
      </c>
      <c r="AI1058" s="22">
        <f t="shared" si="369"/>
        <v>5.7909534227176243E-4</v>
      </c>
      <c r="AJ1058" s="22">
        <f t="shared" si="369"/>
        <v>5.8017866455598575E-4</v>
      </c>
      <c r="AK1058" s="22">
        <f t="shared" si="369"/>
        <v>5.8120338345125585E-4</v>
      </c>
      <c r="AL1058" s="22">
        <f t="shared" si="369"/>
        <v>5.8216925674029819E-4</v>
      </c>
      <c r="AM1058" s="22">
        <f t="shared" si="369"/>
        <v>5.8308692423697495E-4</v>
      </c>
      <c r="AN1058" s="22">
        <f t="shared" si="369"/>
        <v>5.839495453276261E-4</v>
      </c>
      <c r="AO1058" s="22">
        <f t="shared" si="369"/>
        <v>5.8475968776002874E-4</v>
      </c>
      <c r="AP1058" s="22">
        <f t="shared" si="369"/>
        <v>5.8551401869501036E-4</v>
      </c>
      <c r="AQ1058" s="22">
        <f t="shared" si="369"/>
        <v>5.8620089468398309E-4</v>
      </c>
      <c r="AR1058" s="22">
        <f t="shared" si="369"/>
        <v>5.868096200135702E-4</v>
      </c>
      <c r="AS1058" s="22">
        <f t="shared" si="369"/>
        <v>5.87340236215825E-4</v>
      </c>
      <c r="AT1058" s="22">
        <f t="shared" si="369"/>
        <v>5.8778838343391971E-4</v>
      </c>
      <c r="AU1058" s="22">
        <f t="shared" si="369"/>
        <v>5.8815451618636234E-4</v>
      </c>
      <c r="AV1058" s="22">
        <f t="shared" si="369"/>
        <v>5.8844925401827929E-4</v>
      </c>
      <c r="AW1058" s="22">
        <f t="shared" si="369"/>
        <v>5.8861438328620193E-4</v>
      </c>
      <c r="AY1058" s="79"/>
      <c r="AZ1058" s="79"/>
    </row>
    <row r="1059" spans="1:52" x14ac:dyDescent="0.25">
      <c r="A1059" s="95" t="str">
        <f t="shared" si="368"/>
        <v>DS MM Leaching</v>
      </c>
      <c r="B1059" s="95" t="s">
        <v>973</v>
      </c>
      <c r="C1059" s="95" t="s">
        <v>1332</v>
      </c>
      <c r="D1059" t="s">
        <v>369</v>
      </c>
      <c r="E1059" t="s">
        <v>64</v>
      </c>
      <c r="F1059" t="s">
        <v>63</v>
      </c>
      <c r="G1059" t="s">
        <v>1169</v>
      </c>
      <c r="H1059" t="s">
        <v>1314</v>
      </c>
      <c r="I1059" t="s">
        <v>139</v>
      </c>
      <c r="J1059" t="s">
        <v>287</v>
      </c>
      <c r="K1059" s="22">
        <f t="shared" ref="K1059:AW1059" si="370">K1556</f>
        <v>6.6992563985089938E-3</v>
      </c>
      <c r="L1059" s="22">
        <f t="shared" si="370"/>
        <v>6.716671231449923E-3</v>
      </c>
      <c r="M1059" s="22">
        <f t="shared" si="370"/>
        <v>6.7406943780734313E-3</v>
      </c>
      <c r="N1059" s="22">
        <f t="shared" si="370"/>
        <v>6.769960915195136E-3</v>
      </c>
      <c r="O1059" s="22">
        <f t="shared" si="370"/>
        <v>6.8044291009834836E-3</v>
      </c>
      <c r="P1059" s="22">
        <f t="shared" si="370"/>
        <v>6.8438891439814974E-3</v>
      </c>
      <c r="Q1059" s="22">
        <f t="shared" si="370"/>
        <v>6.8863566425632549E-3</v>
      </c>
      <c r="R1059" s="22">
        <f t="shared" si="370"/>
        <v>6.9316634884048298E-3</v>
      </c>
      <c r="S1059" s="22">
        <f t="shared" si="370"/>
        <v>6.9146671525553097E-3</v>
      </c>
      <c r="T1059" s="22">
        <f t="shared" si="370"/>
        <v>6.9265534720170359E-3</v>
      </c>
      <c r="U1059" s="22">
        <f t="shared" si="370"/>
        <v>6.92770690297054E-3</v>
      </c>
      <c r="V1059" s="22">
        <f t="shared" si="370"/>
        <v>6.9308781023495105E-3</v>
      </c>
      <c r="W1059" s="22">
        <f t="shared" si="370"/>
        <v>6.9448988371314212E-3</v>
      </c>
      <c r="X1059" s="22">
        <f t="shared" si="370"/>
        <v>6.9655225540339091E-3</v>
      </c>
      <c r="Y1059" s="22">
        <f t="shared" si="370"/>
        <v>6.9849902544379758E-3</v>
      </c>
      <c r="Z1059" s="22">
        <f t="shared" si="370"/>
        <v>7.0033934726820464E-3</v>
      </c>
      <c r="AA1059" s="22">
        <f t="shared" si="370"/>
        <v>7.0207416285704375E-3</v>
      </c>
      <c r="AB1059" s="22">
        <f t="shared" si="370"/>
        <v>7.0373936879747148E-3</v>
      </c>
      <c r="AC1059" s="22">
        <f t="shared" si="370"/>
        <v>7.0535994976594404E-3</v>
      </c>
      <c r="AD1059" s="22">
        <f t="shared" si="370"/>
        <v>7.0692267494174947E-3</v>
      </c>
      <c r="AE1059" s="22">
        <f t="shared" si="370"/>
        <v>7.0845101644130852E-3</v>
      </c>
      <c r="AF1059" s="22">
        <f t="shared" si="370"/>
        <v>7.0994198699110417E-3</v>
      </c>
      <c r="AG1059" s="22">
        <f t="shared" si="370"/>
        <v>7.113853845542588E-3</v>
      </c>
      <c r="AH1059" s="22">
        <f t="shared" si="370"/>
        <v>7.1278906489958219E-3</v>
      </c>
      <c r="AI1059" s="22">
        <f t="shared" si="370"/>
        <v>7.1415589544110468E-3</v>
      </c>
      <c r="AJ1059" s="22">
        <f t="shared" si="370"/>
        <v>7.1549187751429096E-3</v>
      </c>
      <c r="AK1059" s="22">
        <f t="shared" si="370"/>
        <v>7.1675558831769013E-3</v>
      </c>
      <c r="AL1059" s="22">
        <f t="shared" si="370"/>
        <v>7.179467291424684E-3</v>
      </c>
      <c r="AM1059" s="22">
        <f t="shared" si="370"/>
        <v>7.1907842129221942E-3</v>
      </c>
      <c r="AN1059" s="22">
        <f t="shared" si="370"/>
        <v>7.2014222873885451E-3</v>
      </c>
      <c r="AO1059" s="22">
        <f t="shared" si="370"/>
        <v>7.2114131809774594E-3</v>
      </c>
      <c r="AP1059" s="22">
        <f t="shared" si="370"/>
        <v>7.2207157922230866E-3</v>
      </c>
      <c r="AQ1059" s="22">
        <f t="shared" si="370"/>
        <v>7.2291865309970747E-3</v>
      </c>
      <c r="AR1059" s="22">
        <f t="shared" si="370"/>
        <v>7.2366934948956893E-3</v>
      </c>
      <c r="AS1059" s="22">
        <f t="shared" si="370"/>
        <v>7.2432371961033398E-3</v>
      </c>
      <c r="AT1059" s="22">
        <f t="shared" si="370"/>
        <v>7.2487638676972145E-3</v>
      </c>
      <c r="AU1059" s="22">
        <f t="shared" si="370"/>
        <v>7.2532791149213611E-3</v>
      </c>
      <c r="AV1059" s="22">
        <f t="shared" si="370"/>
        <v>7.2569139008522455E-3</v>
      </c>
      <c r="AW1059" s="22">
        <f t="shared" si="370"/>
        <v>7.258950319237764E-3</v>
      </c>
      <c r="AY1059" s="79"/>
      <c r="AZ1059" s="79"/>
    </row>
    <row r="1060" spans="1:52" x14ac:dyDescent="0.25">
      <c r="A1060" s="95" t="str">
        <f t="shared" si="368"/>
        <v>DS MM Leaching</v>
      </c>
      <c r="B1060" s="95" t="s">
        <v>973</v>
      </c>
      <c r="C1060" s="95" t="s">
        <v>1332</v>
      </c>
      <c r="D1060" t="s">
        <v>369</v>
      </c>
      <c r="E1060" t="s">
        <v>64</v>
      </c>
      <c r="F1060" t="s">
        <v>63</v>
      </c>
      <c r="G1060" t="s">
        <v>1171</v>
      </c>
      <c r="H1060" t="s">
        <v>1315</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5">
      <c r="A1061" s="95" t="str">
        <f t="shared" si="368"/>
        <v>DS MM Leaching</v>
      </c>
      <c r="B1061" s="95" t="s">
        <v>973</v>
      </c>
      <c r="C1061" s="95" t="s">
        <v>1332</v>
      </c>
      <c r="D1061" t="s">
        <v>369</v>
      </c>
      <c r="E1061" t="s">
        <v>64</v>
      </c>
      <c r="F1061" t="s">
        <v>63</v>
      </c>
      <c r="G1061" t="s">
        <v>1173</v>
      </c>
      <c r="H1061" t="s">
        <v>1316</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5">
      <c r="A1062" s="95" t="str">
        <f t="shared" si="368"/>
        <v>DS MM Leaching</v>
      </c>
      <c r="B1062" s="95" t="s">
        <v>973</v>
      </c>
      <c r="C1062" s="95" t="s">
        <v>1332</v>
      </c>
      <c r="D1062" t="s">
        <v>369</v>
      </c>
      <c r="E1062" t="s">
        <v>64</v>
      </c>
      <c r="F1062" t="s">
        <v>63</v>
      </c>
      <c r="G1062" t="s">
        <v>1175</v>
      </c>
      <c r="H1062" t="s">
        <v>1317</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2.6729002214214575E-2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2.6495489531984436E-2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2.6094526833046999E-2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2.4781112413324518E-2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2.2261363297447542E-2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2.326732754049585E-2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2.3571460777264748E-2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2.3338833343161457E-2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2.3134238751808155E-2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2.3071008709265216E-2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2.3143649238261243E-2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2.3278949396695201E-2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2.3492345128489588E-2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2.3835144398287569E-2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2.4295378697531386E-2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2.4819194567643824E-2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2.5401392072493423E-2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2.6012849455983828E-2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2.6664067926854041E-2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2.734101119130557E-2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2.7997936856370267E-2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2.8698310105033351E-2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2.9400080296227163E-2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3.0099562920322648E-2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3.0814857244530154E-2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3.1499706541710935E-2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3.2216361362909209E-2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3.2985480796324254E-2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3.376804159970731E-2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3.4565482452675621E-2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3.5417207872959197E-2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3.6308390334093638E-2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3.7228871549923839E-2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3.8202529295473395E-2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3.9083865804736009E-2</v>
      </c>
      <c r="AY1062" s="79"/>
      <c r="AZ1062" s="79"/>
    </row>
    <row r="1063" spans="1:52" x14ac:dyDescent="0.25">
      <c r="A1063" s="95" t="str">
        <f t="shared" si="368"/>
        <v>DS MM Leaching</v>
      </c>
      <c r="B1063" s="95" t="s">
        <v>973</v>
      </c>
      <c r="C1063" s="95" t="s">
        <v>1332</v>
      </c>
      <c r="D1063" t="s">
        <v>369</v>
      </c>
      <c r="E1063" t="s">
        <v>64</v>
      </c>
      <c r="F1063" t="s">
        <v>63</v>
      </c>
      <c r="G1063" t="s">
        <v>1177</v>
      </c>
      <c r="H1063" t="s">
        <v>1318</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3.9947810410006978E-3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3.9598814204188986E-3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3.8999555700251287E-3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3.7580655955978051E-3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3.7036593154610876E-3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3.3270703984670008E-3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3.4774167097077883E-3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3.5228709200238193E-3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3.4881036041350764E-3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3.4575259346777865E-3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3.448075893365063E-3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3.4589323782318001E-3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3.4791536533630104E-3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3.5110466966113414E-3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3.5622797360223518E-3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3.6310640190383376E-3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3.7093508810068579E-3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3.7963631658595345E-3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3.8877484837016034E-3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3.98507629190532E-3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4.0862487972233809E-3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4.1844295737116129E-3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4.2891038055800747E-3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4.3939868173907288E-3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4.4985279410305803E-3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4.6054322011364794E-3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4.707786301988981E-3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4.8148938950716034E-3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4.929842582877003E-3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5.046800149632805E-3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5.1659816130943592E-3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5.2932761725327836E-3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5.4264677810814564E-3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5.5640382328374224E-3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5.7095561788936492E-3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5.8412762614364865E-3</v>
      </c>
      <c r="AY1063" s="79"/>
      <c r="AZ1063" s="79"/>
    </row>
    <row r="1064" spans="1:52" x14ac:dyDescent="0.25">
      <c r="A1064" s="95" t="str">
        <f t="shared" si="368"/>
        <v>DS MM Leaching</v>
      </c>
      <c r="B1064" s="95" t="s">
        <v>973</v>
      </c>
      <c r="C1064" s="95" t="s">
        <v>1332</v>
      </c>
      <c r="D1064" t="s">
        <v>369</v>
      </c>
      <c r="E1064" t="s">
        <v>64</v>
      </c>
      <c r="F1064" t="s">
        <v>63</v>
      </c>
      <c r="G1064" t="s">
        <v>1179</v>
      </c>
      <c r="H1064" t="s">
        <v>1319</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1.7926295011943302E-2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1.8674748698375012E-2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1.9119559955571311E-2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1.933187353292521E-2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1.9567336744090873E-2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1.9874405903185278E-2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2.0244038198599948E-2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2.064493630250834E-2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2.1086941142640651E-2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2.1599318957249428E-2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2.2180513768392543E-2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2.2805803764739216E-2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2.3475090902088748E-2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2.4174535529571241E-2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2.4911238714913377E-2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2.5679011663267932E-2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2.645249874928041E-2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2.7269372865090267E-2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2.8105461432882069E-2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2.8959047781856831E-2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2.9842194803075938E-2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3.0726207525762706E-2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3.1651324084180803E-2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3.263300298507002E-2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3.3647129592199072E-2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3.4695684340366462E-2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3.5807702215394269E-2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3.6975350864185588E-2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3.8193620446260186E-2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3.9482562307511335E-2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4.0733932208981263E-2</v>
      </c>
      <c r="AY1064" s="79"/>
      <c r="AZ1064" s="79"/>
    </row>
    <row r="1065" spans="1:52" x14ac:dyDescent="0.25">
      <c r="A1065" s="95" t="str">
        <f t="shared" si="368"/>
        <v>DS MM Leaching</v>
      </c>
      <c r="B1065" s="95" t="s">
        <v>973</v>
      </c>
      <c r="C1065" s="95" t="s">
        <v>1332</v>
      </c>
      <c r="D1065" t="s">
        <v>369</v>
      </c>
      <c r="E1065" t="s">
        <v>64</v>
      </c>
      <c r="F1065" t="s">
        <v>63</v>
      </c>
      <c r="G1065" t="s">
        <v>1181</v>
      </c>
      <c r="H1065" t="s">
        <v>1320</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8.024855331382115E-2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8.0719757945382262E-2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8.0430818839717685E-2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7.8944464359385597E-2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6.838761678762284E-2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7.4574992595892425E-2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7.755216316581004E-2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7.7924677783992133E-2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7.8354110824083251E-2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7.9443157162657083E-2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8.1236326250134938E-2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8.3381793031121837E-2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8.5974252242443622E-2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8.9301533057552729E-2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9.3325676960655579E-2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9.7779695826372345E-2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0.10264881318689535</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0.1077848208225682</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0.11325644741449936</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0.11899390557339033</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0.12473968814681194</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0.13086543937710404</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0.13713570688007848</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0.14353189422654788</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0.15016680935758497</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0.15676188787571166</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0.16370376989202984</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0.17113537656800237</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0.17882351737077742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0.18678614513935693</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0.19529177080691471</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0.20426055038144844</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0.21363944759847542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0.2236051975341104</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0.23317129202372885</v>
      </c>
      <c r="AY1065" s="79"/>
      <c r="AZ1065" s="79"/>
    </row>
    <row r="1067" spans="1:52" x14ac:dyDescent="0.25">
      <c r="A1067" s="95" t="str">
        <f t="shared" ref="A1067:A1089" si="373">B1067&amp;" "&amp;C1067</f>
        <v>CM Cattle</v>
      </c>
      <c r="B1067" s="95" t="s">
        <v>1321</v>
      </c>
      <c r="C1067" s="95" t="s">
        <v>1107</v>
      </c>
      <c r="D1067" t="s">
        <v>15</v>
      </c>
      <c r="E1067" t="s">
        <v>16</v>
      </c>
      <c r="F1067" t="s">
        <v>6</v>
      </c>
      <c r="G1067" t="s">
        <v>136</v>
      </c>
      <c r="H1067" t="s">
        <v>1019</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72.365714675231743</v>
      </c>
      <c r="T1067" s="93">
        <f>IF('Net zero activities &amp; levers'!$C$14="Off",('Activity data'!AM5*EF!$H4)*kgtoGg,IF('Net zero activities &amp; levers'!$C$14="On",('Net zero Activity data'!AM5*EF!$H4)*kgtoGg,"ERROR"))</f>
        <v>73.825045522582627</v>
      </c>
      <c r="U1067" s="93">
        <f>IF('Net zero activities &amp; levers'!$C$14="Off",('Activity data'!AN5*EF!$H4)*kgtoGg,IF('Net zero activities &amp; levers'!$C$14="On",('Net zero Activity data'!AN5*EF!$H4)*kgtoGg,"ERROR"))</f>
        <v>74.549470852823731</v>
      </c>
      <c r="V1067" s="93">
        <f>IF('Net zero activities &amp; levers'!$C$14="Off",('Activity data'!AO5*EF!$H4)*kgtoGg,IF('Net zero activities &amp; levers'!$C$14="On",('Net zero Activity data'!AO5*EF!$H4)*kgtoGg,"ERROR"))</f>
        <v>74.73866134408884</v>
      </c>
      <c r="W1067" s="93">
        <f>IF('Net zero activities &amp; levers'!$C$14="Off",('Activity data'!AP5*EF!$H4)*kgtoGg,IF('Net zero activities &amp; levers'!$C$14="On",('Net zero Activity data'!AP5*EF!$H4)*kgtoGg,"ERROR"))</f>
        <v>75.00766800235165</v>
      </c>
      <c r="X1067" s="93">
        <f>IF('Net zero activities &amp; levers'!$C$14="Off",('Activity data'!AQ5*EF!$H4)*kgtoGg,IF('Net zero activities &amp; levers'!$C$14="On",('Net zero Activity data'!AQ5*EF!$H4)*kgtoGg,"ERROR"))</f>
        <v>75.45906320296173</v>
      </c>
      <c r="Y1067" s="93">
        <f>IF('Net zero activities &amp; levers'!$C$14="Off",('Activity data'!AR5*EF!$H4)*kgtoGg,IF('Net zero activities &amp; levers'!$C$14="On",('Net zero Activity data'!AR5*EF!$H4)*kgtoGg,"ERROR"))</f>
        <v>76.055372148787171</v>
      </c>
      <c r="Z1067" s="93">
        <f>IF('Net zero activities &amp; levers'!$C$14="Off",('Activity data'!AS5*EF!$H4)*kgtoGg,IF('Net zero activities &amp; levers'!$C$14="On",('Net zero Activity data'!AS5*EF!$H4)*kgtoGg,"ERROR"))</f>
        <v>76.723006485373944</v>
      </c>
      <c r="AA1067" s="93">
        <f>IF('Net zero activities &amp; levers'!$C$14="Off",('Activity data'!AT5*EF!$H4)*kgtoGg,IF('Net zero activities &amp; levers'!$C$14="On",('Net zero Activity data'!AT5*EF!$H4)*kgtoGg,"ERROR"))</f>
        <v>77.482992951839307</v>
      </c>
      <c r="AB1067" s="93">
        <f>IF('Net zero activities &amp; levers'!$C$14="Off",('Activity data'!AU5*EF!$H4)*kgtoGg,IF('Net zero activities &amp; levers'!$C$14="On",('Net zero Activity data'!AU5*EF!$H4)*kgtoGg,"ERROR"))</f>
        <v>78.40049292820909</v>
      </c>
      <c r="AC1067" s="93">
        <f>IF('Net zero activities &amp; levers'!$C$14="Off",('Activity data'!AV5*EF!$H4)*kgtoGg,IF('Net zero activities &amp; levers'!$C$14="On",('Net zero Activity data'!AV5*EF!$H4)*kgtoGg,"ERROR"))</f>
        <v>79.470176515878649</v>
      </c>
      <c r="AD1067" s="93">
        <f>IF('Net zero activities &amp; levers'!$C$14="Off",('Activity data'!AW5*EF!$H4)*kgtoGg,IF('Net zero activities &amp; levers'!$C$14="On",('Net zero Activity data'!AW5*EF!$H4)*kgtoGg,"ERROR"))</f>
        <v>80.634435222178453</v>
      </c>
      <c r="AE1067" s="93">
        <f>IF('Net zero activities &amp; levers'!$C$14="Off",('Activity data'!AX5*EF!$H4)*kgtoGg,IF('Net zero activities &amp; levers'!$C$14="On",('Net zero Activity data'!AX5*EF!$H4)*kgtoGg,"ERROR"))</f>
        <v>81.892216807263921</v>
      </c>
      <c r="AF1067" s="93">
        <f>IF('Net zero activities &amp; levers'!$C$14="Off",('Activity data'!AY5*EF!$H4)*kgtoGg,IF('Net zero activities &amp; levers'!$C$14="On",('Net zero Activity data'!AY5*EF!$H4)*kgtoGg,"ERROR"))</f>
        <v>83.211603764210864</v>
      </c>
      <c r="AG1067" s="93">
        <f>IF('Net zero activities &amp; levers'!$C$14="Off",('Activity data'!AZ5*EF!$H4)*kgtoGg,IF('Net zero activities &amp; levers'!$C$14="On",('Net zero Activity data'!AZ5*EF!$H4)*kgtoGg,"ERROR"))</f>
        <v>84.607353188642591</v>
      </c>
      <c r="AH1067" s="93">
        <f>IF('Net zero activities &amp; levers'!$C$14="Off",('Activity data'!BA5*EF!$H4)*kgtoGg,IF('Net zero activities &amp; levers'!$C$14="On",('Net zero Activity data'!BA5*EF!$H4)*kgtoGg,"ERROR"))</f>
        <v>86.06511371010545</v>
      </c>
      <c r="AI1067" s="93">
        <f>IF('Net zero activities &amp; levers'!$C$14="Off",('Activity data'!BB5*EF!$H4)*kgtoGg,IF('Net zero activities &amp; levers'!$C$14="On",('Net zero Activity data'!BB5*EF!$H4)*kgtoGg,"ERROR"))</f>
        <v>87.52871170290878</v>
      </c>
      <c r="AJ1067" s="93">
        <f>IF('Net zero activities &amp; levers'!$C$14="Off",('Activity data'!BC5*EF!$H4)*kgtoGg,IF('Net zero activities &amp; levers'!$C$14="On",('Net zero Activity data'!BC5*EF!$H4)*kgtoGg,"ERROR"))</f>
        <v>89.080470915368679</v>
      </c>
      <c r="AK1067" s="93">
        <f>IF('Net zero activities &amp; levers'!$C$14="Off",('Activity data'!BD5*EF!$H4)*kgtoGg,IF('Net zero activities &amp; levers'!$C$14="On",('Net zero Activity data'!BD5*EF!$H4)*kgtoGg,"ERROR"))</f>
        <v>90.666146577204373</v>
      </c>
      <c r="AL1067" s="93">
        <f>IF('Net zero activities &amp; levers'!$C$14="Off",('Activity data'!BE5*EF!$H4)*kgtoGg,IF('Net zero activities &amp; levers'!$C$14="On",('Net zero Activity data'!BE5*EF!$H4)*kgtoGg,"ERROR"))</f>
        <v>92.281705803455623</v>
      </c>
      <c r="AM1067" s="93">
        <f>IF('Net zero activities &amp; levers'!$C$14="Off",('Activity data'!BF5*EF!$H4)*kgtoGg,IF('Net zero activities &amp; levers'!$C$14="On",('Net zero Activity data'!BF5*EF!$H4)*kgtoGg,"ERROR"))</f>
        <v>93.953177200375109</v>
      </c>
      <c r="AN1067" s="93">
        <f>IF('Net zero activities &amp; levers'!$C$14="Off",('Activity data'!BG5*EF!$H4)*kgtoGg,IF('Net zero activities &amp; levers'!$C$14="On",('Net zero Activity data'!BG5*EF!$H4)*kgtoGg,"ERROR"))</f>
        <v>95.618162408652182</v>
      </c>
      <c r="AO1067" s="93">
        <f>IF('Net zero activities &amp; levers'!$C$14="Off",('Activity data'!BH5*EF!$H4)*kgtoGg,IF('Net zero activities &amp; levers'!$C$14="On",('Net zero Activity data'!BH5*EF!$H4)*kgtoGg,"ERROR"))</f>
        <v>97.363125443895129</v>
      </c>
      <c r="AP1067" s="93">
        <f>IF('Net zero activities &amp; levers'!$C$14="Off",('Activity data'!BI5*EF!$H4)*kgtoGg,IF('Net zero activities &amp; levers'!$C$14="On",('Net zero Activity data'!BI5*EF!$H4)*kgtoGg,"ERROR"))</f>
        <v>99.220282959393018</v>
      </c>
      <c r="AQ1067" s="93">
        <f>IF('Net zero activities &amp; levers'!$C$14="Off",('Activity data'!BJ5*EF!$H4)*kgtoGg,IF('Net zero activities &amp; levers'!$C$14="On",('Net zero Activity data'!BJ5*EF!$H4)*kgtoGg,"ERROR"))</f>
        <v>101.13698373864543</v>
      </c>
      <c r="AR1067" s="93">
        <f>IF('Net zero activities &amp; levers'!$C$14="Off",('Activity data'!BK5*EF!$H4)*kgtoGg,IF('Net zero activities &amp; levers'!$C$14="On",('Net zero Activity data'!BK5*EF!$H4)*kgtoGg,"ERROR"))</f>
        <v>103.1166953994274</v>
      </c>
      <c r="AS1067" s="93">
        <f>IF('Net zero activities &amp; levers'!$C$14="Off",('Activity data'!BL5*EF!$H4)*kgtoGg,IF('Net zero activities &amp; levers'!$C$14="On",('Net zero Activity data'!BL5*EF!$H4)*kgtoGg,"ERROR"))</f>
        <v>105.22033839717858</v>
      </c>
      <c r="AT1067" s="93">
        <f>IF('Net zero activities &amp; levers'!$C$14="Off",('Activity data'!BM5*EF!$H4)*kgtoGg,IF('Net zero activities &amp; levers'!$C$14="On",('Net zero Activity data'!BM5*EF!$H4)*kgtoGg,"ERROR"))</f>
        <v>107.43022097905694</v>
      </c>
      <c r="AU1067" s="93">
        <f>IF('Net zero activities &amp; levers'!$C$14="Off",('Activity data'!BN5*EF!$H4)*kgtoGg,IF('Net zero activities &amp; levers'!$C$14="On",('Net zero Activity data'!BN5*EF!$H4)*kgtoGg,"ERROR"))</f>
        <v>109.73494167523042</v>
      </c>
      <c r="AV1067" s="93">
        <f>IF('Net zero activities &amp; levers'!$C$14="Off",('Activity data'!BO5*EF!$H4)*kgtoGg,IF('Net zero activities &amp; levers'!$C$14="On",('Net zero Activity data'!BO5*EF!$H4)*kgtoGg,"ERROR"))</f>
        <v>112.1760298148465</v>
      </c>
      <c r="AW1067" s="93">
        <f>IF('Net zero activities &amp; levers'!$C$14="Off",('Activity data'!BP5*EF!$H4)*kgtoGg,IF('Net zero activities &amp; levers'!$C$14="On",('Net zero Activity data'!BP5*EF!$H4)*kgtoGg,"ERROR"))</f>
        <v>114.52480661709059</v>
      </c>
      <c r="AY1067" s="79"/>
    </row>
    <row r="1068" spans="1:52" x14ac:dyDescent="0.25">
      <c r="A1068" s="95" t="str">
        <f t="shared" si="373"/>
        <v>CM Cattle</v>
      </c>
      <c r="B1068" s="95" t="s">
        <v>1321</v>
      </c>
      <c r="C1068" s="95" t="s">
        <v>1107</v>
      </c>
      <c r="D1068" t="s">
        <v>15</v>
      </c>
      <c r="E1068" t="s">
        <v>16</v>
      </c>
      <c r="F1068" t="s">
        <v>6</v>
      </c>
      <c r="G1068" t="s">
        <v>137</v>
      </c>
      <c r="H1068" t="s">
        <v>1019</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57.879296587031398</v>
      </c>
      <c r="T1068" s="93">
        <f>IF('Net zero activities &amp; levers'!$C$14="Off",('Activity data'!AM6*EF!$H5)*kgtoGg,IF('Net zero activities &amp; levers'!$C$14="On",('Net zero Activity data'!AM6*EF!$H5)*kgtoGg,"ERROR"))</f>
        <v>59.046493557468224</v>
      </c>
      <c r="U1068" s="93">
        <f>IF('Net zero activities &amp; levers'!$C$14="Off",('Activity data'!AN6*EF!$H5)*kgtoGg,IF('Net zero activities &amp; levers'!$C$14="On",('Net zero Activity data'!AN6*EF!$H5)*kgtoGg,"ERROR"))</f>
        <v>59.625900929209891</v>
      </c>
      <c r="V1068" s="93">
        <f>IF('Net zero activities &amp; levers'!$C$14="Off",('Activity data'!AO6*EF!$H5)*kgtoGg,IF('Net zero activities &amp; levers'!$C$14="On",('Net zero Activity data'!AO6*EF!$H5)*kgtoGg,"ERROR"))</f>
        <v>59.777218616107909</v>
      </c>
      <c r="W1068" s="93">
        <f>IF('Net zero activities &amp; levers'!$C$14="Off",('Activity data'!AP6*EF!$H5)*kgtoGg,IF('Net zero activities &amp; levers'!$C$14="On",('Net zero Activity data'!AP6*EF!$H5)*kgtoGg,"ERROR"))</f>
        <v>59.992374594700195</v>
      </c>
      <c r="X1068" s="93">
        <f>IF('Net zero activities &amp; levers'!$C$14="Off",('Activity data'!AQ6*EF!$H5)*kgtoGg,IF('Net zero activities &amp; levers'!$C$14="On",('Net zero Activity data'!AQ6*EF!$H5)*kgtoGg,"ERROR"))</f>
        <v>60.353407948842083</v>
      </c>
      <c r="Y1068" s="93">
        <f>IF('Net zero activities &amp; levers'!$C$14="Off",('Activity data'!AR6*EF!$H5)*kgtoGg,IF('Net zero activities &amp; levers'!$C$14="On",('Net zero Activity data'!AR6*EF!$H5)*kgtoGg,"ERROR"))</f>
        <v>60.830345715404938</v>
      </c>
      <c r="Z1068" s="93">
        <f>IF('Net zero activities &amp; levers'!$C$14="Off",('Activity data'!AS6*EF!$H5)*kgtoGg,IF('Net zero activities &amp; levers'!$C$14="On",('Net zero Activity data'!AS6*EF!$H5)*kgtoGg,"ERROR"))</f>
        <v>61.364330710266294</v>
      </c>
      <c r="AA1068" s="93">
        <f>IF('Net zero activities &amp; levers'!$C$14="Off",('Activity data'!AT6*EF!$H5)*kgtoGg,IF('Net zero activities &amp; levers'!$C$14="On",('Net zero Activity data'!AT6*EF!$H5)*kgtoGg,"ERROR"))</f>
        <v>61.97218046746265</v>
      </c>
      <c r="AB1068" s="93">
        <f>IF('Net zero activities &amp; levers'!$C$14="Off",('Activity data'!AU6*EF!$H5)*kgtoGg,IF('Net zero activities &amp; levers'!$C$14="On",('Net zero Activity data'!AU6*EF!$H5)*kgtoGg,"ERROR"))</f>
        <v>62.706012137463084</v>
      </c>
      <c r="AC1068" s="93">
        <f>IF('Net zero activities &amp; levers'!$C$14="Off",('Activity data'!AV6*EF!$H5)*kgtoGg,IF('Net zero activities &amp; levers'!$C$14="On",('Net zero Activity data'!AV6*EF!$H5)*kgtoGg,"ERROR"))</f>
        <v>63.561562779128991</v>
      </c>
      <c r="AD1068" s="93">
        <f>IF('Net zero activities &amp; levers'!$C$14="Off",('Activity data'!AW6*EF!$H5)*kgtoGg,IF('Net zero activities &amp; levers'!$C$14="On",('Net zero Activity data'!AW6*EF!$H5)*kgtoGg,"ERROR"))</f>
        <v>64.49275616633426</v>
      </c>
      <c r="AE1068" s="93">
        <f>IF('Net zero activities &amp; levers'!$C$14="Off",('Activity data'!AX6*EF!$H5)*kgtoGg,IF('Net zero activities &amp; levers'!$C$14="On",('Net zero Activity data'!AX6*EF!$H5)*kgtoGg,"ERROR"))</f>
        <v>65.498750700231739</v>
      </c>
      <c r="AF1068" s="93">
        <f>IF('Net zero activities &amp; levers'!$C$14="Off",('Activity data'!AY6*EF!$H5)*kgtoGg,IF('Net zero activities &amp; levers'!$C$14="On",('Net zero Activity data'!AY6*EF!$H5)*kgtoGg,"ERROR"))</f>
        <v>66.554018230400004</v>
      </c>
      <c r="AG1068" s="93">
        <f>IF('Net zero activities &amp; levers'!$C$14="Off",('Activity data'!AZ6*EF!$H5)*kgtoGg,IF('Net zero activities &amp; levers'!$C$14="On",('Net zero Activity data'!AZ6*EF!$H5)*kgtoGg,"ERROR"))</f>
        <v>67.670361726217266</v>
      </c>
      <c r="AH1068" s="93">
        <f>IF('Net zero activities &amp; levers'!$C$14="Off",('Activity data'!BA6*EF!$H5)*kgtoGg,IF('Net zero activities &amp; levers'!$C$14="On",('Net zero Activity data'!BA6*EF!$H5)*kgtoGg,"ERROR"))</f>
        <v>68.836302724012626</v>
      </c>
      <c r="AI1068" s="93">
        <f>IF('Net zero activities &amp; levers'!$C$14="Off",('Activity data'!BB6*EF!$H5)*kgtoGg,IF('Net zero activities &amp; levers'!$C$14="On",('Net zero Activity data'!BB6*EF!$H5)*kgtoGg,"ERROR"))</f>
        <v>70.006912628023471</v>
      </c>
      <c r="AJ1068" s="93">
        <f>IF('Net zero activities &amp; levers'!$C$14="Off",('Activity data'!BC6*EF!$H5)*kgtoGg,IF('Net zero activities &amp; levers'!$C$14="On",('Net zero Activity data'!BC6*EF!$H5)*kgtoGg,"ERROR"))</f>
        <v>71.248035334994583</v>
      </c>
      <c r="AK1068" s="93">
        <f>IF('Net zero activities &amp; levers'!$C$14="Off",('Activity data'!BD6*EF!$H5)*kgtoGg,IF('Net zero activities &amp; levers'!$C$14="On",('Net zero Activity data'!BD6*EF!$H5)*kgtoGg,"ERROR"))</f>
        <v>72.516284979651772</v>
      </c>
      <c r="AL1068" s="93">
        <f>IF('Net zero activities &amp; levers'!$C$14="Off",('Activity data'!BE6*EF!$H5)*kgtoGg,IF('Net zero activities &amp; levers'!$C$14="On",('Net zero Activity data'!BE6*EF!$H5)*kgtoGg,"ERROR"))</f>
        <v>73.808435993840746</v>
      </c>
      <c r="AM1068" s="93">
        <f>IF('Net zero activities &amp; levers'!$C$14="Off",('Activity data'!BF6*EF!$H5)*kgtoGg,IF('Net zero activities &amp; levers'!$C$14="On",('Net zero Activity data'!BF6*EF!$H5)*kgtoGg,"ERROR"))</f>
        <v>75.145306487737145</v>
      </c>
      <c r="AN1068" s="93">
        <f>IF('Net zero activities &amp; levers'!$C$14="Off",('Activity data'!BG6*EF!$H5)*kgtoGg,IF('Net zero activities &amp; levers'!$C$14="On",('Net zero Activity data'!BG6*EF!$H5)*kgtoGg,"ERROR"))</f>
        <v>76.476989220580691</v>
      </c>
      <c r="AO1068" s="93">
        <f>IF('Net zero activities &amp; levers'!$C$14="Off",('Activity data'!BH6*EF!$H5)*kgtoGg,IF('Net zero activities &amp; levers'!$C$14="On",('Net zero Activity data'!BH6*EF!$H5)*kgtoGg,"ERROR"))</f>
        <v>77.872639543437259</v>
      </c>
      <c r="AP1068" s="93">
        <f>IF('Net zero activities &amp; levers'!$C$14="Off",('Activity data'!BI6*EF!$H5)*kgtoGg,IF('Net zero activities &amp; levers'!$C$14="On",('Net zero Activity data'!BI6*EF!$H5)*kgtoGg,"ERROR"))</f>
        <v>79.358024868943161</v>
      </c>
      <c r="AQ1068" s="93">
        <f>IF('Net zero activities &amp; levers'!$C$14="Off",('Activity data'!BJ6*EF!$H5)*kgtoGg,IF('Net zero activities &amp; levers'!$C$14="On",('Net zero Activity data'!BJ6*EF!$H5)*kgtoGg,"ERROR"))</f>
        <v>80.891033882518414</v>
      </c>
      <c r="AR1068" s="93">
        <f>IF('Net zero activities &amp; levers'!$C$14="Off",('Activity data'!BK6*EF!$H5)*kgtoGg,IF('Net zero activities &amp; levers'!$C$14="On",('Net zero Activity data'!BK6*EF!$H5)*kgtoGg,"ERROR"))</f>
        <v>82.474440042264703</v>
      </c>
      <c r="AS1068" s="93">
        <f>IF('Net zero activities &amp; levers'!$C$14="Off",('Activity data'!BL6*EF!$H5)*kgtoGg,IF('Net zero activities &amp; levers'!$C$14="On",('Net zero Activity data'!BL6*EF!$H5)*kgtoGg,"ERROR"))</f>
        <v>84.156968536960065</v>
      </c>
      <c r="AT1068" s="93">
        <f>IF('Net zero activities &amp; levers'!$C$14="Off",('Activity data'!BM6*EF!$H5)*kgtoGg,IF('Net zero activities &amp; levers'!$C$14="On",('Net zero Activity data'!BM6*EF!$H5)*kgtoGg,"ERROR"))</f>
        <v>85.924469209800506</v>
      </c>
      <c r="AU1068" s="93">
        <f>IF('Net zero activities &amp; levers'!$C$14="Off",('Activity data'!BN6*EF!$H5)*kgtoGg,IF('Net zero activities &amp; levers'!$C$14="On",('Net zero Activity data'!BN6*EF!$H5)*kgtoGg,"ERROR"))</f>
        <v>87.767822976466917</v>
      </c>
      <c r="AV1068" s="93">
        <f>IF('Net zero activities &amp; levers'!$C$14="Off",('Activity data'!BO6*EF!$H5)*kgtoGg,IF('Net zero activities &amp; levers'!$C$14="On",('Net zero Activity data'!BO6*EF!$H5)*kgtoGg,"ERROR"))</f>
        <v>89.72024568191533</v>
      </c>
      <c r="AW1068" s="93">
        <f>IF('Net zero activities &amp; levers'!$C$14="Off",('Activity data'!BP6*EF!$H5)*kgtoGg,IF('Net zero activities &amp; levers'!$C$14="On",('Net zero Activity data'!BP6*EF!$H5)*kgtoGg,"ERROR"))</f>
        <v>91.59883625155085</v>
      </c>
      <c r="AY1068" s="79"/>
    </row>
    <row r="1069" spans="1:52" x14ac:dyDescent="0.25">
      <c r="A1069" s="95" t="str">
        <f t="shared" si="373"/>
        <v>CM Cattle</v>
      </c>
      <c r="B1069" s="95" t="s">
        <v>1321</v>
      </c>
      <c r="C1069" s="95" t="s">
        <v>1107</v>
      </c>
      <c r="D1069" t="s">
        <v>15</v>
      </c>
      <c r="E1069" t="s">
        <v>16</v>
      </c>
      <c r="F1069" t="s">
        <v>67</v>
      </c>
      <c r="G1069" t="s">
        <v>307</v>
      </c>
      <c r="H1069" t="s">
        <v>1019</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26.169460420911491</v>
      </c>
      <c r="T1069" s="93">
        <f>IF('Net zero activities &amp; levers'!$C$14="Off",('Activity data'!AM7*EF!$H6)*kgtoGg,IF('Net zero activities &amp; levers'!$C$14="On",('Net zero Activity data'!AM7*EF!$H6)*kgtoGg,"ERROR"))</f>
        <v>26.697195150294817</v>
      </c>
      <c r="U1069" s="93">
        <f>IF('Net zero activities &amp; levers'!$C$14="Off",('Activity data'!AN7*EF!$H6)*kgtoGg,IF('Net zero activities &amp; levers'!$C$14="On",('Net zero Activity data'!AN7*EF!$H6)*kgtoGg,"ERROR"))</f>
        <v>26.959167551075083</v>
      </c>
      <c r="V1069" s="93">
        <f>IF('Net zero activities &amp; levers'!$C$14="Off",('Activity data'!AO7*EF!$H6)*kgtoGg,IF('Net zero activities &amp; levers'!$C$14="On",('Net zero Activity data'!AO7*EF!$H6)*kgtoGg,"ERROR"))</f>
        <v>27.027584108493112</v>
      </c>
      <c r="W1069" s="93">
        <f>IF('Net zero activities &amp; levers'!$C$14="Off",('Activity data'!AP7*EF!$H6)*kgtoGg,IF('Net zero activities &amp; levers'!$C$14="On",('Net zero Activity data'!AP7*EF!$H6)*kgtoGg,"ERROR"))</f>
        <v>27.124864417655591</v>
      </c>
      <c r="X1069" s="93">
        <f>IF('Net zero activities &amp; levers'!$C$14="Off",('Activity data'!AQ7*EF!$H6)*kgtoGg,IF('Net zero activities &amp; levers'!$C$14="On",('Net zero Activity data'!AQ7*EF!$H6)*kgtoGg,"ERROR"))</f>
        <v>27.288101509827889</v>
      </c>
      <c r="Y1069" s="93">
        <f>IF('Net zero activities &amp; levers'!$C$14="Off",('Activity data'!AR7*EF!$H6)*kgtoGg,IF('Net zero activities &amp; levers'!$C$14="On",('Net zero Activity data'!AR7*EF!$H6)*kgtoGg,"ERROR"))</f>
        <v>27.503743453342821</v>
      </c>
      <c r="Z1069" s="93">
        <f>IF('Net zero activities &amp; levers'!$C$14="Off",('Activity data'!AS7*EF!$H6)*kgtoGg,IF('Net zero activities &amp; levers'!$C$14="On",('Net zero Activity data'!AS7*EF!$H6)*kgtoGg,"ERROR"))</f>
        <v>27.745178647140875</v>
      </c>
      <c r="AA1069" s="93">
        <f>IF('Net zero activities &amp; levers'!$C$14="Off",('Activity data'!AT7*EF!$H6)*kgtoGg,IF('Net zero activities &amp; levers'!$C$14="On",('Net zero Activity data'!AT7*EF!$H6)*kgtoGg,"ERROR"))</f>
        <v>28.020010946439662</v>
      </c>
      <c r="AB1069" s="93">
        <f>IF('Net zero activities &amp; levers'!$C$14="Off",('Activity data'!AU7*EF!$H6)*kgtoGg,IF('Net zero activities &amp; levers'!$C$14="On",('Net zero Activity data'!AU7*EF!$H6)*kgtoGg,"ERROR"))</f>
        <v>28.351804523350385</v>
      </c>
      <c r="AC1069" s="93">
        <f>IF('Net zero activities &amp; levers'!$C$14="Off",('Activity data'!AV7*EF!$H6)*kgtoGg,IF('Net zero activities &amp; levers'!$C$14="On",('Net zero Activity data'!AV7*EF!$H6)*kgtoGg,"ERROR"))</f>
        <v>28.738631937907769</v>
      </c>
      <c r="AD1069" s="93">
        <f>IF('Net zero activities &amp; levers'!$C$14="Off",('Activity data'!AW7*EF!$H6)*kgtoGg,IF('Net zero activities &amp; levers'!$C$14="On",('Net zero Activity data'!AW7*EF!$H6)*kgtoGg,"ERROR"))</f>
        <v>29.159660352688871</v>
      </c>
      <c r="AE1069" s="93">
        <f>IF('Net zero activities &amp; levers'!$C$14="Off",('Activity data'!AX7*EF!$H6)*kgtoGg,IF('Net zero activities &amp; levers'!$C$14="On",('Net zero Activity data'!AX7*EF!$H6)*kgtoGg,"ERROR"))</f>
        <v>29.614509248423072</v>
      </c>
      <c r="AF1069" s="93">
        <f>IF('Net zero activities &amp; levers'!$C$14="Off",('Activity data'!AY7*EF!$H6)*kgtoGg,IF('Net zero activities &amp; levers'!$C$14="On",('Net zero Activity data'!AY7*EF!$H6)*kgtoGg,"ERROR"))</f>
        <v>30.09163636455321</v>
      </c>
      <c r="AG1069" s="93">
        <f>IF('Net zero activities &amp; levers'!$C$14="Off",('Activity data'!AZ7*EF!$H6)*kgtoGg,IF('Net zero activities &amp; levers'!$C$14="On",('Net zero Activity data'!AZ7*EF!$H6)*kgtoGg,"ERROR"))</f>
        <v>30.596378278373869</v>
      </c>
      <c r="AH1069" s="93">
        <f>IF('Net zero activities &amp; levers'!$C$14="Off",('Activity data'!BA7*EF!$H6)*kgtoGg,IF('Net zero activities &amp; levers'!$C$14="On",('Net zero Activity data'!BA7*EF!$H6)*kgtoGg,"ERROR"))</f>
        <v>31.123545134125884</v>
      </c>
      <c r="AI1069" s="93">
        <f>IF('Net zero activities &amp; levers'!$C$14="Off",('Activity data'!BB7*EF!$H6)*kgtoGg,IF('Net zero activities &amp; levers'!$C$14="On",('Net zero Activity data'!BB7*EF!$H6)*kgtoGg,"ERROR"))</f>
        <v>31.652822982298673</v>
      </c>
      <c r="AJ1069" s="93">
        <f>IF('Net zero activities &amp; levers'!$C$14="Off",('Activity data'!BC7*EF!$H6)*kgtoGg,IF('Net zero activities &amp; levers'!$C$14="On",('Net zero Activity data'!BC7*EF!$H6)*kgtoGg,"ERROR"))</f>
        <v>32.213982385967945</v>
      </c>
      <c r="AK1069" s="93">
        <f>IF('Net zero activities &amp; levers'!$C$14="Off",('Activity data'!BD7*EF!$H6)*kgtoGg,IF('Net zero activities &amp; levers'!$C$14="On",('Net zero Activity data'!BD7*EF!$H6)*kgtoGg,"ERROR"))</f>
        <v>32.787406923527513</v>
      </c>
      <c r="AL1069" s="93">
        <f>IF('Net zero activities &amp; levers'!$C$14="Off",('Activity data'!BE7*EF!$H6)*kgtoGg,IF('Net zero activities &amp; levers'!$C$14="On",('Net zero Activity data'!BE7*EF!$H6)*kgtoGg,"ERROR"))</f>
        <v>33.371638191314474</v>
      </c>
      <c r="AM1069" s="93">
        <f>IF('Net zero activities &amp; levers'!$C$14="Off",('Activity data'!BF7*EF!$H6)*kgtoGg,IF('Net zero activities &amp; levers'!$C$14="On",('Net zero Activity data'!BF7*EF!$H6)*kgtoGg,"ERROR"))</f>
        <v>33.976088859184969</v>
      </c>
      <c r="AN1069" s="93">
        <f>IF('Net zero activities &amp; levers'!$C$14="Off",('Activity data'!BG7*EF!$H6)*kgtoGg,IF('Net zero activities &amp; levers'!$C$14="On",('Net zero Activity data'!BG7*EF!$H6)*kgtoGg,"ERROR"))</f>
        <v>34.578193940368166</v>
      </c>
      <c r="AO1069" s="93">
        <f>IF('Net zero activities &amp; levers'!$C$14="Off",('Activity data'!BH7*EF!$H6)*kgtoGg,IF('Net zero activities &amp; levers'!$C$14="On",('Net zero Activity data'!BH7*EF!$H6)*kgtoGg,"ERROR"))</f>
        <v>35.209221234048357</v>
      </c>
      <c r="AP1069" s="93">
        <f>IF('Net zero activities &amp; levers'!$C$14="Off",('Activity data'!BI7*EF!$H6)*kgtoGg,IF('Net zero activities &amp; levers'!$C$14="On",('Net zero Activity data'!BI7*EF!$H6)*kgtoGg,"ERROR"))</f>
        <v>35.880821180450241</v>
      </c>
      <c r="AQ1069" s="93">
        <f>IF('Net zero activities &amp; levers'!$C$14="Off",('Activity data'!BJ7*EF!$H6)*kgtoGg,IF('Net zero activities &amp; levers'!$C$14="On",('Net zero Activity data'!BJ7*EF!$H6)*kgtoGg,"ERROR"))</f>
        <v>36.573953631452547</v>
      </c>
      <c r="AR1069" s="93">
        <f>IF('Net zero activities &amp; levers'!$C$14="Off",('Activity data'!BK7*EF!$H6)*kgtoGg,IF('Net zero activities &amp; levers'!$C$14="On",('Net zero Activity data'!BK7*EF!$H6)*kgtoGg,"ERROR"))</f>
        <v>37.289872574340869</v>
      </c>
      <c r="AS1069" s="93">
        <f>IF('Net zero activities &amp; levers'!$C$14="Off",('Activity data'!BL7*EF!$H6)*kgtoGg,IF('Net zero activities &amp; levers'!$C$14="On",('Net zero Activity data'!BL7*EF!$H6)*kgtoGg,"ERROR"))</f>
        <v>38.050608544633441</v>
      </c>
      <c r="AT1069" s="93">
        <f>IF('Net zero activities &amp; levers'!$C$14="Off",('Activity data'!BM7*EF!$H6)*kgtoGg,IF('Net zero activities &amp; levers'!$C$14="On",('Net zero Activity data'!BM7*EF!$H6)*kgtoGg,"ERROR"))</f>
        <v>38.849763711149343</v>
      </c>
      <c r="AU1069" s="93">
        <f>IF('Net zero activities &amp; levers'!$C$14="Off",('Activity data'!BN7*EF!$H6)*kgtoGg,IF('Net zero activities &amp; levers'!$C$14="On",('Net zero Activity data'!BN7*EF!$H6)*kgtoGg,"ERROR"))</f>
        <v>39.683214984455297</v>
      </c>
      <c r="AV1069" s="93">
        <f>IF('Net zero activities &amp; levers'!$C$14="Off",('Activity data'!BO7*EF!$H6)*kgtoGg,IF('Net zero activities &amp; levers'!$C$14="On",('Net zero Activity data'!BO7*EF!$H6)*kgtoGg,"ERROR"))</f>
        <v>40.565980528060209</v>
      </c>
      <c r="AW1069" s="93">
        <f>IF('Net zero activities &amp; levers'!$C$14="Off",('Activity data'!BP7*EF!$H6)*kgtoGg,IF('Net zero activities &amp; levers'!$C$14="On",('Net zero Activity data'!BP7*EF!$H6)*kgtoGg,"ERROR"))</f>
        <v>41.415363717872332</v>
      </c>
      <c r="AY1069" s="79"/>
    </row>
    <row r="1070" spans="1:52" x14ac:dyDescent="0.25">
      <c r="A1070" s="95" t="str">
        <f t="shared" si="373"/>
        <v>CM Cattle</v>
      </c>
      <c r="B1070" s="95" t="s">
        <v>1321</v>
      </c>
      <c r="C1070" s="95" t="s">
        <v>1107</v>
      </c>
      <c r="D1070" t="s">
        <v>15</v>
      </c>
      <c r="E1070" t="s">
        <v>16</v>
      </c>
      <c r="F1070" t="s">
        <v>67</v>
      </c>
      <c r="G1070" t="s">
        <v>122</v>
      </c>
      <c r="H1070" t="s">
        <v>1019</v>
      </c>
      <c r="I1070" t="s">
        <v>121</v>
      </c>
      <c r="J1070" t="s">
        <v>286</v>
      </c>
      <c r="K1070" s="93">
        <f>IF('Net zero activities &amp; levers'!$C$14="Off",('Activity data'!AD8*EF!$H7)*kgtoGg,IF('Net zero activities &amp; levers'!$C$14="On",('Net zero Activity data'!AD8*EF!$H7)*kgtoGg,"ERROR"))</f>
        <v>463.23498593143171</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457.68816035731231</v>
      </c>
      <c r="N1070" s="93">
        <f>IF('Net zero activities &amp; levers'!$C$14="Off",('Activity data'!AG8*EF!$H7)*kgtoGg,IF('Net zero activities &amp; levers'!$C$14="On",('Net zero Activity data'!AG8*EF!$H7)*kgtoGg,"ERROR"))</f>
        <v>451.57633407663525</v>
      </c>
      <c r="O1070" s="93">
        <f>IF('Net zero activities &amp; levers'!$C$14="Off",('Activity data'!AH8*EF!$H7)*kgtoGg,IF('Net zero activities &amp; levers'!$C$14="On",('Net zero Activity data'!AH8*EF!$H7)*kgtoGg,"ERROR"))</f>
        <v>442.704868969107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369.40237691087651</v>
      </c>
      <c r="T1070" s="93">
        <f>IF('Net zero activities &amp; levers'!$C$14="Off",('Activity data'!AM8*EF!$H7)*kgtoGg,IF('Net zero activities &amp; levers'!$C$14="On",('Net zero Activity data'!AM8*EF!$H7)*kgtoGg,"ERROR"))</f>
        <v>387.06361603448636</v>
      </c>
      <c r="U1070" s="93">
        <f>IF('Net zero activities &amp; levers'!$C$14="Off",('Activity data'!AN8*EF!$H7)*kgtoGg,IF('Net zero activities &amp; levers'!$C$14="On",('Net zero Activity data'!AN8*EF!$H7)*kgtoGg,"ERROR"))</f>
        <v>393.17794041792496</v>
      </c>
      <c r="V1070" s="93">
        <f>IF('Net zero activities &amp; levers'!$C$14="Off",('Activity data'!AO8*EF!$H7)*kgtoGg,IF('Net zero activities &amp; levers'!$C$14="On",('Net zero Activity data'!AO8*EF!$H7)*kgtoGg,"ERROR"))</f>
        <v>390.52270230053807</v>
      </c>
      <c r="W1070" s="93">
        <f>IF('Net zero activities &amp; levers'!$C$14="Off",('Activity data'!AP8*EF!$H7)*kgtoGg,IF('Net zero activities &amp; levers'!$C$14="On",('Net zero Activity data'!AP8*EF!$H7)*kgtoGg,"ERROR"))</f>
        <v>388.36285305535796</v>
      </c>
      <c r="X1070" s="93">
        <f>IF('Net zero activities &amp; levers'!$C$14="Off",('Activity data'!AQ8*EF!$H7)*kgtoGg,IF('Net zero activities &amp; levers'!$C$14="On",('Net zero Activity data'!AQ8*EF!$H7)*kgtoGg,"ERROR"))</f>
        <v>388.50473132162119</v>
      </c>
      <c r="Y1070" s="93">
        <f>IF('Net zero activities &amp; levers'!$C$14="Off",('Activity data'!AR8*EF!$H7)*kgtoGg,IF('Net zero activities &amp; levers'!$C$14="On",('Net zero Activity data'!AR8*EF!$H7)*kgtoGg,"ERROR"))</f>
        <v>390.78606081827786</v>
      </c>
      <c r="Z1070" s="93">
        <f>IF('Net zero activities &amp; levers'!$C$14="Off",('Activity data'!AS8*EF!$H7)*kgtoGg,IF('Net zero activities &amp; levers'!$C$14="On",('Net zero Activity data'!AS8*EF!$H7)*kgtoGg,"ERROR"))</f>
        <v>394.02311080220409</v>
      </c>
      <c r="AA1070" s="93">
        <f>IF('Net zero activities &amp; levers'!$C$14="Off",('Activity data'!AT8*EF!$H7)*kgtoGg,IF('Net zero activities &amp; levers'!$C$14="On",('Net zero Activity data'!AT8*EF!$H7)*kgtoGg,"ERROR"))</f>
        <v>398.47662182088436</v>
      </c>
      <c r="AB1070" s="93">
        <f>IF('Net zero activities &amp; levers'!$C$14="Off",('Activity data'!AU8*EF!$H7)*kgtoGg,IF('Net zero activities &amp; levers'!$C$14="On",('Net zero Activity data'!AU8*EF!$H7)*kgtoGg,"ERROR"))</f>
        <v>405.00014152902594</v>
      </c>
      <c r="AC1070" s="93">
        <f>IF('Net zero activities &amp; levers'!$C$14="Off",('Activity data'!AV8*EF!$H7)*kgtoGg,IF('Net zero activities &amp; levers'!$C$14="On",('Net zero Activity data'!AV8*EF!$H7)*kgtoGg,"ERROR"))</f>
        <v>413.40943063236716</v>
      </c>
      <c r="AD1070" s="93">
        <f>IF('Net zero activities &amp; levers'!$C$14="Off",('Activity data'!AW8*EF!$H7)*kgtoGg,IF('Net zero activities &amp; levers'!$C$14="On",('Net zero Activity data'!AW8*EF!$H7)*kgtoGg,"ERROR"))</f>
        <v>419.27234556371411</v>
      </c>
      <c r="AE1070" s="93">
        <f>IF('Net zero activities &amp; levers'!$C$14="Off",('Activity data'!AX8*EF!$H7)*kgtoGg,IF('Net zero activities &amp; levers'!$C$14="On",('Net zero Activity data'!AX8*EF!$H7)*kgtoGg,"ERROR"))</f>
        <v>425.8278376253316</v>
      </c>
      <c r="AF1070" s="93">
        <f>IF('Net zero activities &amp; levers'!$C$14="Off",('Activity data'!AY8*EF!$H7)*kgtoGg,IF('Net zero activities &amp; levers'!$C$14="On",('Net zero Activity data'!AY8*EF!$H7)*kgtoGg,"ERROR"))</f>
        <v>432.58187641621225</v>
      </c>
      <c r="AG1070" s="93">
        <f>IF('Net zero activities &amp; levers'!$C$14="Off",('Activity data'!AZ8*EF!$H7)*kgtoGg,IF('Net zero activities &amp; levers'!$C$14="On",('Net zero Activity data'!AZ8*EF!$H7)*kgtoGg,"ERROR"))</f>
        <v>439.68449510593507</v>
      </c>
      <c r="AH1070" s="93">
        <f>IF('Net zero activities &amp; levers'!$C$14="Off",('Activity data'!BA8*EF!$H7)*kgtoGg,IF('Net zero activities &amp; levers'!$C$14="On",('Net zero Activity data'!BA8*EF!$H7)*kgtoGg,"ERROR"))</f>
        <v>446.893496347981</v>
      </c>
      <c r="AI1070" s="93">
        <f>IF('Net zero activities &amp; levers'!$C$14="Off",('Activity data'!BB8*EF!$H7)*kgtoGg,IF('Net zero activities &amp; levers'!$C$14="On",('Net zero Activity data'!BB8*EF!$H7)*kgtoGg,"ERROR"))</f>
        <v>453.4765954958275</v>
      </c>
      <c r="AJ1070" s="93">
        <f>IF('Net zero activities &amp; levers'!$C$14="Off",('Activity data'!BC8*EF!$H7)*kgtoGg,IF('Net zero activities &amp; levers'!$C$14="On",('Net zero Activity data'!BC8*EF!$H7)*kgtoGg,"ERROR"))</f>
        <v>460.42055689435347</v>
      </c>
      <c r="AK1070" s="93">
        <f>IF('Net zero activities &amp; levers'!$C$14="Off",('Activity data'!BD8*EF!$H7)*kgtoGg,IF('Net zero activities &amp; levers'!$C$14="On",('Net zero Activity data'!BD8*EF!$H7)*kgtoGg,"ERROR"))</f>
        <v>467.05009656830129</v>
      </c>
      <c r="AL1070" s="93">
        <f>IF('Net zero activities &amp; levers'!$C$14="Off",('Activity data'!BE8*EF!$H7)*kgtoGg,IF('Net zero activities &amp; levers'!$C$14="On",('Net zero Activity data'!BE8*EF!$H7)*kgtoGg,"ERROR"))</f>
        <v>473.30134622451675</v>
      </c>
      <c r="AM1070" s="93">
        <f>IF('Net zero activities &amp; levers'!$C$14="Off",('Activity data'!BF8*EF!$H7)*kgtoGg,IF('Net zero activities &amp; levers'!$C$14="On",('Net zero Activity data'!BF8*EF!$H7)*kgtoGg,"ERROR"))</f>
        <v>479.44152386893921</v>
      </c>
      <c r="AN1070" s="93">
        <f>IF('Net zero activities &amp; levers'!$C$14="Off",('Activity data'!BG8*EF!$H7)*kgtoGg,IF('Net zero activities &amp; levers'!$C$14="On",('Net zero Activity data'!BG8*EF!$H7)*kgtoGg,"ERROR"))</f>
        <v>487.2386202384439</v>
      </c>
      <c r="AO1070" s="93">
        <f>IF('Net zero activities &amp; levers'!$C$14="Off",('Activity data'!BH8*EF!$H7)*kgtoGg,IF('Net zero activities &amp; levers'!$C$14="On",('Net zero Activity data'!BH8*EF!$H7)*kgtoGg,"ERROR"))</f>
        <v>495.30323443397566</v>
      </c>
      <c r="AP1070" s="93">
        <f>IF('Net zero activities &amp; levers'!$C$14="Off",('Activity data'!BI8*EF!$H7)*kgtoGg,IF('Net zero activities &amp; levers'!$C$14="On",('Net zero Activity data'!BI8*EF!$H7)*kgtoGg,"ERROR"))</f>
        <v>503.92844355873905</v>
      </c>
      <c r="AQ1070" s="93">
        <f>IF('Net zero activities &amp; levers'!$C$14="Off",('Activity data'!BJ8*EF!$H7)*kgtoGg,IF('Net zero activities &amp; levers'!$C$14="On",('Net zero Activity data'!BJ8*EF!$H7)*kgtoGg,"ERROR"))</f>
        <v>512.52009483394647</v>
      </c>
      <c r="AR1070" s="93">
        <f>IF('Net zero activities &amp; levers'!$C$14="Off",('Activity data'!BK8*EF!$H7)*kgtoGg,IF('Net zero activities &amp; levers'!$C$14="On",('Net zero Activity data'!BK8*EF!$H7)*kgtoGg,"ERROR"))</f>
        <v>521.08933970994713</v>
      </c>
      <c r="AS1070" s="93">
        <f>IF('Net zero activities &amp; levers'!$C$14="Off",('Activity data'!BL8*EF!$H7)*kgtoGg,IF('Net zero activities &amp; levers'!$C$14="On",('Net zero Activity data'!BL8*EF!$H7)*kgtoGg,"ERROR"))</f>
        <v>530.19934966432822</v>
      </c>
      <c r="AT1070" s="93">
        <f>IF('Net zero activities &amp; levers'!$C$14="Off",('Activity data'!BM8*EF!$H7)*kgtoGg,IF('Net zero activities &amp; levers'!$C$14="On",('Net zero Activity data'!BM8*EF!$H7)*kgtoGg,"ERROR"))</f>
        <v>539.61424355839688</v>
      </c>
      <c r="AU1070" s="93">
        <f>IF('Net zero activities &amp; levers'!$C$14="Off",('Activity data'!BN8*EF!$H7)*kgtoGg,IF('Net zero activities &amp; levers'!$C$14="On",('Net zero Activity data'!BN8*EF!$H7)*kgtoGg,"ERROR"))</f>
        <v>549.17033444464153</v>
      </c>
      <c r="AV1070" s="93">
        <f>IF('Net zero activities &amp; levers'!$C$14="Off",('Activity data'!BO8*EF!$H7)*kgtoGg,IF('Net zero activities &amp; levers'!$C$14="On",('Net zero Activity data'!BO8*EF!$H7)*kgtoGg,"ERROR"))</f>
        <v>559.19282207144863</v>
      </c>
      <c r="AW1070" s="93">
        <f>IF('Net zero activities &amp; levers'!$C$14="Off",('Activity data'!BP8*EF!$H7)*kgtoGg,IF('Net zero activities &amp; levers'!$C$14="On",('Net zero Activity data'!BP8*EF!$H7)*kgtoGg,"ERROR"))</f>
        <v>567.59543120119042</v>
      </c>
      <c r="AY1070" s="79"/>
    </row>
    <row r="1071" spans="1:52" x14ac:dyDescent="0.25">
      <c r="A1071" s="95" t="str">
        <f t="shared" si="373"/>
        <v>CM Cattle</v>
      </c>
      <c r="B1071" s="95" t="s">
        <v>1321</v>
      </c>
      <c r="C1071" s="95" t="s">
        <v>1107</v>
      </c>
      <c r="D1071" t="s">
        <v>15</v>
      </c>
      <c r="E1071" t="s">
        <v>16</v>
      </c>
      <c r="F1071" t="s">
        <v>67</v>
      </c>
      <c r="G1071" t="s">
        <v>123</v>
      </c>
      <c r="H1071" t="s">
        <v>1019</v>
      </c>
      <c r="I1071" t="s">
        <v>121</v>
      </c>
      <c r="J1071" t="s">
        <v>286</v>
      </c>
      <c r="K1071" s="93">
        <f>IF('Net zero activities &amp; levers'!$C$14="Off",('Activity data'!AD9*EF!$H8)*kgtoGg,IF('Net zero activities &amp; levers'!$C$14="On",('Net zero Activity data'!AD9*EF!$H8)*kgtoGg,"ERROR"))</f>
        <v>326.20040935577725</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317.99063003627219</v>
      </c>
      <c r="O1071" s="93">
        <f>IF('Net zero activities &amp; levers'!$C$14="Off",('Activity data'!AH9*EF!$H8)*kgtoGg,IF('Net zero activities &amp; levers'!$C$14="On",('Net zero Activity data'!AH9*EF!$H8)*kgtoGg,"ERROR"))</f>
        <v>311.74352945546775</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260.12544437470751</v>
      </c>
      <c r="T1071" s="93">
        <f>IF('Net zero activities &amp; levers'!$C$14="Off",('Activity data'!AM9*EF!$H8)*kgtoGg,IF('Net zero activities &amp; levers'!$C$14="On",('Net zero Activity data'!AM9*EF!$H8)*kgtoGg,"ERROR"))</f>
        <v>272.56212037461688</v>
      </c>
      <c r="U1071" s="93">
        <f>IF('Net zero activities &amp; levers'!$C$14="Off",('Activity data'!AN9*EF!$H8)*kgtoGg,IF('Net zero activities &amp; levers'!$C$14="On",('Net zero Activity data'!AN9*EF!$H8)*kgtoGg,"ERROR"))</f>
        <v>276.86769999918118</v>
      </c>
      <c r="V1071" s="93">
        <f>IF('Net zero activities &amp; levers'!$C$14="Off",('Activity data'!AO9*EF!$H8)*kgtoGg,IF('Net zero activities &amp; levers'!$C$14="On",('Net zero Activity data'!AO9*EF!$H8)*kgtoGg,"ERROR"))</f>
        <v>274.99793673186855</v>
      </c>
      <c r="W1071" s="93">
        <f>IF('Net zero activities &amp; levers'!$C$14="Off",('Activity data'!AP9*EF!$H8)*kgtoGg,IF('Net zero activities &amp; levers'!$C$14="On",('Net zero Activity data'!AP9*EF!$H8)*kgtoGg,"ERROR"))</f>
        <v>273.47701596957364</v>
      </c>
      <c r="X1071" s="93">
        <f>IF('Net zero activities &amp; levers'!$C$14="Off",('Activity data'!AQ9*EF!$H8)*kgtoGg,IF('Net zero activities &amp; levers'!$C$14="On",('Net zero Activity data'!AQ9*EF!$H8)*kgtoGg,"ERROR"))</f>
        <v>273.5769236836698</v>
      </c>
      <c r="Y1071" s="93">
        <f>IF('Net zero activities &amp; levers'!$C$14="Off",('Activity data'!AR9*EF!$H8)*kgtoGg,IF('Net zero activities &amp; levers'!$C$14="On",('Net zero Activity data'!AR9*EF!$H8)*kgtoGg,"ERROR"))</f>
        <v>275.18338830375563</v>
      </c>
      <c r="Z1071" s="93">
        <f>IF('Net zero activities &amp; levers'!$C$14="Off",('Activity data'!AS9*EF!$H8)*kgtoGg,IF('Net zero activities &amp; levers'!$C$14="On",('Net zero Activity data'!AS9*EF!$H8)*kgtoGg,"ERROR"))</f>
        <v>277.46285134504268</v>
      </c>
      <c r="AA1071" s="93">
        <f>IF('Net zero activities &amp; levers'!$C$14="Off",('Activity data'!AT9*EF!$H8)*kgtoGg,IF('Net zero activities &amp; levers'!$C$14="On",('Net zero Activity data'!AT9*EF!$H8)*kgtoGg,"ERROR"))</f>
        <v>280.59892085940152</v>
      </c>
      <c r="AB1071" s="93">
        <f>IF('Net zero activities &amp; levers'!$C$14="Off",('Activity data'!AU9*EF!$H8)*kgtoGg,IF('Net zero activities &amp; levers'!$C$14="On",('Net zero Activity data'!AU9*EF!$H8)*kgtoGg,"ERROR"))</f>
        <v>285.19264729169487</v>
      </c>
      <c r="AC1071" s="93">
        <f>IF('Net zero activities &amp; levers'!$C$14="Off",('Activity data'!AV9*EF!$H8)*kgtoGg,IF('Net zero activities &amp; levers'!$C$14="On",('Net zero Activity data'!AV9*EF!$H8)*kgtoGg,"ERROR"))</f>
        <v>291.11429317598692</v>
      </c>
      <c r="AD1071" s="93">
        <f>IF('Net zero activities &amp; levers'!$C$14="Off",('Activity data'!AW9*EF!$H8)*kgtoGg,IF('Net zero activities &amp; levers'!$C$14="On",('Net zero Activity data'!AW9*EF!$H8)*kgtoGg,"ERROR"))</f>
        <v>295.24283551131606</v>
      </c>
      <c r="AE1071" s="93">
        <f>IF('Net zero activities &amp; levers'!$C$14="Off",('Activity data'!AX9*EF!$H8)*kgtoGg,IF('Net zero activities &amp; levers'!$C$14="On",('Net zero Activity data'!AX9*EF!$H8)*kgtoGg,"ERROR"))</f>
        <v>299.85907620766255</v>
      </c>
      <c r="AF1071" s="93">
        <f>IF('Net zero activities &amp; levers'!$C$14="Off",('Activity data'!AY9*EF!$H8)*kgtoGg,IF('Net zero activities &amp; levers'!$C$14="On",('Net zero Activity data'!AY9*EF!$H8)*kgtoGg,"ERROR"))</f>
        <v>304.61512936707601</v>
      </c>
      <c r="AG1071" s="93">
        <f>IF('Net zero activities &amp; levers'!$C$14="Off",('Activity data'!AZ9*EF!$H8)*kgtoGg,IF('Net zero activities &amp; levers'!$C$14="On",('Net zero Activity data'!AZ9*EF!$H8)*kgtoGg,"ERROR"))</f>
        <v>309.61664521637437</v>
      </c>
      <c r="AH1071" s="93">
        <f>IF('Net zero activities &amp; levers'!$C$14="Off",('Activity data'!BA9*EF!$H8)*kgtoGg,IF('Net zero activities &amp; levers'!$C$14="On",('Net zero Activity data'!BA9*EF!$H8)*kgtoGg,"ERROR"))</f>
        <v>314.69307343880962</v>
      </c>
      <c r="AI1071" s="93">
        <f>IF('Net zero activities &amp; levers'!$C$14="Off",('Activity data'!BB9*EF!$H8)*kgtoGg,IF('Net zero activities &amp; levers'!$C$14="On",('Net zero Activity data'!BB9*EF!$H8)*kgtoGg,"ERROR"))</f>
        <v>319.32875446911731</v>
      </c>
      <c r="AJ1071" s="93">
        <f>IF('Net zero activities &amp; levers'!$C$14="Off",('Activity data'!BC9*EF!$H8)*kgtoGg,IF('Net zero activities &amp; levers'!$C$14="On",('Net zero Activity data'!BC9*EF!$H8)*kgtoGg,"ERROR"))</f>
        <v>324.21854716514042</v>
      </c>
      <c r="AK1071" s="93">
        <f>IF('Net zero activities &amp; levers'!$C$14="Off",('Activity data'!BD9*EF!$H8)*kgtoGg,IF('Net zero activities &amp; levers'!$C$14="On",('Net zero Activity data'!BD9*EF!$H8)*kgtoGg,"ERROR"))</f>
        <v>328.88693064471261</v>
      </c>
      <c r="AL1071" s="93">
        <f>IF('Net zero activities &amp; levers'!$C$14="Off",('Activity data'!BE9*EF!$H8)*kgtoGg,IF('Net zero activities &amp; levers'!$C$14="On",('Net zero Activity data'!BE9*EF!$H8)*kgtoGg,"ERROR"))</f>
        <v>333.28893018872913</v>
      </c>
      <c r="AM1071" s="93">
        <f>IF('Net zero activities &amp; levers'!$C$14="Off",('Activity data'!BF9*EF!$H8)*kgtoGg,IF('Net zero activities &amp; levers'!$C$14="On",('Net zero Activity data'!BF9*EF!$H8)*kgtoGg,"ERROR"))</f>
        <v>337.61271514011941</v>
      </c>
      <c r="AN1071" s="93">
        <f>IF('Net zero activities &amp; levers'!$C$14="Off",('Activity data'!BG9*EF!$H8)*kgtoGg,IF('Net zero activities &amp; levers'!$C$14="On",('Net zero Activity data'!BG9*EF!$H8)*kgtoGg,"ERROR"))</f>
        <v>343.10326767773648</v>
      </c>
      <c r="AO1071" s="93">
        <f>IF('Net zero activities &amp; levers'!$C$14="Off",('Activity data'!BH9*EF!$H8)*kgtoGg,IF('Net zero activities &amp; levers'!$C$14="On",('Net zero Activity data'!BH9*EF!$H8)*kgtoGg,"ERROR"))</f>
        <v>348.78220068533165</v>
      </c>
      <c r="AP1071" s="93">
        <f>IF('Net zero activities &amp; levers'!$C$14="Off",('Activity data'!BI9*EF!$H8)*kgtoGg,IF('Net zero activities &amp; levers'!$C$14="On",('Net zero Activity data'!BI9*EF!$H8)*kgtoGg,"ERROR"))</f>
        <v>354.85589294244767</v>
      </c>
      <c r="AQ1071" s="93">
        <f>IF('Net zero activities &amp; levers'!$C$14="Off",('Activity data'!BJ9*EF!$H8)*kgtoGg,IF('Net zero activities &amp; levers'!$C$14="On",('Net zero Activity data'!BJ9*EF!$H8)*kgtoGg,"ERROR"))</f>
        <v>360.90595446226047</v>
      </c>
      <c r="AR1071" s="93">
        <f>IF('Net zero activities &amp; levers'!$C$14="Off",('Activity data'!BK9*EF!$H8)*kgtoGg,IF('Net zero activities &amp; levers'!$C$14="On",('Net zero Activity data'!BK9*EF!$H8)*kgtoGg,"ERROR"))</f>
        <v>366.94023786337442</v>
      </c>
      <c r="AS1071" s="93">
        <f>IF('Net zero activities &amp; levers'!$C$14="Off",('Activity data'!BL9*EF!$H8)*kgtoGg,IF('Net zero activities &amp; levers'!$C$14="On",('Net zero Activity data'!BL9*EF!$H8)*kgtoGg,"ERROR"))</f>
        <v>373.35531674688991</v>
      </c>
      <c r="AT1071" s="93">
        <f>IF('Net zero activities &amp; levers'!$C$14="Off",('Activity data'!BM9*EF!$H8)*kgtoGg,IF('Net zero activities &amp; levers'!$C$14="On",('Net zero Activity data'!BM9*EF!$H8)*kgtoGg,"ERROR"))</f>
        <v>379.98508853779043</v>
      </c>
      <c r="AU1071" s="93">
        <f>IF('Net zero activities &amp; levers'!$C$14="Off",('Activity data'!BN9*EF!$H8)*kgtoGg,IF('Net zero activities &amp; levers'!$C$14="On",('Net zero Activity data'!BN9*EF!$H8)*kgtoGg,"ERROR"))</f>
        <v>386.71428830379313</v>
      </c>
      <c r="AV1071" s="93">
        <f>IF('Net zero activities &amp; levers'!$C$14="Off",('Activity data'!BO9*EF!$H8)*kgtoGg,IF('Net zero activities &amp; levers'!$C$14="On",('Net zero Activity data'!BO9*EF!$H8)*kgtoGg,"ERROR"))</f>
        <v>393.77191492077668</v>
      </c>
      <c r="AW1071" s="93">
        <f>IF('Net zero activities &amp; levers'!$C$14="Off",('Activity data'!BP9*EF!$H8)*kgtoGg,IF('Net zero activities &amp; levers'!$C$14="On",('Net zero Activity data'!BP9*EF!$H8)*kgtoGg,"ERROR"))</f>
        <v>399.6888569070714</v>
      </c>
      <c r="AY1071" s="79"/>
    </row>
    <row r="1072" spans="1:52" x14ac:dyDescent="0.25">
      <c r="A1072" s="95" t="str">
        <f t="shared" si="373"/>
        <v>CM Cattle</v>
      </c>
      <c r="B1072" s="95" t="s">
        <v>1321</v>
      </c>
      <c r="C1072" s="95" t="s">
        <v>1107</v>
      </c>
      <c r="D1072" t="s">
        <v>15</v>
      </c>
      <c r="E1072" t="s">
        <v>16</v>
      </c>
      <c r="F1072" t="s">
        <v>67</v>
      </c>
      <c r="G1072" t="s">
        <v>135</v>
      </c>
      <c r="H1072" t="s">
        <v>1019</v>
      </c>
      <c r="I1072" t="s">
        <v>121</v>
      </c>
      <c r="J1072" t="s">
        <v>286</v>
      </c>
      <c r="K1072" s="93">
        <f>IF('Net zero activities &amp; levers'!$C$14="Off",('Activity data'!AD10*EF!$H9)*kgtoGg,IF('Net zero activities &amp; levers'!$C$14="On",('Net zero Activity data'!AD10*EF!$H9)*kgtoGg,"ERROR"))</f>
        <v>31.891995988947254</v>
      </c>
      <c r="L1072" s="93">
        <f>IF('Net zero activities &amp; levers'!$C$14="Off",('Activity data'!AE10*EF!$H9)*kgtoGg,IF('Net zero activities &amp; levers'!$C$14="On",('Net zero Activity data'!AE10*EF!$H9)*kgtoGg,"ERROR"))</f>
        <v>32.967337371253521</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35.195504797614646</v>
      </c>
      <c r="O1072" s="93">
        <f>IF('Net zero activities &amp; levers'!$C$14="Off",('Activity data'!AH10*EF!$H9)*kgtoGg,IF('Net zero activities &amp; levers'!$C$14="On",('Net zero Activity data'!AH10*EF!$H9)*kgtoGg,"ERROR"))</f>
        <v>35.929559405213325</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35.164164958187662</v>
      </c>
      <c r="T1072" s="93">
        <f>IF('Net zero activities &amp; levers'!$C$14="Off",('Activity data'!AM10*EF!$H9)*kgtoGg,IF('Net zero activities &amp; levers'!$C$14="On",('Net zero Activity data'!AM10*EF!$H9)*kgtoGg,"ERROR"))</f>
        <v>37.733078614995847</v>
      </c>
      <c r="U1072" s="93">
        <f>IF('Net zero activities &amp; levers'!$C$14="Off",('Activity data'!AN10*EF!$H9)*kgtoGg,IF('Net zero activities &amp; levers'!$C$14="On",('Net zero Activity data'!AN10*EF!$H9)*kgtoGg,"ERROR"))</f>
        <v>39.239907769283455</v>
      </c>
      <c r="V1072" s="93">
        <f>IF('Net zero activities &amp; levers'!$C$14="Off",('Activity data'!AO10*EF!$H9)*kgtoGg,IF('Net zero activities &amp; levers'!$C$14="On",('Net zero Activity data'!AO10*EF!$H9)*kgtoGg,"ERROR"))</f>
        <v>39.889255441564949</v>
      </c>
      <c r="W1072" s="93">
        <f>IF('Net zero activities &amp; levers'!$C$14="Off",('Activity data'!AP10*EF!$H9)*kgtoGg,IF('Net zero activities &amp; levers'!$C$14="On",('Net zero Activity data'!AP10*EF!$H9)*kgtoGg,"ERROR"))</f>
        <v>40.588307761995488</v>
      </c>
      <c r="X1072" s="93">
        <f>IF('Net zero activities &amp; levers'!$C$14="Off",('Activity data'!AQ10*EF!$H9)*kgtoGg,IF('Net zero activities &amp; levers'!$C$14="On",('Net zero Activity data'!AQ10*EF!$H9)*kgtoGg,"ERROR"))</f>
        <v>41.534201946049016</v>
      </c>
      <c r="Y1072" s="93">
        <f>IF('Net zero activities &amp; levers'!$C$14="Off",('Activity data'!AR10*EF!$H9)*kgtoGg,IF('Net zero activities &amp; levers'!$C$14="On",('Net zero Activity data'!AR10*EF!$H9)*kgtoGg,"ERROR"))</f>
        <v>42.726423600286481</v>
      </c>
      <c r="Z1072" s="93">
        <f>IF('Net zero activities &amp; levers'!$C$14="Off",('Activity data'!AS10*EF!$H9)*kgtoGg,IF('Net zero activities &amp; levers'!$C$14="On",('Net zero Activity data'!AS10*EF!$H9)*kgtoGg,"ERROR"))</f>
        <v>44.049081565207047</v>
      </c>
      <c r="AA1072" s="93">
        <f>IF('Net zero activities &amp; levers'!$C$14="Off",('Activity data'!AT10*EF!$H9)*kgtoGg,IF('Net zero activities &amp; levers'!$C$14="On",('Net zero Activity data'!AT10*EF!$H9)*kgtoGg,"ERROR"))</f>
        <v>45.539986739615941</v>
      </c>
      <c r="AB1072" s="93">
        <f>IF('Net zero activities &amp; levers'!$C$14="Off",('Activity data'!AU10*EF!$H9)*kgtoGg,IF('Net zero activities &amp; levers'!$C$14="On",('Net zero Activity data'!AU10*EF!$H9)*kgtoGg,"ERROR"))</f>
        <v>47.309041836934135</v>
      </c>
      <c r="AC1072" s="93">
        <f>IF('Net zero activities &amp; levers'!$C$14="Off",('Activity data'!AV10*EF!$H9)*kgtoGg,IF('Net zero activities &amp; levers'!$C$14="On",('Net zero Activity data'!AV10*EF!$H9)*kgtoGg,"ERROR"))</f>
        <v>49.351300675084218</v>
      </c>
      <c r="AD1072" s="93">
        <f>IF('Net zero activities &amp; levers'!$C$14="Off",('Activity data'!AW10*EF!$H9)*kgtoGg,IF('Net zero activities &amp; levers'!$C$14="On",('Net zero Activity data'!AW10*EF!$H9)*kgtoGg,"ERROR"))</f>
        <v>51.711027137708825</v>
      </c>
      <c r="AE1072" s="93">
        <f>IF('Net zero activities &amp; levers'!$C$14="Off",('Activity data'!AX10*EF!$H9)*kgtoGg,IF('Net zero activities &amp; levers'!$C$14="On",('Net zero Activity data'!AX10*EF!$H9)*kgtoGg,"ERROR"))</f>
        <v>54.264579364554088</v>
      </c>
      <c r="AF1072" s="93">
        <f>IF('Net zero activities &amp; levers'!$C$14="Off",('Activity data'!AY10*EF!$H9)*kgtoGg,IF('Net zero activities &amp; levers'!$C$14="On",('Net zero Activity data'!AY10*EF!$H9)*kgtoGg,"ERROR"))</f>
        <v>56.961553434617372</v>
      </c>
      <c r="AG1072" s="93">
        <f>IF('Net zero activities &amp; levers'!$C$14="Off",('Activity data'!AZ10*EF!$H9)*kgtoGg,IF('Net zero activities &amp; levers'!$C$14="On",('Net zero Activity data'!AZ10*EF!$H9)*kgtoGg,"ERROR"))</f>
        <v>59.831551165418354</v>
      </c>
      <c r="AH1072" s="93">
        <f>IF('Net zero activities &amp; levers'!$C$14="Off",('Activity data'!BA10*EF!$H9)*kgtoGg,IF('Net zero activities &amp; levers'!$C$14="On",('Net zero Activity data'!BA10*EF!$H9)*kgtoGg,"ERROR"))</f>
        <v>62.852420493056009</v>
      </c>
      <c r="AI1072" s="93">
        <f>IF('Net zero activities &amp; levers'!$C$14="Off",('Activity data'!BB10*EF!$H9)*kgtoGg,IF('Net zero activities &amp; levers'!$C$14="On",('Net zero Activity data'!BB10*EF!$H9)*kgtoGg,"ERROR"))</f>
        <v>65.927060453070922</v>
      </c>
      <c r="AJ1072" s="93">
        <f>IF('Net zero activities &amp; levers'!$C$14="Off",('Activity data'!BC10*EF!$H9)*kgtoGg,IF('Net zero activities &amp; levers'!$C$14="On",('Net zero Activity data'!BC10*EF!$H9)*kgtoGg,"ERROR"))</f>
        <v>69.203040648572085</v>
      </c>
      <c r="AK1072" s="93">
        <f>IF('Net zero activities &amp; levers'!$C$14="Off",('Activity data'!BD10*EF!$H9)*kgtoGg,IF('Net zero activities &amp; levers'!$C$14="On",('Net zero Activity data'!BD10*EF!$H9)*kgtoGg,"ERROR"))</f>
        <v>72.58973333609724</v>
      </c>
      <c r="AL1072" s="93">
        <f>IF('Net zero activities &amp; levers'!$C$14="Off",('Activity data'!BE10*EF!$H9)*kgtoGg,IF('Net zero activities &amp; levers'!$C$14="On",('Net zero Activity data'!BE10*EF!$H9)*kgtoGg,"ERROR"))</f>
        <v>76.081547595026791</v>
      </c>
      <c r="AM1072" s="93">
        <f>IF('Net zero activities &amp; levers'!$C$14="Off",('Activity data'!BF10*EF!$H9)*kgtoGg,IF('Net zero activities &amp; levers'!$C$14="On",('Net zero Activity data'!BF10*EF!$H9)*kgtoGg,"ERROR"))</f>
        <v>79.726894187226051</v>
      </c>
      <c r="AN1072" s="93">
        <f>IF('Net zero activities &amp; levers'!$C$14="Off",('Activity data'!BG10*EF!$H9)*kgtoGg,IF('Net zero activities &amp; levers'!$C$14="On",('Net zero Activity data'!BG10*EF!$H9)*kgtoGg,"ERROR"))</f>
        <v>83.3095791235083</v>
      </c>
      <c r="AO1072" s="93">
        <f>IF('Net zero activities &amp; levers'!$C$14="Off",('Activity data'!BH10*EF!$H9)*kgtoGg,IF('Net zero activities &amp; levers'!$C$14="On",('Net zero Activity data'!BH10*EF!$H9)*kgtoGg,"ERROR"))</f>
        <v>87.086258080455181</v>
      </c>
      <c r="AP1072" s="93">
        <f>IF('Net zero activities &amp; levers'!$C$14="Off",('Activity data'!BI10*EF!$H9)*kgtoGg,IF('Net zero activities &amp; levers'!$C$14="On",('Net zero Activity data'!BI10*EF!$H9)*kgtoGg,"ERROR"))</f>
        <v>91.121139259350954</v>
      </c>
      <c r="AQ1072" s="93">
        <f>IF('Net zero activities &amp; levers'!$C$14="Off",('Activity data'!BJ10*EF!$H9)*kgtoGg,IF('Net zero activities &amp; levers'!$C$14="On",('Net zero Activity data'!BJ10*EF!$H9)*kgtoGg,"ERROR"))</f>
        <v>95.32019758274437</v>
      </c>
      <c r="AR1072" s="93">
        <f>IF('Net zero activities &amp; levers'!$C$14="Off",('Activity data'!BK10*EF!$H9)*kgtoGg,IF('Net zero activities &amp; levers'!$C$14="On",('Net zero Activity data'!BK10*EF!$H9)*kgtoGg,"ERROR"))</f>
        <v>99.693624550303667</v>
      </c>
      <c r="AS1072" s="93">
        <f>IF('Net zero activities &amp; levers'!$C$14="Off",('Activity data'!BL10*EF!$H9)*kgtoGg,IF('Net zero activities &amp; levers'!$C$14="On",('Net zero Activity data'!BL10*EF!$H9)*kgtoGg,"ERROR"))</f>
        <v>104.36104732075913</v>
      </c>
      <c r="AT1072" s="93">
        <f>IF('Net zero activities &amp; levers'!$C$14="Off",('Activity data'!BM10*EF!$H9)*kgtoGg,IF('Net zero activities &amp; levers'!$C$14="On",('Net zero Activity data'!BM10*EF!$H9)*kgtoGg,"ERROR"))</f>
        <v>109.29369918471791</v>
      </c>
      <c r="AU1072" s="93">
        <f>IF('Net zero activities &amp; levers'!$C$14="Off",('Activity data'!BN10*EF!$H9)*kgtoGg,IF('Net zero activities &amp; levers'!$C$14="On",('Net zero Activity data'!BN10*EF!$H9)*kgtoGg,"ERROR"))</f>
        <v>114.47360844232533</v>
      </c>
      <c r="AV1072" s="93">
        <f>IF('Net zero activities &amp; levers'!$C$14="Off",('Activity data'!BO10*EF!$H9)*kgtoGg,IF('Net zero activities &amp; levers'!$C$14="On",('Net zero Activity data'!BO10*EF!$H9)*kgtoGg,"ERROR"))</f>
        <v>119.9848328319804</v>
      </c>
      <c r="AW1072" s="93">
        <f>IF('Net zero activities &amp; levers'!$C$14="Off",('Activity data'!BP10*EF!$H9)*kgtoGg,IF('Net zero activities &amp; levers'!$C$14="On",('Net zero Activity data'!BP10*EF!$H9)*kgtoGg,"ERROR"))</f>
        <v>125.38797876262088</v>
      </c>
      <c r="AY1072" s="79"/>
    </row>
    <row r="1073" spans="1:51" x14ac:dyDescent="0.25">
      <c r="A1073" s="95" t="str">
        <f t="shared" si="373"/>
        <v>CM Sheep</v>
      </c>
      <c r="B1073" s="95" t="s">
        <v>1321</v>
      </c>
      <c r="C1073" s="95" t="s">
        <v>152</v>
      </c>
      <c r="D1073" t="s">
        <v>15</v>
      </c>
      <c r="E1073" t="s">
        <v>16</v>
      </c>
      <c r="F1073" t="s">
        <v>18</v>
      </c>
      <c r="G1073" t="s">
        <v>122</v>
      </c>
      <c r="H1073" t="s">
        <v>1019</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134.514372062219</v>
      </c>
      <c r="T1073" s="93">
        <f>IF('Net zero activities &amp; levers'!$C$14="Off",('Activity data'!AM11*EF!$H10)*kgtoGg,IF('Net zero activities &amp; levers'!$C$14="On",('Net zero Activity data'!AM11*EF!$H10)*kgtoGg,"ERROR"))</f>
        <v>134.61119272537138</v>
      </c>
      <c r="U1073" s="93">
        <f>IF('Net zero activities &amp; levers'!$C$14="Off",('Activity data'!AN11*EF!$H10)*kgtoGg,IF('Net zero activities &amp; levers'!$C$14="On",('Net zero Activity data'!AN11*EF!$H10)*kgtoGg,"ERROR"))</f>
        <v>134.57715264233437</v>
      </c>
      <c r="V1073" s="93">
        <f>IF('Net zero activities &amp; levers'!$C$14="Off",('Activity data'!AO11*EF!$H10)*kgtoGg,IF('Net zero activities &amp; levers'!$C$14="On",('Net zero Activity data'!AO11*EF!$H10)*kgtoGg,"ERROR"))</f>
        <v>134.57470202786035</v>
      </c>
      <c r="W1073" s="93">
        <f>IF('Net zero activities &amp; levers'!$C$14="Off",('Activity data'!AP11*EF!$H10)*kgtoGg,IF('Net zero activities &amp; levers'!$C$14="On",('Net zero Activity data'!AP11*EF!$H10)*kgtoGg,"ERROR"))</f>
        <v>134.71744668818661</v>
      </c>
      <c r="X1073" s="93">
        <f>IF('Net zero activities &amp; levers'!$C$14="Off",('Activity data'!AQ11*EF!$H10)*kgtoGg,IF('Net zero activities &amp; levers'!$C$14="On",('Net zero Activity data'!AQ11*EF!$H10)*kgtoGg,"ERROR"))</f>
        <v>134.95106147738375</v>
      </c>
      <c r="Y1073" s="93">
        <f>IF('Net zero activities &amp; levers'!$C$14="Off",('Activity data'!AR11*EF!$H10)*kgtoGg,IF('Net zero activities &amp; levers'!$C$14="On",('Net zero Activity data'!AR11*EF!$H10)*kgtoGg,"ERROR"))</f>
        <v>135.17521745945572</v>
      </c>
      <c r="Z1073" s="93">
        <f>IF('Net zero activities &amp; levers'!$C$14="Off",('Activity data'!AS11*EF!$H10)*kgtoGg,IF('Net zero activities &amp; levers'!$C$14="On",('Net zero Activity data'!AS11*EF!$H10)*kgtoGg,"ERROR"))</f>
        <v>135.39063780811901</v>
      </c>
      <c r="AA1073" s="93">
        <f>IF('Net zero activities &amp; levers'!$C$14="Off",('Activity data'!AT11*EF!$H10)*kgtoGg,IF('Net zero activities &amp; levers'!$C$14="On",('Net zero Activity data'!AT11*EF!$H10)*kgtoGg,"ERROR"))</f>
        <v>135.59702853009694</v>
      </c>
      <c r="AB1073" s="93">
        <f>IF('Net zero activities &amp; levers'!$C$14="Off",('Activity data'!AU11*EF!$H10)*kgtoGg,IF('Net zero activities &amp; levers'!$C$14="On",('Net zero Activity data'!AU11*EF!$H10)*kgtoGg,"ERROR"))</f>
        <v>135.7986907607312</v>
      </c>
      <c r="AC1073" s="93">
        <f>IF('Net zero activities &amp; levers'!$C$14="Off",('Activity data'!AV11*EF!$H10)*kgtoGg,IF('Net zero activities &amp; levers'!$C$14="On",('Net zero Activity data'!AV11*EF!$H10)*kgtoGg,"ERROR"))</f>
        <v>135.99857025620054</v>
      </c>
      <c r="AD1073" s="93">
        <f>IF('Net zero activities &amp; levers'!$C$14="Off",('Activity data'!AW11*EF!$H10)*kgtoGg,IF('Net zero activities &amp; levers'!$C$14="On",('Net zero Activity data'!AW11*EF!$H10)*kgtoGg,"ERROR"))</f>
        <v>136.19466148301387</v>
      </c>
      <c r="AE1073" s="93">
        <f>IF('Net zero activities &amp; levers'!$C$14="Off",('Activity data'!AX11*EF!$H10)*kgtoGg,IF('Net zero activities &amp; levers'!$C$14="On",('Net zero Activity data'!AX11*EF!$H10)*kgtoGg,"ERROR"))</f>
        <v>136.38978391312594</v>
      </c>
      <c r="AF1073" s="93">
        <f>IF('Net zero activities &amp; levers'!$C$14="Off",('Activity data'!AY11*EF!$H10)*kgtoGg,IF('Net zero activities &amp; levers'!$C$14="On",('Net zero Activity data'!AY11*EF!$H10)*kgtoGg,"ERROR"))</f>
        <v>136.58332287316895</v>
      </c>
      <c r="AG1073" s="93">
        <f>IF('Net zero activities &amp; levers'!$C$14="Off",('Activity data'!AZ11*EF!$H10)*kgtoGg,IF('Net zero activities &amp; levers'!$C$14="On",('Net zero Activity data'!AZ11*EF!$H10)*kgtoGg,"ERROR"))</f>
        <v>136.77372760735147</v>
      </c>
      <c r="AH1073" s="93">
        <f>IF('Net zero activities &amp; levers'!$C$14="Off",('Activity data'!BA11*EF!$H10)*kgtoGg,IF('Net zero activities &amp; levers'!$C$14="On",('Net zero Activity data'!BA11*EF!$H10)*kgtoGg,"ERROR"))</f>
        <v>136.96183641513412</v>
      </c>
      <c r="AI1073" s="93">
        <f>IF('Net zero activities &amp; levers'!$C$14="Off",('Activity data'!BB11*EF!$H10)*kgtoGg,IF('Net zero activities &amp; levers'!$C$14="On",('Net zero Activity data'!BB11*EF!$H10)*kgtoGg,"ERROR"))</f>
        <v>137.1478500354736</v>
      </c>
      <c r="AJ1073" s="93">
        <f>IF('Net zero activities &amp; levers'!$C$14="Off",('Activity data'!BC11*EF!$H10)*kgtoGg,IF('Net zero activities &amp; levers'!$C$14="On",('Net zero Activity data'!BC11*EF!$H10)*kgtoGg,"ERROR"))</f>
        <v>137.33239997388901</v>
      </c>
      <c r="AK1073" s="93">
        <f>IF('Net zero activities &amp; levers'!$C$14="Off",('Activity data'!BD11*EF!$H10)*kgtoGg,IF('Net zero activities &amp; levers'!$C$14="On",('Net zero Activity data'!BD11*EF!$H10)*kgtoGg,"ERROR"))</f>
        <v>137.50983936953097</v>
      </c>
      <c r="AL1073" s="93">
        <f>IF('Net zero activities &amp; levers'!$C$14="Off",('Activity data'!BE11*EF!$H10)*kgtoGg,IF('Net zero activities &amp; levers'!$C$14="On",('Net zero Activity data'!BE11*EF!$H10)*kgtoGg,"ERROR"))</f>
        <v>137.67996062186128</v>
      </c>
      <c r="AM1073" s="93">
        <f>IF('Net zero activities &amp; levers'!$C$14="Off",('Activity data'!BF11*EF!$H10)*kgtoGg,IF('Net zero activities &amp; levers'!$C$14="On",('Net zero Activity data'!BF11*EF!$H10)*kgtoGg,"ERROR"))</f>
        <v>137.84435369829882</v>
      </c>
      <c r="AN1073" s="93">
        <f>IF('Net zero activities &amp; levers'!$C$14="Off",('Activity data'!BG11*EF!$H10)*kgtoGg,IF('Net zero activities &amp; levers'!$C$14="On",('Net zero Activity data'!BG11*EF!$H10)*kgtoGg,"ERROR"))</f>
        <v>138.00175275471773</v>
      </c>
      <c r="AO1073" s="93">
        <f>IF('Net zero activities &amp; levers'!$C$14="Off",('Activity data'!BH11*EF!$H10)*kgtoGg,IF('Net zero activities &amp; levers'!$C$14="On",('Net zero Activity data'!BH11*EF!$H10)*kgtoGg,"ERROR"))</f>
        <v>138.15244332532626</v>
      </c>
      <c r="AP1073" s="93">
        <f>IF('Net zero activities &amp; levers'!$C$14="Off",('Activity data'!BI11*EF!$H10)*kgtoGg,IF('Net zero activities &amp; levers'!$C$14="On",('Net zero Activity data'!BI11*EF!$H10)*kgtoGg,"ERROR"))</f>
        <v>138.29574669703695</v>
      </c>
      <c r="AQ1073" s="93">
        <f>IF('Net zero activities &amp; levers'!$C$14="Off",('Activity data'!BJ11*EF!$H10)*kgtoGg,IF('Net zero activities &amp; levers'!$C$14="On",('Net zero Activity data'!BJ11*EF!$H10)*kgtoGg,"ERROR"))</f>
        <v>138.4296121873767</v>
      </c>
      <c r="AR1073" s="93">
        <f>IF('Net zero activities &amp; levers'!$C$14="Off",('Activity data'!BK11*EF!$H10)*kgtoGg,IF('Net zero activities &amp; levers'!$C$14="On",('Net zero Activity data'!BK11*EF!$H10)*kgtoGg,"ERROR"))</f>
        <v>138.55213947392693</v>
      </c>
      <c r="AS1073" s="93">
        <f>IF('Net zero activities &amp; levers'!$C$14="Off",('Activity data'!BL11*EF!$H10)*kgtoGg,IF('Net zero activities &amp; levers'!$C$14="On",('Net zero Activity data'!BL11*EF!$H10)*kgtoGg,"ERROR"))</f>
        <v>138.66320476976824</v>
      </c>
      <c r="AT1073" s="93">
        <f>IF('Net zero activities &amp; levers'!$C$14="Off",('Activity data'!BM11*EF!$H10)*kgtoGg,IF('Net zero activities &amp; levers'!$C$14="On",('Net zero Activity data'!BM11*EF!$H10)*kgtoGg,"ERROR"))</f>
        <v>138.76195815463774</v>
      </c>
      <c r="AU1073" s="93">
        <f>IF('Net zero activities &amp; levers'!$C$14="Off",('Activity data'!BN11*EF!$H10)*kgtoGg,IF('Net zero activities &amp; levers'!$C$14="On",('Net zero Activity data'!BN11*EF!$H10)*kgtoGg,"ERROR"))</f>
        <v>138.84835200114654</v>
      </c>
      <c r="AV1073" s="93">
        <f>IF('Net zero activities &amp; levers'!$C$14="Off",('Activity data'!BO11*EF!$H10)*kgtoGg,IF('Net zero activities &amp; levers'!$C$14="On",('Net zero Activity data'!BO11*EF!$H10)*kgtoGg,"ERROR"))</f>
        <v>138.92403962400931</v>
      </c>
      <c r="AW1073" s="93">
        <f>IF('Net zero activities &amp; levers'!$C$14="Off",('Activity data'!BP11*EF!$H10)*kgtoGg,IF('Net zero activities &amp; levers'!$C$14="On",('Net zero Activity data'!BP11*EF!$H10)*kgtoGg,"ERROR"))</f>
        <v>138.97919020206226</v>
      </c>
      <c r="AY1073" s="79"/>
    </row>
    <row r="1074" spans="1:51" x14ac:dyDescent="0.25">
      <c r="A1074" s="95" t="str">
        <f t="shared" si="373"/>
        <v>CM Sheep</v>
      </c>
      <c r="B1074" s="95" t="s">
        <v>1321</v>
      </c>
      <c r="C1074" s="95" t="s">
        <v>152</v>
      </c>
      <c r="D1074" t="s">
        <v>15</v>
      </c>
      <c r="E1074" t="s">
        <v>16</v>
      </c>
      <c r="F1074" t="s">
        <v>18</v>
      </c>
      <c r="G1074" t="s">
        <v>123</v>
      </c>
      <c r="H1074" t="s">
        <v>1019</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14.577835829783805</v>
      </c>
      <c r="T1074" s="93">
        <f>IF('Net zero activities &amp; levers'!$C$14="Off",('Activity data'!AM12*EF!$H11)*kgtoGg,IF('Net zero activities &amp; levers'!$C$14="On",('Net zero Activity data'!AM12*EF!$H11)*kgtoGg,"ERROR"))</f>
        <v>14.588328654533516</v>
      </c>
      <c r="U1074" s="93">
        <f>IF('Net zero activities &amp; levers'!$C$14="Off",('Activity data'!AN12*EF!$H11)*kgtoGg,IF('Net zero activities &amp; levers'!$C$14="On",('Net zero Activity data'!AN12*EF!$H11)*kgtoGg,"ERROR"))</f>
        <v>14.584639600832128</v>
      </c>
      <c r="V1074" s="93">
        <f>IF('Net zero activities &amp; levers'!$C$14="Off",('Activity data'!AO12*EF!$H11)*kgtoGg,IF('Net zero activities &amp; levers'!$C$14="On",('Net zero Activity data'!AO12*EF!$H11)*kgtoGg,"ERROR"))</f>
        <v>14.584374018389626</v>
      </c>
      <c r="W1074" s="93">
        <f>IF('Net zero activities &amp; levers'!$C$14="Off",('Activity data'!AP12*EF!$H11)*kgtoGg,IF('Net zero activities &amp; levers'!$C$14="On",('Net zero Activity data'!AP12*EF!$H11)*kgtoGg,"ERROR"))</f>
        <v>14.599843801966744</v>
      </c>
      <c r="X1074" s="93">
        <f>IF('Net zero activities &amp; levers'!$C$14="Off",('Activity data'!AQ12*EF!$H11)*kgtoGg,IF('Net zero activities &amp; levers'!$C$14="On",('Net zero Activity data'!AQ12*EF!$H11)*kgtoGg,"ERROR"))</f>
        <v>14.625161528185249</v>
      </c>
      <c r="Y1074" s="93">
        <f>IF('Net zero activities &amp; levers'!$C$14="Off",('Activity data'!AR12*EF!$H11)*kgtoGg,IF('Net zero activities &amp; levers'!$C$14="On",('Net zero Activity data'!AR12*EF!$H11)*kgtoGg,"ERROR"))</f>
        <v>14.649454167379202</v>
      </c>
      <c r="Z1074" s="93">
        <f>IF('Net zero activities &amp; levers'!$C$14="Off",('Activity data'!AS12*EF!$H11)*kgtoGg,IF('Net zero activities &amp; levers'!$C$14="On",('Net zero Activity data'!AS12*EF!$H11)*kgtoGg,"ERROR"))</f>
        <v>14.672800092644023</v>
      </c>
      <c r="AA1074" s="93">
        <f>IF('Net zero activities &amp; levers'!$C$14="Off",('Activity data'!AT12*EF!$H11)*kgtoGg,IF('Net zero activities &amp; levers'!$C$14="On",('Net zero Activity data'!AT12*EF!$H11)*kgtoGg,"ERROR"))</f>
        <v>14.695167442806378</v>
      </c>
      <c r="AB1074" s="93">
        <f>IF('Net zero activities &amp; levers'!$C$14="Off",('Activity data'!AU12*EF!$H11)*kgtoGg,IF('Net zero activities &amp; levers'!$C$14="On",('Net zero Activity data'!AU12*EF!$H11)*kgtoGg,"ERROR"))</f>
        <v>14.717022348317101</v>
      </c>
      <c r="AC1074" s="93">
        <f>IF('Net zero activities &amp; levers'!$C$14="Off",('Activity data'!AV12*EF!$H11)*kgtoGg,IF('Net zero activities &amp; levers'!$C$14="On",('Net zero Activity data'!AV12*EF!$H11)*kgtoGg,"ERROR"))</f>
        <v>14.738684052014786</v>
      </c>
      <c r="AD1074" s="93">
        <f>IF('Net zero activities &amp; levers'!$C$14="Off",('Activity data'!AW12*EF!$H11)*kgtoGg,IF('Net zero activities &amp; levers'!$C$14="On",('Net zero Activity data'!AW12*EF!$H11)*kgtoGg,"ERROR"))</f>
        <v>14.759935206581549</v>
      </c>
      <c r="AE1074" s="93">
        <f>IF('Net zero activities &amp; levers'!$C$14="Off",('Activity data'!AX12*EF!$H11)*kgtoGg,IF('Net zero activities &amp; levers'!$C$14="On",('Net zero Activity data'!AX12*EF!$H11)*kgtoGg,"ERROR"))</f>
        <v>14.781081368952709</v>
      </c>
      <c r="AF1074" s="93">
        <f>IF('Net zero activities &amp; levers'!$C$14="Off",('Activity data'!AY12*EF!$H11)*kgtoGg,IF('Net zero activities &amp; levers'!$C$14="On",('Net zero Activity data'!AY12*EF!$H11)*kgtoGg,"ERROR"))</f>
        <v>14.802055924629695</v>
      </c>
      <c r="AG1074" s="93">
        <f>IF('Net zero activities &amp; levers'!$C$14="Off",('Activity data'!AZ12*EF!$H11)*kgtoGg,IF('Net zero activities &amp; levers'!$C$14="On",('Net zero Activity data'!AZ12*EF!$H11)*kgtoGg,"ERROR"))</f>
        <v>14.822690812289457</v>
      </c>
      <c r="AH1074" s="93">
        <f>IF('Net zero activities &amp; levers'!$C$14="Off",('Activity data'!BA12*EF!$H11)*kgtoGg,IF('Net zero activities &amp; levers'!$C$14="On",('Net zero Activity data'!BA12*EF!$H11)*kgtoGg,"ERROR"))</f>
        <v>14.843076881643613</v>
      </c>
      <c r="AI1074" s="93">
        <f>IF('Net zero activities &amp; levers'!$C$14="Off",('Activity data'!BB12*EF!$H11)*kgtoGg,IF('Net zero activities &amp; levers'!$C$14="On",('Net zero Activity data'!BB12*EF!$H11)*kgtoGg,"ERROR"))</f>
        <v>14.863235887538975</v>
      </c>
      <c r="AJ1074" s="93">
        <f>IF('Net zero activities &amp; levers'!$C$14="Off",('Activity data'!BC12*EF!$H11)*kgtoGg,IF('Net zero activities &amp; levers'!$C$14="On",('Net zero Activity data'!BC12*EF!$H11)*kgtoGg,"ERROR"))</f>
        <v>14.883236268638564</v>
      </c>
      <c r="AK1074" s="93">
        <f>IF('Net zero activities &amp; levers'!$C$14="Off",('Activity data'!BD12*EF!$H11)*kgtoGg,IF('Net zero activities &amp; levers'!$C$14="On",('Net zero Activity data'!BD12*EF!$H11)*kgtoGg,"ERROR"))</f>
        <v>14.902466053082772</v>
      </c>
      <c r="AL1074" s="93">
        <f>IF('Net zero activities &amp; levers'!$C$14="Off",('Activity data'!BE12*EF!$H11)*kgtoGg,IF('Net zero activities &amp; levers'!$C$14="On",('Net zero Activity data'!BE12*EF!$H11)*kgtoGg,"ERROR"))</f>
        <v>14.920902742409034</v>
      </c>
      <c r="AM1074" s="93">
        <f>IF('Net zero activities &amp; levers'!$C$14="Off",('Activity data'!BF12*EF!$H11)*kgtoGg,IF('Net zero activities &amp; levers'!$C$14="On",('Net zero Activity data'!BF12*EF!$H11)*kgtoGg,"ERROR"))</f>
        <v>14.938718647454118</v>
      </c>
      <c r="AN1074" s="93">
        <f>IF('Net zero activities &amp; levers'!$C$14="Off",('Activity data'!BG12*EF!$H11)*kgtoGg,IF('Net zero activities &amp; levers'!$C$14="On",('Net zero Activity data'!BG12*EF!$H11)*kgtoGg,"ERROR"))</f>
        <v>14.95577658385943</v>
      </c>
      <c r="AO1074" s="93">
        <f>IF('Net zero activities &amp; levers'!$C$14="Off",('Activity data'!BH12*EF!$H11)*kgtoGg,IF('Net zero activities &amp; levers'!$C$14="On",('Net zero Activity data'!BH12*EF!$H11)*kgtoGg,"ERROR"))</f>
        <v>14.972107496056765</v>
      </c>
      <c r="AP1074" s="93">
        <f>IF('Net zero activities &amp; levers'!$C$14="Off",('Activity data'!BI12*EF!$H11)*kgtoGg,IF('Net zero activities &amp; levers'!$C$14="On",('Net zero Activity data'!BI12*EF!$H11)*kgtoGg,"ERROR"))</f>
        <v>14.98763782931875</v>
      </c>
      <c r="AQ1074" s="93">
        <f>IF('Net zero activities &amp; levers'!$C$14="Off",('Activity data'!BJ12*EF!$H11)*kgtoGg,IF('Net zero activities &amp; levers'!$C$14="On",('Net zero Activity data'!BJ12*EF!$H11)*kgtoGg,"ERROR"))</f>
        <v>15.002145343360027</v>
      </c>
      <c r="AR1074" s="93">
        <f>IF('Net zero activities &amp; levers'!$C$14="Off",('Activity data'!BK12*EF!$H11)*kgtoGg,IF('Net zero activities &amp; levers'!$C$14="On",('Net zero Activity data'!BK12*EF!$H11)*kgtoGg,"ERROR"))</f>
        <v>15.015424092988152</v>
      </c>
      <c r="AS1074" s="93">
        <f>IF('Net zero activities &amp; levers'!$C$14="Off",('Activity data'!BL12*EF!$H11)*kgtoGg,IF('Net zero activities &amp; levers'!$C$14="On",('Net zero Activity data'!BL12*EF!$H11)*kgtoGg,"ERROR"))</f>
        <v>15.027460662942268</v>
      </c>
      <c r="AT1074" s="93">
        <f>IF('Net zero activities &amp; levers'!$C$14="Off",('Activity data'!BM12*EF!$H11)*kgtoGg,IF('Net zero activities &amp; levers'!$C$14="On",('Net zero Activity data'!BM12*EF!$H11)*kgtoGg,"ERROR"))</f>
        <v>15.038162944120053</v>
      </c>
      <c r="AU1074" s="93">
        <f>IF('Net zero activities &amp; levers'!$C$14="Off",('Activity data'!BN12*EF!$H11)*kgtoGg,IF('Net zero activities &amp; levers'!$C$14="On",('Net zero Activity data'!BN12*EF!$H11)*kgtoGg,"ERROR"))</f>
        <v>15.047525774959613</v>
      </c>
      <c r="AV1074" s="93">
        <f>IF('Net zero activities &amp; levers'!$C$14="Off",('Activity data'!BO12*EF!$H11)*kgtoGg,IF('Net zero activities &amp; levers'!$C$14="On",('Net zero Activity data'!BO12*EF!$H11)*kgtoGg,"ERROR"))</f>
        <v>15.055728331485913</v>
      </c>
      <c r="AW1074" s="93">
        <f>IF('Net zero activities &amp; levers'!$C$14="Off",('Activity data'!BP12*EF!$H11)*kgtoGg,IF('Net zero activities &amp; levers'!$C$14="On",('Net zero Activity data'!BP12*EF!$H11)*kgtoGg,"ERROR"))</f>
        <v>15.061705210093363</v>
      </c>
      <c r="AY1074" s="79"/>
    </row>
    <row r="1075" spans="1:51" x14ac:dyDescent="0.25">
      <c r="A1075" s="95" t="str">
        <f t="shared" si="373"/>
        <v>CM Goats</v>
      </c>
      <c r="B1075" s="95" t="s">
        <v>1321</v>
      </c>
      <c r="C1075" s="95" t="s">
        <v>153</v>
      </c>
      <c r="D1075" t="s">
        <v>15</v>
      </c>
      <c r="E1075" t="s">
        <v>16</v>
      </c>
      <c r="F1075" t="s">
        <v>19</v>
      </c>
      <c r="G1075" t="s">
        <v>122</v>
      </c>
      <c r="H1075" t="s">
        <v>1019</v>
      </c>
      <c r="I1075" t="s">
        <v>121</v>
      </c>
      <c r="J1075" t="s">
        <v>286</v>
      </c>
      <c r="K1075" s="93">
        <f>IF('Net zero activities &amp; levers'!$C$14="Off",('Activity data'!AD13*EF!$H12)*kgtoGg,IF('Net zero activities &amp; levers'!$C$14="On",('Net zero Activity data'!AD13*EF!$H12)*kgtoGg,"ERROR"))</f>
        <v>15.123414197798356</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15.545788610572219</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15.609698922895241</v>
      </c>
      <c r="T1075" s="93">
        <f>IF('Net zero activities &amp; levers'!$C$14="Off",('Activity data'!AM13*EF!$H12)*kgtoGg,IF('Net zero activities &amp; levers'!$C$14="On",('Net zero Activity data'!AM13*EF!$H12)*kgtoGg,"ERROR"))</f>
        <v>15.636532010302831</v>
      </c>
      <c r="U1075" s="93">
        <f>IF('Net zero activities &amp; levers'!$C$14="Off",('Activity data'!AN13*EF!$H12)*kgtoGg,IF('Net zero activities &amp; levers'!$C$14="On",('Net zero Activity data'!AN13*EF!$H12)*kgtoGg,"ERROR"))</f>
        <v>15.639135853628233</v>
      </c>
      <c r="V1075" s="93">
        <f>IF('Net zero activities &amp; levers'!$C$14="Off",('Activity data'!AO13*EF!$H12)*kgtoGg,IF('Net zero activities &amp; levers'!$C$14="On",('Net zero Activity data'!AO13*EF!$H12)*kgtoGg,"ERROR"))</f>
        <v>15.646294761850147</v>
      </c>
      <c r="W1075" s="93">
        <f>IF('Net zero activities &amp; levers'!$C$14="Off",('Activity data'!AP13*EF!$H12)*kgtoGg,IF('Net zero activities &amp; levers'!$C$14="On",('Net zero Activity data'!AP13*EF!$H12)*kgtoGg,"ERROR"))</f>
        <v>15.677946241783271</v>
      </c>
      <c r="X1075" s="93">
        <f>IF('Net zero activities &amp; levers'!$C$14="Off",('Activity data'!AQ13*EF!$H12)*kgtoGg,IF('Net zero activities &amp; levers'!$C$14="On",('Net zero Activity data'!AQ13*EF!$H12)*kgtoGg,"ERROR"))</f>
        <v>15.724503798989753</v>
      </c>
      <c r="Y1075" s="93">
        <f>IF('Net zero activities &amp; levers'!$C$14="Off",('Activity data'!AR13*EF!$H12)*kgtoGg,IF('Net zero activities &amp; levers'!$C$14="On",('Net zero Activity data'!AR13*EF!$H12)*kgtoGg,"ERROR"))</f>
        <v>15.768451676063824</v>
      </c>
      <c r="Z1075" s="93">
        <f>IF('Net zero activities &amp; levers'!$C$14="Off",('Activity data'!AS13*EF!$H12)*kgtoGg,IF('Net zero activities &amp; levers'!$C$14="On",('Net zero Activity data'!AS13*EF!$H12)*kgtoGg,"ERROR"))</f>
        <v>15.809996509627668</v>
      </c>
      <c r="AA1075" s="93">
        <f>IF('Net zero activities &amp; levers'!$C$14="Off",('Activity data'!AT13*EF!$H12)*kgtoGg,IF('Net zero activities &amp; levers'!$C$14="On",('Net zero Activity data'!AT13*EF!$H12)*kgtoGg,"ERROR"))</f>
        <v>15.849159564668597</v>
      </c>
      <c r="AB1075" s="93">
        <f>IF('Net zero activities &amp; levers'!$C$14="Off",('Activity data'!AU13*EF!$H12)*kgtoGg,IF('Net zero activities &amp; levers'!$C$14="On",('Net zero Activity data'!AU13*EF!$H12)*kgtoGg,"ERROR"))</f>
        <v>15.886751198222623</v>
      </c>
      <c r="AC1075" s="93">
        <f>IF('Net zero activities &amp; levers'!$C$14="Off",('Activity data'!AV13*EF!$H12)*kgtoGg,IF('Net zero activities &amp; levers'!$C$14="On",('Net zero Activity data'!AV13*EF!$H12)*kgtoGg,"ERROR"))</f>
        <v>15.923335433500936</v>
      </c>
      <c r="AD1075" s="93">
        <f>IF('Net zero activities &amp; levers'!$C$14="Off",('Activity data'!AW13*EF!$H12)*kgtoGg,IF('Net zero activities &amp; levers'!$C$14="On",('Net zero Activity data'!AW13*EF!$H12)*kgtoGg,"ERROR"))</f>
        <v>15.958613587829067</v>
      </c>
      <c r="AE1075" s="93">
        <f>IF('Net zero activities &amp; levers'!$C$14="Off",('Activity data'!AX13*EF!$H12)*kgtoGg,IF('Net zero activities &amp; levers'!$C$14="On",('Net zero Activity data'!AX13*EF!$H12)*kgtoGg,"ERROR"))</f>
        <v>15.993115538730159</v>
      </c>
      <c r="AF1075" s="93">
        <f>IF('Net zero activities &amp; levers'!$C$14="Off",('Activity data'!AY13*EF!$H12)*kgtoGg,IF('Net zero activities &amp; levers'!$C$14="On",('Net zero Activity data'!AY13*EF!$H12)*kgtoGg,"ERROR"))</f>
        <v>16.026773849205178</v>
      </c>
      <c r="AG1075" s="93">
        <f>IF('Net zero activities &amp; levers'!$C$14="Off",('Activity data'!AZ13*EF!$H12)*kgtoGg,IF('Net zero activities &amp; levers'!$C$14="On",('Net zero Activity data'!AZ13*EF!$H12)*kgtoGg,"ERROR"))</f>
        <v>16.059358210664367</v>
      </c>
      <c r="AH1075" s="93">
        <f>IF('Net zero activities &amp; levers'!$C$14="Off",('Activity data'!BA13*EF!$H12)*kgtoGg,IF('Net zero activities &amp; levers'!$C$14="On",('Net zero Activity data'!BA13*EF!$H12)*kgtoGg,"ERROR"))</f>
        <v>16.091045965246145</v>
      </c>
      <c r="AI1075" s="93">
        <f>IF('Net zero activities &amp; levers'!$C$14="Off",('Activity data'!BB13*EF!$H12)*kgtoGg,IF('Net zero activities &amp; levers'!$C$14="On",('Net zero Activity data'!BB13*EF!$H12)*kgtoGg,"ERROR"))</f>
        <v>16.121901844149729</v>
      </c>
      <c r="AJ1075" s="93">
        <f>IF('Net zero activities &amp; levers'!$C$14="Off",('Activity data'!BC13*EF!$H12)*kgtoGg,IF('Net zero activities &amp; levers'!$C$14="On",('Net zero Activity data'!BC13*EF!$H12)*kgtoGg,"ERROR"))</f>
        <v>16.152061326115707</v>
      </c>
      <c r="AK1075" s="93">
        <f>IF('Net zero activities &amp; levers'!$C$14="Off",('Activity data'!BD13*EF!$H12)*kgtoGg,IF('Net zero activities &amp; levers'!$C$14="On",('Net zero Activity data'!BD13*EF!$H12)*kgtoGg,"ERROR"))</f>
        <v>16.180589301116473</v>
      </c>
      <c r="AL1075" s="93">
        <f>IF('Net zero activities &amp; levers'!$C$14="Off",('Activity data'!BE13*EF!$H12)*kgtoGg,IF('Net zero activities &amp; levers'!$C$14="On",('Net zero Activity data'!BE13*EF!$H12)*kgtoGg,"ERROR"))</f>
        <v>16.207479025870157</v>
      </c>
      <c r="AM1075" s="93">
        <f>IF('Net zero activities &amp; levers'!$C$14="Off",('Activity data'!BF13*EF!$H12)*kgtoGg,IF('Net zero activities &amp; levers'!$C$14="On",('Net zero Activity data'!BF13*EF!$H12)*kgtoGg,"ERROR"))</f>
        <v>16.233026710727977</v>
      </c>
      <c r="AN1075" s="93">
        <f>IF('Net zero activities &amp; levers'!$C$14="Off",('Activity data'!BG13*EF!$H12)*kgtoGg,IF('Net zero activities &amp; levers'!$C$14="On",('Net zero Activity data'!BG13*EF!$H12)*kgtoGg,"ERROR"))</f>
        <v>16.257041914334369</v>
      </c>
      <c r="AO1075" s="93">
        <f>IF('Net zero activities &amp; levers'!$C$14="Off",('Activity data'!BH13*EF!$H12)*kgtoGg,IF('Net zero activities &amp; levers'!$C$14="On",('Net zero Activity data'!BH13*EF!$H12)*kgtoGg,"ERROR"))</f>
        <v>16.279596122288691</v>
      </c>
      <c r="AP1075" s="93">
        <f>IF('Net zero activities &amp; levers'!$C$14="Off",('Activity data'!BI13*EF!$H12)*kgtoGg,IF('Net zero activities &amp; levers'!$C$14="On",('Net zero Activity data'!BI13*EF!$H12)*kgtoGg,"ERROR"))</f>
        <v>16.300596548995752</v>
      </c>
      <c r="AQ1075" s="93">
        <f>IF('Net zero activities &amp; levers'!$C$14="Off",('Activity data'!BJ13*EF!$H12)*kgtoGg,IF('Net zero activities &amp; levers'!$C$14="On",('Net zero Activity data'!BJ13*EF!$H12)*kgtoGg,"ERROR"))</f>
        <v>16.31971904310852</v>
      </c>
      <c r="AR1075" s="93">
        <f>IF('Net zero activities &amp; levers'!$C$14="Off",('Activity data'!BK13*EF!$H12)*kgtoGg,IF('Net zero activities &amp; levers'!$C$14="On",('Net zero Activity data'!BK13*EF!$H12)*kgtoGg,"ERROR"))</f>
        <v>16.336665838044137</v>
      </c>
      <c r="AS1075" s="93">
        <f>IF('Net zero activities &amp; levers'!$C$14="Off",('Activity data'!BL13*EF!$H12)*kgtoGg,IF('Net zero activities &amp; levers'!$C$14="On",('Net zero Activity data'!BL13*EF!$H12)*kgtoGg,"ERROR"))</f>
        <v>16.351438090046905</v>
      </c>
      <c r="AT1075" s="93">
        <f>IF('Net zero activities &amp; levers'!$C$14="Off",('Activity data'!BM13*EF!$H12)*kgtoGg,IF('Net zero activities &amp; levers'!$C$14="On",('Net zero Activity data'!BM13*EF!$H12)*kgtoGg,"ERROR"))</f>
        <v>16.363914421549605</v>
      </c>
      <c r="AU1075" s="93">
        <f>IF('Net zero activities &amp; levers'!$C$14="Off",('Activity data'!BN13*EF!$H12)*kgtoGg,IF('Net zero activities &amp; levers'!$C$14="On",('Net zero Activity data'!BN13*EF!$H12)*kgtoGg,"ERROR"))</f>
        <v>16.374107486259209</v>
      </c>
      <c r="AV1075" s="93">
        <f>IF('Net zero activities &amp; levers'!$C$14="Off",('Activity data'!BO13*EF!$H12)*kgtoGg,IF('Net zero activities &amp; levers'!$C$14="On",('Net zero Activity data'!BO13*EF!$H12)*kgtoGg,"ERROR"))</f>
        <v>16.382312930249284</v>
      </c>
      <c r="AW1075" s="93">
        <f>IF('Net zero activities &amp; levers'!$C$14="Off",('Activity data'!BP13*EF!$H12)*kgtoGg,IF('Net zero activities &amp; levers'!$C$14="On",('Net zero Activity data'!BP13*EF!$H12)*kgtoGg,"ERROR"))</f>
        <v>16.386910096993194</v>
      </c>
      <c r="AY1075" s="79"/>
    </row>
    <row r="1076" spans="1:51" x14ac:dyDescent="0.25">
      <c r="A1076" s="95" t="str">
        <f t="shared" si="373"/>
        <v>CM Goats</v>
      </c>
      <c r="B1076" s="95" t="s">
        <v>1321</v>
      </c>
      <c r="C1076" s="95" t="s">
        <v>153</v>
      </c>
      <c r="D1076" t="s">
        <v>15</v>
      </c>
      <c r="E1076" t="s">
        <v>16</v>
      </c>
      <c r="F1076" t="s">
        <v>19</v>
      </c>
      <c r="G1076" t="s">
        <v>123</v>
      </c>
      <c r="H1076" t="s">
        <v>1019</v>
      </c>
      <c r="I1076" t="s">
        <v>121</v>
      </c>
      <c r="J1076" t="s">
        <v>286</v>
      </c>
      <c r="K1076" s="93">
        <f>IF('Net zero activities &amp; levers'!$C$14="Off",('Activity data'!AD14*EF!$H13)*kgtoGg,IF('Net zero activities &amp; levers'!$C$14="On",('Net zero Activity data'!AD14*EF!$H13)*kgtoGg,"ERROR"))</f>
        <v>22.381101687842737</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23.100753199022172</v>
      </c>
      <c r="T1076" s="93">
        <f>IF('Net zero activities &amp; levers'!$C$14="Off",('Activity data'!AM14*EF!$H13)*kgtoGg,IF('Net zero activities &amp; levers'!$C$14="On",('Net zero Activity data'!AM14*EF!$H13)*kgtoGg,"ERROR"))</f>
        <v>23.140463415909274</v>
      </c>
      <c r="U1076" s="93">
        <f>IF('Net zero activities &amp; levers'!$C$14="Off",('Activity data'!AN14*EF!$H13)*kgtoGg,IF('Net zero activities &amp; levers'!$C$14="On",('Net zero Activity data'!AN14*EF!$H13)*kgtoGg,"ERROR"))</f>
        <v>23.144316836934628</v>
      </c>
      <c r="V1076" s="93">
        <f>IF('Net zero activities &amp; levers'!$C$14="Off",('Activity data'!AO14*EF!$H13)*kgtoGg,IF('Net zero activities &amp; levers'!$C$14="On",('Net zero Activity data'!AO14*EF!$H13)*kgtoGg,"ERROR"))</f>
        <v>23.154911286758789</v>
      </c>
      <c r="W1076" s="93">
        <f>IF('Net zero activities &amp; levers'!$C$14="Off",('Activity data'!AP14*EF!$H13)*kgtoGg,IF('Net zero activities &amp; levers'!$C$14="On",('Net zero Activity data'!AP14*EF!$H13)*kgtoGg,"ERROR"))</f>
        <v>23.201752230324114</v>
      </c>
      <c r="X1076" s="93">
        <f>IF('Net zero activities &amp; levers'!$C$14="Off",('Activity data'!AQ14*EF!$H13)*kgtoGg,IF('Net zero activities &amp; levers'!$C$14="On",('Net zero Activity data'!AQ14*EF!$H13)*kgtoGg,"ERROR"))</f>
        <v>23.270652639223016</v>
      </c>
      <c r="Y1076" s="93">
        <f>IF('Net zero activities &amp; levers'!$C$14="Off",('Activity data'!AR14*EF!$H13)*kgtoGg,IF('Net zero activities &amp; levers'!$C$14="On",('Net zero Activity data'!AR14*EF!$H13)*kgtoGg,"ERROR"))</f>
        <v>23.335690989220911</v>
      </c>
      <c r="Z1076" s="93">
        <f>IF('Net zero activities &amp; levers'!$C$14="Off",('Activity data'!AS14*EF!$H13)*kgtoGg,IF('Net zero activities &amp; levers'!$C$14="On",('Net zero Activity data'!AS14*EF!$H13)*kgtoGg,"ERROR"))</f>
        <v>23.397173081322329</v>
      </c>
      <c r="AA1076" s="93">
        <f>IF('Net zero activities &amp; levers'!$C$14="Off",('Activity data'!AT14*EF!$H13)*kgtoGg,IF('Net zero activities &amp; levers'!$C$14="On",('Net zero Activity data'!AT14*EF!$H13)*kgtoGg,"ERROR"))</f>
        <v>23.455130385527173</v>
      </c>
      <c r="AB1076" s="93">
        <f>IF('Net zero activities &amp; levers'!$C$14="Off",('Activity data'!AU14*EF!$H13)*kgtoGg,IF('Net zero activities &amp; levers'!$C$14="On",('Net zero Activity data'!AU14*EF!$H13)*kgtoGg,"ERROR"))</f>
        <v>23.510762147124183</v>
      </c>
      <c r="AC1076" s="93">
        <f>IF('Net zero activities &amp; levers'!$C$14="Off",('Activity data'!AV14*EF!$H13)*kgtoGg,IF('Net zero activities &amp; levers'!$C$14="On",('Net zero Activity data'!AV14*EF!$H13)*kgtoGg,"ERROR"))</f>
        <v>23.564903062609726</v>
      </c>
      <c r="AD1076" s="93">
        <f>IF('Net zero activities &amp; levers'!$C$14="Off",('Activity data'!AW14*EF!$H13)*kgtoGg,IF('Net zero activities &amp; levers'!$C$14="On",('Net zero Activity data'!AW14*EF!$H13)*kgtoGg,"ERROR"))</f>
        <v>23.617111112263775</v>
      </c>
      <c r="AE1076" s="93">
        <f>IF('Net zero activities &amp; levers'!$C$14="Off",('Activity data'!AX14*EF!$H13)*kgtoGg,IF('Net zero activities &amp; levers'!$C$14="On",('Net zero Activity data'!AX14*EF!$H13)*kgtoGg,"ERROR"))</f>
        <v>23.668170460466953</v>
      </c>
      <c r="AF1076" s="93">
        <f>IF('Net zero activities &amp; levers'!$C$14="Off",('Activity data'!AY14*EF!$H13)*kgtoGg,IF('Net zero activities &amp; levers'!$C$14="On",('Net zero Activity data'!AY14*EF!$H13)*kgtoGg,"ERROR"))</f>
        <v>23.717981307378224</v>
      </c>
      <c r="AG1076" s="93">
        <f>IF('Net zero activities &amp; levers'!$C$14="Off",('Activity data'!AZ14*EF!$H13)*kgtoGg,IF('Net zero activities &amp; levers'!$C$14="On",('Net zero Activity data'!AZ14*EF!$H13)*kgtoGg,"ERROR"))</f>
        <v>23.766202819909285</v>
      </c>
      <c r="AH1076" s="93">
        <f>IF('Net zero activities &amp; levers'!$C$14="Off",('Activity data'!BA14*EF!$H13)*kgtoGg,IF('Net zero activities &amp; levers'!$C$14="On",('Net zero Activity data'!BA14*EF!$H13)*kgtoGg,"ERROR"))</f>
        <v>23.813097446233641</v>
      </c>
      <c r="AI1076" s="93">
        <f>IF('Net zero activities &amp; levers'!$C$14="Off",('Activity data'!BB14*EF!$H13)*kgtoGg,IF('Net zero activities &amp; levers'!$C$14="On",('Net zero Activity data'!BB14*EF!$H13)*kgtoGg,"ERROR"))</f>
        <v>23.858760981886149</v>
      </c>
      <c r="AJ1076" s="93">
        <f>IF('Net zero activities &amp; levers'!$C$14="Off",('Activity data'!BC14*EF!$H13)*kgtoGg,IF('Net zero activities &amp; levers'!$C$14="On",('Net zero Activity data'!BC14*EF!$H13)*kgtoGg,"ERROR"))</f>
        <v>23.903393921505796</v>
      </c>
      <c r="AK1076" s="93">
        <f>IF('Net zero activities &amp; levers'!$C$14="Off",('Activity data'!BD14*EF!$H13)*kgtoGg,IF('Net zero activities &amp; levers'!$C$14="On",('Net zero Activity data'!BD14*EF!$H13)*kgtoGg,"ERROR"))</f>
        <v>23.94561239817315</v>
      </c>
      <c r="AL1076" s="93">
        <f>IF('Net zero activities &amp; levers'!$C$14="Off",('Activity data'!BE14*EF!$H13)*kgtoGg,IF('Net zero activities &amp; levers'!$C$14="On",('Net zero Activity data'!BE14*EF!$H13)*kgtoGg,"ERROR"))</f>
        <v>23.985406432522741</v>
      </c>
      <c r="AM1076" s="93">
        <f>IF('Net zero activities &amp; levers'!$C$14="Off",('Activity data'!BF14*EF!$H13)*kgtoGg,IF('Net zero activities &amp; levers'!$C$14="On",('Net zero Activity data'!BF14*EF!$H13)*kgtoGg,"ERROR"))</f>
        <v>24.023214385489801</v>
      </c>
      <c r="AN1076" s="93">
        <f>IF('Net zero activities &amp; levers'!$C$14="Off",('Activity data'!BG14*EF!$H13)*kgtoGg,IF('Net zero activities &amp; levers'!$C$14="On",('Net zero Activity data'!BG14*EF!$H13)*kgtoGg,"ERROR"))</f>
        <v>24.058754423403148</v>
      </c>
      <c r="AO1076" s="93">
        <f>IF('Net zero activities &amp; levers'!$C$14="Off",('Activity data'!BH14*EF!$H13)*kgtoGg,IF('Net zero activities &amp; levers'!$C$14="On",('Net zero Activity data'!BH14*EF!$H13)*kgtoGg,"ERROR"))</f>
        <v>24.092132337616977</v>
      </c>
      <c r="AP1076" s="93">
        <f>IF('Net zero activities &amp; levers'!$C$14="Off",('Activity data'!BI14*EF!$H13)*kgtoGg,IF('Net zero activities &amp; levers'!$C$14="On",('Net zero Activity data'!BI14*EF!$H13)*kgtoGg,"ERROR"))</f>
        <v>24.123210814968164</v>
      </c>
      <c r="AQ1076" s="93">
        <f>IF('Net zero activities &amp; levers'!$C$14="Off",('Activity data'!BJ14*EF!$H13)*kgtoGg,IF('Net zero activities &amp; levers'!$C$14="On",('Net zero Activity data'!BJ14*EF!$H13)*kgtoGg,"ERROR"))</f>
        <v>24.151510144713775</v>
      </c>
      <c r="AR1076" s="93">
        <f>IF('Net zero activities &amp; levers'!$C$14="Off",('Activity data'!BK14*EF!$H13)*kgtoGg,IF('Net zero activities &amp; levers'!$C$14="On",('Net zero Activity data'!BK14*EF!$H13)*kgtoGg,"ERROR"))</f>
        <v>24.176589662855413</v>
      </c>
      <c r="AS1076" s="93">
        <f>IF('Net zero activities &amp; levers'!$C$14="Off",('Activity data'!BL14*EF!$H13)*kgtoGg,IF('Net zero activities &amp; levers'!$C$14="On",('Net zero Activity data'!BL14*EF!$H13)*kgtoGg,"ERROR"))</f>
        <v>24.198451080516016</v>
      </c>
      <c r="AT1076" s="93">
        <f>IF('Net zero activities &amp; levers'!$C$14="Off",('Activity data'!BM14*EF!$H13)*kgtoGg,IF('Net zero activities &amp; levers'!$C$14="On",('Net zero Activity data'!BM14*EF!$H13)*kgtoGg,"ERROR"))</f>
        <v>24.21691477134674</v>
      </c>
      <c r="AU1076" s="93">
        <f>IF('Net zero activities &amp; levers'!$C$14="Off",('Activity data'!BN14*EF!$H13)*kgtoGg,IF('Net zero activities &amp; levers'!$C$14="On",('Net zero Activity data'!BN14*EF!$H13)*kgtoGg,"ERROR"))</f>
        <v>24.231999461535917</v>
      </c>
      <c r="AV1076" s="93">
        <f>IF('Net zero activities &amp; levers'!$C$14="Off",('Activity data'!BO14*EF!$H13)*kgtoGg,IF('Net zero activities &amp; levers'!$C$14="On",('Net zero Activity data'!BO14*EF!$H13)*kgtoGg,"ERROR"))</f>
        <v>24.244142676945735</v>
      </c>
      <c r="AW1076" s="93">
        <f>IF('Net zero activities &amp; levers'!$C$14="Off",('Activity data'!BP14*EF!$H13)*kgtoGg,IF('Net zero activities &amp; levers'!$C$14="On",('Net zero Activity data'!BP14*EF!$H13)*kgtoGg,"ERROR"))</f>
        <v>24.250946012159979</v>
      </c>
      <c r="AY1076" s="79"/>
    </row>
    <row r="1077" spans="1:51" x14ac:dyDescent="0.25">
      <c r="A1077" s="95" t="str">
        <f t="shared" si="373"/>
        <v>CM Horses</v>
      </c>
      <c r="B1077" s="95" t="s">
        <v>1321</v>
      </c>
      <c r="C1077" s="95" t="s">
        <v>3</v>
      </c>
      <c r="D1077" t="s">
        <v>15</v>
      </c>
      <c r="E1077" t="s">
        <v>16</v>
      </c>
      <c r="F1077" t="s">
        <v>20</v>
      </c>
      <c r="G1077" t="s">
        <v>3</v>
      </c>
      <c r="H1077" t="s">
        <v>1019</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5.579523571019652</v>
      </c>
      <c r="M1077" s="93">
        <f>IF('Net zero activities &amp; levers'!$C$14="Off",('Activity data'!AF15*EF!$H14)*kgtoGg,IF('Net zero activities &amp; levers'!$C$14="On",('Net zero Activity data'!AF15*EF!$H14)*kgtoGg,"ERROR"))</f>
        <v>5.6203482259438013</v>
      </c>
      <c r="N1077" s="93">
        <f>IF('Net zero activities &amp; levers'!$C$14="Off",('Activity data'!AG15*EF!$H14)*kgtoGg,IF('Net zero activities &amp; levers'!$C$14="On",('Net zero Activity data'!AG15*EF!$H14)*kgtoGg,"ERROR"))</f>
        <v>5.629075655008374</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5.5483103177944031</v>
      </c>
      <c r="S1077" s="93">
        <f>IF('Net zero activities &amp; levers'!$C$14="Off",('Activity data'!AL15*EF!$H14)*kgtoGg,IF('Net zero activities &amp; levers'!$C$14="On",('Net zero Activity data'!AL15*EF!$H14)*kgtoGg,"ERROR"))</f>
        <v>5.2971852508905934</v>
      </c>
      <c r="T1077" s="93">
        <f>IF('Net zero activities &amp; levers'!$C$14="Off",('Activity data'!AM15*EF!$H14)*kgtoGg,IF('Net zero activities &amp; levers'!$C$14="On",('Net zero Activity data'!AM15*EF!$H14)*kgtoGg,"ERROR"))</f>
        <v>5.4545032105207021</v>
      </c>
      <c r="U1077" s="93">
        <f>IF('Net zero activities &amp; levers'!$C$14="Off",('Activity data'!AN15*EF!$H14)*kgtoGg,IF('Net zero activities &amp; levers'!$C$14="On",('Net zero Activity data'!AN15*EF!$H14)*kgtoGg,"ERROR"))</f>
        <v>5.5329638064801401</v>
      </c>
      <c r="V1077" s="93">
        <f>IF('Net zero activities &amp; levers'!$C$14="Off",('Activity data'!AO15*EF!$H14)*kgtoGg,IF('Net zero activities &amp; levers'!$C$14="On",('Net zero Activity data'!AO15*EF!$H14)*kgtoGg,"ERROR"))</f>
        <v>5.544813640469159</v>
      </c>
      <c r="W1077" s="93">
        <f>IF('Net zero activities &amp; levers'!$C$14="Off",('Activity data'!AP15*EF!$H14)*kgtoGg,IF('Net zero activities &amp; levers'!$C$14="On",('Net zero Activity data'!AP15*EF!$H14)*kgtoGg,"ERROR"))</f>
        <v>5.5552394312209037</v>
      </c>
      <c r="X1077" s="93">
        <f>IF('Net zero activities &amp; levers'!$C$14="Off",('Activity data'!AQ15*EF!$H14)*kgtoGg,IF('Net zero activities &amp; levers'!$C$14="On",('Net zero Activity data'!AQ15*EF!$H14)*kgtoGg,"ERROR"))</f>
        <v>5.5805371243140618</v>
      </c>
      <c r="Y1077" s="93">
        <f>IF('Net zero activities &amp; levers'!$C$14="Off",('Activity data'!AR15*EF!$H14)*kgtoGg,IF('Net zero activities &amp; levers'!$C$14="On",('Net zero Activity data'!AR15*EF!$H14)*kgtoGg,"ERROR"))</f>
        <v>5.6237182797404808</v>
      </c>
      <c r="Z1077" s="93">
        <f>IF('Net zero activities &amp; levers'!$C$14="Off",('Activity data'!AS15*EF!$H14)*kgtoGg,IF('Net zero activities &amp; levers'!$C$14="On",('Net zero Activity data'!AS15*EF!$H14)*kgtoGg,"ERROR"))</f>
        <v>5.6758191216830927</v>
      </c>
      <c r="AA1077" s="93">
        <f>IF('Net zero activities &amp; levers'!$C$14="Off",('Activity data'!AT15*EF!$H14)*kgtoGg,IF('Net zero activities &amp; levers'!$C$14="On",('Net zero Activity data'!AT15*EF!$H14)*kgtoGg,"ERROR"))</f>
        <v>5.7392036522982304</v>
      </c>
      <c r="AB1077" s="93">
        <f>IF('Net zero activities &amp; levers'!$C$14="Off",('Activity data'!AU15*EF!$H14)*kgtoGg,IF('Net zero activities &amp; levers'!$C$14="On",('Net zero Activity data'!AU15*EF!$H14)*kgtoGg,"ERROR"))</f>
        <v>5.8209863133515896</v>
      </c>
      <c r="AC1077" s="93">
        <f>IF('Net zero activities &amp; levers'!$C$14="Off",('Activity data'!AV15*EF!$H14)*kgtoGg,IF('Net zero activities &amp; levers'!$C$14="On",('Net zero Activity data'!AV15*EF!$H14)*kgtoGg,"ERROR"))</f>
        <v>5.9200988769206573</v>
      </c>
      <c r="AD1077" s="93">
        <f>IF('Net zero activities &amp; levers'!$C$14="Off",('Activity data'!AW15*EF!$H14)*kgtoGg,IF('Net zero activities &amp; levers'!$C$14="On",('Net zero Activity data'!AW15*EF!$H14)*kgtoGg,"ERROR"))</f>
        <v>6.0298529321871719</v>
      </c>
      <c r="AE1077" s="93">
        <f>IF('Net zero activities &amp; levers'!$C$14="Off",('Activity data'!AX15*EF!$H14)*kgtoGg,IF('Net zero activities &amp; levers'!$C$14="On",('Net zero Activity data'!AX15*EF!$H14)*kgtoGg,"ERROR"))</f>
        <v>6.1497995952254207</v>
      </c>
      <c r="AF1077" s="93">
        <f>IF('Net zero activities &amp; levers'!$C$14="Off",('Activity data'!AY15*EF!$H14)*kgtoGg,IF('Net zero activities &amp; levers'!$C$14="On",('Net zero Activity data'!AY15*EF!$H14)*kgtoGg,"ERROR"))</f>
        <v>6.2762315807434783</v>
      </c>
      <c r="AG1077" s="93">
        <f>IF('Net zero activities &amp; levers'!$C$14="Off",('Activity data'!AZ15*EF!$H14)*kgtoGg,IF('Net zero activities &amp; levers'!$C$14="On",('Net zero Activity data'!AZ15*EF!$H14)*kgtoGg,"ERROR"))</f>
        <v>6.4109152413607369</v>
      </c>
      <c r="AH1077" s="93">
        <f>IF('Net zero activities &amp; levers'!$C$14="Off",('Activity data'!BA15*EF!$H14)*kgtoGg,IF('Net zero activities &amp; levers'!$C$14="On",('Net zero Activity data'!BA15*EF!$H14)*kgtoGg,"ERROR"))</f>
        <v>6.552086974601302</v>
      </c>
      <c r="AI1077" s="93">
        <f>IF('Net zero activities &amp; levers'!$C$14="Off",('Activity data'!BB15*EF!$H14)*kgtoGg,IF('Net zero activities &amp; levers'!$C$14="On",('Net zero Activity data'!BB15*EF!$H14)*kgtoGg,"ERROR"))</f>
        <v>6.6933077398392395</v>
      </c>
      <c r="AJ1077" s="93">
        <f>IF('Net zero activities &amp; levers'!$C$14="Off",('Activity data'!BC15*EF!$H14)*kgtoGg,IF('Net zero activities &amp; levers'!$C$14="On",('Net zero Activity data'!BC15*EF!$H14)*kgtoGg,"ERROR"))</f>
        <v>6.8438679121481307</v>
      </c>
      <c r="AK1077" s="93">
        <f>IF('Net zero activities &amp; levers'!$C$14="Off",('Activity data'!BD15*EF!$H14)*kgtoGg,IF('Net zero activities &amp; levers'!$C$14="On",('Net zero Activity data'!BD15*EF!$H14)*kgtoGg,"ERROR"))</f>
        <v>6.9980784680830306</v>
      </c>
      <c r="AL1077" s="93">
        <f>IF('Net zero activities &amp; levers'!$C$14="Off",('Activity data'!BE15*EF!$H14)*kgtoGg,IF('Net zero activities &amp; levers'!$C$14="On",('Net zero Activity data'!BE15*EF!$H14)*kgtoGg,"ERROR"))</f>
        <v>7.1555200224058177</v>
      </c>
      <c r="AM1077" s="93">
        <f>IF('Net zero activities &amp; levers'!$C$14="Off",('Activity data'!BF15*EF!$H14)*kgtoGg,IF('Net zero activities &amp; levers'!$C$14="On",('Net zero Activity data'!BF15*EF!$H14)*kgtoGg,"ERROR"))</f>
        <v>7.3189945558292679</v>
      </c>
      <c r="AN1077" s="93">
        <f>IF('Net zero activities &amp; levers'!$C$14="Off",('Activity data'!BG15*EF!$H14)*kgtoGg,IF('Net zero activities &amp; levers'!$C$14="On",('Net zero Activity data'!BG15*EF!$H14)*kgtoGg,"ERROR"))</f>
        <v>7.4816205294730294</v>
      </c>
      <c r="AO1077" s="93">
        <f>IF('Net zero activities &amp; levers'!$C$14="Off",('Activity data'!BH15*EF!$H14)*kgtoGg,IF('Net zero activities &amp; levers'!$C$14="On",('Net zero Activity data'!BH15*EF!$H14)*kgtoGg,"ERROR"))</f>
        <v>7.6530966093944661</v>
      </c>
      <c r="AP1077" s="93">
        <f>IF('Net zero activities &amp; levers'!$C$14="Off",('Activity data'!BI15*EF!$H14)*kgtoGg,IF('Net zero activities &amp; levers'!$C$14="On",('Net zero Activity data'!BI15*EF!$H14)*kgtoGg,"ERROR"))</f>
        <v>7.8370750081366163</v>
      </c>
      <c r="AQ1077" s="93">
        <f>IF('Net zero activities &amp; levers'!$C$14="Off",('Activity data'!BJ15*EF!$H14)*kgtoGg,IF('Net zero activities &amp; levers'!$C$14="On",('Net zero Activity data'!BJ15*EF!$H14)*kgtoGg,"ERROR"))</f>
        <v>8.0278701064246079</v>
      </c>
      <c r="AR1077" s="93">
        <f>IF('Net zero activities &amp; levers'!$C$14="Off",('Activity data'!BK15*EF!$H14)*kgtoGg,IF('Net zero activities &amp; levers'!$C$14="On",('Net zero Activity data'!BK15*EF!$H14)*kgtoGg,"ERROR"))</f>
        <v>8.2260903165664789</v>
      </c>
      <c r="AS1077" s="93">
        <f>IF('Net zero activities &amp; levers'!$C$14="Off",('Activity data'!BL15*EF!$H14)*kgtoGg,IF('Net zero activities &amp; levers'!$C$14="On",('Net zero Activity data'!BL15*EF!$H14)*kgtoGg,"ERROR"))</f>
        <v>8.4385648916420113</v>
      </c>
      <c r="AT1077" s="93">
        <f>IF('Net zero activities &amp; levers'!$C$14="Off",('Activity data'!BM15*EF!$H14)*kgtoGg,IF('Net zero activities &amp; levers'!$C$14="On",('Net zero Activity data'!BM15*EF!$H14)*kgtoGg,"ERROR"))</f>
        <v>8.6634503637197486</v>
      </c>
      <c r="AU1077" s="93">
        <f>IF('Net zero activities &amp; levers'!$C$14="Off",('Activity data'!BN15*EF!$H14)*kgtoGg,IF('Net zero activities &amp; levers'!$C$14="On",('Net zero Activity data'!BN15*EF!$H14)*kgtoGg,"ERROR"))</f>
        <v>8.8995458740132776</v>
      </c>
      <c r="AV1077" s="93">
        <f>IF('Net zero activities &amp; levers'!$C$14="Off",('Activity data'!BO15*EF!$H14)*kgtoGg,IF('Net zero activities &amp; levers'!$C$14="On",('Net zero Activity data'!BO15*EF!$H14)*kgtoGg,"ERROR"))</f>
        <v>9.151348341874078</v>
      </c>
      <c r="AW1077" s="93">
        <f>IF('Net zero activities &amp; levers'!$C$14="Off",('Activity data'!BP15*EF!$H14)*kgtoGg,IF('Net zero activities &amp; levers'!$C$14="On",('Net zero Activity data'!BP15*EF!$H14)*kgtoGg,"ERROR"))</f>
        <v>9.3946927055732683</v>
      </c>
      <c r="AY1077" s="79"/>
    </row>
    <row r="1078" spans="1:51" x14ac:dyDescent="0.25">
      <c r="A1078" s="95" t="str">
        <f t="shared" si="373"/>
        <v>CM Mules&amp;Asses</v>
      </c>
      <c r="B1078" s="95" t="s">
        <v>1321</v>
      </c>
      <c r="C1078" s="95" t="s">
        <v>1322</v>
      </c>
      <c r="D1078" t="s">
        <v>15</v>
      </c>
      <c r="E1078" t="s">
        <v>16</v>
      </c>
      <c r="F1078" t="s">
        <v>140</v>
      </c>
      <c r="G1078" t="s">
        <v>124</v>
      </c>
      <c r="H1078" t="s">
        <v>1019</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5">
      <c r="A1079" s="95" t="str">
        <f t="shared" si="373"/>
        <v>CM Swine</v>
      </c>
      <c r="B1079" s="95" t="s">
        <v>1321</v>
      </c>
      <c r="C1079" s="95" t="s">
        <v>155</v>
      </c>
      <c r="D1079" t="s">
        <v>15</v>
      </c>
      <c r="E1079" t="s">
        <v>16</v>
      </c>
      <c r="F1079" t="s">
        <v>21</v>
      </c>
      <c r="G1079" t="s">
        <v>122</v>
      </c>
      <c r="H1079" t="s">
        <v>1019</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1.8300977880312248</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1.8141094978660446</v>
      </c>
      <c r="O1079" s="93">
        <f>IF('Net zero activities &amp; levers'!$C$14="Off",('Activity data'!AH17*EF!$H16)*kgtoGg,IF('Net zero activities &amp; levers'!$C$14="On",('Net zero Activity data'!AH17*EF!$H16)*kgtoGg,"ERROR"))</f>
        <v>1.7866561368117291</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1.7216531928010093</v>
      </c>
      <c r="R1079" s="93">
        <f>IF('Net zero activities &amp; levers'!$C$14="Off",('Activity data'!AK17*EF!$H16)*kgtoGg,IF('Net zero activities &amp; levers'!$C$14="On",('Net zero Activity data'!AK17*EF!$H16)*kgtoGg,"ERROR"))</f>
        <v>1.6967284692901876</v>
      </c>
      <c r="S1079" s="93">
        <f>IF('Net zero activities &amp; levers'!$C$14="Off",('Activity data'!AL17*EF!$H16)*kgtoGg,IF('Net zero activities &amp; levers'!$C$14="On",('Net zero Activity data'!AL17*EF!$H16)*kgtoGg,"ERROR"))</f>
        <v>1.524204734718916</v>
      </c>
      <c r="T1079" s="93">
        <f>IF('Net zero activities &amp; levers'!$C$14="Off",('Activity data'!AM17*EF!$H16)*kgtoGg,IF('Net zero activities &amp; levers'!$C$14="On",('Net zero Activity data'!AM17*EF!$H16)*kgtoGg,"ERROR"))</f>
        <v>1.593081714161948</v>
      </c>
      <c r="U1079" s="93">
        <f>IF('Net zero activities &amp; levers'!$C$14="Off",('Activity data'!AN17*EF!$H16)*kgtoGg,IF('Net zero activities &amp; levers'!$C$14="On",('Net zero Activity data'!AN17*EF!$H16)*kgtoGg,"ERROR"))</f>
        <v>1.6139052959558671</v>
      </c>
      <c r="V1079" s="93">
        <f>IF('Net zero activities &amp; levers'!$C$14="Off",('Activity data'!AO17*EF!$H16)*kgtoGg,IF('Net zero activities &amp; levers'!$C$14="On",('Net zero Activity data'!AO17*EF!$H16)*kgtoGg,"ERROR"))</f>
        <v>1.5979776175047269</v>
      </c>
      <c r="W1079" s="93">
        <f>IF('Net zero activities &amp; levers'!$C$14="Off",('Activity data'!AP17*EF!$H16)*kgtoGg,IF('Net zero activities &amp; levers'!$C$14="On",('Net zero Activity data'!AP17*EF!$H16)*kgtoGg,"ERROR"))</f>
        <v>1.5839693089985563</v>
      </c>
      <c r="X1079" s="93">
        <f>IF('Net zero activities &amp; levers'!$C$14="Off",('Activity data'!AQ17*EF!$H16)*kgtoGg,IF('Net zero activities &amp; levers'!$C$14="On",('Net zero Activity data'!AQ17*EF!$H16)*kgtoGg,"ERROR"))</f>
        <v>1.5796400354975273</v>
      </c>
      <c r="Y1079" s="93">
        <f>IF('Net zero activities &amp; levers'!$C$14="Off",('Activity data'!AR17*EF!$H16)*kgtoGg,IF('Net zero activities &amp; levers'!$C$14="On",('Net zero Activity data'!AR17*EF!$H16)*kgtoGg,"ERROR"))</f>
        <v>1.5846136319816619</v>
      </c>
      <c r="Z1079" s="93">
        <f>IF('Net zero activities &amp; levers'!$C$14="Off",('Activity data'!AS17*EF!$H16)*kgtoGg,IF('Net zero activities &amp; levers'!$C$14="On",('Net zero Activity data'!AS17*EF!$H16)*kgtoGg,"ERROR"))</f>
        <v>1.5938774465709915</v>
      </c>
      <c r="AA1079" s="93">
        <f>IF('Net zero activities &amp; levers'!$C$14="Off",('Activity data'!AT17*EF!$H16)*kgtoGg,IF('Net zero activities &amp; levers'!$C$14="On",('Net zero Activity data'!AT17*EF!$H16)*kgtoGg,"ERROR"))</f>
        <v>1.6084883569821753</v>
      </c>
      <c r="AB1079" s="93">
        <f>IF('Net zero activities &amp; levers'!$C$14="Off",('Activity data'!AU17*EF!$H16)*kgtoGg,IF('Net zero activities &amp; levers'!$C$14="On",('Net zero Activity data'!AU17*EF!$H16)*kgtoGg,"ERROR"))</f>
        <v>1.6319593485428836</v>
      </c>
      <c r="AC1079" s="93">
        <f>IF('Net zero activities &amp; levers'!$C$14="Off",('Activity data'!AV17*EF!$H16)*kgtoGg,IF('Net zero activities &amp; levers'!$C$14="On",('Net zero Activity data'!AV17*EF!$H16)*kgtoGg,"ERROR"))</f>
        <v>1.6634709540368702</v>
      </c>
      <c r="AD1079" s="93">
        <f>IF('Net zero activities &amp; levers'!$C$14="Off",('Activity data'!AW17*EF!$H16)*kgtoGg,IF('Net zero activities &amp; levers'!$C$14="On",('Net zero Activity data'!AW17*EF!$H16)*kgtoGg,"ERROR"))</f>
        <v>1.6993359016898217</v>
      </c>
      <c r="AE1079" s="93">
        <f>IF('Net zero activities &amp; levers'!$C$14="Off",('Activity data'!AX17*EF!$H16)*kgtoGg,IF('Net zero activities &amp; levers'!$C$14="On",('Net zero Activity data'!AX17*EF!$H16)*kgtoGg,"ERROR"))</f>
        <v>1.7391981590716521</v>
      </c>
      <c r="AF1079" s="93">
        <f>IF('Net zero activities &amp; levers'!$C$14="Off",('Activity data'!AY17*EF!$H16)*kgtoGg,IF('Net zero activities &amp; levers'!$C$14="On",('Net zero Activity data'!AY17*EF!$H16)*kgtoGg,"ERROR"))</f>
        <v>1.7810637998476497</v>
      </c>
      <c r="AG1079" s="93">
        <f>IF('Net zero activities &amp; levers'!$C$14="Off",('Activity data'!AZ17*EF!$H16)*kgtoGg,IF('Net zero activities &amp; levers'!$C$14="On",('Net zero Activity data'!AZ17*EF!$H16)*kgtoGg,"ERROR"))</f>
        <v>1.8256518272462501</v>
      </c>
      <c r="AH1079" s="93">
        <f>IF('Net zero activities &amp; levers'!$C$14="Off",('Activity data'!BA17*EF!$H16)*kgtoGg,IF('Net zero activities &amp; levers'!$C$14="On",('Net zero Activity data'!BA17*EF!$H16)*kgtoGg,"ERROR"))</f>
        <v>1.8720011956576361</v>
      </c>
      <c r="AI1079" s="93">
        <f>IF('Net zero activities &amp; levers'!$C$14="Off",('Activity data'!BB17*EF!$H16)*kgtoGg,IF('Net zero activities &amp; levers'!$C$14="On",('Net zero Activity data'!BB17*EF!$H16)*kgtoGg,"ERROR"))</f>
        <v>1.9169799867438404</v>
      </c>
      <c r="AJ1079" s="93">
        <f>IF('Net zero activities &amp; levers'!$C$14="Off",('Activity data'!BC17*EF!$H16)*kgtoGg,IF('Net zero activities &amp; levers'!$C$14="On",('Net zero Activity data'!BC17*EF!$H16)*kgtoGg,"ERROR"))</f>
        <v>1.9649335737465348</v>
      </c>
      <c r="AK1079" s="93">
        <f>IF('Net zero activities &amp; levers'!$C$14="Off",('Activity data'!BD17*EF!$H16)*kgtoGg,IF('Net zero activities &amp; levers'!$C$14="On",('Net zero Activity data'!BD17*EF!$H16)*kgtoGg,"ERROR"))</f>
        <v>2.0129828074709066</v>
      </c>
      <c r="AL1079" s="93">
        <f>IF('Net zero activities &amp; levers'!$C$14="Off",('Activity data'!BE17*EF!$H16)*kgtoGg,IF('Net zero activities &amp; levers'!$C$14="On",('Net zero Activity data'!BE17*EF!$H16)*kgtoGg,"ERROR"))</f>
        <v>2.0608754146421031</v>
      </c>
      <c r="AM1079" s="93">
        <f>IF('Net zero activities &amp; levers'!$C$14="Off",('Activity data'!BF17*EF!$H16)*kgtoGg,IF('Net zero activities &amp; levers'!$C$14="On",('Net zero Activity data'!BF17*EF!$H16)*kgtoGg,"ERROR"))</f>
        <v>2.1098506270361996</v>
      </c>
      <c r="AN1079" s="93">
        <f>IF('Net zero activities &amp; levers'!$C$14="Off",('Activity data'!BG17*EF!$H16)*kgtoGg,IF('Net zero activities &amp; levers'!$C$14="On",('Net zero Activity data'!BG17*EF!$H16)*kgtoGg,"ERROR"))</f>
        <v>2.1567413105664199</v>
      </c>
      <c r="AO1079" s="93">
        <f>IF('Net zero activities &amp; levers'!$C$14="Off",('Activity data'!BH17*EF!$H16)*kgtoGg,IF('Net zero activities &amp; levers'!$C$14="On",('Net zero Activity data'!BH17*EF!$H16)*kgtoGg,"ERROR"))</f>
        <v>2.2058096743065145</v>
      </c>
      <c r="AP1079" s="93">
        <f>IF('Net zero activities &amp; levers'!$C$14="Off",('Activity data'!BI17*EF!$H16)*kgtoGg,IF('Net zero activities &amp; levers'!$C$14="On",('Net zero Activity data'!BI17*EF!$H16)*kgtoGg,"ERROR"))</f>
        <v>2.258470217432818</v>
      </c>
      <c r="AQ1079" s="93">
        <f>IF('Net zero activities &amp; levers'!$C$14="Off",('Activity data'!BJ17*EF!$H16)*kgtoGg,IF('Net zero activities &amp; levers'!$C$14="On",('Net zero Activity data'!BJ17*EF!$H16)*kgtoGg,"ERROR"))</f>
        <v>2.3120510725576544</v>
      </c>
      <c r="AR1079" s="93">
        <f>IF('Net zero activities &amp; levers'!$C$14="Off",('Activity data'!BK17*EF!$H16)*kgtoGg,IF('Net zero activities &amp; levers'!$C$14="On",('Net zero Activity data'!BK17*EF!$H16)*kgtoGg,"ERROR"))</f>
        <v>2.3666507440832505</v>
      </c>
      <c r="AS1079" s="93">
        <f>IF('Net zero activities &amp; levers'!$C$14="Off",('Activity data'!BL17*EF!$H16)*kgtoGg,IF('Net zero activities &amp; levers'!$C$14="On",('Net zero Activity data'!BL17*EF!$H16)*kgtoGg,"ERROR"))</f>
        <v>2.4249672048017872</v>
      </c>
      <c r="AT1079" s="93">
        <f>IF('Net zero activities &amp; levers'!$C$14="Off",('Activity data'!BM17*EF!$H16)*kgtoGg,IF('Net zero activities &amp; levers'!$C$14="On",('Net zero Activity data'!BM17*EF!$H16)*kgtoGg,"ERROR"))</f>
        <v>2.4859852344978988</v>
      </c>
      <c r="AU1079" s="93">
        <f>IF('Net zero activities &amp; levers'!$C$14="Off",('Activity data'!BN17*EF!$H16)*kgtoGg,IF('Net zero activities &amp; levers'!$C$14="On",('Net zero Activity data'!BN17*EF!$H16)*kgtoGg,"ERROR"))</f>
        <v>2.5490093093778539</v>
      </c>
      <c r="AV1079" s="93">
        <f>IF('Net zero activities &amp; levers'!$C$14="Off",('Activity data'!BO17*EF!$H16)*kgtoGg,IF('Net zero activities &amp; levers'!$C$14="On",('Net zero Activity data'!BO17*EF!$H16)*kgtoGg,"ERROR"))</f>
        <v>2.6156743076501083</v>
      </c>
      <c r="AW1079" s="93">
        <f>IF('Net zero activities &amp; levers'!$C$14="Off",('Activity data'!BP17*EF!$H16)*kgtoGg,IF('Net zero activities &amp; levers'!$C$14="On",('Net zero Activity data'!BP17*EF!$H16)*kgtoGg,"ERROR"))</f>
        <v>2.6760181986485878</v>
      </c>
      <c r="AY1079" s="79"/>
    </row>
    <row r="1080" spans="1:51" x14ac:dyDescent="0.25">
      <c r="A1080" s="95" t="str">
        <f t="shared" si="373"/>
        <v>CM Swine</v>
      </c>
      <c r="B1080" s="95" t="s">
        <v>1321</v>
      </c>
      <c r="C1080" s="95" t="s">
        <v>155</v>
      </c>
      <c r="D1080" t="s">
        <v>15</v>
      </c>
      <c r="E1080" t="s">
        <v>16</v>
      </c>
      <c r="F1080" t="s">
        <v>21</v>
      </c>
      <c r="G1080" t="s">
        <v>123</v>
      </c>
      <c r="H1080" t="s">
        <v>1019</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0.25358132281546891</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0.25136595935447836</v>
      </c>
      <c r="O1080" s="93">
        <f>IF('Net zero activities &amp; levers'!$C$14="Off",('Activity data'!AH18*EF!$H17)*kgtoGg,IF('Net zero activities &amp; levers'!$C$14="On",('Net zero Activity data'!AH18*EF!$H17)*kgtoGg,"ERROR"))</f>
        <v>0.24756197704412694</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0.23855506351363698</v>
      </c>
      <c r="R1080" s="93">
        <f>IF('Net zero activities &amp; levers'!$C$14="Off",('Activity data'!AK18*EF!$H17)*kgtoGg,IF('Net zero activities &amp; levers'!$C$14="On",('Net zero Activity data'!AK18*EF!$H17)*kgtoGg,"ERROR"))</f>
        <v>0.2351014533295149</v>
      </c>
      <c r="S1080" s="93">
        <f>IF('Net zero activities &amp; levers'!$C$14="Off",('Activity data'!AL18*EF!$H17)*kgtoGg,IF('Net zero activities &amp; levers'!$C$14="On",('Net zero Activity data'!AL18*EF!$H17)*kgtoGg,"ERROR"))</f>
        <v>0.21119628437309981</v>
      </c>
      <c r="T1080" s="93">
        <f>IF('Net zero activities &amp; levers'!$C$14="Off",('Activity data'!AM18*EF!$H17)*kgtoGg,IF('Net zero activities &amp; levers'!$C$14="On",('Net zero Activity data'!AM18*EF!$H17)*kgtoGg,"ERROR"))</f>
        <v>0.22073999054712201</v>
      </c>
      <c r="U1080" s="93">
        <f>IF('Net zero activities &amp; levers'!$C$14="Off",('Activity data'!AN18*EF!$H17)*kgtoGg,IF('Net zero activities &amp; levers'!$C$14="On",('Net zero Activity data'!AN18*EF!$H17)*kgtoGg,"ERROR"))</f>
        <v>0.22362533987194619</v>
      </c>
      <c r="V1080" s="93">
        <f>IF('Net zero activities &amp; levers'!$C$14="Off",('Activity data'!AO18*EF!$H17)*kgtoGg,IF('Net zero activities &amp; levers'!$C$14="On",('Net zero Activity data'!AO18*EF!$H17)*kgtoGg,"ERROR"))</f>
        <v>0.22141837486852711</v>
      </c>
      <c r="W1080" s="93">
        <f>IF('Net zero activities &amp; levers'!$C$14="Off",('Activity data'!AP18*EF!$H17)*kgtoGg,IF('Net zero activities &amp; levers'!$C$14="On",('Net zero Activity data'!AP18*EF!$H17)*kgtoGg,"ERROR"))</f>
        <v>0.21947736088302675</v>
      </c>
      <c r="X1080" s="93">
        <f>IF('Net zero activities &amp; levers'!$C$14="Off",('Activity data'!AQ18*EF!$H17)*kgtoGg,IF('Net zero activities &amp; levers'!$C$14="On",('Net zero Activity data'!AQ18*EF!$H17)*kgtoGg,"ERROR"))</f>
        <v>0.2188774897130813</v>
      </c>
      <c r="Y1080" s="93">
        <f>IF('Net zero activities &amp; levers'!$C$14="Off",('Activity data'!AR18*EF!$H17)*kgtoGg,IF('Net zero activities &amp; levers'!$C$14="On",('Net zero Activity data'!AR18*EF!$H17)*kgtoGg,"ERROR"))</f>
        <v>0.21956663932237841</v>
      </c>
      <c r="Z1080" s="93">
        <f>IF('Net zero activities &amp; levers'!$C$14="Off",('Activity data'!AS18*EF!$H17)*kgtoGg,IF('Net zero activities &amp; levers'!$C$14="On",('Net zero Activity data'!AS18*EF!$H17)*kgtoGg,"ERROR"))</f>
        <v>0.22085024852252202</v>
      </c>
      <c r="AA1080" s="93">
        <f>IF('Net zero activities &amp; levers'!$C$14="Off",('Activity data'!AT18*EF!$H17)*kgtoGg,IF('Net zero activities &amp; levers'!$C$14="On",('Net zero Activity data'!AT18*EF!$H17)*kgtoGg,"ERROR"))</f>
        <v>0.22287476000701054</v>
      </c>
      <c r="AB1080" s="93">
        <f>IF('Net zero activities &amp; levers'!$C$14="Off",('Activity data'!AU18*EF!$H17)*kgtoGg,IF('Net zero activities &amp; levers'!$C$14="On",('Net zero Activity data'!AU18*EF!$H17)*kgtoGg,"ERROR"))</f>
        <v>0.22612693873028961</v>
      </c>
      <c r="AC1080" s="93">
        <f>IF('Net zero activities &amp; levers'!$C$14="Off",('Activity data'!AV18*EF!$H17)*kgtoGg,IF('Net zero activities &amp; levers'!$C$14="On",('Net zero Activity data'!AV18*EF!$H17)*kgtoGg,"ERROR"))</f>
        <v>0.23049323798351176</v>
      </c>
      <c r="AD1080" s="93">
        <f>IF('Net zero activities &amp; levers'!$C$14="Off",('Activity data'!AW18*EF!$H17)*kgtoGg,IF('Net zero activities &amp; levers'!$C$14="On",('Net zero Activity data'!AW18*EF!$H17)*kgtoGg,"ERROR"))</f>
        <v>0.23546274339902665</v>
      </c>
      <c r="AE1080" s="93">
        <f>IF('Net zero activities &amp; levers'!$C$14="Off",('Activity data'!AX18*EF!$H17)*kgtoGg,IF('Net zero activities &amp; levers'!$C$14="On",('Net zero Activity data'!AX18*EF!$H17)*kgtoGg,"ERROR"))</f>
        <v>0.24098612254488616</v>
      </c>
      <c r="AF1080" s="93">
        <f>IF('Net zero activities &amp; levers'!$C$14="Off",('Activity data'!AY18*EF!$H17)*kgtoGg,IF('Net zero activities &amp; levers'!$C$14="On",('Net zero Activity data'!AY18*EF!$H17)*kgtoGg,"ERROR"))</f>
        <v>0.24678709374867933</v>
      </c>
      <c r="AG1080" s="93">
        <f>IF('Net zero activities &amp; levers'!$C$14="Off",('Activity data'!AZ18*EF!$H17)*kgtoGg,IF('Net zero activities &amp; levers'!$C$14="On",('Net zero Activity data'!AZ18*EF!$H17)*kgtoGg,"ERROR"))</f>
        <v>0.25296528326588152</v>
      </c>
      <c r="AH1080" s="93">
        <f>IF('Net zero activities &amp; levers'!$C$14="Off",('Activity data'!BA18*EF!$H17)*kgtoGg,IF('Net zero activities &amp; levers'!$C$14="On",('Net zero Activity data'!BA18*EF!$H17)*kgtoGg,"ERROR"))</f>
        <v>0.25938752705541407</v>
      </c>
      <c r="AI1080" s="93">
        <f>IF('Net zero activities &amp; levers'!$C$14="Off",('Activity data'!BB18*EF!$H17)*kgtoGg,IF('Net zero activities &amp; levers'!$C$14="On",('Net zero Activity data'!BB18*EF!$H17)*kgtoGg,"ERROR"))</f>
        <v>0.26561986142403288</v>
      </c>
      <c r="AJ1080" s="93">
        <f>IF('Net zero activities &amp; levers'!$C$14="Off",('Activity data'!BC18*EF!$H17)*kgtoGg,IF('Net zero activities &amp; levers'!$C$14="On",('Net zero Activity data'!BC18*EF!$H17)*kgtoGg,"ERROR"))</f>
        <v>0.27226438834790373</v>
      </c>
      <c r="AK1080" s="93">
        <f>IF('Net zero activities &amp; levers'!$C$14="Off",('Activity data'!BD18*EF!$H17)*kgtoGg,IF('Net zero activities &amp; levers'!$C$14="On",('Net zero Activity data'!BD18*EF!$H17)*kgtoGg,"ERROR"))</f>
        <v>0.27892216823692451</v>
      </c>
      <c r="AL1080" s="93">
        <f>IF('Net zero activities &amp; levers'!$C$14="Off",('Activity data'!BE18*EF!$H17)*kgtoGg,IF('Net zero activities &amp; levers'!$C$14="On",('Net zero Activity data'!BE18*EF!$H17)*kgtoGg,"ERROR"))</f>
        <v>0.28555824569627086</v>
      </c>
      <c r="AM1080" s="93">
        <f>IF('Net zero activities &amp; levers'!$C$14="Off",('Activity data'!BF18*EF!$H17)*kgtoGg,IF('Net zero activities &amp; levers'!$C$14="On",('Net zero Activity data'!BF18*EF!$H17)*kgtoGg,"ERROR"))</f>
        <v>0.29234433069417909</v>
      </c>
      <c r="AN1080" s="93">
        <f>IF('Net zero activities &amp; levers'!$C$14="Off",('Activity data'!BG18*EF!$H17)*kgtoGg,IF('Net zero activities &amp; levers'!$C$14="On",('Net zero Activity data'!BG18*EF!$H17)*kgtoGg,"ERROR"))</f>
        <v>0.298841579986036</v>
      </c>
      <c r="AO1080" s="93">
        <f>IF('Net zero activities &amp; levers'!$C$14="Off",('Activity data'!BH18*EF!$H17)*kgtoGg,IF('Net zero activities &amp; levers'!$C$14="On",('Net zero Activity data'!BH18*EF!$H17)*kgtoGg,"ERROR"))</f>
        <v>0.30564057218578583</v>
      </c>
      <c r="AP1080" s="93">
        <f>IF('Net zero activities &amp; levers'!$C$14="Off",('Activity data'!BI18*EF!$H17)*kgtoGg,IF('Net zero activities &amp; levers'!$C$14="On",('Net zero Activity data'!BI18*EF!$H17)*kgtoGg,"ERROR"))</f>
        <v>0.3129373025973966</v>
      </c>
      <c r="AQ1080" s="93">
        <f>IF('Net zero activities &amp; levers'!$C$14="Off",('Activity data'!BJ18*EF!$H17)*kgtoGg,IF('Net zero activities &amp; levers'!$C$14="On",('Net zero Activity data'!BJ18*EF!$H17)*kgtoGg,"ERROR"))</f>
        <v>0.32036155293472796</v>
      </c>
      <c r="AR1080" s="93">
        <f>IF('Net zero activities &amp; levers'!$C$14="Off",('Activity data'!BK18*EF!$H17)*kgtoGg,IF('Net zero activities &amp; levers'!$C$14="On",('Net zero Activity data'!BK18*EF!$H17)*kgtoGg,"ERROR"))</f>
        <v>0.32792697212778937</v>
      </c>
      <c r="AS1080" s="93">
        <f>IF('Net zero activities &amp; levers'!$C$14="Off",('Activity data'!BL18*EF!$H17)*kgtoGg,IF('Net zero activities &amp; levers'!$C$14="On",('Net zero Activity data'!BL18*EF!$H17)*kgtoGg,"ERROR"))</f>
        <v>0.33600739566998233</v>
      </c>
      <c r="AT1080" s="93">
        <f>IF('Net zero activities &amp; levers'!$C$14="Off",('Activity data'!BM18*EF!$H17)*kgtoGg,IF('Net zero activities &amp; levers'!$C$14="On",('Net zero Activity data'!BM18*EF!$H17)*kgtoGg,"ERROR"))</f>
        <v>0.34446215299886757</v>
      </c>
      <c r="AU1080" s="93">
        <f>IF('Net zero activities &amp; levers'!$C$14="Off",('Activity data'!BN18*EF!$H17)*kgtoGg,IF('Net zero activities &amp; levers'!$C$14="On",('Net zero Activity data'!BN18*EF!$H17)*kgtoGg,"ERROR"))</f>
        <v>0.35319487120758841</v>
      </c>
      <c r="AV1080" s="93">
        <f>IF('Net zero activities &amp; levers'!$C$14="Off",('Activity data'!BO18*EF!$H17)*kgtoGg,IF('Net zero activities &amp; levers'!$C$14="On",('Net zero Activity data'!BO18*EF!$H17)*kgtoGg,"ERROR"))</f>
        <v>0.3624320816768471</v>
      </c>
      <c r="AW1080" s="93">
        <f>IF('Net zero activities &amp; levers'!$C$14="Off",('Activity data'!BP18*EF!$H17)*kgtoGg,IF('Net zero activities &amp; levers'!$C$14="On",('Net zero Activity data'!BP18*EF!$H17)*kgtoGg,"ERROR"))</f>
        <v>0.37079342925253511</v>
      </c>
      <c r="AY1080" s="79"/>
    </row>
    <row r="1081" spans="1:51" x14ac:dyDescent="0.25">
      <c r="A1081" s="95" t="str">
        <f t="shared" si="373"/>
        <v>CM Cattle MMCH4</v>
      </c>
      <c r="B1081" s="95" t="s">
        <v>1321</v>
      </c>
      <c r="C1081" s="95" t="s">
        <v>1228</v>
      </c>
      <c r="D1081" t="s">
        <v>15</v>
      </c>
      <c r="E1081" t="s">
        <v>22</v>
      </c>
      <c r="F1081" t="s">
        <v>6</v>
      </c>
      <c r="G1081" t="s">
        <v>136</v>
      </c>
      <c r="H1081" t="s">
        <v>1226</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7.3635054789242087</v>
      </c>
      <c r="T1081" s="93">
        <f>IF('Net zero activities &amp; levers'!$C$14="Off",('Activity data'!AM5*EF!$H18)*kgtoGg,IF('Net zero activities &amp; levers'!$C$14="On",('Net zero Activity data'!AM5*EF!$H18)*kgtoGg,"ERROR"))</f>
        <v>7.5119983216779529</v>
      </c>
      <c r="U1081" s="93">
        <f>IF('Net zero activities &amp; levers'!$C$14="Off",('Activity data'!AN5*EF!$H18)*kgtoGg,IF('Net zero activities &amp; levers'!$C$14="On",('Net zero Activity data'!AN5*EF!$H18)*kgtoGg,"ERROR"))</f>
        <v>7.5857115422581893</v>
      </c>
      <c r="V1081" s="93">
        <f>IF('Net zero activities &amp; levers'!$C$14="Off",('Activity data'!AO5*EF!$H18)*kgtoGg,IF('Net zero activities &amp; levers'!$C$14="On",('Net zero Activity data'!AO5*EF!$H18)*kgtoGg,"ERROR"))</f>
        <v>7.6049624433961522</v>
      </c>
      <c r="W1081" s="93">
        <f>IF('Net zero activities &amp; levers'!$C$14="Off",('Activity data'!AP5*EF!$H18)*kgtoGg,IF('Net zero activities &amp; levers'!$C$14="On",('Net zero Activity data'!AP5*EF!$H18)*kgtoGg,"ERROR"))</f>
        <v>7.6323349638068887</v>
      </c>
      <c r="X1081" s="93">
        <f>IF('Net zero activities &amp; levers'!$C$14="Off",('Activity data'!AQ5*EF!$H18)*kgtoGg,IF('Net zero activities &amp; levers'!$C$14="On",('Net zero Activity data'!AQ5*EF!$H18)*kgtoGg,"ERROR"))</f>
        <v>7.6782662594179314</v>
      </c>
      <c r="Y1081" s="93">
        <f>IF('Net zero activities &amp; levers'!$C$14="Off",('Activity data'!AR5*EF!$H18)*kgtoGg,IF('Net zero activities &amp; levers'!$C$14="On",('Net zero Activity data'!AR5*EF!$H18)*kgtoGg,"ERROR"))</f>
        <v>7.7389431173667962</v>
      </c>
      <c r="Z1081" s="93">
        <f>IF('Net zero activities &amp; levers'!$C$14="Off",('Activity data'!AS5*EF!$H18)*kgtoGg,IF('Net zero activities &amp; levers'!$C$14="On",('Net zero Activity data'!AS5*EF!$H18)*kgtoGg,"ERROR"))</f>
        <v>7.8068776236096697</v>
      </c>
      <c r="AA1081" s="93">
        <f>IF('Net zero activities &amp; levers'!$C$14="Off",('Activity data'!AT5*EF!$H18)*kgtoGg,IF('Net zero activities &amp; levers'!$C$14="On",('Net zero Activity data'!AT5*EF!$H18)*kgtoGg,"ERROR"))</f>
        <v>7.88420933428013</v>
      </c>
      <c r="AB1081" s="93">
        <f>IF('Net zero activities &amp; levers'!$C$14="Off",('Activity data'!AU5*EF!$H18)*kgtoGg,IF('Net zero activities &amp; levers'!$C$14="On",('Net zero Activity data'!AU5*EF!$H18)*kgtoGg,"ERROR"))</f>
        <v>7.9775686845364202</v>
      </c>
      <c r="AC1081" s="93">
        <f>IF('Net zero activities &amp; levers'!$C$14="Off",('Activity data'!AV5*EF!$H18)*kgtoGg,IF('Net zero activities &amp; levers'!$C$14="On",('Net zero Activity data'!AV5*EF!$H18)*kgtoGg,"ERROR"))</f>
        <v>8.0864133355409642</v>
      </c>
      <c r="AD1081" s="93">
        <f>IF('Net zero activities &amp; levers'!$C$14="Off",('Activity data'!AW5*EF!$H18)*kgtoGg,IF('Net zero activities &amp; levers'!$C$14="On",('Net zero Activity data'!AW5*EF!$H18)*kgtoGg,"ERROR"))</f>
        <v>8.2048813891102359</v>
      </c>
      <c r="AE1081" s="93">
        <f>IF('Net zero activities &amp; levers'!$C$14="Off",('Activity data'!AX5*EF!$H18)*kgtoGg,IF('Net zero activities &amp; levers'!$C$14="On",('Net zero Activity data'!AX5*EF!$H18)*kgtoGg,"ERROR"))</f>
        <v>8.3328657755649527</v>
      </c>
      <c r="AF1081" s="93">
        <f>IF('Net zero activities &amp; levers'!$C$14="Off",('Activity data'!AY5*EF!$H18)*kgtoGg,IF('Net zero activities &amp; levers'!$C$14="On",('Net zero Activity data'!AY5*EF!$H18)*kgtoGg,"ERROR"))</f>
        <v>8.4671187588996872</v>
      </c>
      <c r="AG1081" s="93">
        <f>IF('Net zero activities &amp; levers'!$C$14="Off",('Activity data'!AZ5*EF!$H18)*kgtoGg,IF('Net zero activities &amp; levers'!$C$14="On",('Net zero Activity data'!AZ5*EF!$H18)*kgtoGg,"ERROR"))</f>
        <v>8.6091419335499069</v>
      </c>
      <c r="AH1081" s="93">
        <f>IF('Net zero activities &amp; levers'!$C$14="Off",('Activity data'!BA5*EF!$H18)*kgtoGg,IF('Net zero activities &amp; levers'!$C$14="On",('Net zero Activity data'!BA5*EF!$H18)*kgtoGg,"ERROR"))</f>
        <v>8.7574749892645496</v>
      </c>
      <c r="AI1081" s="93">
        <f>IF('Net zero activities &amp; levers'!$C$14="Off",('Activity data'!BB5*EF!$H18)*kgtoGg,IF('Net zero activities &amp; levers'!$C$14="On",('Net zero Activity data'!BB5*EF!$H18)*kgtoGg,"ERROR"))</f>
        <v>8.9064020314048324</v>
      </c>
      <c r="AJ1081" s="93">
        <f>IF('Net zero activities &amp; levers'!$C$14="Off",('Activity data'!BC5*EF!$H18)*kgtoGg,IF('Net zero activities &amp; levers'!$C$14="On",('Net zero Activity data'!BC5*EF!$H18)*kgtoGg,"ERROR"))</f>
        <v>9.0642998358305835</v>
      </c>
      <c r="AK1081" s="93">
        <f>IF('Net zero activities &amp; levers'!$C$14="Off",('Activity data'!BD5*EF!$H18)*kgtoGg,IF('Net zero activities &amp; levers'!$C$14="On",('Net zero Activity data'!BD5*EF!$H18)*kgtoGg,"ERROR"))</f>
        <v>9.2256487767776196</v>
      </c>
      <c r="AL1081" s="93">
        <f>IF('Net zero activities &amp; levers'!$C$14="Off",('Activity data'!BE5*EF!$H18)*kgtoGg,IF('Net zero activities &amp; levers'!$C$14="On",('Net zero Activity data'!BE5*EF!$H18)*kgtoGg,"ERROR"))</f>
        <v>9.3900384918162416</v>
      </c>
      <c r="AM1081" s="93">
        <f>IF('Net zero activities &amp; levers'!$C$14="Off",('Activity data'!BF5*EF!$H18)*kgtoGg,IF('Net zero activities &amp; levers'!$C$14="On",('Net zero Activity data'!BF5*EF!$H18)*kgtoGg,"ERROR"))</f>
        <v>9.5601174973828691</v>
      </c>
      <c r="AN1081" s="93">
        <f>IF('Net zero activities &amp; levers'!$C$14="Off",('Activity data'!BG5*EF!$H18)*kgtoGg,IF('Net zero activities &amp; levers'!$C$14="On",('Net zero Activity data'!BG5*EF!$H18)*kgtoGg,"ERROR"))</f>
        <v>9.7295365069027504</v>
      </c>
      <c r="AO1081" s="93">
        <f>IF('Net zero activities &amp; levers'!$C$14="Off",('Activity data'!BH5*EF!$H18)*kgtoGg,IF('Net zero activities &amp; levers'!$C$14="On",('Net zero Activity data'!BH5*EF!$H18)*kgtoGg,"ERROR"))</f>
        <v>9.9070935852539623</v>
      </c>
      <c r="AP1081" s="93">
        <f>IF('Net zero activities &amp; levers'!$C$14="Off",('Activity data'!BI5*EF!$H18)*kgtoGg,IF('Net zero activities &amp; levers'!$C$14="On",('Net zero Activity data'!BI5*EF!$H18)*kgtoGg,"ERROR"))</f>
        <v>10.096066907799957</v>
      </c>
      <c r="AQ1081" s="93">
        <f>IF('Net zero activities &amp; levers'!$C$14="Off",('Activity data'!BJ5*EF!$H18)*kgtoGg,IF('Net zero activities &amp; levers'!$C$14="On",('Net zero Activity data'!BJ5*EF!$H18)*kgtoGg,"ERROR"))</f>
        <v>10.291098999348057</v>
      </c>
      <c r="AR1081" s="93">
        <f>IF('Net zero activities &amp; levers'!$C$14="Off",('Activity data'!BK5*EF!$H18)*kgtoGg,IF('Net zero activities &amp; levers'!$C$14="On",('Net zero Activity data'!BK5*EF!$H18)*kgtoGg,"ERROR"))</f>
        <v>10.492542704095264</v>
      </c>
      <c r="AS1081" s="93">
        <f>IF('Net zero activities &amp; levers'!$C$14="Off",('Activity data'!BL5*EF!$H18)*kgtoGg,IF('Net zero activities &amp; levers'!$C$14="On",('Net zero Activity data'!BL5*EF!$H18)*kgtoGg,"ERROR"))</f>
        <v>10.706596925892969</v>
      </c>
      <c r="AT1081" s="93">
        <f>IF('Net zero activities &amp; levers'!$C$14="Off",('Activity data'!BM5*EF!$H18)*kgtoGg,IF('Net zero activities &amp; levers'!$C$14="On",('Net zero Activity data'!BM5*EF!$H18)*kgtoGg,"ERROR"))</f>
        <v>10.931461457010631</v>
      </c>
      <c r="AU1081" s="93">
        <f>IF('Net zero activities &amp; levers'!$C$14="Off",('Activity data'!BN5*EF!$H18)*kgtoGg,IF('Net zero activities &amp; levers'!$C$14="On",('Net zero Activity data'!BN5*EF!$H18)*kgtoGg,"ERROR"))</f>
        <v>11.165976151570428</v>
      </c>
      <c r="AV1081" s="93">
        <f>IF('Net zero activities &amp; levers'!$C$14="Off",('Activity data'!BO5*EF!$H18)*kgtoGg,IF('Net zero activities &amp; levers'!$C$14="On",('Net zero Activity data'!BO5*EF!$H18)*kgtoGg,"ERROR"))</f>
        <v>11.414366787540366</v>
      </c>
      <c r="AW1081" s="93">
        <f>IF('Net zero activities &amp; levers'!$C$14="Off",('Activity data'!BP5*EF!$H18)*kgtoGg,IF('Net zero activities &amp; levers'!$C$14="On",('Net zero Activity data'!BP5*EF!$H18)*kgtoGg,"ERROR"))</f>
        <v>11.653364369886001</v>
      </c>
      <c r="AY1081" s="79"/>
    </row>
    <row r="1082" spans="1:51" x14ac:dyDescent="0.25">
      <c r="A1082" s="95" t="str">
        <f t="shared" si="373"/>
        <v>CM Cattle MMCH4</v>
      </c>
      <c r="B1082" s="95" t="s">
        <v>1321</v>
      </c>
      <c r="C1082" s="95" t="s">
        <v>1228</v>
      </c>
      <c r="D1082" t="s">
        <v>15</v>
      </c>
      <c r="E1082" t="s">
        <v>22</v>
      </c>
      <c r="F1082" t="s">
        <v>6</v>
      </c>
      <c r="G1082" t="s">
        <v>137</v>
      </c>
      <c r="H1082" t="s">
        <v>1226</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2.0979177880086217</v>
      </c>
      <c r="T1082" s="93">
        <f>IF('Net zero activities &amp; levers'!$C$14="Off",('Activity data'!AM6*EF!$H19)*kgtoGg,IF('Net zero activities &amp; levers'!$C$14="On",('Net zero Activity data'!AM6*EF!$H19)*kgtoGg,"ERROR"))</f>
        <v>2.1402245095961443</v>
      </c>
      <c r="U1082" s="93">
        <f>IF('Net zero activities &amp; levers'!$C$14="Off",('Activity data'!AN6*EF!$H19)*kgtoGg,IF('Net zero activities &amp; levers'!$C$14="On",('Net zero Activity data'!AN6*EF!$H19)*kgtoGg,"ERROR"))</f>
        <v>2.1612259574947443</v>
      </c>
      <c r="V1082" s="93">
        <f>IF('Net zero activities &amp; levers'!$C$14="Off",('Activity data'!AO6*EF!$H19)*kgtoGg,IF('Net zero activities &amp; levers'!$C$14="On",('Net zero Activity data'!AO6*EF!$H19)*kgtoGg,"ERROR"))</f>
        <v>2.1667106832205718</v>
      </c>
      <c r="W1082" s="93">
        <f>IF('Net zero activities &amp; levers'!$C$14="Off",('Activity data'!AP6*EF!$H19)*kgtoGg,IF('Net zero activities &amp; levers'!$C$14="On",('Net zero Activity data'!AP6*EF!$H19)*kgtoGg,"ERROR"))</f>
        <v>2.1745093190247649</v>
      </c>
      <c r="X1082" s="93">
        <f>IF('Net zero activities &amp; levers'!$C$14="Off",('Activity data'!AQ6*EF!$H19)*kgtoGg,IF('Net zero activities &amp; levers'!$C$14="On",('Net zero Activity data'!AQ6*EF!$H19)*kgtoGg,"ERROR"))</f>
        <v>2.1875954886982294</v>
      </c>
      <c r="Y1082" s="93">
        <f>IF('Net zero activities &amp; levers'!$C$14="Off",('Activity data'!AR6*EF!$H19)*kgtoGg,IF('Net zero activities &amp; levers'!$C$14="On",('Net zero Activity data'!AR6*EF!$H19)*kgtoGg,"ERROR"))</f>
        <v>2.2048827793746253</v>
      </c>
      <c r="Z1082" s="93">
        <f>IF('Net zero activities &amp; levers'!$C$14="Off",('Activity data'!AS6*EF!$H19)*kgtoGg,IF('Net zero activities &amp; levers'!$C$14="On",('Net zero Activity data'!AS6*EF!$H19)*kgtoGg,"ERROR"))</f>
        <v>2.224237828335264</v>
      </c>
      <c r="AA1082" s="93">
        <f>IF('Net zero activities &amp; levers'!$C$14="Off",('Activity data'!AT6*EF!$H19)*kgtoGg,IF('Net zero activities &amp; levers'!$C$14="On",('Net zero Activity data'!AT6*EF!$H19)*kgtoGg,"ERROR"))</f>
        <v>2.2462702111259123</v>
      </c>
      <c r="AB1082" s="93">
        <f>IF('Net zero activities &amp; levers'!$C$14="Off",('Activity data'!AU6*EF!$H19)*kgtoGg,IF('Net zero activities &amp; levers'!$C$14="On",('Net zero Activity data'!AU6*EF!$H19)*kgtoGg,"ERROR"))</f>
        <v>2.2728689883170463</v>
      </c>
      <c r="AC1082" s="93">
        <f>IF('Net zero activities &amp; levers'!$C$14="Off",('Activity data'!AV6*EF!$H19)*kgtoGg,IF('Net zero activities &amp; levers'!$C$14="On",('Net zero Activity data'!AV6*EF!$H19)*kgtoGg,"ERROR"))</f>
        <v>2.3038796435172904</v>
      </c>
      <c r="AD1082" s="93">
        <f>IF('Net zero activities &amp; levers'!$C$14="Off",('Activity data'!AW6*EF!$H19)*kgtoGg,IF('Net zero activities &amp; levers'!$C$14="On",('Net zero Activity data'!AW6*EF!$H19)*kgtoGg,"ERROR"))</f>
        <v>2.3376320780887165</v>
      </c>
      <c r="AE1082" s="93">
        <f>IF('Net zero activities &amp; levers'!$C$14="Off",('Activity data'!AX6*EF!$H19)*kgtoGg,IF('Net zero activities &amp; levers'!$C$14="On",('Net zero Activity data'!AX6*EF!$H19)*kgtoGg,"ERROR"))</f>
        <v>2.3740957870788466</v>
      </c>
      <c r="AF1082" s="93">
        <f>IF('Net zero activities &amp; levers'!$C$14="Off",('Activity data'!AY6*EF!$H19)*kgtoGg,IF('Net zero activities &amp; levers'!$C$14="On",('Net zero Activity data'!AY6*EF!$H19)*kgtoGg,"ERROR"))</f>
        <v>2.4123454662075314</v>
      </c>
      <c r="AG1082" s="93">
        <f>IF('Net zero activities &amp; levers'!$C$14="Off",('Activity data'!AZ6*EF!$H19)*kgtoGg,IF('Net zero activities &amp; levers'!$C$14="On",('Net zero Activity data'!AZ6*EF!$H19)*kgtoGg,"ERROR"))</f>
        <v>2.4528089309609635</v>
      </c>
      <c r="AH1082" s="93">
        <f>IF('Net zero activities &amp; levers'!$C$14="Off",('Activity data'!BA6*EF!$H19)*kgtoGg,IF('Net zero activities &amp; levers'!$C$14="On",('Net zero Activity data'!BA6*EF!$H19)*kgtoGg,"ERROR"))</f>
        <v>2.495070128025882</v>
      </c>
      <c r="AI1082" s="93">
        <f>IF('Net zero activities &amp; levers'!$C$14="Off",('Activity data'!BB6*EF!$H19)*kgtoGg,IF('Net zero activities &amp; levers'!$C$14="On",('Net zero Activity data'!BB6*EF!$H19)*kgtoGg,"ERROR"))</f>
        <v>2.537500556266326</v>
      </c>
      <c r="AJ1082" s="93">
        <f>IF('Net zero activities &amp; levers'!$C$14="Off",('Activity data'!BC6*EF!$H19)*kgtoGg,IF('Net zero activities &amp; levers'!$C$14="On",('Net zero Activity data'!BC6*EF!$H19)*kgtoGg,"ERROR"))</f>
        <v>2.5824868217808161</v>
      </c>
      <c r="AK1082" s="93">
        <f>IF('Net zero activities &amp; levers'!$C$14="Off",('Activity data'!BD6*EF!$H19)*kgtoGg,IF('Net zero activities &amp; levers'!$C$14="On",('Net zero Activity data'!BD6*EF!$H19)*kgtoGg,"ERROR"))</f>
        <v>2.6284563419038043</v>
      </c>
      <c r="AL1082" s="93">
        <f>IF('Net zero activities &amp; levers'!$C$14="Off",('Activity data'!BE6*EF!$H19)*kgtoGg,IF('Net zero activities &amp; levers'!$C$14="On",('Net zero Activity data'!BE6*EF!$H19)*kgtoGg,"ERROR"))</f>
        <v>2.6752922013096669</v>
      </c>
      <c r="AM1082" s="93">
        <f>IF('Net zero activities &amp; levers'!$C$14="Off",('Activity data'!BF6*EF!$H19)*kgtoGg,IF('Net zero activities &amp; levers'!$C$14="On",('Net zero Activity data'!BF6*EF!$H19)*kgtoGg,"ERROR"))</f>
        <v>2.7237489821413385</v>
      </c>
      <c r="AN1082" s="93">
        <f>IF('Net zero activities &amp; levers'!$C$14="Off",('Activity data'!BG6*EF!$H19)*kgtoGg,IF('Net zero activities &amp; levers'!$C$14="On",('Net zero Activity data'!BG6*EF!$H19)*kgtoGg,"ERROR"))</f>
        <v>2.772017725162697</v>
      </c>
      <c r="AO1082" s="93">
        <f>IF('Net zero activities &amp; levers'!$C$14="Off",('Activity data'!BH6*EF!$H19)*kgtoGg,IF('Net zero activities &amp; levers'!$C$14="On",('Net zero Activity data'!BH6*EF!$H19)*kgtoGg,"ERROR"))</f>
        <v>2.8226050648646934</v>
      </c>
      <c r="AP1082" s="93">
        <f>IF('Net zero activities &amp; levers'!$C$14="Off",('Activity data'!BI6*EF!$H19)*kgtoGg,IF('Net zero activities &amp; levers'!$C$14="On",('Net zero Activity data'!BI6*EF!$H19)*kgtoGg,"ERROR"))</f>
        <v>2.8764449779282546</v>
      </c>
      <c r="AQ1082" s="93">
        <f>IF('Net zero activities &amp; levers'!$C$14="Off",('Activity data'!BJ6*EF!$H19)*kgtoGg,IF('Net zero activities &amp; levers'!$C$14="On",('Net zero Activity data'!BJ6*EF!$H19)*kgtoGg,"ERROR"))</f>
        <v>2.9320110795984959</v>
      </c>
      <c r="AR1082" s="93">
        <f>IF('Net zero activities &amp; levers'!$C$14="Off",('Activity data'!BK6*EF!$H19)*kgtoGg,IF('Net zero activities &amp; levers'!$C$14="On",('Net zero Activity data'!BK6*EF!$H19)*kgtoGg,"ERROR"))</f>
        <v>2.989403897826326</v>
      </c>
      <c r="AS1082" s="93">
        <f>IF('Net zero activities &amp; levers'!$C$14="Off",('Activity data'!BL6*EF!$H19)*kgtoGg,IF('Net zero activities &amp; levers'!$C$14="On",('Net zero Activity data'!BL6*EF!$H19)*kgtoGg,"ERROR"))</f>
        <v>3.0503895466851563</v>
      </c>
      <c r="AT1082" s="93">
        <f>IF('Net zero activities &amp; levers'!$C$14="Off",('Activity data'!BM6*EF!$H19)*kgtoGg,IF('Net zero activities &amp; levers'!$C$14="On",('Net zero Activity data'!BM6*EF!$H19)*kgtoGg,"ERROR"))</f>
        <v>3.1144551335274819</v>
      </c>
      <c r="AU1082" s="93">
        <f>IF('Net zero activities &amp; levers'!$C$14="Off",('Activity data'!BN6*EF!$H19)*kgtoGg,IF('Net zero activities &amp; levers'!$C$14="On",('Net zero Activity data'!BN6*EF!$H19)*kgtoGg,"ERROR"))</f>
        <v>3.1812701241151289</v>
      </c>
      <c r="AV1082" s="93">
        <f>IF('Net zero activities &amp; levers'!$C$14="Off",('Activity data'!BO6*EF!$H19)*kgtoGg,IF('Net zero activities &amp; levers'!$C$14="On",('Net zero Activity data'!BO6*EF!$H19)*kgtoGg,"ERROR"))</f>
        <v>3.2520384741988773</v>
      </c>
      <c r="AW1082" s="93">
        <f>IF('Net zero activities &amp; levers'!$C$14="Off",('Activity data'!BP6*EF!$H19)*kgtoGg,IF('Net zero activities &amp; levers'!$C$14="On",('Net zero Activity data'!BP6*EF!$H19)*kgtoGg,"ERROR"))</f>
        <v>3.3201306730475184</v>
      </c>
      <c r="AY1082" s="79"/>
    </row>
    <row r="1083" spans="1:51" x14ac:dyDescent="0.25">
      <c r="A1083" s="95" t="str">
        <f t="shared" si="373"/>
        <v>CM Cattle MMCH4</v>
      </c>
      <c r="B1083" s="95" t="s">
        <v>1321</v>
      </c>
      <c r="C1083" s="95" t="s">
        <v>1228</v>
      </c>
      <c r="D1083" t="s">
        <v>15</v>
      </c>
      <c r="E1083" t="s">
        <v>22</v>
      </c>
      <c r="F1083" t="s">
        <v>67</v>
      </c>
      <c r="G1083" t="s">
        <v>307</v>
      </c>
      <c r="H1083" t="s">
        <v>1226</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0.4333001908694058</v>
      </c>
      <c r="T1083" s="93">
        <f>IF('Net zero activities &amp; levers'!$C$14="Off",('Activity data'!AM7*EF!$H20)*kgtoGg,IF('Net zero activities &amp; levers'!$C$14="On",('Net zero Activity data'!AM7*EF!$H20)*kgtoGg,"ERROR"))</f>
        <v>0.44203814554223075</v>
      </c>
      <c r="U1083" s="93">
        <f>IF('Net zero activities &amp; levers'!$C$14="Off",('Activity data'!AN7*EF!$H20)*kgtoGg,IF('Net zero activities &amp; levers'!$C$14="On",('Net zero Activity data'!AN7*EF!$H20)*kgtoGg,"ERROR"))</f>
        <v>0.44637574706075117</v>
      </c>
      <c r="V1083" s="93">
        <f>IF('Net zero activities &amp; levers'!$C$14="Off",('Activity data'!AO7*EF!$H20)*kgtoGg,IF('Net zero activities &amp; levers'!$C$14="On",('Net zero Activity data'!AO7*EF!$H20)*kgtoGg,"ERROR"))</f>
        <v>0.44750855251073168</v>
      </c>
      <c r="W1083" s="93">
        <f>IF('Net zero activities &amp; levers'!$C$14="Off",('Activity data'!AP7*EF!$H20)*kgtoGg,IF('Net zero activities &amp; levers'!$C$14="On",('Net zero Activity data'!AP7*EF!$H20)*kgtoGg,"ERROR"))</f>
        <v>0.44911926881324493</v>
      </c>
      <c r="X1083" s="93">
        <f>IF('Net zero activities &amp; levers'!$C$14="Off",('Activity data'!AQ7*EF!$H20)*kgtoGg,IF('Net zero activities &amp; levers'!$C$14="On",('Net zero Activity data'!AQ7*EF!$H20)*kgtoGg,"ERROR"))</f>
        <v>0.45182206291207566</v>
      </c>
      <c r="Y1083" s="93">
        <f>IF('Net zero activities &amp; levers'!$C$14="Off",('Activity data'!AR7*EF!$H20)*kgtoGg,IF('Net zero activities &amp; levers'!$C$14="On",('Net zero Activity data'!AR7*EF!$H20)*kgtoGg,"ERROR"))</f>
        <v>0.45539254903527465</v>
      </c>
      <c r="Z1083" s="93">
        <f>IF('Net zero activities &amp; levers'!$C$14="Off",('Activity data'!AS7*EF!$H20)*kgtoGg,IF('Net zero activities &amp; levers'!$C$14="On",('Net zero Activity data'!AS7*EF!$H20)*kgtoGg,"ERROR"))</f>
        <v>0.45939010625933163</v>
      </c>
      <c r="AA1083" s="93">
        <f>IF('Net zero activities &amp; levers'!$C$14="Off",('Activity data'!AT7*EF!$H20)*kgtoGg,IF('Net zero activities &amp; levers'!$C$14="On",('Net zero Activity data'!AT7*EF!$H20)*kgtoGg,"ERROR"))</f>
        <v>0.46394063522813239</v>
      </c>
      <c r="AB1083" s="93">
        <f>IF('Net zero activities &amp; levers'!$C$14="Off",('Activity data'!AU7*EF!$H20)*kgtoGg,IF('Net zero activities &amp; levers'!$C$14="On",('Net zero Activity data'!AU7*EF!$H20)*kgtoGg,"ERROR"))</f>
        <v>0.46943429913607365</v>
      </c>
      <c r="AC1083" s="93">
        <f>IF('Net zero activities &amp; levers'!$C$14="Off",('Activity data'!AV7*EF!$H20)*kgtoGg,IF('Net zero activities &amp; levers'!$C$14="On",('Net zero Activity data'!AV7*EF!$H20)*kgtoGg,"ERROR"))</f>
        <v>0.47583918444380807</v>
      </c>
      <c r="AD1083" s="93">
        <f>IF('Net zero activities &amp; levers'!$C$14="Off",('Activity data'!AW7*EF!$H20)*kgtoGg,IF('Net zero activities &amp; levers'!$C$14="On",('Net zero Activity data'!AW7*EF!$H20)*kgtoGg,"ERROR"))</f>
        <v>0.48281035196319333</v>
      </c>
      <c r="AE1083" s="93">
        <f>IF('Net zero activities &amp; levers'!$C$14="Off",('Activity data'!AX7*EF!$H20)*kgtoGg,IF('Net zero activities &amp; levers'!$C$14="On",('Net zero Activity data'!AX7*EF!$H20)*kgtoGg,"ERROR"))</f>
        <v>0.49034150125585807</v>
      </c>
      <c r="AF1083" s="93">
        <f>IF('Net zero activities &amp; levers'!$C$14="Off",('Activity data'!AY7*EF!$H20)*kgtoGg,IF('Net zero activities &amp; levers'!$C$14="On",('Net zero Activity data'!AY7*EF!$H20)*kgtoGg,"ERROR"))</f>
        <v>0.49824152162933733</v>
      </c>
      <c r="AG1083" s="93">
        <f>IF('Net zero activities &amp; levers'!$C$14="Off",('Activity data'!AZ7*EF!$H20)*kgtoGg,IF('Net zero activities &amp; levers'!$C$14="On",('Net zero Activity data'!AZ7*EF!$H20)*kgtoGg,"ERROR"))</f>
        <v>0.50659877332962533</v>
      </c>
      <c r="AH1083" s="93">
        <f>IF('Net zero activities &amp; levers'!$C$14="Off",('Activity data'!BA7*EF!$H20)*kgtoGg,IF('Net zero activities &amp; levers'!$C$14="On",('Net zero Activity data'!BA7*EF!$H20)*kgtoGg,"ERROR"))</f>
        <v>0.51532732544890569</v>
      </c>
      <c r="AI1083" s="93">
        <f>IF('Net zero activities &amp; levers'!$C$14="Off",('Activity data'!BB7*EF!$H20)*kgtoGg,IF('Net zero activities &amp; levers'!$C$14="On",('Net zero Activity data'!BB7*EF!$H20)*kgtoGg,"ERROR"))</f>
        <v>0.52409083027275605</v>
      </c>
      <c r="AJ1083" s="93">
        <f>IF('Net zero activities &amp; levers'!$C$14="Off",('Activity data'!BC7*EF!$H20)*kgtoGg,IF('Net zero activities &amp; levers'!$C$14="On",('Net zero Activity data'!BC7*EF!$H20)*kgtoGg,"ERROR"))</f>
        <v>0.53338221315980094</v>
      </c>
      <c r="AK1083" s="93">
        <f>IF('Net zero activities &amp; levers'!$C$14="Off",('Activity data'!BD7*EF!$H20)*kgtoGg,IF('Net zero activities &amp; levers'!$C$14="On",('Net zero Activity data'!BD7*EF!$H20)*kgtoGg,"ERROR"))</f>
        <v>0.54287667569656828</v>
      </c>
      <c r="AL1083" s="93">
        <f>IF('Net zero activities &amp; levers'!$C$14="Off",('Activity data'!BE7*EF!$H20)*kgtoGg,IF('Net zero activities &amp; levers'!$C$14="On",('Net zero Activity data'!BE7*EF!$H20)*kgtoGg,"ERROR"))</f>
        <v>0.55255007040063653</v>
      </c>
      <c r="AM1083" s="93">
        <f>IF('Net zero activities &amp; levers'!$C$14="Off",('Activity data'!BF7*EF!$H20)*kgtoGg,IF('Net zero activities &amp; levers'!$C$14="On",('Net zero Activity data'!BF7*EF!$H20)*kgtoGg,"ERROR"))</f>
        <v>0.56255824731933757</v>
      </c>
      <c r="AN1083" s="93">
        <f>IF('Net zero activities &amp; levers'!$C$14="Off",('Activity data'!BG7*EF!$H20)*kgtoGg,IF('Net zero activities &amp; levers'!$C$14="On",('Net zero Activity data'!BG7*EF!$H20)*kgtoGg,"ERROR"))</f>
        <v>0.57252758724472796</v>
      </c>
      <c r="AO1083" s="93">
        <f>IF('Net zero activities &amp; levers'!$C$14="Off",('Activity data'!BH7*EF!$H20)*kgtoGg,IF('Net zero activities &amp; levers'!$C$14="On",('Net zero Activity data'!BH7*EF!$H20)*kgtoGg,"ERROR"))</f>
        <v>0.58297580598510912</v>
      </c>
      <c r="AP1083" s="93">
        <f>IF('Net zero activities &amp; levers'!$C$14="Off",('Activity data'!BI7*EF!$H20)*kgtoGg,IF('Net zero activities &amp; levers'!$C$14="On",('Net zero Activity data'!BI7*EF!$H20)*kgtoGg,"ERROR"))</f>
        <v>0.59409580541510443</v>
      </c>
      <c r="AQ1083" s="93">
        <f>IF('Net zero activities &amp; levers'!$C$14="Off",('Activity data'!BJ7*EF!$H20)*kgtoGg,IF('Net zero activities &amp; levers'!$C$14="On",('Net zero Activity data'!BJ7*EF!$H20)*kgtoGg,"ERROR"))</f>
        <v>0.60557232875515321</v>
      </c>
      <c r="AR1083" s="93">
        <f>IF('Net zero activities &amp; levers'!$C$14="Off",('Activity data'!BK7*EF!$H20)*kgtoGg,IF('Net zero activities &amp; levers'!$C$14="On",('Net zero Activity data'!BK7*EF!$H20)*kgtoGg,"ERROR"))</f>
        <v>0.61742613886858821</v>
      </c>
      <c r="AS1083" s="93">
        <f>IF('Net zero activities &amp; levers'!$C$14="Off",('Activity data'!BL7*EF!$H20)*kgtoGg,IF('Net zero activities &amp; levers'!$C$14="On",('Net zero Activity data'!BL7*EF!$H20)*kgtoGg,"ERROR"))</f>
        <v>0.63002200580001311</v>
      </c>
      <c r="AT1083" s="93">
        <f>IF('Net zero activities &amp; levers'!$C$14="Off",('Activity data'!BM7*EF!$H20)*kgtoGg,IF('Net zero activities &amp; levers'!$C$14="On",('Net zero Activity data'!BM7*EF!$H20)*kgtoGg,"ERROR"))</f>
        <v>0.64325399761857238</v>
      </c>
      <c r="AU1083" s="93">
        <f>IF('Net zero activities &amp; levers'!$C$14="Off",('Activity data'!BN7*EF!$H20)*kgtoGg,IF('Net zero activities &amp; levers'!$C$14="On",('Net zero Activity data'!BN7*EF!$H20)*kgtoGg,"ERROR"))</f>
        <v>0.65705384637339226</v>
      </c>
      <c r="AV1083" s="93">
        <f>IF('Net zero activities &amp; levers'!$C$14="Off",('Activity data'!BO7*EF!$H20)*kgtoGg,IF('Net zero activities &amp; levers'!$C$14="On",('Net zero Activity data'!BO7*EF!$H20)*kgtoGg,"ERROR"))</f>
        <v>0.6716702149337197</v>
      </c>
      <c r="AW1083" s="93">
        <f>IF('Net zero activities &amp; levers'!$C$14="Off",('Activity data'!BP7*EF!$H20)*kgtoGg,IF('Net zero activities &amp; levers'!$C$14="On",('Net zero Activity data'!BP7*EF!$H20)*kgtoGg,"ERROR"))</f>
        <v>0.6857338560003412</v>
      </c>
      <c r="AY1083" s="79"/>
    </row>
    <row r="1084" spans="1:51" x14ac:dyDescent="0.25">
      <c r="A1084" s="95" t="str">
        <f t="shared" si="373"/>
        <v>CM Cattle MMCH4</v>
      </c>
      <c r="B1084" s="95" t="s">
        <v>1321</v>
      </c>
      <c r="C1084" s="95" t="s">
        <v>1228</v>
      </c>
      <c r="D1084" t="s">
        <v>15</v>
      </c>
      <c r="E1084" t="s">
        <v>22</v>
      </c>
      <c r="F1084" t="s">
        <v>67</v>
      </c>
      <c r="G1084" t="s">
        <v>122</v>
      </c>
      <c r="H1084" t="s">
        <v>1226</v>
      </c>
      <c r="I1084" t="s">
        <v>121</v>
      </c>
      <c r="J1084" t="s">
        <v>286</v>
      </c>
      <c r="K1084" s="93">
        <f>IF('Net zero activities &amp; levers'!$C$14="Off",('Activity data'!AD8*EF!$H21)*kgtoGg,IF('Net zero activities &amp; levers'!$C$14="On",('Net zero Activity data'!AD8*EF!$H21)*kgtoGg,"ERROR"))</f>
        <v>9.4871637196006511E-2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9.3735634002294205E-2</v>
      </c>
      <c r="N1084" s="93">
        <f>IF('Net zero activities &amp; levers'!$C$14="Off",('Activity data'!AG8*EF!$H21)*kgtoGg,IF('Net zero activities &amp; levers'!$C$14="On",('Net zero Activity data'!AG8*EF!$H21)*kgtoGg,"ERROR"))</f>
        <v>9.2483917307495084E-2</v>
      </c>
      <c r="O1084" s="93">
        <f>IF('Net zero activities &amp; levers'!$C$14="Off",('Activity data'!AH8*EF!$H21)*kgtoGg,IF('Net zero activities &amp; levers'!$C$14="On",('Net zero Activity data'!AH8*EF!$H21)*kgtoGg,"ERROR"))</f>
        <v>9.0667019955957301E-2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7.5654493606876719E-2</v>
      </c>
      <c r="T1084" s="93">
        <f>IF('Net zero activities &amp; levers'!$C$14="Off",('Activity data'!AM8*EF!$H21)*kgtoGg,IF('Net zero activities &amp; levers'!$C$14="On",('Net zero Activity data'!AM8*EF!$H21)*kgtoGg,"ERROR"))</f>
        <v>7.9271557778310117E-2</v>
      </c>
      <c r="U1084" s="93">
        <f>IF('Net zero activities &amp; levers'!$C$14="Off",('Activity data'!AN8*EF!$H21)*kgtoGg,IF('Net zero activities &amp; levers'!$C$14="On",('Net zero Activity data'!AN8*EF!$H21)*kgtoGg,"ERROR"))</f>
        <v>8.0523786090551941E-2</v>
      </c>
      <c r="V1084" s="93">
        <f>IF('Net zero activities &amp; levers'!$C$14="Off",('Activity data'!AO8*EF!$H21)*kgtoGg,IF('Net zero activities &amp; levers'!$C$14="On",('Net zero Activity data'!AO8*EF!$H21)*kgtoGg,"ERROR"))</f>
        <v>7.9979986949743884E-2</v>
      </c>
      <c r="W1084" s="93">
        <f>IF('Net zero activities &amp; levers'!$C$14="Off",('Activity data'!AP8*EF!$H21)*kgtoGg,IF('Net zero activities &amp; levers'!$C$14="On",('Net zero Activity data'!AP8*EF!$H21)*kgtoGg,"ERROR"))</f>
        <v>7.953764463923213E-2</v>
      </c>
      <c r="X1084" s="93">
        <f>IF('Net zero activities &amp; levers'!$C$14="Off",('Activity data'!AQ8*EF!$H21)*kgtoGg,IF('Net zero activities &amp; levers'!$C$14="On",('Net zero Activity data'!AQ8*EF!$H21)*kgtoGg,"ERROR"))</f>
        <v>7.9566701648766641E-2</v>
      </c>
      <c r="Y1084" s="93">
        <f>IF('Net zero activities &amp; levers'!$C$14="Off",('Activity data'!AR8*EF!$H21)*kgtoGg,IF('Net zero activities &amp; levers'!$C$14="On",('Net zero Activity data'!AR8*EF!$H21)*kgtoGg,"ERROR"))</f>
        <v>8.0033923406415561E-2</v>
      </c>
      <c r="Z1084" s="93">
        <f>IF('Net zero activities &amp; levers'!$C$14="Off",('Activity data'!AS8*EF!$H21)*kgtoGg,IF('Net zero activities &amp; levers'!$C$14="On",('Net zero Activity data'!AS8*EF!$H21)*kgtoGg,"ERROR"))</f>
        <v>8.0696879014232822E-2</v>
      </c>
      <c r="AA1084" s="93">
        <f>IF('Net zero activities &amp; levers'!$C$14="Off",('Activity data'!AT8*EF!$H21)*kgtoGg,IF('Net zero activities &amp; levers'!$C$14="On",('Net zero Activity data'!AT8*EF!$H21)*kgtoGg,"ERROR"))</f>
        <v>8.1608968762296855E-2</v>
      </c>
      <c r="AB1084" s="93">
        <f>IF('Net zero activities &amp; levers'!$C$14="Off",('Activity data'!AU8*EF!$H21)*kgtoGg,IF('Net zero activities &amp; levers'!$C$14="On",('Net zero Activity data'!AU8*EF!$H21)*kgtoGg,"ERROR"))</f>
        <v>8.294500125938338E-2</v>
      </c>
      <c r="AC1084" s="93">
        <f>IF('Net zero activities &amp; levers'!$C$14="Off",('Activity data'!AV8*EF!$H21)*kgtoGg,IF('Net zero activities &amp; levers'!$C$14="On",('Net zero Activity data'!AV8*EF!$H21)*kgtoGg,"ERROR"))</f>
        <v>8.4667243855728658E-2</v>
      </c>
      <c r="AD1084" s="93">
        <f>IF('Net zero activities &amp; levers'!$C$14="Off",('Activity data'!AW8*EF!$H21)*kgtoGg,IF('Net zero activities &amp; levers'!$C$14="On",('Net zero Activity data'!AW8*EF!$H21)*kgtoGg,"ERROR"))</f>
        <v>8.5867982908629403E-2</v>
      </c>
      <c r="AE1084" s="93">
        <f>IF('Net zero activities &amp; levers'!$C$14="Off",('Activity data'!AX8*EF!$H21)*kgtoGg,IF('Net zero activities &amp; levers'!$C$14="On",('Net zero Activity data'!AX8*EF!$H21)*kgtoGg,"ERROR"))</f>
        <v>8.7210563420463058E-2</v>
      </c>
      <c r="AF1084" s="93">
        <f>IF('Net zero activities &amp; levers'!$C$14="Off",('Activity data'!AY8*EF!$H21)*kgtoGg,IF('Net zero activities &amp; levers'!$C$14="On",('Net zero Activity data'!AY8*EF!$H21)*kgtoGg,"ERROR"))</f>
        <v>8.8593806779096215E-2</v>
      </c>
      <c r="AG1084" s="93">
        <f>IF('Net zero activities &amp; levers'!$C$14="Off",('Activity data'!AZ8*EF!$H21)*kgtoGg,IF('Net zero activities &amp; levers'!$C$14="On",('Net zero Activity data'!AZ8*EF!$H21)*kgtoGg,"ERROR"))</f>
        <v>9.0048440137839775E-2</v>
      </c>
      <c r="AH1084" s="93">
        <f>IF('Net zero activities &amp; levers'!$C$14="Off",('Activity data'!BA8*EF!$H21)*kgtoGg,IF('Net zero activities &amp; levers'!$C$14="On",('Net zero Activity data'!BA8*EF!$H21)*kgtoGg,"ERROR"))</f>
        <v>9.1524860898689164E-2</v>
      </c>
      <c r="AI1084" s="93">
        <f>IF('Net zero activities &amp; levers'!$C$14="Off",('Activity data'!BB8*EF!$H21)*kgtoGg,IF('Net zero activities &amp; levers'!$C$14="On",('Net zero Activity data'!BB8*EF!$H21)*kgtoGg,"ERROR"))</f>
        <v>9.2873095408058187E-2</v>
      </c>
      <c r="AJ1084" s="93">
        <f>IF('Net zero activities &amp; levers'!$C$14="Off",('Activity data'!BC8*EF!$H21)*kgtoGg,IF('Net zero activities &amp; levers'!$C$14="On",('Net zero Activity data'!BC8*EF!$H21)*kgtoGg,"ERROR"))</f>
        <v>9.4295235372679823E-2</v>
      </c>
      <c r="AK1084" s="93">
        <f>IF('Net zero activities &amp; levers'!$C$14="Off",('Activity data'!BD8*EF!$H21)*kgtoGg,IF('Net zero activities &amp; levers'!$C$14="On",('Net zero Activity data'!BD8*EF!$H21)*kgtoGg,"ERROR"))</f>
        <v>9.5652981013283067E-2</v>
      </c>
      <c r="AL1084" s="93">
        <f>IF('Net zero activities &amp; levers'!$C$14="Off",('Activity data'!BE8*EF!$H21)*kgtoGg,IF('Net zero activities &amp; levers'!$C$14="On",('Net zero Activity data'!BE8*EF!$H21)*kgtoGg,"ERROR"))</f>
        <v>9.6933251950102856E-2</v>
      </c>
      <c r="AM1084" s="93">
        <f>IF('Net zero activities &amp; levers'!$C$14="Off",('Activity data'!BF8*EF!$H21)*kgtoGg,IF('Net zero activities &amp; levers'!$C$14="On",('Net zero Activity data'!BF8*EF!$H21)*kgtoGg,"ERROR"))</f>
        <v>9.8190775072259484E-2</v>
      </c>
      <c r="AN1084" s="93">
        <f>IF('Net zero activities &amp; levers'!$C$14="Off",('Activity data'!BG8*EF!$H21)*kgtoGg,IF('Net zero activities &amp; levers'!$C$14="On",('Net zero Activity data'!BG8*EF!$H21)*kgtoGg,"ERROR"))</f>
        <v>9.9787639127038461E-2</v>
      </c>
      <c r="AO1084" s="93">
        <f>IF('Net zero activities &amp; levers'!$C$14="Off",('Activity data'!BH8*EF!$H21)*kgtoGg,IF('Net zero activities &amp; levers'!$C$14="On",('Net zero Activity data'!BH8*EF!$H21)*kgtoGg,"ERROR"))</f>
        <v>0.1014392914748115</v>
      </c>
      <c r="AP1084" s="93">
        <f>IF('Net zero activities &amp; levers'!$C$14="Off",('Activity data'!BI8*EF!$H21)*kgtoGg,IF('Net zero activities &amp; levers'!$C$14="On",('Net zero Activity data'!BI8*EF!$H21)*kgtoGg,"ERROR"))</f>
        <v>0.10320575500989811</v>
      </c>
      <c r="AQ1084" s="93">
        <f>IF('Net zero activities &amp; levers'!$C$14="Off",('Activity data'!BJ8*EF!$H21)*kgtoGg,IF('Net zero activities &amp; levers'!$C$14="On",('Net zero Activity data'!BJ8*EF!$H21)*kgtoGg,"ERROR"))</f>
        <v>0.10496534581683413</v>
      </c>
      <c r="AR1084" s="93">
        <f>IF('Net zero activities &amp; levers'!$C$14="Off",('Activity data'!BK8*EF!$H21)*kgtoGg,IF('Net zero activities &amp; levers'!$C$14="On",('Net zero Activity data'!BK8*EF!$H21)*kgtoGg,"ERROR"))</f>
        <v>0.10672034773942209</v>
      </c>
      <c r="AS1084" s="93">
        <f>IF('Net zero activities &amp; levers'!$C$14="Off",('Activity data'!BL8*EF!$H21)*kgtoGg,IF('Net zero activities &amp; levers'!$C$14="On",('Net zero Activity data'!BL8*EF!$H21)*kgtoGg,"ERROR"))</f>
        <v>0.10858609964826429</v>
      </c>
      <c r="AT1084" s="93">
        <f>IF('Net zero activities &amp; levers'!$C$14="Off",('Activity data'!BM8*EF!$H21)*kgtoGg,IF('Net zero activities &amp; levers'!$C$14="On",('Net zero Activity data'!BM8*EF!$H21)*kgtoGg,"ERROR"))</f>
        <v>0.11051429251988212</v>
      </c>
      <c r="AU1084" s="93">
        <f>IF('Net zero activities &amp; levers'!$C$14="Off",('Activity data'!BN8*EF!$H21)*kgtoGg,IF('Net zero activities &amp; levers'!$C$14="On",('Net zero Activity data'!BN8*EF!$H21)*kgtoGg,"ERROR"))</f>
        <v>0.11247140287446589</v>
      </c>
      <c r="AV1084" s="93">
        <f>IF('Net zero activities &amp; levers'!$C$14="Off",('Activity data'!BO8*EF!$H21)*kgtoGg,IF('Net zero activities &amp; levers'!$C$14="On",('Net zero Activity data'!BO8*EF!$H21)*kgtoGg,"ERROR"))</f>
        <v>0.11452403240118444</v>
      </c>
      <c r="AW1084" s="93">
        <f>IF('Net zero activities &amp; levers'!$C$14="Off",('Activity data'!BP8*EF!$H21)*kgtoGg,IF('Net zero activities &amp; levers'!$C$14="On",('Net zero Activity data'!BP8*EF!$H21)*kgtoGg,"ERROR"))</f>
        <v>0.1162449069229001</v>
      </c>
      <c r="AY1084" s="79"/>
    </row>
    <row r="1085" spans="1:51" x14ac:dyDescent="0.25">
      <c r="A1085" s="95" t="str">
        <f t="shared" si="373"/>
        <v>CM Cattle MMCH4</v>
      </c>
      <c r="B1085" s="95" t="s">
        <v>1321</v>
      </c>
      <c r="C1085" s="95" t="s">
        <v>1228</v>
      </c>
      <c r="D1085" t="s">
        <v>15</v>
      </c>
      <c r="E1085" t="s">
        <v>22</v>
      </c>
      <c r="F1085" t="s">
        <v>67</v>
      </c>
      <c r="G1085" t="s">
        <v>123</v>
      </c>
      <c r="H1085" t="s">
        <v>1226</v>
      </c>
      <c r="I1085" t="s">
        <v>121</v>
      </c>
      <c r="J1085" t="s">
        <v>286</v>
      </c>
      <c r="K1085" s="93">
        <f>IF('Net zero activities &amp; levers'!$C$14="Off",('Activity data'!AD9*EF!$H22)*kgtoGg,IF('Net zero activities &amp; levers'!$C$14="On",('Net zero Activity data'!AD9*EF!$H22)*kgtoGg,"ERROR"))</f>
        <v>6.9689449734106276E-2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6.7935512624264269E-2</v>
      </c>
      <c r="O1085" s="93">
        <f>IF('Net zero activities &amp; levers'!$C$14="Off",('Activity data'!AH9*EF!$H22)*kgtoGg,IF('Net zero activities &amp; levers'!$C$14="On",('Net zero Activity data'!AH9*EF!$H22)*kgtoGg,"ERROR"))</f>
        <v>6.6600882165738229E-2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5.5573195374324494E-2</v>
      </c>
      <c r="T1085" s="93">
        <f>IF('Net zero activities &amp; levers'!$C$14="Off",('Activity data'!AM9*EF!$H22)*kgtoGg,IF('Net zero activities &amp; levers'!$C$14="On",('Net zero Activity data'!AM9*EF!$H22)*kgtoGg,"ERROR"))</f>
        <v>5.8230166616839892E-2</v>
      </c>
      <c r="U1085" s="93">
        <f>IF('Net zero activities &amp; levers'!$C$14="Off",('Activity data'!AN9*EF!$H22)*kgtoGg,IF('Net zero activities &amp; levers'!$C$14="On",('Net zero Activity data'!AN9*EF!$H22)*kgtoGg,"ERROR"))</f>
        <v>5.9150010572323733E-2</v>
      </c>
      <c r="V1085" s="93">
        <f>IF('Net zero activities &amp; levers'!$C$14="Off",('Activity data'!AO9*EF!$H22)*kgtoGg,IF('Net zero activities &amp; levers'!$C$14="On",('Net zero Activity data'!AO9*EF!$H22)*kgtoGg,"ERROR"))</f>
        <v>5.8750554380685591E-2</v>
      </c>
      <c r="W1085" s="93">
        <f>IF('Net zero activities &amp; levers'!$C$14="Off",('Activity data'!AP9*EF!$H22)*kgtoGg,IF('Net zero activities &amp; levers'!$C$14="On",('Net zero Activity data'!AP9*EF!$H22)*kgtoGg,"ERROR"))</f>
        <v>5.8425624895701689E-2</v>
      </c>
      <c r="X1085" s="93">
        <f>IF('Net zero activities &amp; levers'!$C$14="Off",('Activity data'!AQ9*EF!$H22)*kgtoGg,IF('Net zero activities &amp; levers'!$C$14="On",('Net zero Activity data'!AQ9*EF!$H22)*kgtoGg,"ERROR"))</f>
        <v>5.8446969177989083E-2</v>
      </c>
      <c r="Y1085" s="93">
        <f>IF('Net zero activities &amp; levers'!$C$14="Off",('Activity data'!AR9*EF!$H22)*kgtoGg,IF('Net zero activities &amp; levers'!$C$14="On",('Net zero Activity data'!AR9*EF!$H22)*kgtoGg,"ERROR"))</f>
        <v>5.8790174251251236E-2</v>
      </c>
      <c r="Z1085" s="93">
        <f>IF('Net zero activities &amp; levers'!$C$14="Off",('Activity data'!AS9*EF!$H22)*kgtoGg,IF('Net zero activities &amp; levers'!$C$14="On",('Net zero Activity data'!AS9*EF!$H22)*kgtoGg,"ERROR"))</f>
        <v>5.9277158695416256E-2</v>
      </c>
      <c r="AA1085" s="93">
        <f>IF('Net zero activities &amp; levers'!$C$14="Off",('Activity data'!AT9*EF!$H22)*kgtoGg,IF('Net zero activities &amp; levers'!$C$14="On",('Net zero Activity data'!AT9*EF!$H22)*kgtoGg,"ERROR"))</f>
        <v>5.9947148531465801E-2</v>
      </c>
      <c r="AB1085" s="93">
        <f>IF('Net zero activities &amp; levers'!$C$14="Off",('Activity data'!AU9*EF!$H22)*kgtoGg,IF('Net zero activities &amp; levers'!$C$14="On",('Net zero Activity data'!AU9*EF!$H22)*kgtoGg,"ERROR"))</f>
        <v>6.0928552165899576E-2</v>
      </c>
      <c r="AC1085" s="93">
        <f>IF('Net zero activities &amp; levers'!$C$14="Off",('Activity data'!AV9*EF!$H22)*kgtoGg,IF('Net zero activities &amp; levers'!$C$14="On",('Net zero Activity data'!AV9*EF!$H22)*kgtoGg,"ERROR"))</f>
        <v>6.2193652488770283E-2</v>
      </c>
      <c r="AD1085" s="93">
        <f>IF('Net zero activities &amp; levers'!$C$14="Off",('Activity data'!AW9*EF!$H22)*kgtoGg,IF('Net zero activities &amp; levers'!$C$14="On",('Net zero Activity data'!AW9*EF!$H22)*kgtoGg,"ERROR"))</f>
        <v>6.3075674200886653E-2</v>
      </c>
      <c r="AE1085" s="93">
        <f>IF('Net zero activities &amp; levers'!$C$14="Off",('Activity data'!AX9*EF!$H22)*kgtoGg,IF('Net zero activities &amp; levers'!$C$14="On",('Net zero Activity data'!AX9*EF!$H22)*kgtoGg,"ERROR"))</f>
        <v>6.4061887782297905E-2</v>
      </c>
      <c r="AF1085" s="93">
        <f>IF('Net zero activities &amp; levers'!$C$14="Off",('Activity data'!AY9*EF!$H22)*kgtoGg,IF('Net zero activities &amp; levers'!$C$14="On",('Net zero Activity data'!AY9*EF!$H22)*kgtoGg,"ERROR"))</f>
        <v>6.5077970895866852E-2</v>
      </c>
      <c r="AG1085" s="93">
        <f>IF('Net zero activities &amp; levers'!$C$14="Off",('Activity data'!AZ9*EF!$H22)*kgtoGg,IF('Net zero activities &amp; levers'!$C$14="On",('Net zero Activity data'!AZ9*EF!$H22)*kgtoGg,"ERROR"))</f>
        <v>6.6146494654198057E-2</v>
      </c>
      <c r="AH1085" s="93">
        <f>IF('Net zero activities &amp; levers'!$C$14="Off",('Activity data'!BA9*EF!$H22)*kgtoGg,IF('Net zero activities &amp; levers'!$C$14="On",('Net zero Activity data'!BA9*EF!$H22)*kgtoGg,"ERROR"))</f>
        <v>6.7231022690612471E-2</v>
      </c>
      <c r="AI1085" s="93">
        <f>IF('Net zero activities &amp; levers'!$C$14="Off",('Activity data'!BB9*EF!$H22)*kgtoGg,IF('Net zero activities &amp; levers'!$C$14="On",('Net zero Activity data'!BB9*EF!$H22)*kgtoGg,"ERROR"))</f>
        <v>6.8221389504630262E-2</v>
      </c>
      <c r="AJ1085" s="93">
        <f>IF('Net zero activities &amp; levers'!$C$14="Off",('Activity data'!BC9*EF!$H22)*kgtoGg,IF('Net zero activities &amp; levers'!$C$14="On",('Net zero Activity data'!BC9*EF!$H22)*kgtoGg,"ERROR"))</f>
        <v>6.9266044730455056E-2</v>
      </c>
      <c r="AK1085" s="93">
        <f>IF('Net zero activities &amp; levers'!$C$14="Off",('Activity data'!BD9*EF!$H22)*kgtoGg,IF('Net zero activities &amp; levers'!$C$14="On",('Net zero Activity data'!BD9*EF!$H22)*kgtoGg,"ERROR"))</f>
        <v>7.026339809516019E-2</v>
      </c>
      <c r="AL1085" s="93">
        <f>IF('Net zero activities &amp; levers'!$C$14="Off",('Activity data'!BE9*EF!$H22)*kgtoGg,IF('Net zero activities &amp; levers'!$C$14="On",('Net zero Activity data'!BE9*EF!$H22)*kgtoGg,"ERROR"))</f>
        <v>7.1203841200544876E-2</v>
      </c>
      <c r="AM1085" s="93">
        <f>IF('Net zero activities &amp; levers'!$C$14="Off",('Activity data'!BF9*EF!$H22)*kgtoGg,IF('Net zero activities &amp; levers'!$C$14="On",('Net zero Activity data'!BF9*EF!$H22)*kgtoGg,"ERROR"))</f>
        <v>7.2127574541732534E-2</v>
      </c>
      <c r="AN1085" s="93">
        <f>IF('Net zero activities &amp; levers'!$C$14="Off",('Activity data'!BG9*EF!$H22)*kgtoGg,IF('Net zero activities &amp; levers'!$C$14="On",('Net zero Activity data'!BG9*EF!$H22)*kgtoGg,"ERROR"))</f>
        <v>7.3300576089579794E-2</v>
      </c>
      <c r="AO1085" s="93">
        <f>IF('Net zero activities &amp; levers'!$C$14="Off",('Activity data'!BH9*EF!$H22)*kgtoGg,IF('Net zero activities &amp; levers'!$C$14="On",('Net zero Activity data'!BH9*EF!$H22)*kgtoGg,"ERROR"))</f>
        <v>7.4513823237729482E-2</v>
      </c>
      <c r="AP1085" s="93">
        <f>IF('Net zero activities &amp; levers'!$C$14="Off",('Activity data'!BI9*EF!$H22)*kgtoGg,IF('Net zero activities &amp; levers'!$C$14="On",('Net zero Activity data'!BI9*EF!$H22)*kgtoGg,"ERROR"))</f>
        <v>7.5811406745023818E-2</v>
      </c>
      <c r="AQ1085" s="93">
        <f>IF('Net zero activities &amp; levers'!$C$14="Off",('Activity data'!BJ9*EF!$H22)*kgtoGg,IF('Net zero activities &amp; levers'!$C$14="On",('Net zero Activity data'!BJ9*EF!$H22)*kgtoGg,"ERROR"))</f>
        <v>7.7103941782015115E-2</v>
      </c>
      <c r="AR1085" s="93">
        <f>IF('Net zero activities &amp; levers'!$C$14="Off",('Activity data'!BK9*EF!$H22)*kgtoGg,IF('Net zero activities &amp; levers'!$C$14="On",('Net zero Activity data'!BK9*EF!$H22)*kgtoGg,"ERROR"))</f>
        <v>7.8393105982004302E-2</v>
      </c>
      <c r="AS1085" s="93">
        <f>IF('Net zero activities &amp; levers'!$C$14="Off",('Activity data'!BL9*EF!$H22)*kgtoGg,IF('Net zero activities &amp; levers'!$C$14="On",('Net zero Activity data'!BL9*EF!$H22)*kgtoGg,"ERROR"))</f>
        <v>7.9763623322175625E-2</v>
      </c>
      <c r="AT1085" s="93">
        <f>IF('Net zero activities &amp; levers'!$C$14="Off",('Activity data'!BM9*EF!$H22)*kgtoGg,IF('Net zero activities &amp; levers'!$C$14="On",('Net zero Activity data'!BM9*EF!$H22)*kgtoGg,"ERROR"))</f>
        <v>8.1180007651315583E-2</v>
      </c>
      <c r="AU1085" s="93">
        <f>IF('Net zero activities &amp; levers'!$C$14="Off",('Activity data'!BN9*EF!$H22)*kgtoGg,IF('Net zero activities &amp; levers'!$C$14="On",('Net zero Activity data'!BN9*EF!$H22)*kgtoGg,"ERROR"))</f>
        <v>8.2617633771312649E-2</v>
      </c>
      <c r="AV1085" s="93">
        <f>IF('Net zero activities &amp; levers'!$C$14="Off",('Activity data'!BO9*EF!$H22)*kgtoGg,IF('Net zero activities &amp; levers'!$C$14="On",('Net zero Activity data'!BO9*EF!$H22)*kgtoGg,"ERROR"))</f>
        <v>8.4125424997993567E-2</v>
      </c>
      <c r="AW1085" s="93">
        <f>IF('Net zero activities &amp; levers'!$C$14="Off",('Activity data'!BP9*EF!$H22)*kgtoGg,IF('Net zero activities &amp; levers'!$C$14="On",('Net zero Activity data'!BP9*EF!$H22)*kgtoGg,"ERROR"))</f>
        <v>8.5389520380178607E-2</v>
      </c>
      <c r="AY1085" s="79"/>
    </row>
    <row r="1086" spans="1:51" x14ac:dyDescent="0.25">
      <c r="A1086" s="95" t="str">
        <f t="shared" si="373"/>
        <v>CM Cattle MMCH4</v>
      </c>
      <c r="B1086" s="95" t="s">
        <v>1321</v>
      </c>
      <c r="C1086" s="95" t="s">
        <v>1228</v>
      </c>
      <c r="D1086" t="s">
        <v>15</v>
      </c>
      <c r="E1086" t="s">
        <v>22</v>
      </c>
      <c r="F1086" t="s">
        <v>67</v>
      </c>
      <c r="G1086" t="s">
        <v>135</v>
      </c>
      <c r="H1086" t="s">
        <v>1226</v>
      </c>
      <c r="I1086" t="s">
        <v>121</v>
      </c>
      <c r="J1086" t="s">
        <v>286</v>
      </c>
      <c r="K1086" s="93">
        <f>IF('Net zero activities &amp; levers'!$C$14="Off",('Activity data'!AD10*EF!$H23)*kgtoGg,IF('Net zero activities &amp; levers'!$C$14="On",('Net zero Activity data'!AD10*EF!$H23)*kgtoGg,"ERROR"))</f>
        <v>0.47107022937833815</v>
      </c>
      <c r="L1086" s="93">
        <f>IF('Net zero activities &amp; levers'!$C$14="Off",('Activity data'!AE10*EF!$H23)*kgtoGg,IF('Net zero activities &amp; levers'!$C$14="On",('Net zero Activity data'!AE10*EF!$H23)*kgtoGg,"ERROR"))</f>
        <v>0.48695387967725917</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0.5198656905589939</v>
      </c>
      <c r="O1086" s="93">
        <f>IF('Net zero activities &amp; levers'!$C$14="Off",('Activity data'!AH10*EF!$H23)*kgtoGg,IF('Net zero activities &amp; levers'!$C$14="On",('Net zero Activity data'!AH10*EF!$H23)*kgtoGg,"ERROR"))</f>
        <v>0.53070826286138517</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0.51940277612263608</v>
      </c>
      <c r="T1086" s="93">
        <f>IF('Net zero activities &amp; levers'!$C$14="Off",('Activity data'!AM10*EF!$H23)*kgtoGg,IF('Net zero activities &amp; levers'!$C$14="On",('Net zero Activity data'!AM10*EF!$H23)*kgtoGg,"ERROR"))</f>
        <v>0.55734768073083851</v>
      </c>
      <c r="U1086" s="93">
        <f>IF('Net zero activities &amp; levers'!$C$14="Off",('Activity data'!AN10*EF!$H23)*kgtoGg,IF('Net zero activities &amp; levers'!$C$14="On",('Net zero Activity data'!AN10*EF!$H23)*kgtoGg,"ERROR"))</f>
        <v>0.57960474973304943</v>
      </c>
      <c r="V1086" s="93">
        <f>IF('Net zero activities &amp; levers'!$C$14="Off",('Activity data'!AO10*EF!$H23)*kgtoGg,IF('Net zero activities &amp; levers'!$C$14="On",('Net zero Activity data'!AO10*EF!$H23)*kgtoGg,"ERROR"))</f>
        <v>0.58919613300783547</v>
      </c>
      <c r="W1086" s="93">
        <f>IF('Net zero activities &amp; levers'!$C$14="Off",('Activity data'!AP10*EF!$H23)*kgtoGg,IF('Net zero activities &amp; levers'!$C$14="On",('Net zero Activity data'!AP10*EF!$H23)*kgtoGg,"ERROR"))</f>
        <v>0.59952169359823548</v>
      </c>
      <c r="X1086" s="93">
        <f>IF('Net zero activities &amp; levers'!$C$14="Off",('Activity data'!AQ10*EF!$H23)*kgtoGg,IF('Net zero activities &amp; levers'!$C$14="On",('Net zero Activity data'!AQ10*EF!$H23)*kgtoGg,"ERROR"))</f>
        <v>0.61349330548493453</v>
      </c>
      <c r="Y1086" s="93">
        <f>IF('Net zero activities &amp; levers'!$C$14="Off",('Activity data'!AR10*EF!$H23)*kgtoGg,IF('Net zero activities &amp; levers'!$C$14="On",('Net zero Activity data'!AR10*EF!$H23)*kgtoGg,"ERROR"))</f>
        <v>0.63110337066637079</v>
      </c>
      <c r="Z1086" s="93">
        <f>IF('Net zero activities &amp; levers'!$C$14="Off",('Activity data'!AS10*EF!$H23)*kgtoGg,IF('Net zero activities &amp; levers'!$C$14="On",('Net zero Activity data'!AS10*EF!$H23)*kgtoGg,"ERROR"))</f>
        <v>0.65064008423990027</v>
      </c>
      <c r="AA1086" s="93">
        <f>IF('Net zero activities &amp; levers'!$C$14="Off",('Activity data'!AT10*EF!$H23)*kgtoGg,IF('Net zero activities &amp; levers'!$C$14="On",('Net zero Activity data'!AT10*EF!$H23)*kgtoGg,"ERROR"))</f>
        <v>0.67266194335256146</v>
      </c>
      <c r="AB1086" s="93">
        <f>IF('Net zero activities &amp; levers'!$C$14="Off",('Activity data'!AU10*EF!$H23)*kgtoGg,IF('Net zero activities &amp; levers'!$C$14="On",('Net zero Activity data'!AU10*EF!$H23)*kgtoGg,"ERROR"))</f>
        <v>0.69879229877984206</v>
      </c>
      <c r="AC1086" s="93">
        <f>IF('Net zero activities &amp; levers'!$C$14="Off",('Activity data'!AV10*EF!$H23)*kgtoGg,IF('Net zero activities &amp; levers'!$C$14="On",('Net zero Activity data'!AV10*EF!$H23)*kgtoGg,"ERROR"))</f>
        <v>0.72895809146559021</v>
      </c>
      <c r="AD1086" s="93">
        <f>IF('Net zero activities &amp; levers'!$C$14="Off",('Activity data'!AW10*EF!$H23)*kgtoGg,IF('Net zero activities &amp; levers'!$C$14="On",('Net zero Activity data'!AW10*EF!$H23)*kgtoGg,"ERROR"))</f>
        <v>0.76381313429213382</v>
      </c>
      <c r="AE1086" s="93">
        <f>IF('Net zero activities &amp; levers'!$C$14="Off",('Activity data'!AX10*EF!$H23)*kgtoGg,IF('Net zero activities &amp; levers'!$C$14="On",('Net zero Activity data'!AX10*EF!$H23)*kgtoGg,"ERROR"))</f>
        <v>0.80153113832193645</v>
      </c>
      <c r="AF1086" s="93">
        <f>IF('Net zero activities &amp; levers'!$C$14="Off",('Activity data'!AY10*EF!$H23)*kgtoGg,IF('Net zero activities &amp; levers'!$C$14="On",('Net zero Activity data'!AY10*EF!$H23)*kgtoGg,"ERROR"))</f>
        <v>0.84136759742134326</v>
      </c>
      <c r="AG1086" s="93">
        <f>IF('Net zero activities &amp; levers'!$C$14="Off",('Activity data'!AZ10*EF!$H23)*kgtoGg,IF('Net zero activities &amp; levers'!$C$14="On",('Net zero Activity data'!AZ10*EF!$H23)*kgtoGg,"ERROR"))</f>
        <v>0.88375975405626439</v>
      </c>
      <c r="AH1086" s="93">
        <f>IF('Net zero activities &amp; levers'!$C$14="Off",('Activity data'!BA10*EF!$H23)*kgtoGg,IF('Net zero activities &amp; levers'!$C$14="On",('Net zero Activity data'!BA10*EF!$H23)*kgtoGg,"ERROR"))</f>
        <v>0.92838040456636217</v>
      </c>
      <c r="AI1086" s="93">
        <f>IF('Net zero activities &amp; levers'!$C$14="Off",('Activity data'!BB10*EF!$H23)*kgtoGg,IF('Net zero activities &amp; levers'!$C$14="On",('Net zero Activity data'!BB10*EF!$H23)*kgtoGg,"ERROR"))</f>
        <v>0.97379529022362832</v>
      </c>
      <c r="AJ1086" s="93">
        <f>IF('Net zero activities &amp; levers'!$C$14="Off",('Activity data'!BC10*EF!$H23)*kgtoGg,IF('Net zero activities &amp; levers'!$C$14="On",('Net zero Activity data'!BC10*EF!$H23)*kgtoGg,"ERROR"))</f>
        <v>1.0221841318210139</v>
      </c>
      <c r="AK1086" s="93">
        <f>IF('Net zero activities &amp; levers'!$C$14="Off",('Activity data'!BD10*EF!$H23)*kgtoGg,IF('Net zero activities &amp; levers'!$C$14="On",('Net zero Activity data'!BD10*EF!$H23)*kgtoGg,"ERROR"))</f>
        <v>1.072208285270027</v>
      </c>
      <c r="AL1086" s="93">
        <f>IF('Net zero activities &amp; levers'!$C$14="Off",('Activity data'!BE10*EF!$H23)*kgtoGg,IF('Net zero activities &amp; levers'!$C$14="On",('Net zero Activity data'!BE10*EF!$H23)*kgtoGg,"ERROR"))</f>
        <v>1.123785168211771</v>
      </c>
      <c r="AM1086" s="93">
        <f>IF('Net zero activities &amp; levers'!$C$14="Off",('Activity data'!BF10*EF!$H23)*kgtoGg,IF('Net zero activities &amp; levers'!$C$14="On",('Net zero Activity data'!BF10*EF!$H23)*kgtoGg,"ERROR"))</f>
        <v>1.1776298462289758</v>
      </c>
      <c r="AN1086" s="93">
        <f>IF('Net zero activities &amp; levers'!$C$14="Off",('Activity data'!BG10*EF!$H23)*kgtoGg,IF('Net zero activities &amp; levers'!$C$14="On",('Net zero Activity data'!BG10*EF!$H23)*kgtoGg,"ERROR"))</f>
        <v>1.2305489615866252</v>
      </c>
      <c r="AO1086" s="93">
        <f>IF('Net zero activities &amp; levers'!$C$14="Off",('Activity data'!BH10*EF!$H23)*kgtoGg,IF('Net zero activities &amp; levers'!$C$14="On",('Net zero Activity data'!BH10*EF!$H23)*kgtoGg,"ERROR"))</f>
        <v>1.2863335234294737</v>
      </c>
      <c r="AP1086" s="93">
        <f>IF('Net zero activities &amp; levers'!$C$14="Off",('Activity data'!BI10*EF!$H23)*kgtoGg,IF('Net zero activities &amp; levers'!$C$14="On",('Net zero Activity data'!BI10*EF!$H23)*kgtoGg,"ERROR"))</f>
        <v>1.3459319381262367</v>
      </c>
      <c r="AQ1086" s="93">
        <f>IF('Net zero activities &amp; levers'!$C$14="Off",('Activity data'!BJ10*EF!$H23)*kgtoGg,IF('Net zero activities &amp; levers'!$C$14="On",('Net zero Activity data'!BJ10*EF!$H23)*kgtoGg,"ERROR"))</f>
        <v>1.4079553802544587</v>
      </c>
      <c r="AR1086" s="93">
        <f>IF('Net zero activities &amp; levers'!$C$14="Off",('Activity data'!BK10*EF!$H23)*kgtoGg,IF('Net zero activities &amp; levers'!$C$14="On",('Net zero Activity data'!BK10*EF!$H23)*kgtoGg,"ERROR"))</f>
        <v>1.4725543863966755</v>
      </c>
      <c r="AS1086" s="93">
        <f>IF('Net zero activities &amp; levers'!$C$14="Off",('Activity data'!BL10*EF!$H23)*kgtoGg,IF('Net zero activities &amp; levers'!$C$14="On",('Net zero Activity data'!BL10*EF!$H23)*kgtoGg,"ERROR"))</f>
        <v>1.5414959451453387</v>
      </c>
      <c r="AT1086" s="93">
        <f>IF('Net zero activities &amp; levers'!$C$14="Off",('Activity data'!BM10*EF!$H23)*kgtoGg,IF('Net zero activities &amp; levers'!$C$14="On",('Net zero Activity data'!BM10*EF!$H23)*kgtoGg,"ERROR"))</f>
        <v>1.6143551492479555</v>
      </c>
      <c r="AU1086" s="93">
        <f>IF('Net zero activities &amp; levers'!$C$14="Off",('Activity data'!BN10*EF!$H23)*kgtoGg,IF('Net zero activities &amp; levers'!$C$14="On",('Net zero Activity data'!BN10*EF!$H23)*kgtoGg,"ERROR"))</f>
        <v>1.6908665423569276</v>
      </c>
      <c r="AV1086" s="93">
        <f>IF('Net zero activities &amp; levers'!$C$14="Off",('Activity data'!BO10*EF!$H23)*kgtoGg,IF('Net zero activities &amp; levers'!$C$14="On",('Net zero Activity data'!BO10*EF!$H23)*kgtoGg,"ERROR"))</f>
        <v>1.7722717243433437</v>
      </c>
      <c r="AW1086" s="93">
        <f>IF('Net zero activities &amp; levers'!$C$14="Off",('Activity data'!BP10*EF!$H23)*kgtoGg,IF('Net zero activities &amp; levers'!$C$14="On",('Net zero Activity data'!BP10*EF!$H23)*kgtoGg,"ERROR"))</f>
        <v>1.852080501247541</v>
      </c>
      <c r="AY1086" s="79"/>
    </row>
    <row r="1087" spans="1:51" x14ac:dyDescent="0.25">
      <c r="A1087" s="95" t="str">
        <f t="shared" si="373"/>
        <v>CM Sheep MMCH4</v>
      </c>
      <c r="B1087" s="95" t="s">
        <v>1321</v>
      </c>
      <c r="C1087" s="95" t="s">
        <v>1323</v>
      </c>
      <c r="D1087" t="s">
        <v>15</v>
      </c>
      <c r="E1087" t="s">
        <v>22</v>
      </c>
      <c r="F1087" t="s">
        <v>18</v>
      </c>
      <c r="G1087" t="s">
        <v>122</v>
      </c>
      <c r="H1087" t="s">
        <v>1226</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3.6577867645106926E-2</v>
      </c>
      <c r="T1087" s="93">
        <f>IF('Net zero activities &amp; levers'!$C$14="Off",('Activity data'!AM11*EF!$H24)*kgtoGg,IF('Net zero activities &amp; levers'!$C$14="On",('Net zero Activity data'!AM11*EF!$H24)*kgtoGg,"ERROR"))</f>
        <v>3.6604195637780168E-2</v>
      </c>
      <c r="U1087" s="93">
        <f>IF('Net zero activities &amp; levers'!$C$14="Off",('Activity data'!AN11*EF!$H24)*kgtoGg,IF('Net zero activities &amp; levers'!$C$14="On",('Net zero Activity data'!AN11*EF!$H24)*kgtoGg,"ERROR"))</f>
        <v>3.6594939276300961E-2</v>
      </c>
      <c r="V1087" s="93">
        <f>IF('Net zero activities &amp; levers'!$C$14="Off",('Activity data'!AO11*EF!$H24)*kgtoGg,IF('Net zero activities &amp; levers'!$C$14="On",('Net zero Activity data'!AO11*EF!$H24)*kgtoGg,"ERROR"))</f>
        <v>3.6594272892103465E-2</v>
      </c>
      <c r="W1087" s="93">
        <f>IF('Net zero activities &amp; levers'!$C$14="Off",('Activity data'!AP11*EF!$H24)*kgtoGg,IF('Net zero activities &amp; levers'!$C$14="On",('Net zero Activity data'!AP11*EF!$H24)*kgtoGg,"ERROR"))</f>
        <v>3.663308878376182E-2</v>
      </c>
      <c r="X1087" s="93">
        <f>IF('Net zero activities &amp; levers'!$C$14="Off",('Activity data'!AQ11*EF!$H24)*kgtoGg,IF('Net zero activities &amp; levers'!$C$14="On",('Net zero Activity data'!AQ11*EF!$H24)*kgtoGg,"ERROR"))</f>
        <v>3.66966145669788E-2</v>
      </c>
      <c r="Y1087" s="93">
        <f>IF('Net zero activities &amp; levers'!$C$14="Off",('Activity data'!AR11*EF!$H24)*kgtoGg,IF('Net zero activities &amp; levers'!$C$14="On",('Net zero Activity data'!AR11*EF!$H24)*kgtoGg,"ERROR"))</f>
        <v>3.6757568260761757E-2</v>
      </c>
      <c r="Z1087" s="93">
        <f>IF('Net zero activities &amp; levers'!$C$14="Off",('Activity data'!AS11*EF!$H24)*kgtoGg,IF('Net zero activities &amp; levers'!$C$14="On",('Net zero Activity data'!AS11*EF!$H24)*kgtoGg,"ERROR"))</f>
        <v>3.6816146514376355E-2</v>
      </c>
      <c r="AA1087" s="93">
        <f>IF('Net zero activities &amp; levers'!$C$14="Off",('Activity data'!AT11*EF!$H24)*kgtoGg,IF('Net zero activities &amp; levers'!$C$14="On",('Net zero Activity data'!AT11*EF!$H24)*kgtoGg,"ERROR"))</f>
        <v>3.6872269383598041E-2</v>
      </c>
      <c r="AB1087" s="93">
        <f>IF('Net zero activities &amp; levers'!$C$14="Off",('Activity data'!AU11*EF!$H24)*kgtoGg,IF('Net zero activities &amp; levers'!$C$14="On",('Net zero Activity data'!AU11*EF!$H24)*kgtoGg,"ERROR"))</f>
        <v>3.6927106456158189E-2</v>
      </c>
      <c r="AC1087" s="93">
        <f>IF('Net zero activities &amp; levers'!$C$14="Off",('Activity data'!AV11*EF!$H24)*kgtoGg,IF('Net zero activities &amp; levers'!$C$14="On",('Net zero Activity data'!AV11*EF!$H24)*kgtoGg,"ERROR"))</f>
        <v>3.6981458757835407E-2</v>
      </c>
      <c r="AD1087" s="93">
        <f>IF('Net zero activities &amp; levers'!$C$14="Off",('Activity data'!AW11*EF!$H24)*kgtoGg,IF('Net zero activities &amp; levers'!$C$14="On",('Net zero Activity data'!AW11*EF!$H24)*kgtoGg,"ERROR"))</f>
        <v>3.7034780933234084E-2</v>
      </c>
      <c r="AE1087" s="93">
        <f>IF('Net zero activities &amp; levers'!$C$14="Off",('Activity data'!AX11*EF!$H24)*kgtoGg,IF('Net zero activities &amp; levers'!$C$14="On",('Net zero Activity data'!AX11*EF!$H24)*kgtoGg,"ERROR"))</f>
        <v>3.7087839668251105E-2</v>
      </c>
      <c r="AF1087" s="93">
        <f>IF('Net zero activities &amp; levers'!$C$14="Off",('Activity data'!AY11*EF!$H24)*kgtoGg,IF('Net zero activities &amp; levers'!$C$14="On",('Net zero Activity data'!AY11*EF!$H24)*kgtoGg,"ERROR"))</f>
        <v>3.7140467817616069E-2</v>
      </c>
      <c r="AG1087" s="93">
        <f>IF('Net zero activities &amp; levers'!$C$14="Off",('Activity data'!AZ11*EF!$H24)*kgtoGg,IF('Net zero activities &amp; levers'!$C$14="On",('Net zero Activity data'!AZ11*EF!$H24)*kgtoGg,"ERROR"))</f>
        <v>3.7192243691518308E-2</v>
      </c>
      <c r="AH1087" s="93">
        <f>IF('Net zero activities &amp; levers'!$C$14="Off",('Activity data'!BA11*EF!$H24)*kgtoGg,IF('Net zero activities &amp; levers'!$C$14="On",('Net zero Activity data'!BA11*EF!$H24)*kgtoGg,"ERROR"))</f>
        <v>3.7243395244831647E-2</v>
      </c>
      <c r="AI1087" s="93">
        <f>IF('Net zero activities &amp; levers'!$C$14="Off",('Activity data'!BB11*EF!$H24)*kgtoGg,IF('Net zero activities &amp; levers'!$C$14="On",('Net zero Activity data'!BB11*EF!$H24)*kgtoGg,"ERROR"))</f>
        <v>3.7293977063567109E-2</v>
      </c>
      <c r="AJ1087" s="93">
        <f>IF('Net zero activities &amp; levers'!$C$14="Off",('Activity data'!BC11*EF!$H24)*kgtoGg,IF('Net zero activities &amp; levers'!$C$14="On",('Net zero Activity data'!BC11*EF!$H24)*kgtoGg,"ERROR"))</f>
        <v>3.7344160870083701E-2</v>
      </c>
      <c r="AK1087" s="93">
        <f>IF('Net zero activities &amp; levers'!$C$14="Off",('Activity data'!BD11*EF!$H24)*kgtoGg,IF('Net zero activities &amp; levers'!$C$14="On",('Net zero Activity data'!BD11*EF!$H24)*kgtoGg,"ERROR"))</f>
        <v>3.7392411139770994E-2</v>
      </c>
      <c r="AL1087" s="93">
        <f>IF('Net zero activities &amp; levers'!$C$14="Off",('Activity data'!BE11*EF!$H24)*kgtoGg,IF('Net zero activities &amp; levers'!$C$14="On",('Net zero Activity data'!BE11*EF!$H24)*kgtoGg,"ERROR"))</f>
        <v>3.743867142078007E-2</v>
      </c>
      <c r="AM1087" s="93">
        <f>IF('Net zero activities &amp; levers'!$C$14="Off",('Activity data'!BF11*EF!$H24)*kgtoGg,IF('Net zero activities &amp; levers'!$C$14="On",('Net zero Activity data'!BF11*EF!$H24)*kgtoGg,"ERROR"))</f>
        <v>3.7483374065557115E-2</v>
      </c>
      <c r="AN1087" s="93">
        <f>IF('Net zero activities &amp; levers'!$C$14="Off",('Activity data'!BG11*EF!$H24)*kgtoGg,IF('Net zero activities &amp; levers'!$C$14="On",('Net zero Activity data'!BG11*EF!$H24)*kgtoGg,"ERROR"))</f>
        <v>3.7526174858995696E-2</v>
      </c>
      <c r="AO1087" s="93">
        <f>IF('Net zero activities &amp; levers'!$C$14="Off",('Activity data'!BH11*EF!$H24)*kgtoGg,IF('Net zero activities &amp; levers'!$C$14="On",('Net zero Activity data'!BH11*EF!$H24)*kgtoGg,"ERROR"))</f>
        <v>3.7567151445085212E-2</v>
      </c>
      <c r="AP1087" s="93">
        <f>IF('Net zero activities &amp; levers'!$C$14="Off",('Activity data'!BI11*EF!$H24)*kgtoGg,IF('Net zero activities &amp; levers'!$C$14="On",('Net zero Activity data'!BI11*EF!$H24)*kgtoGg,"ERROR"))</f>
        <v>3.7606119264532091E-2</v>
      </c>
      <c r="AQ1087" s="93">
        <f>IF('Net zero activities &amp; levers'!$C$14="Off",('Activity data'!BJ11*EF!$H24)*kgtoGg,IF('Net zero activities &amp; levers'!$C$14="On",('Net zero Activity data'!BJ11*EF!$H24)*kgtoGg,"ERROR"))</f>
        <v>3.7642520684787982E-2</v>
      </c>
      <c r="AR1087" s="93">
        <f>IF('Net zero activities &amp; levers'!$C$14="Off",('Activity data'!BK11*EF!$H24)*kgtoGg,IF('Net zero activities &amp; levers'!$C$14="On",('Net zero Activity data'!BK11*EF!$H24)*kgtoGg,"ERROR"))</f>
        <v>3.7675838960014932E-2</v>
      </c>
      <c r="AS1087" s="93">
        <f>IF('Net zero activities &amp; levers'!$C$14="Off",('Activity data'!BL11*EF!$H24)*kgtoGg,IF('Net zero activities &amp; levers'!$C$14="On",('Net zero Activity data'!BL11*EF!$H24)*kgtoGg,"ERROR"))</f>
        <v>3.7706040429411586E-2</v>
      </c>
      <c r="AT1087" s="93">
        <f>IF('Net zero activities &amp; levers'!$C$14="Off",('Activity data'!BM11*EF!$H24)*kgtoGg,IF('Net zero activities &amp; levers'!$C$14="On",('Net zero Activity data'!BM11*EF!$H24)*kgtoGg,"ERROR"))</f>
        <v>3.7732893978113372E-2</v>
      </c>
      <c r="AU1087" s="93">
        <f>IF('Net zero activities &amp; levers'!$C$14="Off",('Activity data'!BN11*EF!$H24)*kgtoGg,IF('Net zero activities &amp; levers'!$C$14="On",('Net zero Activity data'!BN11*EF!$H24)*kgtoGg,"ERROR"))</f>
        <v>3.7756386655025911E-2</v>
      </c>
      <c r="AV1087" s="93">
        <f>IF('Net zero activities &amp; levers'!$C$14="Off",('Activity data'!BO11*EF!$H24)*kgtoGg,IF('Net zero activities &amp; levers'!$C$14="On",('Net zero Activity data'!BO11*EF!$H24)*kgtoGg,"ERROR"))</f>
        <v>3.7776968038330937E-2</v>
      </c>
      <c r="AW1087" s="93">
        <f>IF('Net zero activities &amp; levers'!$C$14="Off",('Activity data'!BP11*EF!$H24)*kgtoGg,IF('Net zero activities &amp; levers'!$C$14="On",('Net zero Activity data'!BP11*EF!$H24)*kgtoGg,"ERROR"))</f>
        <v>3.7791964878546927E-2</v>
      </c>
      <c r="AY1087" s="79"/>
    </row>
    <row r="1088" spans="1:51" x14ac:dyDescent="0.25">
      <c r="A1088" s="95" t="str">
        <f t="shared" si="373"/>
        <v>CM Sheep MMCH4</v>
      </c>
      <c r="B1088" s="95" t="s">
        <v>1321</v>
      </c>
      <c r="C1088" s="95" t="s">
        <v>1323</v>
      </c>
      <c r="D1088" t="s">
        <v>15</v>
      </c>
      <c r="E1088" t="s">
        <v>22</v>
      </c>
      <c r="F1088" t="s">
        <v>18</v>
      </c>
      <c r="G1088" t="s">
        <v>123</v>
      </c>
      <c r="H1088" t="s">
        <v>1226</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4.1773668344855536E-3</v>
      </c>
      <c r="T1088" s="93">
        <f>IF('Net zero activities &amp; levers'!$C$14="Off",('Activity data'!AM12*EF!$H25)*kgtoGg,IF('Net zero activities &amp; levers'!$C$14="On",('Net zero Activity data'!AM12*EF!$H25)*kgtoGg,"ERROR"))</f>
        <v>4.1803736167419408E-3</v>
      </c>
      <c r="U1088" s="93">
        <f>IF('Net zero activities &amp; levers'!$C$14="Off",('Activity data'!AN12*EF!$H25)*kgtoGg,IF('Net zero activities &amp; levers'!$C$14="On",('Net zero Activity data'!AN12*EF!$H25)*kgtoGg,"ERROR"))</f>
        <v>4.1793164961403135E-3</v>
      </c>
      <c r="V1088" s="93">
        <f>IF('Net zero activities &amp; levers'!$C$14="Off",('Activity data'!AO12*EF!$H25)*kgtoGg,IF('Net zero activities &amp; levers'!$C$14="On",('Net zero Activity data'!AO12*EF!$H25)*kgtoGg,"ERROR"))</f>
        <v>4.1792403918886204E-3</v>
      </c>
      <c r="W1088" s="93">
        <f>IF('Net zero activities &amp; levers'!$C$14="Off",('Activity data'!AP12*EF!$H25)*kgtoGg,IF('Net zero activities &amp; levers'!$C$14="On",('Net zero Activity data'!AP12*EF!$H25)*kgtoGg,"ERROR"))</f>
        <v>4.1836733517330218E-3</v>
      </c>
      <c r="X1088" s="93">
        <f>IF('Net zero activities &amp; levers'!$C$14="Off",('Activity data'!AQ12*EF!$H25)*kgtoGg,IF('Net zero activities &amp; levers'!$C$14="On",('Net zero Activity data'!AQ12*EF!$H25)*kgtoGg,"ERROR"))</f>
        <v>4.190928298973798E-3</v>
      </c>
      <c r="Y1088" s="93">
        <f>IF('Net zero activities &amp; levers'!$C$14="Off",('Activity data'!AR12*EF!$H25)*kgtoGg,IF('Net zero activities &amp; levers'!$C$14="On",('Net zero Activity data'!AR12*EF!$H25)*kgtoGg,"ERROR"))</f>
        <v>4.197889501341273E-3</v>
      </c>
      <c r="Z1088" s="93">
        <f>IF('Net zero activities &amp; levers'!$C$14="Off",('Activity data'!AS12*EF!$H25)*kgtoGg,IF('Net zero activities &amp; levers'!$C$14="On",('Net zero Activity data'!AS12*EF!$H25)*kgtoGg,"ERROR"))</f>
        <v>4.204579417118921E-3</v>
      </c>
      <c r="AA1088" s="93">
        <f>IF('Net zero activities &amp; levers'!$C$14="Off",('Activity data'!AT12*EF!$H25)*kgtoGg,IF('Net zero activities &amp; levers'!$C$14="On",('Net zero Activity data'!AT12*EF!$H25)*kgtoGg,"ERROR"))</f>
        <v>4.2109889162952416E-3</v>
      </c>
      <c r="AB1088" s="93">
        <f>IF('Net zero activities &amp; levers'!$C$14="Off",('Activity data'!AU12*EF!$H25)*kgtoGg,IF('Net zero activities &amp; levers'!$C$14="On",('Net zero Activity data'!AU12*EF!$H25)*kgtoGg,"ERROR"))</f>
        <v>4.2172515713640264E-3</v>
      </c>
      <c r="AC1088" s="93">
        <f>IF('Net zero activities &amp; levers'!$C$14="Off",('Activity data'!AV12*EF!$H25)*kgtoGg,IF('Net zero activities &amp; levers'!$C$14="On",('Net zero Activity data'!AV12*EF!$H25)*kgtoGg,"ERROR"))</f>
        <v>4.2234588632873099E-3</v>
      </c>
      <c r="AD1088" s="93">
        <f>IF('Net zero activities &amp; levers'!$C$14="Off",('Activity data'!AW12*EF!$H25)*kgtoGg,IF('Net zero activities &amp; levers'!$C$14="On",('Net zero Activity data'!AW12*EF!$H25)*kgtoGg,"ERROR"))</f>
        <v>4.2295485098794577E-3</v>
      </c>
      <c r="AE1088" s="93">
        <f>IF('Net zero activities &amp; levers'!$C$14="Off",('Activity data'!AX12*EF!$H25)*kgtoGg,IF('Net zero activities &amp; levers'!$C$14="On",('Net zero Activity data'!AX12*EF!$H25)*kgtoGg,"ERROR"))</f>
        <v>4.2356080703243246E-3</v>
      </c>
      <c r="AF1088" s="93">
        <f>IF('Net zero activities &amp; levers'!$C$14="Off",('Activity data'!AY12*EF!$H25)*kgtoGg,IF('Net zero activities &amp; levers'!$C$14="On",('Net zero Activity data'!AY12*EF!$H25)*kgtoGg,"ERROR"))</f>
        <v>4.2416184558353278E-3</v>
      </c>
      <c r="AG1088" s="93">
        <f>IF('Net zero activities &amp; levers'!$C$14="Off",('Activity data'!AZ12*EF!$H25)*kgtoGg,IF('Net zero activities &amp; levers'!$C$14="On",('Net zero Activity data'!AZ12*EF!$H25)*kgtoGg,"ERROR"))</f>
        <v>4.247531507426093E-3</v>
      </c>
      <c r="AH1088" s="93">
        <f>IF('Net zero activities &amp; levers'!$C$14="Off",('Activity data'!BA12*EF!$H25)*kgtoGg,IF('Net zero activities &amp; levers'!$C$14="On",('Net zero Activity data'!BA12*EF!$H25)*kgtoGg,"ERROR"))</f>
        <v>4.2533732586297656E-3</v>
      </c>
      <c r="AI1088" s="93">
        <f>IF('Net zero activities &amp; levers'!$C$14="Off",('Activity data'!BB12*EF!$H25)*kgtoGg,IF('Net zero activities &amp; levers'!$C$14="On",('Net zero Activity data'!BB12*EF!$H25)*kgtoGg,"ERROR"))</f>
        <v>4.2591499434289888E-3</v>
      </c>
      <c r="AJ1088" s="93">
        <f>IF('Net zero activities &amp; levers'!$C$14="Off",('Activity data'!BC12*EF!$H25)*kgtoGg,IF('Net zero activities &amp; levers'!$C$14="On",('Net zero Activity data'!BC12*EF!$H25)*kgtoGg,"ERROR"))</f>
        <v>4.2648811733356808E-3</v>
      </c>
      <c r="AK1088" s="93">
        <f>IF('Net zero activities &amp; levers'!$C$14="Off",('Activity data'!BD12*EF!$H25)*kgtoGg,IF('Net zero activities &amp; levers'!$C$14="On",('Net zero Activity data'!BD12*EF!$H25)*kgtoGg,"ERROR"))</f>
        <v>4.2703915841202098E-3</v>
      </c>
      <c r="AL1088" s="93">
        <f>IF('Net zero activities &amp; levers'!$C$14="Off",('Activity data'!BE12*EF!$H25)*kgtoGg,IF('Net zero activities &amp; levers'!$C$14="On",('Net zero Activity data'!BE12*EF!$H25)*kgtoGg,"ERROR"))</f>
        <v>4.2756747287123493E-3</v>
      </c>
      <c r="AM1088" s="93">
        <f>IF('Net zero activities &amp; levers'!$C$14="Off",('Activity data'!BF12*EF!$H25)*kgtoGg,IF('Net zero activities &amp; levers'!$C$14="On",('Net zero Activity data'!BF12*EF!$H25)*kgtoGg,"ERROR"))</f>
        <v>4.2807799838222773E-3</v>
      </c>
      <c r="AN1088" s="93">
        <f>IF('Net zero activities &amp; levers'!$C$14="Off",('Activity data'!BG12*EF!$H25)*kgtoGg,IF('Net zero activities &amp; levers'!$C$14="On",('Net zero Activity data'!BG12*EF!$H25)*kgtoGg,"ERROR"))</f>
        <v>4.2856680384441249E-3</v>
      </c>
      <c r="AO1088" s="93">
        <f>IF('Net zero activities &amp; levers'!$C$14="Off",('Activity data'!BH12*EF!$H25)*kgtoGg,IF('Net zero activities &amp; levers'!$C$14="On",('Net zero Activity data'!BH12*EF!$H25)*kgtoGg,"ERROR"))</f>
        <v>4.2903477598915749E-3</v>
      </c>
      <c r="AP1088" s="93">
        <f>IF('Net zero activities &amp; levers'!$C$14="Off",('Activity data'!BI12*EF!$H25)*kgtoGg,IF('Net zero activities &amp; levers'!$C$14="On",('Net zero Activity data'!BI12*EF!$H25)*kgtoGg,"ERROR"))</f>
        <v>4.2947980706135938E-3</v>
      </c>
      <c r="AQ1088" s="93">
        <f>IF('Net zero activities &amp; levers'!$C$14="Off",('Activity data'!BJ12*EF!$H25)*kgtoGg,IF('Net zero activities &amp; levers'!$C$14="On",('Net zero Activity data'!BJ12*EF!$H25)*kgtoGg,"ERROR"))</f>
        <v>4.2989552863151904E-3</v>
      </c>
      <c r="AR1088" s="93">
        <f>IF('Net zero activities &amp; levers'!$C$14="Off",('Activity data'!BK12*EF!$H25)*kgtoGg,IF('Net zero activities &amp; levers'!$C$14="On",('Net zero Activity data'!BK12*EF!$H25)*kgtoGg,"ERROR"))</f>
        <v>4.3027603921585852E-3</v>
      </c>
      <c r="AS1088" s="93">
        <f>IF('Net zero activities &amp; levers'!$C$14="Off",('Activity data'!BL12*EF!$H25)*kgtoGg,IF('Net zero activities &amp; levers'!$C$14="On",('Net zero Activity data'!BL12*EF!$H25)*kgtoGg,"ERROR"))</f>
        <v>4.3062095439198199E-3</v>
      </c>
      <c r="AT1088" s="93">
        <f>IF('Net zero activities &amp; levers'!$C$14="Off",('Activity data'!BM12*EF!$H25)*kgtoGg,IF('Net zero activities &amp; levers'!$C$14="On",('Net zero Activity data'!BM12*EF!$H25)*kgtoGg,"ERROR"))</f>
        <v>4.3092763471797441E-3</v>
      </c>
      <c r="AU1088" s="93">
        <f>IF('Net zero activities &amp; levers'!$C$14="Off",('Activity data'!BN12*EF!$H25)*kgtoGg,IF('Net zero activities &amp; levers'!$C$14="On",('Net zero Activity data'!BN12*EF!$H25)*kgtoGg,"ERROR"))</f>
        <v>4.3119593228616469E-3</v>
      </c>
      <c r="AV1088" s="93">
        <f>IF('Net zero activities &amp; levers'!$C$14="Off",('Activity data'!BO12*EF!$H25)*kgtoGg,IF('Net zero activities &amp; levers'!$C$14="On",('Net zero Activity data'!BO12*EF!$H25)*kgtoGg,"ERROR"))</f>
        <v>4.3143098149368113E-3</v>
      </c>
      <c r="AW1088" s="93">
        <f>IF('Net zero activities &amp; levers'!$C$14="Off",('Activity data'!BP12*EF!$H25)*kgtoGg,IF('Net zero activities &amp; levers'!$C$14="On",('Net zero Activity data'!BP12*EF!$H25)*kgtoGg,"ERROR"))</f>
        <v>4.3160225255723297E-3</v>
      </c>
      <c r="AY1088" s="79"/>
    </row>
    <row r="1089" spans="1:51" x14ac:dyDescent="0.25">
      <c r="A1089" s="95" t="str">
        <f t="shared" si="373"/>
        <v>CM Goats MMCH4</v>
      </c>
      <c r="B1089" s="95" t="s">
        <v>1321</v>
      </c>
      <c r="C1089" s="95" t="s">
        <v>1324</v>
      </c>
      <c r="D1089" t="s">
        <v>15</v>
      </c>
      <c r="E1089" t="s">
        <v>22</v>
      </c>
      <c r="F1089" t="s">
        <v>19</v>
      </c>
      <c r="G1089" t="s">
        <v>122</v>
      </c>
      <c r="H1089" t="s">
        <v>1226</v>
      </c>
      <c r="I1089" t="s">
        <v>121</v>
      </c>
      <c r="J1089" t="s">
        <v>286</v>
      </c>
      <c r="K1089" s="93">
        <f>IF('Net zero activities &amp; levers'!$C$14="Off",('Activity data'!AD13*EF!$H26)*kgtoGg,IF('Net zero activities &amp; levers'!$C$14="On",('Net zero Activity data'!AD13*EF!$H26)*kgtoGg,"ERROR"))</f>
        <v>1.5789672763163298E-2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1.6297380650984187E-2</v>
      </c>
      <c r="T1089" s="93">
        <f>IF('Net zero activities &amp; levers'!$C$14="Off",('Activity data'!AM13*EF!$H26)*kgtoGg,IF('Net zero activities &amp; levers'!$C$14="On",('Net zero Activity data'!AM13*EF!$H26)*kgtoGg,"ERROR"))</f>
        <v>1.6325395863941383E-2</v>
      </c>
      <c r="U1089" s="93">
        <f>IF('Net zero activities &amp; levers'!$C$14="Off",('Activity data'!AN13*EF!$H26)*kgtoGg,IF('Net zero activities &amp; levers'!$C$14="On",('Net zero Activity data'!AN13*EF!$H26)*kgtoGg,"ERROR"))</f>
        <v>1.6328114418990985E-2</v>
      </c>
      <c r="V1089" s="93">
        <f>IF('Net zero activities &amp; levers'!$C$14="Off",('Activity data'!AO13*EF!$H26)*kgtoGg,IF('Net zero activities &amp; levers'!$C$14="On",('Net zero Activity data'!AO13*EF!$H26)*kgtoGg,"ERROR"))</f>
        <v>1.6335588711282864E-2</v>
      </c>
      <c r="W1089" s="93">
        <f>IF('Net zero activities &amp; levers'!$C$14="Off",('Activity data'!AP13*EF!$H26)*kgtoGg,IF('Net zero activities &amp; levers'!$C$14="On",('Net zero Activity data'!AP13*EF!$H26)*kgtoGg,"ERROR"))</f>
        <v>1.6368634589950044E-2</v>
      </c>
      <c r="X1089" s="93">
        <f>IF('Net zero activities &amp; levers'!$C$14="Off",('Activity data'!AQ13*EF!$H26)*kgtoGg,IF('Net zero activities &amp; levers'!$C$14="On",('Net zero Activity data'!AQ13*EF!$H26)*kgtoGg,"ERROR"))</f>
        <v>1.641724322972727E-2</v>
      </c>
      <c r="Y1089" s="93">
        <f>IF('Net zero activities &amp; levers'!$C$14="Off",('Activity data'!AR13*EF!$H26)*kgtoGg,IF('Net zero activities &amp; levers'!$C$14="On",('Net zero Activity data'!AR13*EF!$H26)*kgtoGg,"ERROR"))</f>
        <v>1.6463127220508685E-2</v>
      </c>
      <c r="Z1089" s="93">
        <f>IF('Net zero activities &amp; levers'!$C$14="Off",('Activity data'!AS13*EF!$H26)*kgtoGg,IF('Net zero activities &amp; levers'!$C$14="On",('Net zero Activity data'!AS13*EF!$H26)*kgtoGg,"ERROR"))</f>
        <v>1.6506502302245762E-2</v>
      </c>
      <c r="AA1089" s="93">
        <f>IF('Net zero activities &amp; levers'!$C$14="Off",('Activity data'!AT13*EF!$H26)*kgtoGg,IF('Net zero activities &amp; levers'!$C$14="On",('Net zero Activity data'!AT13*EF!$H26)*kgtoGg,"ERROR"))</f>
        <v>1.6547390676749981E-2</v>
      </c>
      <c r="AB1089" s="93">
        <f>IF('Net zero activities &amp; levers'!$C$14="Off",('Activity data'!AU13*EF!$H26)*kgtoGg,IF('Net zero activities &amp; levers'!$C$14="On",('Net zero Activity data'!AU13*EF!$H26)*kgtoGg,"ERROR"))</f>
        <v>1.6586638401151873E-2</v>
      </c>
      <c r="AC1089" s="93">
        <f>IF('Net zero activities &amp; levers'!$C$14="Off",('Activity data'!AV13*EF!$H26)*kgtoGg,IF('Net zero activities &amp; levers'!$C$14="On",('Net zero Activity data'!AV13*EF!$H26)*kgtoGg,"ERROR"))</f>
        <v>1.6624834346576634E-2</v>
      </c>
      <c r="AD1089" s="93">
        <f>IF('Net zero activities &amp; levers'!$C$14="Off",('Activity data'!AW13*EF!$H26)*kgtoGg,IF('Net zero activities &amp; levers'!$C$14="On",('Net zero Activity data'!AW13*EF!$H26)*kgtoGg,"ERROR"))</f>
        <v>1.6661666671952648E-2</v>
      </c>
      <c r="AE1089" s="93">
        <f>IF('Net zero activities &amp; levers'!$C$14="Off",('Activity data'!AX13*EF!$H26)*kgtoGg,IF('Net zero activities &amp; levers'!$C$14="On",('Net zero Activity data'!AX13*EF!$H26)*kgtoGg,"ERROR"))</f>
        <v>1.669768859843657E-2</v>
      </c>
      <c r="AF1089" s="93">
        <f>IF('Net zero activities &amp; levers'!$C$14="Off",('Activity data'!AY13*EF!$H26)*kgtoGg,IF('Net zero activities &amp; levers'!$C$14="On",('Net zero Activity data'!AY13*EF!$H26)*kgtoGg,"ERROR"))</f>
        <v>1.6732829718107738E-2</v>
      </c>
      <c r="AG1089" s="93">
        <f>IF('Net zero activities &amp; levers'!$C$14="Off",('Activity data'!AZ13*EF!$H26)*kgtoGg,IF('Net zero activities &amp; levers'!$C$14="On",('Net zero Activity data'!AZ13*EF!$H26)*kgtoGg,"ERROR"))</f>
        <v>1.6766849576183976E-2</v>
      </c>
      <c r="AH1089" s="93">
        <f>IF('Net zero activities &amp; levers'!$C$14="Off",('Activity data'!BA13*EF!$H26)*kgtoGg,IF('Net zero activities &amp; levers'!$C$14="On",('Net zero Activity data'!BA13*EF!$H26)*kgtoGg,"ERROR"))</f>
        <v>1.6799933327571178E-2</v>
      </c>
      <c r="AI1089" s="93">
        <f>IF('Net zero activities &amp; levers'!$C$14="Off",('Activity data'!BB13*EF!$H26)*kgtoGg,IF('Net zero activities &amp; levers'!$C$14="On",('Net zero Activity data'!BB13*EF!$H26)*kgtoGg,"ERROR"))</f>
        <v>1.6832148555186801E-2</v>
      </c>
      <c r="AJ1089" s="93">
        <f>IF('Net zero activities &amp; levers'!$C$14="Off",('Activity data'!BC13*EF!$H26)*kgtoGg,IF('Net zero activities &amp; levers'!$C$14="On",('Net zero Activity data'!BC13*EF!$H26)*kgtoGg,"ERROR"))</f>
        <v>1.6863636706256461E-2</v>
      </c>
      <c r="AK1089" s="93">
        <f>IF('Net zero activities &amp; levers'!$C$14="Off",('Activity data'!BD13*EF!$H26)*kgtoGg,IF('Net zero activities &amp; levers'!$C$14="On",('Net zero Activity data'!BD13*EF!$H26)*kgtoGg,"ERROR"))</f>
        <v>1.6893421474693429E-2</v>
      </c>
      <c r="AL1089" s="93">
        <f>IF('Net zero activities &amp; levers'!$C$14="Off",('Activity data'!BE13*EF!$H26)*kgtoGg,IF('Net zero activities &amp; levers'!$C$14="On",('Net zero Activity data'!BE13*EF!$H26)*kgtoGg,"ERROR"))</f>
        <v>1.6921495820142095E-2</v>
      </c>
      <c r="AM1089" s="93">
        <f>IF('Net zero activities &amp; levers'!$C$14="Off",('Activity data'!BF13*EF!$H26)*kgtoGg,IF('Net zero activities &amp; levers'!$C$14="On",('Net zero Activity data'!BF13*EF!$H26)*kgtoGg,"ERROR"))</f>
        <v>1.6948169002433171E-2</v>
      </c>
      <c r="AN1089" s="93">
        <f>IF('Net zero activities &amp; levers'!$C$14="Off",('Activity data'!BG13*EF!$H26)*kgtoGg,IF('Net zero activities &amp; levers'!$C$14="On",('Net zero Activity data'!BG13*EF!$H26)*kgtoGg,"ERROR"))</f>
        <v>1.6973242190360595E-2</v>
      </c>
      <c r="AO1089" s="93">
        <f>IF('Net zero activities &amp; levers'!$C$14="Off",('Activity data'!BH13*EF!$H26)*kgtoGg,IF('Net zero activities &amp; levers'!$C$14="On",('Net zero Activity data'!BH13*EF!$H26)*kgtoGg,"ERROR"))</f>
        <v>1.699679001880551E-2</v>
      </c>
      <c r="AP1089" s="93">
        <f>IF('Net zero activities &amp; levers'!$C$14="Off",('Activity data'!BI13*EF!$H26)*kgtoGg,IF('Net zero activities &amp; levers'!$C$14="On",('Net zero Activity data'!BI13*EF!$H26)*kgtoGg,"ERROR"))</f>
        <v>1.701871561452447E-2</v>
      </c>
      <c r="AQ1089" s="93">
        <f>IF('Net zero activities &amp; levers'!$C$14="Off",('Activity data'!BJ13*EF!$H26)*kgtoGg,IF('Net zero activities &amp; levers'!$C$14="On",('Net zero Activity data'!BJ13*EF!$H26)*kgtoGg,"ERROR"))</f>
        <v>1.7038680545756732E-2</v>
      </c>
      <c r="AR1089" s="93">
        <f>IF('Net zero activities &amp; levers'!$C$14="Off",('Activity data'!BK13*EF!$H26)*kgtoGg,IF('Net zero activities &amp; levers'!$C$14="On",('Net zero Activity data'!BK13*EF!$H26)*kgtoGg,"ERROR"))</f>
        <v>1.7056373927880512E-2</v>
      </c>
      <c r="AS1089" s="93">
        <f>IF('Net zero activities &amp; levers'!$C$14="Off",('Activity data'!BL13*EF!$H26)*kgtoGg,IF('Net zero activities &amp; levers'!$C$14="On",('Net zero Activity data'!BL13*EF!$H26)*kgtoGg,"ERROR"))</f>
        <v>1.7071796968078184E-2</v>
      </c>
      <c r="AT1089" s="93">
        <f>IF('Net zero activities &amp; levers'!$C$14="Off",('Activity data'!BM13*EF!$H26)*kgtoGg,IF('Net zero activities &amp; levers'!$C$14="On",('Net zero Activity data'!BM13*EF!$H26)*kgtoGg,"ERROR"))</f>
        <v>1.7084822941521471E-2</v>
      </c>
      <c r="AU1089" s="93">
        <f>IF('Net zero activities &amp; levers'!$C$14="Off",('Activity data'!BN13*EF!$H26)*kgtoGg,IF('Net zero activities &amp; levers'!$C$14="On",('Net zero Activity data'!BN13*EF!$H26)*kgtoGg,"ERROR"))</f>
        <v>1.7095465059373528E-2</v>
      </c>
      <c r="AV1089" s="93">
        <f>IF('Net zero activities &amp; levers'!$C$14="Off",('Activity data'!BO13*EF!$H26)*kgtoGg,IF('Net zero activities &amp; levers'!$C$14="On",('Net zero Activity data'!BO13*EF!$H26)*kgtoGg,"ERROR"))</f>
        <v>1.7104031992328298E-2</v>
      </c>
      <c r="AW1089" s="93">
        <f>IF('Net zero activities &amp; levers'!$C$14="Off",('Activity data'!BP13*EF!$H26)*kgtoGg,IF('Net zero activities &amp; levers'!$C$14="On",('Net zero Activity data'!BP13*EF!$H26)*kgtoGg,"ERROR"))</f>
        <v>1.7108831686205268E-2</v>
      </c>
      <c r="AY1089" s="79"/>
    </row>
    <row r="1090" spans="1:51" x14ac:dyDescent="0.25">
      <c r="A1090" s="95" t="str">
        <f t="shared" ref="A1090:A1167" si="374">B1090&amp;" "&amp;C1090</f>
        <v>CM Goats MMCH4</v>
      </c>
      <c r="B1090" s="95" t="s">
        <v>1321</v>
      </c>
      <c r="C1090" s="95" t="s">
        <v>1324</v>
      </c>
      <c r="D1090" t="s">
        <v>15</v>
      </c>
      <c r="E1090" t="s">
        <v>22</v>
      </c>
      <c r="F1090" t="s">
        <v>19</v>
      </c>
      <c r="G1090" t="s">
        <v>123</v>
      </c>
      <c r="H1090" t="s">
        <v>1226</v>
      </c>
      <c r="I1090" t="s">
        <v>121</v>
      </c>
      <c r="J1090" t="s">
        <v>286</v>
      </c>
      <c r="K1090" s="93">
        <f>IF('Net zero activities &amp; levers'!$C$14="Off",('Activity data'!AD14*EF!$H27)*kgtoGg,IF('Net zero activities &amp; levers'!$C$14="On",('Net zero Activity data'!AD14*EF!$H27)*kgtoGg,"ERROR"))</f>
        <v>2.6592218800664796E-2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2.7334899828466049E-2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2.7447276371664872E-2</v>
      </c>
      <c r="T1090" s="93">
        <f>IF('Net zero activities &amp; levers'!$C$14="Off",('Activity data'!AM14*EF!$H27)*kgtoGg,IF('Net zero activities &amp; levers'!$C$14="On",('Net zero Activity data'!AM14*EF!$H27)*kgtoGg,"ERROR"))</f>
        <v>2.7494458266051122E-2</v>
      </c>
      <c r="U1090" s="93">
        <f>IF('Net zero activities &amp; levers'!$C$14="Off",('Activity data'!AN14*EF!$H27)*kgtoGg,IF('Net zero activities &amp; levers'!$C$14="On",('Net zero Activity data'!AN14*EF!$H27)*kgtoGg,"ERROR"))</f>
        <v>2.7499036727668718E-2</v>
      </c>
      <c r="V1090" s="93">
        <f>IF('Net zero activities &amp; levers'!$C$14="Off",('Activity data'!AO14*EF!$H27)*kgtoGg,IF('Net zero activities &amp; levers'!$C$14="On",('Net zero Activity data'!AO14*EF!$H27)*kgtoGg,"ERROR"))</f>
        <v>2.7511624576637288E-2</v>
      </c>
      <c r="W1090" s="93">
        <f>IF('Net zero activities &amp; levers'!$C$14="Off",('Activity data'!AP14*EF!$H27)*kgtoGg,IF('Net zero activities &amp; levers'!$C$14="On",('Net zero Activity data'!AP14*EF!$H27)*kgtoGg,"ERROR"))</f>
        <v>2.7567278879874528E-2</v>
      </c>
      <c r="X1090" s="93">
        <f>IF('Net zero activities &amp; levers'!$C$14="Off",('Activity data'!AQ14*EF!$H27)*kgtoGg,IF('Net zero activities &amp; levers'!$C$14="On",('Net zero Activity data'!AQ14*EF!$H27)*kgtoGg,"ERROR"))</f>
        <v>2.7649143248056639E-2</v>
      </c>
      <c r="Y1090" s="93">
        <f>IF('Net zero activities &amp; levers'!$C$14="Off",('Activity data'!AR14*EF!$H27)*kgtoGg,IF('Net zero activities &amp; levers'!$C$14="On",('Net zero Activity data'!AR14*EF!$H27)*kgtoGg,"ERROR"))</f>
        <v>2.7726418891485655E-2</v>
      </c>
      <c r="Z1090" s="93">
        <f>IF('Net zero activities &amp; levers'!$C$14="Off",('Activity data'!AS14*EF!$H27)*kgtoGg,IF('Net zero activities &amp; levers'!$C$14="On",('Net zero Activity data'!AS14*EF!$H27)*kgtoGg,"ERROR"))</f>
        <v>2.7799469149166745E-2</v>
      </c>
      <c r="AA1090" s="93">
        <f>IF('Net zero activities &amp; levers'!$C$14="Off",('Activity data'!AT14*EF!$H27)*kgtoGg,IF('Net zero activities &amp; levers'!$C$14="On",('Net zero Activity data'!AT14*EF!$H27)*kgtoGg,"ERROR"))</f>
        <v>2.7868331412338937E-2</v>
      </c>
      <c r="AB1090" s="93">
        <f>IF('Net zero activities &amp; levers'!$C$14="Off",('Activity data'!AU14*EF!$H27)*kgtoGg,IF('Net zero activities &amp; levers'!$C$14="On",('Net zero Activity data'!AU14*EF!$H27)*kgtoGg,"ERROR"))</f>
        <v>2.7934430570337832E-2</v>
      </c>
      <c r="AC1090" s="93">
        <f>IF('Net zero activities &amp; levers'!$C$14="Off",('Activity data'!AV14*EF!$H27)*kgtoGg,IF('Net zero activities &amp; levers'!$C$14="On",('Net zero Activity data'!AV14*EF!$H27)*kgtoGg,"ERROR"))</f>
        <v>2.7998758372013564E-2</v>
      </c>
      <c r="AD1090" s="93">
        <f>IF('Net zero activities &amp; levers'!$C$14="Off",('Activity data'!AW14*EF!$H27)*kgtoGg,IF('Net zero activities &amp; levers'!$C$14="On",('Net zero Activity data'!AW14*EF!$H27)*kgtoGg,"ERROR"))</f>
        <v>2.8060789629407407E-2</v>
      </c>
      <c r="AE1090" s="93">
        <f>IF('Net zero activities &amp; levers'!$C$14="Off",('Activity data'!AX14*EF!$H27)*kgtoGg,IF('Net zero activities &amp; levers'!$C$14="On",('Net zero Activity data'!AX14*EF!$H27)*kgtoGg,"ERROR"))</f>
        <v>2.8121456051381433E-2</v>
      </c>
      <c r="AF1090" s="93">
        <f>IF('Net zero activities &amp; levers'!$C$14="Off",('Activity data'!AY14*EF!$H27)*kgtoGg,IF('Net zero activities &amp; levers'!$C$14="On",('Net zero Activity data'!AY14*EF!$H27)*kgtoGg,"ERROR"))</f>
        <v>2.8180639060251388E-2</v>
      </c>
      <c r="AG1090" s="93">
        <f>IF('Net zero activities &amp; levers'!$C$14="Off",('Activity data'!AZ14*EF!$H27)*kgtoGg,IF('Net zero activities &amp; levers'!$C$14="On",('Net zero Activity data'!AZ14*EF!$H27)*kgtoGg,"ERROR"))</f>
        <v>2.8237933693465157E-2</v>
      </c>
      <c r="AH1090" s="93">
        <f>IF('Net zero activities &amp; levers'!$C$14="Off",('Activity data'!BA14*EF!$H27)*kgtoGg,IF('Net zero activities &amp; levers'!$C$14="On",('Net zero Activity data'!BA14*EF!$H27)*kgtoGg,"ERROR"))</f>
        <v>2.8293651780143172E-2</v>
      </c>
      <c r="AI1090" s="93">
        <f>IF('Net zero activities &amp; levers'!$C$14="Off",('Activity data'!BB14*EF!$H27)*kgtoGg,IF('Net zero activities &amp; levers'!$C$14="On",('Net zero Activity data'!BB14*EF!$H27)*kgtoGg,"ERROR"))</f>
        <v>2.8347907140233115E-2</v>
      </c>
      <c r="AJ1090" s="93">
        <f>IF('Net zero activities &amp; levers'!$C$14="Off",('Activity data'!BC14*EF!$H27)*kgtoGg,IF('Net zero activities &amp; levers'!$C$14="On",('Net zero Activity data'!BC14*EF!$H27)*kgtoGg,"ERROR"))</f>
        <v>2.8400937992451046E-2</v>
      </c>
      <c r="AK1090" s="93">
        <f>IF('Net zero activities &amp; levers'!$C$14="Off",('Activity data'!BD14*EF!$H27)*kgtoGg,IF('Net zero activities &amp; levers'!$C$14="On",('Net zero Activity data'!BD14*EF!$H27)*kgtoGg,"ERROR"))</f>
        <v>2.845110008834013E-2</v>
      </c>
      <c r="AL1090" s="93">
        <f>IF('Net zero activities &amp; levers'!$C$14="Off",('Activity data'!BE14*EF!$H27)*kgtoGg,IF('Net zero activities &amp; levers'!$C$14="On",('Net zero Activity data'!BE14*EF!$H27)*kgtoGg,"ERROR"))</f>
        <v>2.8498381570866985E-2</v>
      </c>
      <c r="AM1090" s="93">
        <f>IF('Net zero activities &amp; levers'!$C$14="Off",('Activity data'!BF14*EF!$H27)*kgtoGg,IF('Net zero activities &amp; levers'!$C$14="On",('Net zero Activity data'!BF14*EF!$H27)*kgtoGg,"ERROR"))</f>
        <v>2.8543303280786723E-2</v>
      </c>
      <c r="AN1090" s="93">
        <f>IF('Net zero activities &amp; levers'!$C$14="Off",('Activity data'!BG14*EF!$H27)*kgtoGg,IF('Net zero activities &amp; levers'!$C$14="On",('Net zero Activity data'!BG14*EF!$H27)*kgtoGg,"ERROR"))</f>
        <v>2.8585530356002101E-2</v>
      </c>
      <c r="AO1090" s="93">
        <f>IF('Net zero activities &amp; levers'!$C$14="Off",('Activity data'!BH14*EF!$H27)*kgtoGg,IF('Net zero activities &amp; levers'!$C$14="On",('Net zero Activity data'!BH14*EF!$H27)*kgtoGg,"ERROR"))</f>
        <v>2.8625188493043956E-2</v>
      </c>
      <c r="AP1090" s="93">
        <f>IF('Net zero activities &amp; levers'!$C$14="Off",('Activity data'!BI14*EF!$H27)*kgtoGg,IF('Net zero activities &amp; levers'!$C$14="On",('Net zero Activity data'!BI14*EF!$H27)*kgtoGg,"ERROR"))</f>
        <v>2.8662114542585253E-2</v>
      </c>
      <c r="AQ1090" s="93">
        <f>IF('Net zero activities &amp; levers'!$C$14="Off",('Activity data'!BJ14*EF!$H27)*kgtoGg,IF('Net zero activities &amp; levers'!$C$14="On",('Net zero Activity data'!BJ14*EF!$H27)*kgtoGg,"ERROR"))</f>
        <v>2.8695738533888428E-2</v>
      </c>
      <c r="AR1090" s="93">
        <f>IF('Net zero activities &amp; levers'!$C$14="Off",('Activity data'!BK14*EF!$H27)*kgtoGg,IF('Net zero activities &amp; levers'!$C$14="On",('Net zero Activity data'!BK14*EF!$H27)*kgtoGg,"ERROR"))</f>
        <v>2.8725536889802242E-2</v>
      </c>
      <c r="AS1090" s="93">
        <f>IF('Net zero activities &amp; levers'!$C$14="Off",('Activity data'!BL14*EF!$H27)*kgtoGg,IF('Net zero activities &amp; levers'!$C$14="On",('Net zero Activity data'!BL14*EF!$H27)*kgtoGg,"ERROR"))</f>
        <v>2.8751511643406051E-2</v>
      </c>
      <c r="AT1090" s="93">
        <f>IF('Net zero activities &amp; levers'!$C$14="Off",('Activity data'!BM14*EF!$H27)*kgtoGg,IF('Net zero activities &amp; levers'!$C$14="On",('Net zero Activity data'!BM14*EF!$H27)*kgtoGg,"ERROR"))</f>
        <v>2.8773449370747915E-2</v>
      </c>
      <c r="AU1090" s="93">
        <f>IF('Net zero activities &amp; levers'!$C$14="Off",('Activity data'!BN14*EF!$H27)*kgtoGg,IF('Net zero activities &amp; levers'!$C$14="On",('Net zero Activity data'!BN14*EF!$H27)*kgtoGg,"ERROR"))</f>
        <v>2.8791372321442913E-2</v>
      </c>
      <c r="AV1090" s="93">
        <f>IF('Net zero activities &amp; levers'!$C$14="Off",('Activity data'!BO14*EF!$H27)*kgtoGg,IF('Net zero activities &amp; levers'!$C$14="On",('Net zero Activity data'!BO14*EF!$H27)*kgtoGg,"ERROR"))</f>
        <v>2.8805800344049892E-2</v>
      </c>
      <c r="AW1090" s="93">
        <f>IF('Net zero activities &amp; levers'!$C$14="Off",('Activity data'!BP14*EF!$H27)*kgtoGg,IF('Net zero activities &amp; levers'!$C$14="On",('Net zero Activity data'!BP14*EF!$H27)*kgtoGg,"ERROR"))</f>
        <v>2.8813883761082477E-2</v>
      </c>
      <c r="AY1090" s="79"/>
    </row>
    <row r="1091" spans="1:51" x14ac:dyDescent="0.25">
      <c r="A1091" s="95" t="str">
        <f t="shared" si="374"/>
        <v>CM Horses MMCH4</v>
      </c>
      <c r="B1091" s="95" t="s">
        <v>1321</v>
      </c>
      <c r="C1091" s="95" t="s">
        <v>1325</v>
      </c>
      <c r="D1091" t="s">
        <v>15</v>
      </c>
      <c r="E1091" t="s">
        <v>22</v>
      </c>
      <c r="F1091" t="s">
        <v>20</v>
      </c>
      <c r="G1091" t="s">
        <v>3</v>
      </c>
      <c r="H1091" t="s">
        <v>1226</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4.1536453250924079E-3</v>
      </c>
      <c r="M1091" s="93">
        <f>IF('Net zero activities &amp; levers'!$C$14="Off",('Activity data'!AF15*EF!$H28)*kgtoGg,IF('Net zero activities &amp; levers'!$C$14="On",('Net zero Activity data'!AF15*EF!$H28)*kgtoGg,"ERROR"))</f>
        <v>4.1840370126470525E-3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4.130408792135833E-3</v>
      </c>
      <c r="S1091" s="93">
        <f>IF('Net zero activities &amp; levers'!$C$14="Off",('Activity data'!AL15*EF!$H28)*kgtoGg,IF('Net zero activities &amp; levers'!$C$14="On",('Net zero Activity data'!AL15*EF!$H28)*kgtoGg,"ERROR"))</f>
        <v>3.9434601312185527E-3</v>
      </c>
      <c r="T1091" s="93">
        <f>IF('Net zero activities &amp; levers'!$C$14="Off",('Activity data'!AM15*EF!$H28)*kgtoGg,IF('Net zero activities &amp; levers'!$C$14="On",('Net zero Activity data'!AM15*EF!$H28)*kgtoGg,"ERROR"))</f>
        <v>4.0605746122765228E-3</v>
      </c>
      <c r="U1091" s="93">
        <f>IF('Net zero activities &amp; levers'!$C$14="Off",('Activity data'!AN15*EF!$H28)*kgtoGg,IF('Net zero activities &amp; levers'!$C$14="On",('Net zero Activity data'!AN15*EF!$H28)*kgtoGg,"ERROR"))</f>
        <v>4.1189841670463273E-3</v>
      </c>
      <c r="V1091" s="93">
        <f>IF('Net zero activities &amp; levers'!$C$14="Off",('Activity data'!AO15*EF!$H28)*kgtoGg,IF('Net zero activities &amp; levers'!$C$14="On",('Net zero Activity data'!AO15*EF!$H28)*kgtoGg,"ERROR"))</f>
        <v>4.1278057101270405E-3</v>
      </c>
      <c r="W1091" s="93">
        <f>IF('Net zero activities &amp; levers'!$C$14="Off",('Activity data'!AP15*EF!$H28)*kgtoGg,IF('Net zero activities &amp; levers'!$C$14="On",('Net zero Activity data'!AP15*EF!$H28)*kgtoGg,"ERROR"))</f>
        <v>4.1355671321311174E-3</v>
      </c>
      <c r="X1091" s="93">
        <f>IF('Net zero activities &amp; levers'!$C$14="Off",('Activity data'!AQ15*EF!$H28)*kgtoGg,IF('Net zero activities &amp; levers'!$C$14="On",('Net zero Activity data'!AQ15*EF!$H28)*kgtoGg,"ERROR"))</f>
        <v>4.1543998592115791E-3</v>
      </c>
      <c r="Y1091" s="93">
        <f>IF('Net zero activities &amp; levers'!$C$14="Off",('Activity data'!AR15*EF!$H28)*kgtoGg,IF('Net zero activities &amp; levers'!$C$14="On",('Net zero Activity data'!AR15*EF!$H28)*kgtoGg,"ERROR"))</f>
        <v>4.1865458304734694E-3</v>
      </c>
      <c r="Z1091" s="93">
        <f>IF('Net zero activities &amp; levers'!$C$14="Off",('Activity data'!AS15*EF!$H28)*kgtoGg,IF('Net zero activities &amp; levers'!$C$14="On",('Net zero Activity data'!AS15*EF!$H28)*kgtoGg,"ERROR"))</f>
        <v>4.2253320128085251E-3</v>
      </c>
      <c r="AA1091" s="93">
        <f>IF('Net zero activities &amp; levers'!$C$14="Off",('Activity data'!AT15*EF!$H28)*kgtoGg,IF('Net zero activities &amp; levers'!$C$14="On",('Net zero Activity data'!AT15*EF!$H28)*kgtoGg,"ERROR"))</f>
        <v>4.272518274488683E-3</v>
      </c>
      <c r="AB1091" s="93">
        <f>IF('Net zero activities &amp; levers'!$C$14="Off",('Activity data'!AU15*EF!$H28)*kgtoGg,IF('Net zero activities &amp; levers'!$C$14="On",('Net zero Activity data'!AU15*EF!$H28)*kgtoGg,"ERROR"))</f>
        <v>4.3334009221617396E-3</v>
      </c>
      <c r="AC1091" s="93">
        <f>IF('Net zero activities &amp; levers'!$C$14="Off",('Activity data'!AV15*EF!$H28)*kgtoGg,IF('Net zero activities &amp; levers'!$C$14="On",('Net zero Activity data'!AV15*EF!$H28)*kgtoGg,"ERROR"))</f>
        <v>4.4071847194853781E-3</v>
      </c>
      <c r="AD1091" s="93">
        <f>IF('Net zero activities &amp; levers'!$C$14="Off",('Activity data'!AW15*EF!$H28)*kgtoGg,IF('Net zero activities &amp; levers'!$C$14="On",('Net zero Activity data'!AW15*EF!$H28)*kgtoGg,"ERROR"))</f>
        <v>4.4888905161837847E-3</v>
      </c>
      <c r="AE1091" s="93">
        <f>IF('Net zero activities &amp; levers'!$C$14="Off",('Activity data'!AX15*EF!$H28)*kgtoGg,IF('Net zero activities &amp; levers'!$C$14="On",('Net zero Activity data'!AX15*EF!$H28)*kgtoGg,"ERROR"))</f>
        <v>4.5781841431122572E-3</v>
      </c>
      <c r="AF1091" s="93">
        <f>IF('Net zero activities &amp; levers'!$C$14="Off",('Activity data'!AY15*EF!$H28)*kgtoGg,IF('Net zero activities &amp; levers'!$C$14="On",('Net zero Activity data'!AY15*EF!$H28)*kgtoGg,"ERROR"))</f>
        <v>4.6723057323312554E-3</v>
      </c>
      <c r="AG1091" s="93">
        <f>IF('Net zero activities &amp; levers'!$C$14="Off",('Activity data'!AZ15*EF!$H28)*kgtoGg,IF('Net zero activities &amp; levers'!$C$14="On",('Net zero Activity data'!AZ15*EF!$H28)*kgtoGg,"ERROR"))</f>
        <v>4.7725702352352153E-3</v>
      </c>
      <c r="AH1091" s="93">
        <f>IF('Net zero activities &amp; levers'!$C$14="Off",('Activity data'!BA15*EF!$H28)*kgtoGg,IF('Net zero activities &amp; levers'!$C$14="On",('Net zero Activity data'!BA15*EF!$H28)*kgtoGg,"ERROR"))</f>
        <v>4.8776647477587476E-3</v>
      </c>
      <c r="AI1091" s="93">
        <f>IF('Net zero activities &amp; levers'!$C$14="Off",('Activity data'!BB15*EF!$H28)*kgtoGg,IF('Net zero activities &amp; levers'!$C$14="On",('Net zero Activity data'!BB15*EF!$H28)*kgtoGg,"ERROR"))</f>
        <v>4.9827957618803235E-3</v>
      </c>
      <c r="AJ1091" s="93">
        <f>IF('Net zero activities &amp; levers'!$C$14="Off",('Activity data'!BC15*EF!$H28)*kgtoGg,IF('Net zero activities &amp; levers'!$C$14="On",('Net zero Activity data'!BC15*EF!$H28)*kgtoGg,"ERROR"))</f>
        <v>5.0948794457102743E-3</v>
      </c>
      <c r="AK1091" s="93">
        <f>IF('Net zero activities &amp; levers'!$C$14="Off",('Activity data'!BD15*EF!$H28)*kgtoGg,IF('Net zero activities &amp; levers'!$C$14="On",('Net zero Activity data'!BD15*EF!$H28)*kgtoGg,"ERROR"))</f>
        <v>5.2096806373507004E-3</v>
      </c>
      <c r="AL1091" s="93">
        <f>IF('Net zero activities &amp; levers'!$C$14="Off",('Activity data'!BE15*EF!$H28)*kgtoGg,IF('Net zero activities &amp; levers'!$C$14="On",('Net zero Activity data'!BE15*EF!$H28)*kgtoGg,"ERROR"))</f>
        <v>5.326887127790998E-3</v>
      </c>
      <c r="AM1091" s="93">
        <f>IF('Net zero activities &amp; levers'!$C$14="Off",('Activity data'!BF15*EF!$H28)*kgtoGg,IF('Net zero activities &amp; levers'!$C$14="On",('Net zero Activity data'!BF15*EF!$H28)*kgtoGg,"ERROR"))</f>
        <v>5.4485848360062324E-3</v>
      </c>
      <c r="AN1091" s="93">
        <f>IF('Net zero activities &amp; levers'!$C$14="Off",('Activity data'!BG15*EF!$H28)*kgtoGg,IF('Net zero activities &amp; levers'!$C$14="On",('Net zero Activity data'!BG15*EF!$H28)*kgtoGg,"ERROR"))</f>
        <v>5.5696508386077004E-3</v>
      </c>
      <c r="AO1091" s="93">
        <f>IF('Net zero activities &amp; levers'!$C$14="Off",('Activity data'!BH15*EF!$H28)*kgtoGg,IF('Net zero activities &amp; levers'!$C$14="On",('Net zero Activity data'!BH15*EF!$H28)*kgtoGg,"ERROR"))</f>
        <v>5.6973052536603251E-3</v>
      </c>
      <c r="AP1091" s="93">
        <f>IF('Net zero activities &amp; levers'!$C$14="Off",('Activity data'!BI15*EF!$H28)*kgtoGg,IF('Net zero activities &amp; levers'!$C$14="On",('Net zero Activity data'!BI15*EF!$H28)*kgtoGg,"ERROR"))</f>
        <v>5.8342669505017037E-3</v>
      </c>
      <c r="AQ1091" s="93">
        <f>IF('Net zero activities &amp; levers'!$C$14="Off",('Activity data'!BJ15*EF!$H28)*kgtoGg,IF('Net zero activities &amp; levers'!$C$14="On",('Net zero Activity data'!BJ15*EF!$H28)*kgtoGg,"ERROR"))</f>
        <v>5.9763033014494302E-3</v>
      </c>
      <c r="AR1091" s="93">
        <f>IF('Net zero activities &amp; levers'!$C$14="Off",('Activity data'!BK15*EF!$H28)*kgtoGg,IF('Net zero activities &amp; levers'!$C$14="On",('Net zero Activity data'!BK15*EF!$H28)*kgtoGg,"ERROR"))</f>
        <v>6.1238672356661557E-3</v>
      </c>
      <c r="AS1091" s="93">
        <f>IF('Net zero activities &amp; levers'!$C$14="Off",('Activity data'!BL15*EF!$H28)*kgtoGg,IF('Net zero activities &amp; levers'!$C$14="On",('Net zero Activity data'!BL15*EF!$H28)*kgtoGg,"ERROR"))</f>
        <v>6.2820427526668306E-3</v>
      </c>
      <c r="AT1091" s="93">
        <f>IF('Net zero activities &amp; levers'!$C$14="Off",('Activity data'!BM15*EF!$H28)*kgtoGg,IF('Net zero activities &amp; levers'!$C$14="On",('Net zero Activity data'!BM15*EF!$H28)*kgtoGg,"ERROR"))</f>
        <v>6.4494574929913678E-3</v>
      </c>
      <c r="AU1091" s="93">
        <f>IF('Net zero activities &amp; levers'!$C$14="Off",('Activity data'!BN15*EF!$H28)*kgtoGg,IF('Net zero activities &amp; levers'!$C$14="On",('Net zero Activity data'!BN15*EF!$H28)*kgtoGg,"ERROR"))</f>
        <v>6.6252174839876625E-3</v>
      </c>
      <c r="AV1091" s="93">
        <f>IF('Net zero activities &amp; levers'!$C$14="Off",('Activity data'!BO15*EF!$H28)*kgtoGg,IF('Net zero activities &amp; levers'!$C$14="On",('Net zero Activity data'!BO15*EF!$H28)*kgtoGg,"ERROR"))</f>
        <v>6.8126704322840365E-3</v>
      </c>
      <c r="AW1091" s="93">
        <f>IF('Net zero activities &amp; levers'!$C$14="Off",('Activity data'!BP15*EF!$H28)*kgtoGg,IF('Net zero activities &amp; levers'!$C$14="On",('Net zero Activity data'!BP15*EF!$H28)*kgtoGg,"ERROR"))</f>
        <v>6.9938267919267671E-3</v>
      </c>
      <c r="AY1091" s="79"/>
    </row>
    <row r="1092" spans="1:51" x14ac:dyDescent="0.25">
      <c r="A1092" s="95" t="str">
        <f t="shared" si="374"/>
        <v>CM Mules MMCH4</v>
      </c>
      <c r="B1092" s="95" t="s">
        <v>1321</v>
      </c>
      <c r="C1092" s="95" t="s">
        <v>1326</v>
      </c>
      <c r="D1092" t="s">
        <v>15</v>
      </c>
      <c r="E1092" t="s">
        <v>22</v>
      </c>
      <c r="F1092" t="s">
        <v>140</v>
      </c>
      <c r="G1092" t="s">
        <v>124</v>
      </c>
      <c r="H1092" t="s">
        <v>1226</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5">
      <c r="A1093" s="95" t="str">
        <f t="shared" si="374"/>
        <v>CM Swine MMCH4</v>
      </c>
      <c r="B1093" s="95" t="s">
        <v>1321</v>
      </c>
      <c r="C1093" s="95" t="s">
        <v>1229</v>
      </c>
      <c r="D1093" t="s">
        <v>15</v>
      </c>
      <c r="E1093" t="s">
        <v>22</v>
      </c>
      <c r="F1093" t="s">
        <v>21</v>
      </c>
      <c r="G1093" t="s">
        <v>122</v>
      </c>
      <c r="H1093" t="s">
        <v>1226</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22.60295118682059</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21.780600237355966</v>
      </c>
      <c r="R1093" s="93">
        <f>IF('Net zero activities &amp; levers'!$C$14="Off",('Activity data'!AK17*EF!$H30)*kgtoGg,IF('Net zero activities &amp; levers'!$C$14="On",('Net zero Activity data'!AK17*EF!$H30)*kgtoGg,"ERROR"))</f>
        <v>21.465278056857684</v>
      </c>
      <c r="S1093" s="93">
        <f>IF('Net zero activities &amp; levers'!$C$14="Off",('Activity data'!AL17*EF!$H30)*kgtoGg,IF('Net zero activities &amp; levers'!$C$14="On",('Net zero Activity data'!AL17*EF!$H30)*kgtoGg,"ERROR"))</f>
        <v>19.28268372841509</v>
      </c>
      <c r="T1093" s="93">
        <f>IF('Net zero activities &amp; levers'!$C$14="Off",('Activity data'!AM17*EF!$H30)*kgtoGg,IF('Net zero activities &amp; levers'!$C$14="On",('Net zero Activity data'!AM17*EF!$H30)*kgtoGg,"ERROR"))</f>
        <v>20.154045022941879</v>
      </c>
      <c r="U1093" s="93">
        <f>IF('Net zero activities &amp; levers'!$C$14="Off",('Activity data'!AN17*EF!$H30)*kgtoGg,IF('Net zero activities &amp; levers'!$C$14="On",('Net zero Activity data'!AN17*EF!$H30)*kgtoGg,"ERROR"))</f>
        <v>20.417483741296842</v>
      </c>
      <c r="V1093" s="93">
        <f>IF('Net zero activities &amp; levers'!$C$14="Off",('Activity data'!AO17*EF!$H30)*kgtoGg,IF('Net zero activities &amp; levers'!$C$14="On",('Net zero Activity data'!AO17*EF!$H30)*kgtoGg,"ERROR"))</f>
        <v>20.215982998578138</v>
      </c>
      <c r="W1093" s="93">
        <f>IF('Net zero activities &amp; levers'!$C$14="Off",('Activity data'!AP17*EF!$H30)*kgtoGg,IF('Net zero activities &amp; levers'!$C$14="On",('Net zero Activity data'!AP17*EF!$H30)*kgtoGg,"ERROR"))</f>
        <v>20.038764166788877</v>
      </c>
      <c r="X1093" s="93">
        <f>IF('Net zero activities &amp; levers'!$C$14="Off",('Activity data'!AQ17*EF!$H30)*kgtoGg,IF('Net zero activities &amp; levers'!$C$14="On",('Net zero Activity data'!AQ17*EF!$H30)*kgtoGg,"ERROR"))</f>
        <v>19.983994613990216</v>
      </c>
      <c r="Y1093" s="93">
        <f>IF('Net zero activities &amp; levers'!$C$14="Off",('Activity data'!AR17*EF!$H30)*kgtoGg,IF('Net zero activities &amp; levers'!$C$14="On",('Net zero Activity data'!AR17*EF!$H30)*kgtoGg,"ERROR"))</f>
        <v>20.046915484009698</v>
      </c>
      <c r="Z1093" s="93">
        <f>IF('Net zero activities &amp; levers'!$C$14="Off",('Activity data'!AS17*EF!$H30)*kgtoGg,IF('Net zero activities &amp; levers'!$C$14="On",('Net zero Activity data'!AS17*EF!$H30)*kgtoGg,"ERROR"))</f>
        <v>20.164111817793334</v>
      </c>
      <c r="AA1093" s="93">
        <f>IF('Net zero activities &amp; levers'!$C$14="Off",('Activity data'!AT17*EF!$H30)*kgtoGg,IF('Net zero activities &amp; levers'!$C$14="On",('Net zero Activity data'!AT17*EF!$H30)*kgtoGg,"ERROR"))</f>
        <v>20.348954154275784</v>
      </c>
      <c r="AB1093" s="93">
        <f>IF('Net zero activities &amp; levers'!$C$14="Off",('Activity data'!AU17*EF!$H30)*kgtoGg,IF('Net zero activities &amp; levers'!$C$14="On",('Net zero Activity data'!AU17*EF!$H30)*kgtoGg,"ERROR"))</f>
        <v>20.645885200839494</v>
      </c>
      <c r="AC1093" s="93">
        <f>IF('Net zero activities &amp; levers'!$C$14="Off",('Activity data'!AV17*EF!$H30)*kgtoGg,IF('Net zero activities &amp; levers'!$C$14="On",('Net zero Activity data'!AV17*EF!$H30)*kgtoGg,"ERROR"))</f>
        <v>21.044537894059989</v>
      </c>
      <c r="AD1093" s="93">
        <f>IF('Net zero activities &amp; levers'!$C$14="Off",('Activity data'!AW17*EF!$H30)*kgtoGg,IF('Net zero activities &amp; levers'!$C$14="On",('Net zero Activity data'!AW17*EF!$H30)*kgtoGg,"ERROR"))</f>
        <v>21.498264632191113</v>
      </c>
      <c r="AE1093" s="93">
        <f>IF('Net zero activities &amp; levers'!$C$14="Off",('Activity data'!AX17*EF!$H30)*kgtoGg,IF('Net zero activities &amp; levers'!$C$14="On",('Net zero Activity data'!AX17*EF!$H30)*kgtoGg,"ERROR"))</f>
        <v>22.002561256053959</v>
      </c>
      <c r="AF1093" s="93">
        <f>IF('Net zero activities &amp; levers'!$C$14="Off",('Activity data'!AY17*EF!$H30)*kgtoGg,IF('Net zero activities &amp; levers'!$C$14="On",('Net zero Activity data'!AY17*EF!$H30)*kgtoGg,"ERROR"))</f>
        <v>22.532202643318037</v>
      </c>
      <c r="AG1093" s="93">
        <f>IF('Net zero activities &amp; levers'!$C$14="Off",('Activity data'!AZ17*EF!$H30)*kgtoGg,IF('Net zero activities &amp; levers'!$C$14="On",('Net zero Activity data'!AZ17*EF!$H30)*kgtoGg,"ERROR"))</f>
        <v>23.096284889499795</v>
      </c>
      <c r="AH1093" s="93">
        <f>IF('Net zero activities &amp; levers'!$C$14="Off",('Activity data'!BA17*EF!$H30)*kgtoGg,IF('Net zero activities &amp; levers'!$C$14="On",('Net zero Activity data'!BA17*EF!$H30)*kgtoGg,"ERROR"))</f>
        <v>23.682649825738739</v>
      </c>
      <c r="AI1093" s="93">
        <f>IF('Net zero activities &amp; levers'!$C$14="Off",('Activity data'!BB17*EF!$H30)*kgtoGg,IF('Net zero activities &amp; levers'!$C$14="On",('Net zero Activity data'!BB17*EF!$H30)*kgtoGg,"ERROR"))</f>
        <v>24.251675615546215</v>
      </c>
      <c r="AJ1093" s="93">
        <f>IF('Net zero activities &amp; levers'!$C$14="Off",('Activity data'!BC17*EF!$H30)*kgtoGg,IF('Net zero activities &amp; levers'!$C$14="On",('Net zero Activity data'!BC17*EF!$H30)*kgtoGg,"ERROR"))</f>
        <v>24.858335489218973</v>
      </c>
      <c r="AK1093" s="93">
        <f>IF('Net zero activities &amp; levers'!$C$14="Off",('Activity data'!BD17*EF!$H30)*kgtoGg,IF('Net zero activities &amp; levers'!$C$14="On",('Net zero Activity data'!BD17*EF!$H30)*kgtoGg,"ERROR"))</f>
        <v>25.466205387661859</v>
      </c>
      <c r="AL1093" s="93">
        <f>IF('Net zero activities &amp; levers'!$C$14="Off",('Activity data'!BE17*EF!$H30)*kgtoGg,IF('Net zero activities &amp; levers'!$C$14="On",('Net zero Activity data'!BE17*EF!$H30)*kgtoGg,"ERROR"))</f>
        <v>26.072093806701385</v>
      </c>
      <c r="AM1093" s="93">
        <f>IF('Net zero activities &amp; levers'!$C$14="Off",('Activity data'!BF17*EF!$H30)*kgtoGg,IF('Net zero activities &amp; levers'!$C$14="On",('Net zero Activity data'!BF17*EF!$H30)*kgtoGg,"ERROR"))</f>
        <v>26.691678242844393</v>
      </c>
      <c r="AN1093" s="93">
        <f>IF('Net zero activities &amp; levers'!$C$14="Off",('Activity data'!BG17*EF!$H30)*kgtoGg,IF('Net zero activities &amp; levers'!$C$14="On",('Net zero Activity data'!BG17*EF!$H30)*kgtoGg,"ERROR"))</f>
        <v>27.284891345865745</v>
      </c>
      <c r="AO1093" s="93">
        <f>IF('Net zero activities &amp; levers'!$C$14="Off",('Activity data'!BH17*EF!$H30)*kgtoGg,IF('Net zero activities &amp; levers'!$C$14="On",('Net zero Activity data'!BH17*EF!$H30)*kgtoGg,"ERROR"))</f>
        <v>27.905654237830884</v>
      </c>
      <c r="AP1093" s="93">
        <f>IF('Net zero activities &amp; levers'!$C$14="Off",('Activity data'!BI17*EF!$H30)*kgtoGg,IF('Net zero activities &amp; levers'!$C$14="On",('Net zero Activity data'!BI17*EF!$H30)*kgtoGg,"ERROR"))</f>
        <v>28.571861719635045</v>
      </c>
      <c r="AQ1093" s="93">
        <f>IF('Net zero activities &amp; levers'!$C$14="Off",('Activity data'!BJ17*EF!$H30)*kgtoGg,IF('Net zero activities &amp; levers'!$C$14="On",('Net zero Activity data'!BJ17*EF!$H30)*kgtoGg,"ERROR"))</f>
        <v>29.249712050194997</v>
      </c>
      <c r="AR1093" s="93">
        <f>IF('Net zero activities &amp; levers'!$C$14="Off",('Activity data'!BK17*EF!$H30)*kgtoGg,IF('Net zero activities &amp; levers'!$C$14="On",('Net zero Activity data'!BK17*EF!$H30)*kgtoGg,"ERROR"))</f>
        <v>29.940451406740536</v>
      </c>
      <c r="AS1093" s="93">
        <f>IF('Net zero activities &amp; levers'!$C$14="Off",('Activity data'!BL17*EF!$H30)*kgtoGg,IF('Net zero activities &amp; levers'!$C$14="On",('Net zero Activity data'!BL17*EF!$H30)*kgtoGg,"ERROR"))</f>
        <v>30.678211789307159</v>
      </c>
      <c r="AT1093" s="93">
        <f>IF('Net zero activities &amp; levers'!$C$14="Off",('Activity data'!BM17*EF!$H30)*kgtoGg,IF('Net zero activities &amp; levers'!$C$14="On",('Net zero Activity data'!BM17*EF!$H30)*kgtoGg,"ERROR"))</f>
        <v>31.450149667179016</v>
      </c>
      <c r="AU1093" s="93">
        <f>IF('Net zero activities &amp; levers'!$C$14="Off",('Activity data'!BN17*EF!$H30)*kgtoGg,IF('Net zero activities &amp; levers'!$C$14="On",('Net zero Activity data'!BN17*EF!$H30)*kgtoGg,"ERROR"))</f>
        <v>32.247465982700263</v>
      </c>
      <c r="AV1093" s="93">
        <f>IF('Net zero activities &amp; levers'!$C$14="Off",('Activity data'!BO17*EF!$H30)*kgtoGg,IF('Net zero activities &amp; levers'!$C$14="On",('Net zero Activity data'!BO17*EF!$H30)*kgtoGg,"ERROR"))</f>
        <v>33.090843547510339</v>
      </c>
      <c r="AW1093" s="93">
        <f>IF('Net zero activities &amp; levers'!$C$14="Off",('Activity data'!BP17*EF!$H30)*kgtoGg,IF('Net zero activities &amp; levers'!$C$14="On",('Net zero Activity data'!BP17*EF!$H30)*kgtoGg,"ERROR"))</f>
        <v>33.85425291015099</v>
      </c>
      <c r="AY1093" s="79"/>
    </row>
    <row r="1094" spans="1:51" x14ac:dyDescent="0.25">
      <c r="A1094" s="95" t="str">
        <f t="shared" si="374"/>
        <v>CM Swine MMCH4</v>
      </c>
      <c r="B1094" s="95" t="s">
        <v>1321</v>
      </c>
      <c r="C1094" s="95" t="s">
        <v>1229</v>
      </c>
      <c r="D1094" t="s">
        <v>15</v>
      </c>
      <c r="E1094" t="s">
        <v>22</v>
      </c>
      <c r="F1094" t="s">
        <v>21</v>
      </c>
      <c r="G1094" t="s">
        <v>123</v>
      </c>
      <c r="H1094" t="s">
        <v>1226</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7.6831311787104603E-2</v>
      </c>
      <c r="O1094" s="93">
        <f>IF('Net zero activities &amp; levers'!$C$14="Off",('Activity data'!AH18*EF!$H31)*kgtoGg,IF('Net zero activities &amp; levers'!$C$14="On",('Net zero Activity data'!AH18*EF!$H31)*kgtoGg,"ERROR"))</f>
        <v>7.5668604825231994E-2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7.291559489708703E-2</v>
      </c>
      <c r="R1094" s="93">
        <f>IF('Net zero activities &amp; levers'!$C$14="Off",('Activity data'!AK18*EF!$H31)*kgtoGg,IF('Net zero activities &amp; levers'!$C$14="On",('Net zero Activity data'!AK18*EF!$H31)*kgtoGg,"ERROR"))</f>
        <v>7.1859980996426709E-2</v>
      </c>
      <c r="S1094" s="93">
        <f>IF('Net zero activities &amp; levers'!$C$14="Off",('Activity data'!AL18*EF!$H31)*kgtoGg,IF('Net zero activities &amp; levers'!$C$14="On",('Net zero Activity data'!AL18*EF!$H31)*kgtoGg,"ERROR"))</f>
        <v>6.455324187339509E-2</v>
      </c>
      <c r="T1094" s="93">
        <f>IF('Net zero activities &amp; levers'!$C$14="Off",('Activity data'!AM18*EF!$H31)*kgtoGg,IF('Net zero activities &amp; levers'!$C$14="On",('Net zero Activity data'!AM18*EF!$H31)*kgtoGg,"ERROR"))</f>
        <v>6.7470325262664888E-2</v>
      </c>
      <c r="U1094" s="93">
        <f>IF('Net zero activities &amp; levers'!$C$14="Off",('Activity data'!AN18*EF!$H31)*kgtoGg,IF('Net zero activities &amp; levers'!$C$14="On",('Net zero Activity data'!AN18*EF!$H31)*kgtoGg,"ERROR"))</f>
        <v>6.8352247278516104E-2</v>
      </c>
      <c r="V1094" s="93">
        <f>IF('Net zero activities &amp; levers'!$C$14="Off",('Activity data'!AO18*EF!$H31)*kgtoGg,IF('Net zero activities &amp; levers'!$C$14="On",('Net zero Activity data'!AO18*EF!$H31)*kgtoGg,"ERROR"))</f>
        <v>6.767767695596183E-2</v>
      </c>
      <c r="W1094" s="93">
        <f>IF('Net zero activities &amp; levers'!$C$14="Off",('Activity data'!AP18*EF!$H31)*kgtoGg,IF('Net zero activities &amp; levers'!$C$14="On",('Net zero Activity data'!AP18*EF!$H31)*kgtoGg,"ERROR"))</f>
        <v>6.7084395944141104E-2</v>
      </c>
      <c r="X1094" s="93">
        <f>IF('Net zero activities &amp; levers'!$C$14="Off",('Activity data'!AQ18*EF!$H31)*kgtoGg,IF('Net zero activities &amp; levers'!$C$14="On",('Net zero Activity data'!AQ18*EF!$H31)*kgtoGg,"ERROR"))</f>
        <v>6.6901042203608638E-2</v>
      </c>
      <c r="Y1094" s="93">
        <f>IF('Net zero activities &amp; levers'!$C$14="Off",('Activity data'!AR18*EF!$H31)*kgtoGg,IF('Net zero activities &amp; levers'!$C$14="On",('Net zero Activity data'!AR18*EF!$H31)*kgtoGg,"ERROR"))</f>
        <v>6.7111684363095322E-2</v>
      </c>
      <c r="Z1094" s="93">
        <f>IF('Net zero activities &amp; levers'!$C$14="Off",('Activity data'!AS18*EF!$H31)*kgtoGg,IF('Net zero activities &amp; levers'!$C$14="On",('Net zero Activity data'!AS18*EF!$H31)*kgtoGg,"ERROR"))</f>
        <v>6.7504026185839727E-2</v>
      </c>
      <c r="AA1094" s="93">
        <f>IF('Net zero activities &amp; levers'!$C$14="Off",('Activity data'!AT18*EF!$H31)*kgtoGg,IF('Net zero activities &amp; levers'!$C$14="On",('Net zero Activity data'!AT18*EF!$H31)*kgtoGg,"ERROR"))</f>
        <v>6.8122828642149871E-2</v>
      </c>
      <c r="AB1094" s="93">
        <f>IF('Net zero activities &amp; levers'!$C$14="Off",('Activity data'!AU18*EF!$H31)*kgtoGg,IF('Net zero activities &amp; levers'!$C$14="On",('Net zero Activity data'!AU18*EF!$H31)*kgtoGg,"ERROR"))</f>
        <v>6.9116873969995066E-2</v>
      </c>
      <c r="AC1094" s="93">
        <f>IF('Net zero activities &amp; levers'!$C$14="Off",('Activity data'!AV18*EF!$H31)*kgtoGg,IF('Net zero activities &amp; levers'!$C$14="On",('Net zero Activity data'!AV18*EF!$H31)*kgtoGg,"ERROR"))</f>
        <v>7.0451456027731174E-2</v>
      </c>
      <c r="AD1094" s="93">
        <f>IF('Net zero activities &amp; levers'!$C$14="Off",('Activity data'!AW18*EF!$H31)*kgtoGg,IF('Net zero activities &amp; levers'!$C$14="On",('Net zero Activity data'!AW18*EF!$H31)*kgtoGg,"ERROR"))</f>
        <v>7.1970411183742145E-2</v>
      </c>
      <c r="AE1094" s="93">
        <f>IF('Net zero activities &amp; levers'!$C$14="Off",('Activity data'!AX18*EF!$H31)*kgtoGg,IF('Net zero activities &amp; levers'!$C$14="On",('Net zero Activity data'!AX18*EF!$H31)*kgtoGg,"ERROR"))</f>
        <v>7.3658660723829941E-2</v>
      </c>
      <c r="AF1094" s="93">
        <f>IF('Net zero activities &amp; levers'!$C$14="Off",('Activity data'!AY18*EF!$H31)*kgtoGg,IF('Net zero activities &amp; levers'!$C$14="On",('Net zero Activity data'!AY18*EF!$H31)*kgtoGg,"ERROR"))</f>
        <v>7.5431757719028575E-2</v>
      </c>
      <c r="AG1094" s="93">
        <f>IF('Net zero activities &amp; levers'!$C$14="Off",('Activity data'!AZ18*EF!$H31)*kgtoGg,IF('Net zero activities &amp; levers'!$C$14="On",('Net zero Activity data'!AZ18*EF!$H31)*kgtoGg,"ERROR"))</f>
        <v>7.7320153452066526E-2</v>
      </c>
      <c r="AH1094" s="93">
        <f>IF('Net zero activities &amp; levers'!$C$14="Off",('Activity data'!BA18*EF!$H31)*kgtoGg,IF('Net zero activities &amp; levers'!$C$14="On",('Net zero Activity data'!BA18*EF!$H31)*kgtoGg,"ERROR"))</f>
        <v>7.9283145641754912E-2</v>
      </c>
      <c r="AI1094" s="93">
        <f>IF('Net zero activities &amp; levers'!$C$14="Off",('Activity data'!BB18*EF!$H31)*kgtoGg,IF('Net zero activities &amp; levers'!$C$14="On",('Net zero Activity data'!BB18*EF!$H31)*kgtoGg,"ERROR"))</f>
        <v>8.1188091030010831E-2</v>
      </c>
      <c r="AJ1094" s="93">
        <f>IF('Net zero activities &amp; levers'!$C$14="Off",('Activity data'!BC18*EF!$H31)*kgtoGg,IF('Net zero activities &amp; levers'!$C$14="On",('Net zero Activity data'!BC18*EF!$H31)*kgtoGg,"ERROR"))</f>
        <v>8.3219025214881143E-2</v>
      </c>
      <c r="AK1094" s="93">
        <f>IF('Net zero activities &amp; levers'!$C$14="Off",('Activity data'!BD18*EF!$H31)*kgtoGg,IF('Net zero activities &amp; levers'!$C$14="On",('Net zero Activity data'!BD18*EF!$H31)*kgtoGg,"ERROR"))</f>
        <v>8.525401023742317E-2</v>
      </c>
      <c r="AL1094" s="93">
        <f>IF('Net zero activities &amp; levers'!$C$14="Off",('Activity data'!BE18*EF!$H31)*kgtoGg,IF('Net zero activities &amp; levers'!$C$14="On",('Net zero Activity data'!BE18*EF!$H31)*kgtoGg,"ERROR"))</f>
        <v>8.7282361799551011E-2</v>
      </c>
      <c r="AM1094" s="93">
        <f>IF('Net zero activities &amp; levers'!$C$14="Off",('Activity data'!BF18*EF!$H31)*kgtoGg,IF('Net zero activities &amp; levers'!$C$14="On",('Net zero Activity data'!BF18*EF!$H31)*kgtoGg,"ERROR"))</f>
        <v>8.9356563945406475E-2</v>
      </c>
      <c r="AN1094" s="93">
        <f>IF('Net zero activities &amp; levers'!$C$14="Off",('Activity data'!BG18*EF!$H31)*kgtoGg,IF('Net zero activities &amp; levers'!$C$14="On",('Net zero Activity data'!BG18*EF!$H31)*kgtoGg,"ERROR"))</f>
        <v>9.1342481956672425E-2</v>
      </c>
      <c r="AO1094" s="93">
        <f>IF('Net zero activities &amp; levers'!$C$14="Off",('Activity data'!BH18*EF!$H31)*kgtoGg,IF('Net zero activities &amp; levers'!$C$14="On",('Net zero Activity data'!BH18*EF!$H31)*kgtoGg,"ERROR"))</f>
        <v>9.3420629255847557E-2</v>
      </c>
      <c r="AP1094" s="93">
        <f>IF('Net zero activities &amp; levers'!$C$14="Off",('Activity data'!BI18*EF!$H31)*kgtoGg,IF('Net zero activities &amp; levers'!$C$14="On",('Net zero Activity data'!BI18*EF!$H31)*kgtoGg,"ERROR"))</f>
        <v>9.5650912826147239E-2</v>
      </c>
      <c r="AQ1094" s="93">
        <f>IF('Net zero activities &amp; levers'!$C$14="Off",('Activity data'!BJ18*EF!$H31)*kgtoGg,IF('Net zero activities &amp; levers'!$C$14="On",('Net zero Activity data'!BJ18*EF!$H31)*kgtoGg,"ERROR"))</f>
        <v>9.7920173524444973E-2</v>
      </c>
      <c r="AR1094" s="93">
        <f>IF('Net zero activities &amp; levers'!$C$14="Off",('Activity data'!BK18*EF!$H31)*kgtoGg,IF('Net zero activities &amp; levers'!$C$14="On",('Net zero Activity data'!BK18*EF!$H31)*kgtoGg,"ERROR"))</f>
        <v>0.10023258321712952</v>
      </c>
      <c r="AS1094" s="93">
        <f>IF('Net zero activities &amp; levers'!$C$14="Off",('Activity data'!BL18*EF!$H31)*kgtoGg,IF('Net zero activities &amp; levers'!$C$14="On",('Net zero Activity data'!BL18*EF!$H31)*kgtoGg,"ERROR"))</f>
        <v>0.1027024066655249</v>
      </c>
      <c r="AT1094" s="93">
        <f>IF('Net zero activities &amp; levers'!$C$14="Off",('Activity data'!BM18*EF!$H31)*kgtoGg,IF('Net zero activities &amp; levers'!$C$14="On",('Net zero Activity data'!BM18*EF!$H31)*kgtoGg,"ERROR"))</f>
        <v>0.10528664718117813</v>
      </c>
      <c r="AU1094" s="93">
        <f>IF('Net zero activities &amp; levers'!$C$14="Off",('Activity data'!BN18*EF!$H31)*kgtoGg,IF('Net zero activities &amp; levers'!$C$14="On",('Net zero Activity data'!BN18*EF!$H31)*kgtoGg,"ERROR"))</f>
        <v>0.10795584788427327</v>
      </c>
      <c r="AV1094" s="93">
        <f>IF('Net zero activities &amp; levers'!$C$14="Off",('Activity data'!BO18*EF!$H31)*kgtoGg,IF('Net zero activities &amp; levers'!$C$14="On",('Net zero Activity data'!BO18*EF!$H31)*kgtoGg,"ERROR"))</f>
        <v>0.11077924926857086</v>
      </c>
      <c r="AW1094" s="93">
        <f>IF('Net zero activities &amp; levers'!$C$14="Off",('Activity data'!BP18*EF!$H31)*kgtoGg,IF('Net zero activities &amp; levers'!$C$14="On",('Net zero Activity data'!BP18*EF!$H31)*kgtoGg,"ERROR"))</f>
        <v>0.11333493860772317</v>
      </c>
      <c r="AY1094" s="79"/>
    </row>
    <row r="1095" spans="1:51" x14ac:dyDescent="0.25">
      <c r="A1095" s="95" t="str">
        <f t="shared" si="374"/>
        <v>CM Poultry MMCH4</v>
      </c>
      <c r="B1095" s="95" t="s">
        <v>1321</v>
      </c>
      <c r="C1095" s="95" t="s">
        <v>1230</v>
      </c>
      <c r="D1095" t="s">
        <v>15</v>
      </c>
      <c r="E1095" t="s">
        <v>22</v>
      </c>
      <c r="F1095" t="s">
        <v>28</v>
      </c>
      <c r="G1095" t="s">
        <v>131</v>
      </c>
      <c r="H1095" t="s">
        <v>1226</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0.59573243019488353</v>
      </c>
      <c r="T1095" s="93">
        <f>IF('Net zero activities &amp; levers'!$C$14="Off",('Activity data'!AM19*EF!$H32)*kgtoGg,IF('Net zero activities &amp; levers'!$C$14="On",('Net zero Activity data'!AM19*EF!$H32)*kgtoGg,"ERROR"))</f>
        <v>0.62060528502680601</v>
      </c>
      <c r="U1095" s="93">
        <f>IF('Net zero activities &amp; levers'!$C$14="Off",('Activity data'!AN19*EF!$H32)*kgtoGg,IF('Net zero activities &amp; levers'!$C$14="On",('Net zero Activity data'!AN19*EF!$H32)*kgtoGg,"ERROR"))</f>
        <v>0.63538739650332932</v>
      </c>
      <c r="V1095" s="93">
        <f>IF('Net zero activities &amp; levers'!$C$14="Off",('Activity data'!AO19*EF!$H32)*kgtoGg,IF('Net zero activities &amp; levers'!$C$14="On",('Net zero Activity data'!AO19*EF!$H32)*kgtoGg,"ERROR"))</f>
        <v>0.64244306993256506</v>
      </c>
      <c r="W1095" s="93">
        <f>IF('Net zero activities &amp; levers'!$C$14="Off",('Activity data'!AP19*EF!$H32)*kgtoGg,IF('Net zero activities &amp; levers'!$C$14="On",('Net zero Activity data'!AP19*EF!$H32)*kgtoGg,"ERROR"))</f>
        <v>0.65026805947534316</v>
      </c>
      <c r="X1095" s="93">
        <f>IF('Net zero activities &amp; levers'!$C$14="Off",('Activity data'!AQ19*EF!$H32)*kgtoGg,IF('Net zero activities &amp; levers'!$C$14="On",('Net zero Activity data'!AQ19*EF!$H32)*kgtoGg,"ERROR"))</f>
        <v>0.66047268102504608</v>
      </c>
      <c r="Y1095" s="93">
        <f>IF('Net zero activities &amp; levers'!$C$14="Off",('Activity data'!AR19*EF!$H32)*kgtoGg,IF('Net zero activities &amp; levers'!$C$14="On",('Net zero Activity data'!AR19*EF!$H32)*kgtoGg,"ERROR"))</f>
        <v>0.67275642094337218</v>
      </c>
      <c r="Z1095" s="93">
        <f>IF('Net zero activities &amp; levers'!$C$14="Off",('Activity data'!AS19*EF!$H32)*kgtoGg,IF('Net zero activities &amp; levers'!$C$14="On",('Net zero Activity data'!AS19*EF!$H32)*kgtoGg,"ERROR"))</f>
        <v>0.68607919631568115</v>
      </c>
      <c r="AA1095" s="93">
        <f>IF('Net zero activities &amp; levers'!$C$14="Off",('Activity data'!AT19*EF!$H32)*kgtoGg,IF('Net zero activities &amp; levers'!$C$14="On",('Net zero Activity data'!AT19*EF!$H32)*kgtoGg,"ERROR"))</f>
        <v>0.70076804403320936</v>
      </c>
      <c r="AB1095" s="93">
        <f>IF('Net zero activities &amp; levers'!$C$14="Off",('Activity data'!AU19*EF!$H32)*kgtoGg,IF('Net zero activities &amp; levers'!$C$14="On",('Net zero Activity data'!AU19*EF!$H32)*kgtoGg,"ERROR"))</f>
        <v>0.71779554918535993</v>
      </c>
      <c r="AC1095" s="93">
        <f>IF('Net zero activities &amp; levers'!$C$14="Off",('Activity data'!AV19*EF!$H32)*kgtoGg,IF('Net zero activities &amp; levers'!$C$14="On",('Net zero Activity data'!AV19*EF!$H32)*kgtoGg,"ERROR"))</f>
        <v>0.73711000301021679</v>
      </c>
      <c r="AD1095" s="93">
        <f>IF('Net zero activities &amp; levers'!$C$14="Off",('Activity data'!AW19*EF!$H32)*kgtoGg,IF('Net zero activities &amp; levers'!$C$14="On",('Net zero Activity data'!AW19*EF!$H32)*kgtoGg,"ERROR"))</f>
        <v>0.75788984228274747</v>
      </c>
      <c r="AE1095" s="93">
        <f>IF('Net zero activities &amp; levers'!$C$14="Off",('Activity data'!AX19*EF!$H32)*kgtoGg,IF('Net zero activities &amp; levers'!$C$14="On",('Net zero Activity data'!AX19*EF!$H32)*kgtoGg,"ERROR"))</f>
        <v>0.78013180876638377</v>
      </c>
      <c r="AF1095" s="93">
        <f>IF('Net zero activities &amp; levers'!$C$14="Off",('Activity data'!AY19*EF!$H32)*kgtoGg,IF('Net zero activities &amp; levers'!$C$14="On",('Net zero Activity data'!AY19*EF!$H32)*kgtoGg,"ERROR"))</f>
        <v>0.80337597870999389</v>
      </c>
      <c r="AG1095" s="93">
        <f>IF('Net zero activities &amp; levers'!$C$14="Off",('Activity data'!AZ19*EF!$H32)*kgtoGg,IF('Net zero activities &amp; levers'!$C$14="On",('Net zero Activity data'!AZ19*EF!$H32)*kgtoGg,"ERROR"))</f>
        <v>0.82785833709156575</v>
      </c>
      <c r="AH1095" s="93">
        <f>IF('Net zero activities &amp; levers'!$C$14="Off",('Activity data'!BA19*EF!$H32)*kgtoGg,IF('Net zero activities &amp; levers'!$C$14="On",('Net zero Activity data'!BA19*EF!$H32)*kgtoGg,"ERROR"))</f>
        <v>0.85337321588031811</v>
      </c>
      <c r="AI1095" s="93">
        <f>IF('Net zero activities &amp; levers'!$C$14="Off",('Activity data'!BB19*EF!$H32)*kgtoGg,IF('Net zero activities &amp; levers'!$C$14="On",('Net zero Activity data'!BB19*EF!$H32)*kgtoGg,"ERROR"))</f>
        <v>0.87907798873871268</v>
      </c>
      <c r="AJ1095" s="93">
        <f>IF('Net zero activities &amp; levers'!$C$14="Off",('Activity data'!BC19*EF!$H32)*kgtoGg,IF('Net zero activities &amp; levers'!$C$14="On",('Net zero Activity data'!BC19*EF!$H32)*kgtoGg,"ERROR"))</f>
        <v>0.90622461339542404</v>
      </c>
      <c r="AK1095" s="93">
        <f>IF('Net zero activities &amp; levers'!$C$14="Off",('Activity data'!BD19*EF!$H32)*kgtoGg,IF('Net zero activities &amp; levers'!$C$14="On",('Net zero Activity data'!BD19*EF!$H32)*kgtoGg,"ERROR"))</f>
        <v>0.93400977893113157</v>
      </c>
      <c r="AL1095" s="93">
        <f>IF('Net zero activities &amp; levers'!$C$14="Off",('Activity data'!BE19*EF!$H32)*kgtoGg,IF('Net zero activities &amp; levers'!$C$14="On",('Net zero Activity data'!BE19*EF!$H32)*kgtoGg,"ERROR"))</f>
        <v>0.96237643638695936</v>
      </c>
      <c r="AM1095" s="93">
        <f>IF('Net zero activities &amp; levers'!$C$14="Off",('Activity data'!BF19*EF!$H32)*kgtoGg,IF('Net zero activities &amp; levers'!$C$14="On",('Net zero Activity data'!BF19*EF!$H32)*kgtoGg,"ERROR"))</f>
        <v>0.99172546365777581</v>
      </c>
      <c r="AN1095" s="93">
        <f>IF('Net zero activities &amp; levers'!$C$14="Off",('Activity data'!BG19*EF!$H32)*kgtoGg,IF('Net zero activities &amp; levers'!$C$14="On",('Net zero Activity data'!BG19*EF!$H32)*kgtoGg,"ERROR"))</f>
        <v>1.0211032601995891</v>
      </c>
      <c r="AO1095" s="93">
        <f>IF('Net zero activities &amp; levers'!$C$14="Off",('Activity data'!BH19*EF!$H32)*kgtoGg,IF('Net zero activities &amp; levers'!$C$14="On",('Net zero Activity data'!BH19*EF!$H32)*kgtoGg,"ERROR"))</f>
        <v>1.0518470326965137</v>
      </c>
      <c r="AP1095" s="93">
        <f>IF('Net zero activities &amp; levers'!$C$14="Off",('Activity data'!BI19*EF!$H32)*kgtoGg,IF('Net zero activities &amp; levers'!$C$14="On",('Net zero Activity data'!BI19*EF!$H32)*kgtoGg,"ERROR"))</f>
        <v>1.0844705032412159</v>
      </c>
      <c r="AQ1095" s="93">
        <f>IF('Net zero activities &amp; levers'!$C$14="Off",('Activity data'!BJ19*EF!$H32)*kgtoGg,IF('Net zero activities &amp; levers'!$C$14="On",('Net zero Activity data'!BJ19*EF!$H32)*kgtoGg,"ERROR"))</f>
        <v>1.1181722864478278</v>
      </c>
      <c r="AR1095" s="93">
        <f>IF('Net zero activities &amp; levers'!$C$14="Off",('Activity data'!BK19*EF!$H32)*kgtoGg,IF('Net zero activities &amp; levers'!$C$14="On",('Net zero Activity data'!BK19*EF!$H32)*kgtoGg,"ERROR"))</f>
        <v>1.1530181967657136</v>
      </c>
      <c r="AS1095" s="93">
        <f>IF('Net zero activities &amp; levers'!$C$14="Off",('Activity data'!BL19*EF!$H32)*kgtoGg,IF('Net zero activities &amp; levers'!$C$14="On",('Net zero Activity data'!BL19*EF!$H32)*kgtoGg,"ERROR"))</f>
        <v>1.1899731342287589</v>
      </c>
      <c r="AT1095" s="93">
        <f>IF('Net zero activities &amp; levers'!$C$14="Off",('Activity data'!BM19*EF!$H32)*kgtoGg,IF('Net zero activities &amp; levers'!$C$14="On",('Net zero Activity data'!BM19*EF!$H32)*kgtoGg,"ERROR"))</f>
        <v>1.2287768115471775</v>
      </c>
      <c r="AU1095" s="93">
        <f>IF('Net zero activities &amp; levers'!$C$14="Off",('Activity data'!BN19*EF!$H32)*kgtoGg,IF('Net zero activities &amp; levers'!$C$14="On",('Net zero Activity data'!BN19*EF!$H32)*kgtoGg,"ERROR"))</f>
        <v>1.2692627400827883</v>
      </c>
      <c r="AV1095" s="93">
        <f>IF('Net zero activities &amp; levers'!$C$14="Off",('Activity data'!BO19*EF!$H32)*kgtoGg,IF('Net zero activities &amp; levers'!$C$14="On",('Net zero Activity data'!BO19*EF!$H32)*kgtoGg,"ERROR"))</f>
        <v>1.3120972726435587</v>
      </c>
      <c r="AW1095" s="93">
        <f>IF('Net zero activities &amp; levers'!$C$14="Off",('Activity data'!BP19*EF!$H32)*kgtoGg,IF('Net zero activities &amp; levers'!$C$14="On",('Net zero Activity data'!BP19*EF!$H32)*kgtoGg,"ERROR"))</f>
        <v>1.3536832016924076</v>
      </c>
      <c r="AY1095" s="79"/>
    </row>
    <row r="1096" spans="1:51" x14ac:dyDescent="0.25">
      <c r="A1096" s="95" t="str">
        <f t="shared" si="374"/>
        <v>CM Poultry MMCH4</v>
      </c>
      <c r="B1096" s="95" t="s">
        <v>1321</v>
      </c>
      <c r="C1096" s="95" t="s">
        <v>1230</v>
      </c>
      <c r="D1096" t="s">
        <v>15</v>
      </c>
      <c r="E1096" t="s">
        <v>22</v>
      </c>
      <c r="F1096" t="s">
        <v>28</v>
      </c>
      <c r="G1096" t="s">
        <v>132</v>
      </c>
      <c r="H1096" t="s">
        <v>1226</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2.2858678822724814</v>
      </c>
      <c r="N1096" s="93">
        <f>IF('Net zero activities &amp; levers'!$C$14="Off",('Activity data'!AG20*EF!$H33)*kgtoGg,IF('Net zero activities &amp; levers'!$C$14="On",('Net zero Activity data'!AG20*EF!$H33)*kgtoGg,"ERROR"))</f>
        <v>2.2992900748078591</v>
      </c>
      <c r="O1096" s="93">
        <f>IF('Net zero activities &amp; levers'!$C$14="Off",('Activity data'!AH20*EF!$H33)*kgtoGg,IF('Net zero activities &amp; levers'!$C$14="On",('Net zero Activity data'!AH20*EF!$H33)*kgtoGg,"ERROR"))</f>
        <v>2.2910596881616558</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2.2487211059946204</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1.9480109024353172</v>
      </c>
      <c r="T1096" s="93">
        <f>IF('Net zero activities &amp; levers'!$C$14="Off",('Activity data'!AM20*EF!$H33)*kgtoGg,IF('Net zero activities &amp; levers'!$C$14="On",('Net zero Activity data'!AM20*EF!$H33)*kgtoGg,"ERROR"))</f>
        <v>2.1242573648526935</v>
      </c>
      <c r="U1096" s="93">
        <f>IF('Net zero activities &amp; levers'!$C$14="Off",('Activity data'!AN20*EF!$H33)*kgtoGg,IF('Net zero activities &amp; levers'!$C$14="On",('Net zero Activity data'!AN20*EF!$H33)*kgtoGg,"ERROR"))</f>
        <v>2.2090616174503466</v>
      </c>
      <c r="V1096" s="93">
        <f>IF('Net zero activities &amp; levers'!$C$14="Off",('Activity data'!AO20*EF!$H33)*kgtoGg,IF('Net zero activities &amp; levers'!$C$14="On",('Net zero Activity data'!AO20*EF!$H33)*kgtoGg,"ERROR"))</f>
        <v>2.219672639907655</v>
      </c>
      <c r="W1096" s="93">
        <f>IF('Net zero activities &amp; levers'!$C$14="Off",('Activity data'!AP20*EF!$H33)*kgtoGg,IF('Net zero activities &amp; levers'!$C$14="On",('Net zero Activity data'!AP20*EF!$H33)*kgtoGg,"ERROR"))</f>
        <v>2.2319049749890385</v>
      </c>
      <c r="X1096" s="93">
        <f>IF('Net zero activities &amp; levers'!$C$14="Off",('Activity data'!AQ20*EF!$H33)*kgtoGg,IF('Net zero activities &amp; levers'!$C$14="On",('Net zero Activity data'!AQ20*EF!$H33)*kgtoGg,"ERROR"))</f>
        <v>2.2629262949362925</v>
      </c>
      <c r="Y1096" s="93">
        <f>IF('Net zero activities &amp; levers'!$C$14="Off",('Activity data'!AR20*EF!$H33)*kgtoGg,IF('Net zero activities &amp; levers'!$C$14="On",('Net zero Activity data'!AR20*EF!$H33)*kgtoGg,"ERROR"))</f>
        <v>2.3140044447008137</v>
      </c>
      <c r="Z1096" s="93">
        <f>IF('Net zero activities &amp; levers'!$C$14="Off",('Activity data'!AS20*EF!$H33)*kgtoGg,IF('Net zero activities &amp; levers'!$C$14="On",('Net zero Activity data'!AS20*EF!$H33)*kgtoGg,"ERROR"))</f>
        <v>2.3751177408865005</v>
      </c>
      <c r="AA1096" s="93">
        <f>IF('Net zero activities &amp; levers'!$C$14="Off",('Activity data'!AT20*EF!$H33)*kgtoGg,IF('Net zero activities &amp; levers'!$C$14="On",('Net zero Activity data'!AT20*EF!$H33)*kgtoGg,"ERROR"))</f>
        <v>2.4489635487241519</v>
      </c>
      <c r="AB1096" s="93">
        <f>IF('Net zero activities &amp; levers'!$C$14="Off",('Activity data'!AU20*EF!$H33)*kgtoGg,IF('Net zero activities &amp; levers'!$C$14="On",('Net zero Activity data'!AU20*EF!$H33)*kgtoGg,"ERROR"))</f>
        <v>2.5437406386090786</v>
      </c>
      <c r="AC1096" s="93">
        <f>IF('Net zero activities &amp; levers'!$C$14="Off",('Activity data'!AV20*EF!$H33)*kgtoGg,IF('Net zero activities &amp; levers'!$C$14="On",('Net zero Activity data'!AV20*EF!$H33)*kgtoGg,"ERROR"))</f>
        <v>2.6583677679701894</v>
      </c>
      <c r="AD1096" s="93">
        <f>IF('Net zero activities &amp; levers'!$C$14="Off",('Activity data'!AW20*EF!$H33)*kgtoGg,IF('Net zero activities &amp; levers'!$C$14="On",('Net zero Activity data'!AW20*EF!$H33)*kgtoGg,"ERROR"))</f>
        <v>2.7852398205087883</v>
      </c>
      <c r="AE1096" s="93">
        <f>IF('Net zero activities &amp; levers'!$C$14="Off",('Activity data'!AX20*EF!$H33)*kgtoGg,IF('Net zero activities &amp; levers'!$C$14="On",('Net zero Activity data'!AX20*EF!$H33)*kgtoGg,"ERROR"))</f>
        <v>2.9239358907782309</v>
      </c>
      <c r="AF1096" s="93">
        <f>IF('Net zero activities &amp; levers'!$C$14="Off",('Activity data'!AY20*EF!$H33)*kgtoGg,IF('Net zero activities &amp; levers'!$C$14="On",('Net zero Activity data'!AY20*EF!$H33)*kgtoGg,"ERROR"))</f>
        <v>3.0702342900973978</v>
      </c>
      <c r="AG1096" s="93">
        <f>IF('Net zero activities &amp; levers'!$C$14="Off",('Activity data'!AZ20*EF!$H33)*kgtoGg,IF('Net zero activities &amp; levers'!$C$14="On",('Net zero Activity data'!AZ20*EF!$H33)*kgtoGg,"ERROR"))</f>
        <v>3.2260927445342245</v>
      </c>
      <c r="AH1096" s="93">
        <f>IF('Net zero activities &amp; levers'!$C$14="Off",('Activity data'!BA20*EF!$H33)*kgtoGg,IF('Net zero activities &amp; levers'!$C$14="On",('Net zero Activity data'!BA20*EF!$H33)*kgtoGg,"ERROR"))</f>
        <v>3.3895233708783912</v>
      </c>
      <c r="AI1096" s="93">
        <f>IF('Net zero activities &amp; levers'!$C$14="Off",('Activity data'!BB20*EF!$H33)*kgtoGg,IF('Net zero activities &amp; levers'!$C$14="On",('Net zero Activity data'!BB20*EF!$H33)*kgtoGg,"ERROR"))</f>
        <v>3.5531911169091885</v>
      </c>
      <c r="AJ1096" s="93">
        <f>IF('Net zero activities &amp; levers'!$C$14="Off",('Activity data'!BC20*EF!$H33)*kgtoGg,IF('Net zero activities &amp; levers'!$C$14="On",('Net zero Activity data'!BC20*EF!$H33)*kgtoGg,"ERROR"))</f>
        <v>3.7276822125599338</v>
      </c>
      <c r="AK1096" s="93">
        <f>IF('Net zero activities &amp; levers'!$C$14="Off",('Activity data'!BD20*EF!$H33)*kgtoGg,IF('Net zero activities &amp; levers'!$C$14="On",('Net zero Activity data'!BD20*EF!$H33)*kgtoGg,"ERROR"))</f>
        <v>3.9062898323416295</v>
      </c>
      <c r="AL1096" s="93">
        <f>IF('Net zero activities &amp; levers'!$C$14="Off",('Activity data'!BE20*EF!$H33)*kgtoGg,IF('Net zero activities &amp; levers'!$C$14="On",('Net zero Activity data'!BE20*EF!$H33)*kgtoGg,"ERROR"))</f>
        <v>4.0884842597865152</v>
      </c>
      <c r="AM1096" s="93">
        <f>IF('Net zero activities &amp; levers'!$C$14="Off",('Activity data'!BF20*EF!$H33)*kgtoGg,IF('Net zero activities &amp; levers'!$C$14="On",('Net zero Activity data'!BF20*EF!$H33)*kgtoGg,"ERROR"))</f>
        <v>4.2774788120039364</v>
      </c>
      <c r="AN1096" s="93">
        <f>IF('Net zero activities &amp; levers'!$C$14="Off",('Activity data'!BG20*EF!$H33)*kgtoGg,IF('Net zero activities &amp; levers'!$C$14="On",('Net zero Activity data'!BG20*EF!$H33)*kgtoGg,"ERROR"))</f>
        <v>4.4653386243384539</v>
      </c>
      <c r="AO1096" s="93">
        <f>IF('Net zero activities &amp; levers'!$C$14="Off",('Activity data'!BH20*EF!$H33)*kgtoGg,IF('Net zero activities &amp; levers'!$C$14="On",('Net zero Activity data'!BH20*EF!$H33)*kgtoGg,"ERROR"))</f>
        <v>4.6630770817729719</v>
      </c>
      <c r="AP1096" s="93">
        <f>IF('Net zero activities &amp; levers'!$C$14="Off",('Activity data'!BI20*EF!$H33)*kgtoGg,IF('Net zero activities &amp; levers'!$C$14="On",('Net zero Activity data'!BI20*EF!$H33)*kgtoGg,"ERROR"))</f>
        <v>4.8747652719370373</v>
      </c>
      <c r="AQ1096" s="93">
        <f>IF('Net zero activities &amp; levers'!$C$14="Off",('Activity data'!BJ20*EF!$H33)*kgtoGg,IF('Net zero activities &amp; levers'!$C$14="On",('Net zero Activity data'!BJ20*EF!$H33)*kgtoGg,"ERROR"))</f>
        <v>5.0937607978342658</v>
      </c>
      <c r="AR1096" s="93">
        <f>IF('Net zero activities &amp; levers'!$C$14="Off",('Activity data'!BK20*EF!$H33)*kgtoGg,IF('Net zero activities &amp; levers'!$C$14="On",('Net zero Activity data'!BK20*EF!$H33)*kgtoGg,"ERROR"))</f>
        <v>5.3205750433635002</v>
      </c>
      <c r="AS1096" s="93">
        <f>IF('Net zero activities &amp; levers'!$C$14="Off",('Activity data'!BL20*EF!$H33)*kgtoGg,IF('Net zero activities &amp; levers'!$C$14="On",('Net zero Activity data'!BL20*EF!$H33)*kgtoGg,"ERROR"))</f>
        <v>5.5628565017727221</v>
      </c>
      <c r="AT1096" s="93">
        <f>IF('Net zero activities &amp; levers'!$C$14="Off",('Activity data'!BM20*EF!$H33)*kgtoGg,IF('Net zero activities &amp; levers'!$C$14="On",('Net zero Activity data'!BM20*EF!$H33)*kgtoGg,"ERROR"))</f>
        <v>5.8183308290473201</v>
      </c>
      <c r="AU1096" s="93">
        <f>IF('Net zero activities &amp; levers'!$C$14="Off",('Activity data'!BN20*EF!$H33)*kgtoGg,IF('Net zero activities &amp; levers'!$C$14="On",('Net zero Activity data'!BN20*EF!$H33)*kgtoGg,"ERROR"))</f>
        <v>6.0854872952292993</v>
      </c>
      <c r="AV1096" s="93">
        <f>IF('Net zero activities &amp; levers'!$C$14="Off",('Activity data'!BO20*EF!$H33)*kgtoGg,IF('Net zero activities &amp; levers'!$C$14="On",('Net zero Activity data'!BO20*EF!$H33)*kgtoGg,"ERROR"))</f>
        <v>6.3693601721837521</v>
      </c>
      <c r="AW1096" s="93">
        <f>IF('Net zero activities &amp; levers'!$C$14="Off",('Activity data'!BP20*EF!$H33)*kgtoGg,IF('Net zero activities &amp; levers'!$C$14="On",('Net zero Activity data'!BP20*EF!$H33)*kgtoGg,"ERROR"))</f>
        <v>6.641848924312276</v>
      </c>
      <c r="AY1096" s="79"/>
    </row>
    <row r="1097" spans="1:51" x14ac:dyDescent="0.25">
      <c r="A1097" s="95" t="str">
        <f t="shared" si="374"/>
        <v>CM Poultry MMCH4</v>
      </c>
      <c r="B1097" s="95" t="s">
        <v>1321</v>
      </c>
      <c r="C1097" s="95" t="s">
        <v>1230</v>
      </c>
      <c r="D1097" t="s">
        <v>15</v>
      </c>
      <c r="E1097" t="s">
        <v>22</v>
      </c>
      <c r="F1097" t="s">
        <v>28</v>
      </c>
      <c r="G1097" t="s">
        <v>134</v>
      </c>
      <c r="H1097" t="s">
        <v>1226</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2.4944242822745922E-2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2.4822184591453505E-2</v>
      </c>
      <c r="T1097" s="93">
        <f>IF('Net zero activities &amp; levers'!$C$14="Off",('Activity data'!AM21*EF!$H34)*kgtoGg,IF('Net zero activities &amp; levers'!$C$14="On",('Net zero Activity data'!AM21*EF!$H34)*kgtoGg,"ERROR"))</f>
        <v>2.5858553542783609E-2</v>
      </c>
      <c r="U1097" s="93">
        <f>IF('Net zero activities &amp; levers'!$C$14="Off",('Activity data'!AN21*EF!$H34)*kgtoGg,IF('Net zero activities &amp; levers'!$C$14="On",('Net zero Activity data'!AN21*EF!$H34)*kgtoGg,"ERROR"))</f>
        <v>2.6474474854305419E-2</v>
      </c>
      <c r="V1097" s="93">
        <f>IF('Net zero activities &amp; levers'!$C$14="Off",('Activity data'!AO21*EF!$H34)*kgtoGg,IF('Net zero activities &amp; levers'!$C$14="On",('Net zero Activity data'!AO21*EF!$H34)*kgtoGg,"ERROR"))</f>
        <v>2.6768461247190234E-2</v>
      </c>
      <c r="W1097" s="93">
        <f>IF('Net zero activities &amp; levers'!$C$14="Off",('Activity data'!AP21*EF!$H34)*kgtoGg,IF('Net zero activities &amp; levers'!$C$14="On",('Net zero Activity data'!AP21*EF!$H34)*kgtoGg,"ERROR"))</f>
        <v>2.709450247813933E-2</v>
      </c>
      <c r="X1097" s="93">
        <f>IF('Net zero activities &amp; levers'!$C$14="Off",('Activity data'!AQ21*EF!$H34)*kgtoGg,IF('Net zero activities &amp; levers'!$C$14="On",('Net zero Activity data'!AQ21*EF!$H34)*kgtoGg,"ERROR"))</f>
        <v>2.751969504271028E-2</v>
      </c>
      <c r="Y1097" s="93">
        <f>IF('Net zero activities &amp; levers'!$C$14="Off",('Activity data'!AR21*EF!$H34)*kgtoGg,IF('Net zero activities &amp; levers'!$C$14="On",('Net zero Activity data'!AR21*EF!$H34)*kgtoGg,"ERROR"))</f>
        <v>2.8031517539307202E-2</v>
      </c>
      <c r="Z1097" s="93">
        <f>IF('Net zero activities &amp; levers'!$C$14="Off",('Activity data'!AS21*EF!$H34)*kgtoGg,IF('Net zero activities &amp; levers'!$C$14="On",('Net zero Activity data'!AS21*EF!$H34)*kgtoGg,"ERROR"))</f>
        <v>2.8586633179820076E-2</v>
      </c>
      <c r="AA1097" s="93">
        <f>IF('Net zero activities &amp; levers'!$C$14="Off",('Activity data'!AT21*EF!$H34)*kgtoGg,IF('Net zero activities &amp; levers'!$C$14="On",('Net zero Activity data'!AT21*EF!$H34)*kgtoGg,"ERROR"))</f>
        <v>2.9198668501383751E-2</v>
      </c>
      <c r="AB1097" s="93">
        <f>IF('Net zero activities &amp; levers'!$C$14="Off",('Activity data'!AU21*EF!$H34)*kgtoGg,IF('Net zero activities &amp; levers'!$C$14="On",('Net zero Activity data'!AU21*EF!$H34)*kgtoGg,"ERROR"))</f>
        <v>2.9908147882723356E-2</v>
      </c>
      <c r="AC1097" s="93">
        <f>IF('Net zero activities &amp; levers'!$C$14="Off",('Activity data'!AV21*EF!$H34)*kgtoGg,IF('Net zero activities &amp; levers'!$C$14="On",('Net zero Activity data'!AV21*EF!$H34)*kgtoGg,"ERROR"))</f>
        <v>3.0712916792092395E-2</v>
      </c>
      <c r="AD1097" s="93">
        <f>IF('Net zero activities &amp; levers'!$C$14="Off",('Activity data'!AW21*EF!$H34)*kgtoGg,IF('Net zero activities &amp; levers'!$C$14="On",('Net zero Activity data'!AW21*EF!$H34)*kgtoGg,"ERROR"))</f>
        <v>3.1578743428447839E-2</v>
      </c>
      <c r="AE1097" s="93">
        <f>IF('Net zero activities &amp; levers'!$C$14="Off",('Activity data'!AX21*EF!$H34)*kgtoGg,IF('Net zero activities &amp; levers'!$C$14="On",('Net zero Activity data'!AX21*EF!$H34)*kgtoGg,"ERROR"))</f>
        <v>3.250549203193269E-2</v>
      </c>
      <c r="AF1097" s="93">
        <f>IF('Net zero activities &amp; levers'!$C$14="Off",('Activity data'!AY21*EF!$H34)*kgtoGg,IF('Net zero activities &amp; levers'!$C$14="On",('Net zero Activity data'!AY21*EF!$H34)*kgtoGg,"ERROR"))</f>
        <v>3.3473999112916437E-2</v>
      </c>
      <c r="AG1097" s="93">
        <f>IF('Net zero activities &amp; levers'!$C$14="Off",('Activity data'!AZ21*EF!$H34)*kgtoGg,IF('Net zero activities &amp; levers'!$C$14="On",('Net zero Activity data'!AZ21*EF!$H34)*kgtoGg,"ERROR"))</f>
        <v>3.4494097378815265E-2</v>
      </c>
      <c r="AH1097" s="93">
        <f>IF('Net zero activities &amp; levers'!$C$14="Off",('Activity data'!BA21*EF!$H34)*kgtoGg,IF('Net zero activities &amp; levers'!$C$14="On",('Net zero Activity data'!BA21*EF!$H34)*kgtoGg,"ERROR"))</f>
        <v>3.5557217328346623E-2</v>
      </c>
      <c r="AI1097" s="93">
        <f>IF('Net zero activities &amp; levers'!$C$14="Off",('Activity data'!BB21*EF!$H34)*kgtoGg,IF('Net zero activities &amp; levers'!$C$14="On",('Net zero Activity data'!BB21*EF!$H34)*kgtoGg,"ERROR"))</f>
        <v>3.6628249530779734E-2</v>
      </c>
      <c r="AJ1097" s="93">
        <f>IF('Net zero activities &amp; levers'!$C$14="Off",('Activity data'!BC21*EF!$H34)*kgtoGg,IF('Net zero activities &amp; levers'!$C$14="On",('Net zero Activity data'!BC21*EF!$H34)*kgtoGg,"ERROR"))</f>
        <v>3.7759358891476039E-2</v>
      </c>
      <c r="AK1097" s="93">
        <f>IF('Net zero activities &amp; levers'!$C$14="Off",('Activity data'!BD21*EF!$H34)*kgtoGg,IF('Net zero activities &amp; levers'!$C$14="On",('Net zero Activity data'!BD21*EF!$H34)*kgtoGg,"ERROR"))</f>
        <v>3.8917074122130517E-2</v>
      </c>
      <c r="AL1097" s="93">
        <f>IF('Net zero activities &amp; levers'!$C$14="Off",('Activity data'!BE21*EF!$H34)*kgtoGg,IF('Net zero activities &amp; levers'!$C$14="On",('Net zero Activity data'!BE21*EF!$H34)*kgtoGg,"ERROR"))</f>
        <v>4.0099018182790006E-2</v>
      </c>
      <c r="AM1097" s="93">
        <f>IF('Net zero activities &amp; levers'!$C$14="Off",('Activity data'!BF21*EF!$H34)*kgtoGg,IF('Net zero activities &amp; levers'!$C$14="On",('Net zero Activity data'!BF21*EF!$H34)*kgtoGg,"ERROR"))</f>
        <v>4.1321894319074036E-2</v>
      </c>
      <c r="AN1097" s="93">
        <f>IF('Net zero activities &amp; levers'!$C$14="Off",('Activity data'!BG21*EF!$H34)*kgtoGg,IF('Net zero activities &amp; levers'!$C$14="On",('Net zero Activity data'!BG21*EF!$H34)*kgtoGg,"ERROR"))</f>
        <v>4.2545969174982913E-2</v>
      </c>
      <c r="AO1097" s="93">
        <f>IF('Net zero activities &amp; levers'!$C$14="Off",('Activity data'!BH21*EF!$H34)*kgtoGg,IF('Net zero activities &amp; levers'!$C$14="On",('Net zero Activity data'!BH21*EF!$H34)*kgtoGg,"ERROR"))</f>
        <v>4.382695969568811E-2</v>
      </c>
      <c r="AP1097" s="93">
        <f>IF('Net zero activities &amp; levers'!$C$14="Off",('Activity data'!BI21*EF!$H34)*kgtoGg,IF('Net zero activities &amp; levers'!$C$14="On",('Net zero Activity data'!BI21*EF!$H34)*kgtoGg,"ERROR"))</f>
        <v>4.5186270968384026E-2</v>
      </c>
      <c r="AQ1097" s="93">
        <f>IF('Net zero activities &amp; levers'!$C$14="Off",('Activity data'!BJ21*EF!$H34)*kgtoGg,IF('Net zero activities &amp; levers'!$C$14="On",('Net zero Activity data'!BJ21*EF!$H34)*kgtoGg,"ERROR"))</f>
        <v>4.6590511935326193E-2</v>
      </c>
      <c r="AR1097" s="93">
        <f>IF('Net zero activities &amp; levers'!$C$14="Off",('Activity data'!BK21*EF!$H34)*kgtoGg,IF('Net zero activities &amp; levers'!$C$14="On",('Net zero Activity data'!BK21*EF!$H34)*kgtoGg,"ERROR"))</f>
        <v>4.8042424865238111E-2</v>
      </c>
      <c r="AS1097" s="93">
        <f>IF('Net zero activities &amp; levers'!$C$14="Off",('Activity data'!BL21*EF!$H34)*kgtoGg,IF('Net zero activities &amp; levers'!$C$14="On",('Net zero Activity data'!BL21*EF!$H34)*kgtoGg,"ERROR"))</f>
        <v>4.958221392619834E-2</v>
      </c>
      <c r="AT1097" s="93">
        <f>IF('Net zero activities &amp; levers'!$C$14="Off",('Activity data'!BM21*EF!$H34)*kgtoGg,IF('Net zero activities &amp; levers'!$C$14="On",('Net zero Activity data'!BM21*EF!$H34)*kgtoGg,"ERROR"))</f>
        <v>5.1199033814465784E-2</v>
      </c>
      <c r="AU1097" s="93">
        <f>IF('Net zero activities &amp; levers'!$C$14="Off",('Activity data'!BN21*EF!$H34)*kgtoGg,IF('Net zero activities &amp; levers'!$C$14="On",('Net zero Activity data'!BN21*EF!$H34)*kgtoGg,"ERROR"))</f>
        <v>5.2885947503449555E-2</v>
      </c>
      <c r="AV1097" s="93">
        <f>IF('Net zero activities &amp; levers'!$C$14="Off",('Activity data'!BO21*EF!$H34)*kgtoGg,IF('Net zero activities &amp; levers'!$C$14="On",('Net zero Activity data'!BO21*EF!$H34)*kgtoGg,"ERROR"))</f>
        <v>5.4670719693481661E-2</v>
      </c>
      <c r="AW1097" s="93">
        <f>IF('Net zero activities &amp; levers'!$C$14="Off",('Activity data'!BP21*EF!$H34)*kgtoGg,IF('Net zero activities &amp; levers'!$C$14="On",('Net zero Activity data'!BP21*EF!$H34)*kgtoGg,"ERROR"))</f>
        <v>5.6403466737183702E-2</v>
      </c>
      <c r="AY1097" s="79"/>
    </row>
    <row r="1098" spans="1:51" x14ac:dyDescent="0.25">
      <c r="A1098" s="95" t="str">
        <f t="shared" si="374"/>
        <v>CM Poultry MMCH4</v>
      </c>
      <c r="B1098" s="95" t="s">
        <v>1321</v>
      </c>
      <c r="C1098" s="95" t="s">
        <v>1230</v>
      </c>
      <c r="D1098" t="s">
        <v>15</v>
      </c>
      <c r="E1098" t="s">
        <v>22</v>
      </c>
      <c r="F1098" t="s">
        <v>28</v>
      </c>
      <c r="G1098" t="s">
        <v>133</v>
      </c>
      <c r="H1098" t="s">
        <v>1226</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9.5244495094686812E-2</v>
      </c>
      <c r="N1098" s="93">
        <f>IF('Net zero activities &amp; levers'!$C$14="Off",('Activity data'!AG22*EF!$H35)*kgtoGg,IF('Net zero activities &amp; levers'!$C$14="On",('Net zero Activity data'!AG22*EF!$H35)*kgtoGg,"ERROR"))</f>
        <v>9.5803753116994184E-2</v>
      </c>
      <c r="O1098" s="93">
        <f>IF('Net zero activities &amp; levers'!$C$14="Off",('Activity data'!AH22*EF!$H35)*kgtoGg,IF('Net zero activities &amp; levers'!$C$14="On",('Net zero Activity data'!AH22*EF!$H35)*kgtoGg,"ERROR"))</f>
        <v>9.5460820340069058E-2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9.3696712749775937E-2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8.1167120934804951E-2</v>
      </c>
      <c r="T1098" s="93">
        <f>IF('Net zero activities &amp; levers'!$C$14="Off",('Activity data'!AM22*EF!$H35)*kgtoGg,IF('Net zero activities &amp; levers'!$C$14="On",('Net zero Activity data'!AM22*EF!$H35)*kgtoGg,"ERROR"))</f>
        <v>8.8510723535528968E-2</v>
      </c>
      <c r="U1098" s="93">
        <f>IF('Net zero activities &amp; levers'!$C$14="Off",('Activity data'!AN22*EF!$H35)*kgtoGg,IF('Net zero activities &amp; levers'!$C$14="On",('Net zero Activity data'!AN22*EF!$H35)*kgtoGg,"ERROR"))</f>
        <v>9.2044234060431204E-2</v>
      </c>
      <c r="V1098" s="93">
        <f>IF('Net zero activities &amp; levers'!$C$14="Off",('Activity data'!AO22*EF!$H35)*kgtoGg,IF('Net zero activities &amp; levers'!$C$14="On",('Net zero Activity data'!AO22*EF!$H35)*kgtoGg,"ERROR"))</f>
        <v>9.2486359996152387E-2</v>
      </c>
      <c r="W1098" s="93">
        <f>IF('Net zero activities &amp; levers'!$C$14="Off",('Activity data'!AP22*EF!$H35)*kgtoGg,IF('Net zero activities &amp; levers'!$C$14="On",('Net zero Activity data'!AP22*EF!$H35)*kgtoGg,"ERROR"))</f>
        <v>9.299604062454335E-2</v>
      </c>
      <c r="X1098" s="93">
        <f>IF('Net zero activities &amp; levers'!$C$14="Off",('Activity data'!AQ22*EF!$H35)*kgtoGg,IF('Net zero activities &amp; levers'!$C$14="On",('Net zero Activity data'!AQ22*EF!$H35)*kgtoGg,"ERROR"))</f>
        <v>9.4288595622345608E-2</v>
      </c>
      <c r="Y1098" s="93">
        <f>IF('Net zero activities &amp; levers'!$C$14="Off",('Activity data'!AR22*EF!$H35)*kgtoGg,IF('Net zero activities &amp; levers'!$C$14="On",('Net zero Activity data'!AR22*EF!$H35)*kgtoGg,"ERROR"))</f>
        <v>9.6416851862533987E-2</v>
      </c>
      <c r="Z1098" s="93">
        <f>IF('Net zero activities &amp; levers'!$C$14="Off",('Activity data'!AS22*EF!$H35)*kgtoGg,IF('Net zero activities &amp; levers'!$C$14="On",('Net zero Activity data'!AS22*EF!$H35)*kgtoGg,"ERROR"))</f>
        <v>9.8963239203604281E-2</v>
      </c>
      <c r="AA1098" s="93">
        <f>IF('Net zero activities &amp; levers'!$C$14="Off",('Activity data'!AT22*EF!$H35)*kgtoGg,IF('Net zero activities &amp; levers'!$C$14="On",('Net zero Activity data'!AT22*EF!$H35)*kgtoGg,"ERROR"))</f>
        <v>0.1020401478635064</v>
      </c>
      <c r="AB1098" s="93">
        <f>IF('Net zero activities &amp; levers'!$C$14="Off",('Activity data'!AU22*EF!$H35)*kgtoGg,IF('Net zero activities &amp; levers'!$C$14="On",('Net zero Activity data'!AU22*EF!$H35)*kgtoGg,"ERROR"))</f>
        <v>0.10598919327537835</v>
      </c>
      <c r="AC1098" s="93">
        <f>IF('Net zero activities &amp; levers'!$C$14="Off",('Activity data'!AV22*EF!$H35)*kgtoGg,IF('Net zero activities &amp; levers'!$C$14="On",('Net zero Activity data'!AV22*EF!$H35)*kgtoGg,"ERROR"))</f>
        <v>0.11076532366542467</v>
      </c>
      <c r="AD1098" s="93">
        <f>IF('Net zero activities &amp; levers'!$C$14="Off",('Activity data'!AW22*EF!$H35)*kgtoGg,IF('Net zero activities &amp; levers'!$C$14="On",('Net zero Activity data'!AW22*EF!$H35)*kgtoGg,"ERROR"))</f>
        <v>0.11605165918786628</v>
      </c>
      <c r="AE1098" s="93">
        <f>IF('Net zero activities &amp; levers'!$C$14="Off",('Activity data'!AX22*EF!$H35)*kgtoGg,IF('Net zero activities &amp; levers'!$C$14="On",('Net zero Activity data'!AX22*EF!$H35)*kgtoGg,"ERROR"))</f>
        <v>0.12183066211575974</v>
      </c>
      <c r="AF1098" s="93">
        <f>IF('Net zero activities &amp; levers'!$C$14="Off",('Activity data'!AY22*EF!$H35)*kgtoGg,IF('Net zero activities &amp; levers'!$C$14="On",('Net zero Activity data'!AY22*EF!$H35)*kgtoGg,"ERROR"))</f>
        <v>0.12792642875405835</v>
      </c>
      <c r="AG1098" s="93">
        <f>IF('Net zero activities &amp; levers'!$C$14="Off",('Activity data'!AZ22*EF!$H35)*kgtoGg,IF('Net zero activities &amp; levers'!$C$14="On",('Net zero Activity data'!AZ22*EF!$H35)*kgtoGg,"ERROR"))</f>
        <v>0.13442053102225948</v>
      </c>
      <c r="AH1098" s="93">
        <f>IF('Net zero activities &amp; levers'!$C$14="Off",('Activity data'!BA22*EF!$H35)*kgtoGg,IF('Net zero activities &amp; levers'!$C$14="On",('Net zero Activity data'!BA22*EF!$H35)*kgtoGg,"ERROR"))</f>
        <v>0.1412301404532664</v>
      </c>
      <c r="AI1098" s="93">
        <f>IF('Net zero activities &amp; levers'!$C$14="Off",('Activity data'!BB22*EF!$H35)*kgtoGg,IF('Net zero activities &amp; levers'!$C$14="On",('Net zero Activity data'!BB22*EF!$H35)*kgtoGg,"ERROR"))</f>
        <v>0.14804962987121634</v>
      </c>
      <c r="AJ1098" s="93">
        <f>IF('Net zero activities &amp; levers'!$C$14="Off",('Activity data'!BC22*EF!$H35)*kgtoGg,IF('Net zero activities &amp; levers'!$C$14="On",('Net zero Activity data'!BC22*EF!$H35)*kgtoGg,"ERROR"))</f>
        <v>0.15532009218999737</v>
      </c>
      <c r="AK1098" s="93">
        <f>IF('Net zero activities &amp; levers'!$C$14="Off",('Activity data'!BD22*EF!$H35)*kgtoGg,IF('Net zero activities &amp; levers'!$C$14="On",('Net zero Activity data'!BD22*EF!$H35)*kgtoGg,"ERROR"))</f>
        <v>0.16276207634756804</v>
      </c>
      <c r="AL1098" s="93">
        <f>IF('Net zero activities &amp; levers'!$C$14="Off",('Activity data'!BE22*EF!$H35)*kgtoGg,IF('Net zero activities &amp; levers'!$C$14="On",('Net zero Activity data'!BE22*EF!$H35)*kgtoGg,"ERROR"))</f>
        <v>0.17035351082443828</v>
      </c>
      <c r="AM1098" s="93">
        <f>IF('Net zero activities &amp; levers'!$C$14="Off",('Activity data'!BF22*EF!$H35)*kgtoGg,IF('Net zero activities &amp; levers'!$C$14="On",('Net zero Activity data'!BF22*EF!$H35)*kgtoGg,"ERROR"))</f>
        <v>0.17822828383349751</v>
      </c>
      <c r="AN1098" s="93">
        <f>IF('Net zero activities &amp; levers'!$C$14="Off",('Activity data'!BG22*EF!$H35)*kgtoGg,IF('Net zero activities &amp; levers'!$C$14="On",('Net zero Activity data'!BG22*EF!$H35)*kgtoGg,"ERROR"))</f>
        <v>0.18605577601410239</v>
      </c>
      <c r="AO1098" s="93">
        <f>IF('Net zero activities &amp; levers'!$C$14="Off",('Activity data'!BH22*EF!$H35)*kgtoGg,IF('Net zero activities &amp; levers'!$C$14="On",('Net zero Activity data'!BH22*EF!$H35)*kgtoGg,"ERROR"))</f>
        <v>0.19429487840720733</v>
      </c>
      <c r="AP1098" s="93">
        <f>IF('Net zero activities &amp; levers'!$C$14="Off",('Activity data'!BI22*EF!$H35)*kgtoGg,IF('Net zero activities &amp; levers'!$C$14="On",('Net zero Activity data'!BI22*EF!$H35)*kgtoGg,"ERROR"))</f>
        <v>0.20311521966404342</v>
      </c>
      <c r="AQ1098" s="93">
        <f>IF('Net zero activities &amp; levers'!$C$14="Off",('Activity data'!BJ22*EF!$H35)*kgtoGg,IF('Net zero activities &amp; levers'!$C$14="On",('Net zero Activity data'!BJ22*EF!$H35)*kgtoGg,"ERROR"))</f>
        <v>0.21224003324309459</v>
      </c>
      <c r="AR1098" s="93">
        <f>IF('Net zero activities &amp; levers'!$C$14="Off",('Activity data'!BK22*EF!$H35)*kgtoGg,IF('Net zero activities &amp; levers'!$C$14="On",('Net zero Activity data'!BK22*EF!$H35)*kgtoGg,"ERROR"))</f>
        <v>0.22169062680681273</v>
      </c>
      <c r="AS1098" s="93">
        <f>IF('Net zero activities &amp; levers'!$C$14="Off",('Activity data'!BL22*EF!$H35)*kgtoGg,IF('Net zero activities &amp; levers'!$C$14="On",('Net zero Activity data'!BL22*EF!$H35)*kgtoGg,"ERROR"))</f>
        <v>0.23178568757386364</v>
      </c>
      <c r="AT1098" s="93">
        <f>IF('Net zero activities &amp; levers'!$C$14="Off",('Activity data'!BM22*EF!$H35)*kgtoGg,IF('Net zero activities &amp; levers'!$C$14="On",('Net zero Activity data'!BM22*EF!$H35)*kgtoGg,"ERROR"))</f>
        <v>0.24243045121030524</v>
      </c>
      <c r="AU1098" s="93">
        <f>IF('Net zero activities &amp; levers'!$C$14="Off",('Activity data'!BN22*EF!$H35)*kgtoGg,IF('Net zero activities &amp; levers'!$C$14="On",('Net zero Activity data'!BN22*EF!$H35)*kgtoGg,"ERROR"))</f>
        <v>0.25356197063455443</v>
      </c>
      <c r="AV1098" s="93">
        <f>IF('Net zero activities &amp; levers'!$C$14="Off",('Activity data'!BO22*EF!$H35)*kgtoGg,IF('Net zero activities &amp; levers'!$C$14="On",('Net zero Activity data'!BO22*EF!$H35)*kgtoGg,"ERROR"))</f>
        <v>0.26539000717432326</v>
      </c>
      <c r="AW1098" s="93">
        <f>IF('Net zero activities &amp; levers'!$C$14="Off",('Activity data'!BP22*EF!$H35)*kgtoGg,IF('Net zero activities &amp; levers'!$C$14="On",('Net zero Activity data'!BP22*EF!$H35)*kgtoGg,"ERROR"))</f>
        <v>0.27674370517967845</v>
      </c>
      <c r="AY1098" s="79"/>
    </row>
    <row r="1099" spans="1:51" x14ac:dyDescent="0.25">
      <c r="A1099" s="95" t="str">
        <f t="shared" si="374"/>
        <v>CM Cattle MMN2O</v>
      </c>
      <c r="B1099" s="95" t="s">
        <v>1321</v>
      </c>
      <c r="C1099" s="95" t="s">
        <v>1231</v>
      </c>
      <c r="D1099" t="s">
        <v>15</v>
      </c>
      <c r="E1099" t="s">
        <v>657</v>
      </c>
      <c r="F1099" t="s">
        <v>6</v>
      </c>
      <c r="G1099" t="s">
        <v>136</v>
      </c>
      <c r="H1099" t="s">
        <v>1226</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5.9572576433389555E-2</v>
      </c>
      <c r="T1099" s="93">
        <f>IF('Net zero activities &amp; levers'!$C$14="Off",('Activity data'!AM5*EF!$H36*EF!$H54)*NtoN2O*kgtoGg,IF('Net zero activities &amp; levers'!$C$14="On",('Net zero Activity data'!AM5*EF!$H36*EF!$H54)*NtoN2O*kgtoGg,"ERROR"))</f>
        <v>6.0773920175181823E-2</v>
      </c>
      <c r="U1099" s="93">
        <f>IF('Net zero activities &amp; levers'!$C$14="Off",('Activity data'!AN5*EF!$H36*EF!$H54)*NtoN2O*kgtoGg,IF('Net zero activities &amp; levers'!$C$14="On",('Net zero Activity data'!AN5*EF!$H36*EF!$H54)*NtoN2O*kgtoGg,"ERROR"))</f>
        <v>6.1370278320054004E-2</v>
      </c>
      <c r="V1099" s="93">
        <f>IF('Net zero activities &amp; levers'!$C$14="Off",('Activity data'!AO5*EF!$H36*EF!$H54)*NtoN2O*kgtoGg,IF('Net zero activities &amp; levers'!$C$14="On",('Net zero Activity data'!AO5*EF!$H36*EF!$H54)*NtoN2O*kgtoGg,"ERROR"))</f>
        <v>6.1526022860848524E-2</v>
      </c>
      <c r="W1099" s="93">
        <f>IF('Net zero activities &amp; levers'!$C$14="Off",('Activity data'!AP5*EF!$H36*EF!$H54)*NtoN2O*kgtoGg,IF('Net zero activities &amp; levers'!$C$14="On",('Net zero Activity data'!AP5*EF!$H36*EF!$H54)*NtoN2O*kgtoGg,"ERROR"))</f>
        <v>6.174747330575011E-2</v>
      </c>
      <c r="X1099" s="93">
        <f>IF('Net zero activities &amp; levers'!$C$14="Off",('Activity data'!AQ5*EF!$H36*EF!$H54)*NtoN2O*kgtoGg,IF('Net zero activities &amp; levers'!$C$14="On",('Net zero Activity data'!AQ5*EF!$H36*EF!$H54)*NtoN2O*kgtoGg,"ERROR"))</f>
        <v>6.2119068821813103E-2</v>
      </c>
      <c r="Y1099" s="93">
        <f>IF('Net zero activities &amp; levers'!$C$14="Off",('Activity data'!AR5*EF!$H36*EF!$H54)*NtoN2O*kgtoGg,IF('Net zero activities &amp; levers'!$C$14="On",('Net zero Activity data'!AR5*EF!$H36*EF!$H54)*NtoN2O*kgtoGg,"ERROR"))</f>
        <v>6.2609959575984822E-2</v>
      </c>
      <c r="Z1099" s="93">
        <f>IF('Net zero activities &amp; levers'!$C$14="Off",('Activity data'!AS5*EF!$H36*EF!$H54)*NtoN2O*kgtoGg,IF('Net zero activities &amp; levers'!$C$14="On",('Net zero Activity data'!AS5*EF!$H36*EF!$H54)*NtoN2O*kgtoGg,"ERROR"))</f>
        <v>6.3159566495841341E-2</v>
      </c>
      <c r="AA1099" s="93">
        <f>IF('Net zero activities &amp; levers'!$C$14="Off",('Activity data'!AT5*EF!$H36*EF!$H54)*NtoN2O*kgtoGg,IF('Net zero activities &amp; levers'!$C$14="On",('Net zero Activity data'!AT5*EF!$H36*EF!$H54)*NtoN2O*kgtoGg,"ERROR"))</f>
        <v>6.3785199118486416E-2</v>
      </c>
      <c r="AB1099" s="93">
        <f>IF('Net zero activities &amp; levers'!$C$14="Off",('Activity data'!AU5*EF!$H36*EF!$H54)*NtoN2O*kgtoGg,IF('Net zero activities &amp; levers'!$C$14="On",('Net zero Activity data'!AU5*EF!$H36*EF!$H54)*NtoN2O*kgtoGg,"ERROR"))</f>
        <v>6.4540499300557705E-2</v>
      </c>
      <c r="AC1099" s="93">
        <f>IF('Net zero activities &amp; levers'!$C$14="Off",('Activity data'!AV5*EF!$H36*EF!$H54)*NtoN2O*kgtoGg,IF('Net zero activities &amp; levers'!$C$14="On",('Net zero Activity data'!AV5*EF!$H36*EF!$H54)*NtoN2O*kgtoGg,"ERROR"))</f>
        <v>6.5421079387025072E-2</v>
      </c>
      <c r="AD1099" s="93">
        <f>IF('Net zero activities &amp; levers'!$C$14="Off",('Activity data'!AW5*EF!$H36*EF!$H54)*NtoN2O*kgtoGg,IF('Net zero activities &amp; levers'!$C$14="On",('Net zero Activity data'!AW5*EF!$H36*EF!$H54)*NtoN2O*kgtoGg,"ERROR"))</f>
        <v>6.6379515175029838E-2</v>
      </c>
      <c r="AE1099" s="93">
        <f>IF('Net zero activities &amp; levers'!$C$14="Off",('Activity data'!AX5*EF!$H36*EF!$H54)*NtoN2O*kgtoGg,IF('Net zero activities &amp; levers'!$C$14="On",('Net zero Activity data'!AX5*EF!$H36*EF!$H54)*NtoN2O*kgtoGg,"ERROR"))</f>
        <v>6.7414940444444876E-2</v>
      </c>
      <c r="AF1099" s="93">
        <f>IF('Net zero activities &amp; levers'!$C$14="Off",('Activity data'!AY5*EF!$H36*EF!$H54)*NtoN2O*kgtoGg,IF('Net zero activities &amp; levers'!$C$14="On",('Net zero Activity data'!AY5*EF!$H36*EF!$H54)*NtoN2O*kgtoGg,"ERROR"))</f>
        <v>6.8501080209535048E-2</v>
      </c>
      <c r="AG1099" s="93">
        <f>IF('Net zero activities &amp; levers'!$C$14="Off",('Activity data'!AZ5*EF!$H36*EF!$H54)*NtoN2O*kgtoGg,IF('Net zero activities &amp; levers'!$C$14="On",('Net zero Activity data'!AZ5*EF!$H36*EF!$H54)*NtoN2O*kgtoGg,"ERROR"))</f>
        <v>6.9650082739835181E-2</v>
      </c>
      <c r="AH1099" s="93">
        <f>IF('Net zero activities &amp; levers'!$C$14="Off",('Activity data'!BA5*EF!$H36*EF!$H54)*NtoN2O*kgtoGg,IF('Net zero activities &amp; levers'!$C$14="On",('Net zero Activity data'!BA5*EF!$H36*EF!$H54)*NtoN2O*kgtoGg,"ERROR"))</f>
        <v>7.085013376505013E-2</v>
      </c>
      <c r="AI1099" s="93">
        <f>IF('Net zero activities &amp; levers'!$C$14="Off",('Activity data'!BB5*EF!$H36*EF!$H54)*NtoN2O*kgtoGg,IF('Net zero activities &amp; levers'!$C$14="On",('Net zero Activity data'!BB5*EF!$H36*EF!$H54)*NtoN2O*kgtoGg,"ERROR"))</f>
        <v>7.2054990287027845E-2</v>
      </c>
      <c r="AJ1099" s="93">
        <f>IF('Net zero activities &amp; levers'!$C$14="Off",('Activity data'!BC5*EF!$H36*EF!$H54)*NtoN2O*kgtoGg,IF('Net zero activities &amp; levers'!$C$14="On",('Net zero Activity data'!BC5*EF!$H36*EF!$H54)*NtoN2O*kgtoGg,"ERROR"))</f>
        <v>7.3332422489630317E-2</v>
      </c>
      <c r="AK1099" s="93">
        <f>IF('Net zero activities &amp; levers'!$C$14="Off",('Activity data'!BD5*EF!$H36*EF!$H54)*NtoN2O*kgtoGg,IF('Net zero activities &amp; levers'!$C$14="On",('Net zero Activity data'!BD5*EF!$H36*EF!$H54)*NtoN2O*kgtoGg,"ERROR"))</f>
        <v>7.4637775238334716E-2</v>
      </c>
      <c r="AL1099" s="93">
        <f>IF('Net zero activities &amp; levers'!$C$14="Off",('Activity data'!BE5*EF!$H36*EF!$H54)*NtoN2O*kgtoGg,IF('Net zero activities &amp; levers'!$C$14="On",('Net zero Activity data'!BE5*EF!$H36*EF!$H54)*NtoN2O*kgtoGg,"ERROR"))</f>
        <v>7.596772859981879E-2</v>
      </c>
      <c r="AM1099" s="93">
        <f>IF('Net zero activities &amp; levers'!$C$14="Off",('Activity data'!BF5*EF!$H36*EF!$H54)*NtoN2O*kgtoGg,IF('Net zero activities &amp; levers'!$C$14="On",('Net zero Activity data'!BF5*EF!$H36*EF!$H54)*NtoN2O*kgtoGg,"ERROR"))</f>
        <v>7.734370972563348E-2</v>
      </c>
      <c r="AN1099" s="93">
        <f>IF('Net zero activities &amp; levers'!$C$14="Off",('Activity data'!BG5*EF!$H36*EF!$H54)*NtoN2O*kgtoGg,IF('Net zero activities &amp; levers'!$C$14="On",('Net zero Activity data'!BG5*EF!$H36*EF!$H54)*NtoN2O*kgtoGg,"ERROR"))</f>
        <v>7.871435132056126E-2</v>
      </c>
      <c r="AO1099" s="93">
        <f>IF('Net zero activities &amp; levers'!$C$14="Off",('Activity data'!BH5*EF!$H36*EF!$H54)*NtoN2O*kgtoGg,IF('Net zero activities &amp; levers'!$C$14="On",('Net zero Activity data'!BH5*EF!$H36*EF!$H54)*NtoN2O*kgtoGg,"ERROR"))</f>
        <v>8.0150831900584182E-2</v>
      </c>
      <c r="AP1099" s="93">
        <f>IF('Net zero activities &amp; levers'!$C$14="Off",('Activity data'!BI5*EF!$H36*EF!$H54)*NtoN2O*kgtoGg,IF('Net zero activities &amp; levers'!$C$14="On",('Net zero Activity data'!BI5*EF!$H36*EF!$H54)*NtoN2O*kgtoGg,"ERROR"))</f>
        <v>8.1679672713355286E-2</v>
      </c>
      <c r="AQ1099" s="93">
        <f>IF('Net zero activities &amp; levers'!$C$14="Off",('Activity data'!BJ5*EF!$H36*EF!$H54)*NtoN2O*kgtoGg,IF('Net zero activities &amp; levers'!$C$14="On",('Net zero Activity data'!BJ5*EF!$H36*EF!$H54)*NtoN2O*kgtoGg,"ERROR"))</f>
        <v>8.3257530462489515E-2</v>
      </c>
      <c r="AR1099" s="93">
        <f>IF('Net zero activities &amp; levers'!$C$14="Off",('Activity data'!BK5*EF!$H36*EF!$H54)*NtoN2O*kgtoGg,IF('Net zero activities &amp; levers'!$C$14="On",('Net zero Activity data'!BK5*EF!$H36*EF!$H54)*NtoN2O*kgtoGg,"ERROR"))</f>
        <v>8.4887259744612836E-2</v>
      </c>
      <c r="AS1099" s="93">
        <f>IF('Net zero activities &amp; levers'!$C$14="Off",('Activity data'!BL5*EF!$H36*EF!$H54)*NtoN2O*kgtoGg,IF('Net zero activities &amp; levers'!$C$14="On",('Net zero Activity data'!BL5*EF!$H36*EF!$H54)*NtoN2O*kgtoGg,"ERROR"))</f>
        <v>8.6619011221600456E-2</v>
      </c>
      <c r="AT1099" s="93">
        <f>IF('Net zero activities &amp; levers'!$C$14="Off",('Activity data'!BM5*EF!$H36*EF!$H54)*NtoN2O*kgtoGg,IF('Net zero activities &amp; levers'!$C$14="On",('Net zero Activity data'!BM5*EF!$H36*EF!$H54)*NtoN2O*kgtoGg,"ERROR"))</f>
        <v>8.8438220768671E-2</v>
      </c>
      <c r="AU1099" s="93">
        <f>IF('Net zero activities &amp; levers'!$C$14="Off",('Activity data'!BN5*EF!$H36*EF!$H54)*NtoN2O*kgtoGg,IF('Net zero activities &amp; levers'!$C$14="On",('Net zero Activity data'!BN5*EF!$H36*EF!$H54)*NtoN2O*kgtoGg,"ERROR"))</f>
        <v>9.0335502519381064E-2</v>
      </c>
      <c r="AV1099" s="93">
        <f>IF('Net zero activities &amp; levers'!$C$14="Off",('Activity data'!BO5*EF!$H36*EF!$H54)*NtoN2O*kgtoGg,IF('Net zero activities &amp; levers'!$C$14="On",('Net zero Activity data'!BO5*EF!$H36*EF!$H54)*NtoN2O*kgtoGg,"ERROR"))</f>
        <v>9.2345044060296602E-2</v>
      </c>
      <c r="AW1099" s="93">
        <f>IF('Net zero activities &amp; levers'!$C$14="Off",('Activity data'!BP5*EF!$H36*EF!$H54)*NtoN2O*kgtoGg,IF('Net zero activities &amp; levers'!$C$14="On",('Net zero Activity data'!BP5*EF!$H36*EF!$H54)*NtoN2O*kgtoGg,"ERROR"))</f>
        <v>9.4278593479446449E-2</v>
      </c>
      <c r="AY1099" s="79"/>
    </row>
    <row r="1100" spans="1:51" x14ac:dyDescent="0.25">
      <c r="A1100" s="95" t="str">
        <f t="shared" si="374"/>
        <v>CM Cattle MMN2O</v>
      </c>
      <c r="B1100" s="95" t="s">
        <v>1321</v>
      </c>
      <c r="C1100" s="95" t="s">
        <v>1231</v>
      </c>
      <c r="D1100" t="s">
        <v>15</v>
      </c>
      <c r="E1100" t="s">
        <v>657</v>
      </c>
      <c r="F1100" t="s">
        <v>6</v>
      </c>
      <c r="G1100" t="s">
        <v>137</v>
      </c>
      <c r="H1100" t="s">
        <v>1226</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0.26084639751318123</v>
      </c>
      <c r="T1100" s="93">
        <f>IF('Net zero activities &amp; levers'!$C$14="Off",('Activity data'!AM6*EF!$H37*EF!$H55)*NtoN2O*kgtoGg,IF('Net zero activities &amp; levers'!$C$14="On",('Net zero Activity data'!AM6*EF!$H37*EF!$H55)*NtoN2O*kgtoGg,"ERROR"))</f>
        <v>0.26610663982571414</v>
      </c>
      <c r="U1100" s="93">
        <f>IF('Net zero activities &amp; levers'!$C$14="Off",('Activity data'!AN6*EF!$H37*EF!$H55)*NtoN2O*kgtoGg,IF('Net zero activities &amp; levers'!$C$14="On",('Net zero Activity data'!AN6*EF!$H37*EF!$H55)*NtoN2O*kgtoGg,"ERROR"))</f>
        <v>0.26871787276259229</v>
      </c>
      <c r="V1100" s="93">
        <f>IF('Net zero activities &amp; levers'!$C$14="Off",('Activity data'!AO6*EF!$H37*EF!$H55)*NtoN2O*kgtoGg,IF('Net zero activities &amp; levers'!$C$14="On",('Net zero Activity data'!AO6*EF!$H37*EF!$H55)*NtoN2O*kgtoGg,"ERROR"))</f>
        <v>0.26939982081370628</v>
      </c>
      <c r="W1100" s="93">
        <f>IF('Net zero activities &amp; levers'!$C$14="Off",('Activity data'!AP6*EF!$H37*EF!$H55)*NtoN2O*kgtoGg,IF('Net zero activities &amp; levers'!$C$14="On",('Net zero Activity data'!AP6*EF!$H37*EF!$H55)*NtoN2O*kgtoGg,"ERROR"))</f>
        <v>0.27036947084797774</v>
      </c>
      <c r="X1100" s="93">
        <f>IF('Net zero activities &amp; levers'!$C$14="Off",('Activity data'!AQ6*EF!$H37*EF!$H55)*NtoN2O*kgtoGg,IF('Net zero activities &amp; levers'!$C$14="On",('Net zero Activity data'!AQ6*EF!$H37*EF!$H55)*NtoN2O*kgtoGg,"ERROR"))</f>
        <v>0.27199655091569075</v>
      </c>
      <c r="Y1100" s="93">
        <f>IF('Net zero activities &amp; levers'!$C$14="Off",('Activity data'!AR6*EF!$H37*EF!$H55)*NtoN2O*kgtoGg,IF('Net zero activities &amp; levers'!$C$14="On",('Net zero Activity data'!AR6*EF!$H37*EF!$H55)*NtoN2O*kgtoGg,"ERROR"))</f>
        <v>0.27414598094649351</v>
      </c>
      <c r="Z1100" s="93">
        <f>IF('Net zero activities &amp; levers'!$C$14="Off",('Activity data'!AS6*EF!$H37*EF!$H55)*NtoN2O*kgtoGg,IF('Net zero activities &amp; levers'!$C$14="On",('Net zero Activity data'!AS6*EF!$H37*EF!$H55)*NtoN2O*kgtoGg,"ERROR"))</f>
        <v>0.27655250746718535</v>
      </c>
      <c r="AA1100" s="93">
        <f>IF('Net zero activities &amp; levers'!$C$14="Off",('Activity data'!AT6*EF!$H37*EF!$H55)*NtoN2O*kgtoGg,IF('Net zero activities &amp; levers'!$C$14="On",('Net zero Activity data'!AT6*EF!$H37*EF!$H55)*NtoN2O*kgtoGg,"ERROR"))</f>
        <v>0.27929192257316399</v>
      </c>
      <c r="AB1100" s="93">
        <f>IF('Net zero activities &amp; levers'!$C$14="Off",('Activity data'!AU6*EF!$H37*EF!$H55)*NtoN2O*kgtoGg,IF('Net zero activities &amp; levers'!$C$14="On",('Net zero Activity data'!AU6*EF!$H37*EF!$H55)*NtoN2O*kgtoGg,"ERROR"))</f>
        <v>0.28259910422166357</v>
      </c>
      <c r="AC1100" s="93">
        <f>IF('Net zero activities &amp; levers'!$C$14="Off",('Activity data'!AV6*EF!$H37*EF!$H55)*NtoN2O*kgtoGg,IF('Net zero activities &amp; levers'!$C$14="On",('Net zero Activity data'!AV6*EF!$H37*EF!$H55)*NtoN2O*kgtoGg,"ERROR"))</f>
        <v>0.28645484048537356</v>
      </c>
      <c r="AD1100" s="93">
        <f>IF('Net zero activities &amp; levers'!$C$14="Off",('Activity data'!AW6*EF!$H37*EF!$H55)*NtoN2O*kgtoGg,IF('Net zero activities &amp; levers'!$C$14="On",('Net zero Activity data'!AW6*EF!$H37*EF!$H55)*NtoN2O*kgtoGg,"ERROR"))</f>
        <v>0.29065147822569842</v>
      </c>
      <c r="AE1100" s="93">
        <f>IF('Net zero activities &amp; levers'!$C$14="Off",('Activity data'!AX6*EF!$H37*EF!$H55)*NtoN2O*kgtoGg,IF('Net zero activities &amp; levers'!$C$14="On",('Net zero Activity data'!AX6*EF!$H37*EF!$H55)*NtoN2O*kgtoGg,"ERROR"))</f>
        <v>0.29518522458335378</v>
      </c>
      <c r="AF1100" s="93">
        <f>IF('Net zero activities &amp; levers'!$C$14="Off",('Activity data'!AY6*EF!$H37*EF!$H55)*NtoN2O*kgtoGg,IF('Net zero activities &amp; levers'!$C$14="On",('Net zero Activity data'!AY6*EF!$H37*EF!$H55)*NtoN2O*kgtoGg,"ERROR"))</f>
        <v>0.2999410310614633</v>
      </c>
      <c r="AG1100" s="93">
        <f>IF('Net zero activities &amp; levers'!$C$14="Off",('Activity data'!AZ6*EF!$H37*EF!$H55)*NtoN2O*kgtoGg,IF('Net zero activities &amp; levers'!$C$14="On",('Net zero Activity data'!AZ6*EF!$H37*EF!$H55)*NtoN2O*kgtoGg,"ERROR"))</f>
        <v>0.30497209046339202</v>
      </c>
      <c r="AH1100" s="93">
        <f>IF('Net zero activities &amp; levers'!$C$14="Off",('Activity data'!BA6*EF!$H37*EF!$H55)*NtoN2O*kgtoGg,IF('Net zero activities &amp; levers'!$C$14="On",('Net zero Activity data'!BA6*EF!$H37*EF!$H55)*NtoN2O*kgtoGg,"ERROR"))</f>
        <v>0.31022667244557844</v>
      </c>
      <c r="AI1100" s="93">
        <f>IF('Net zero activities &amp; levers'!$C$14="Off",('Activity data'!BB6*EF!$H37*EF!$H55)*NtoN2O*kgtoGg,IF('Net zero activities &amp; levers'!$C$14="On",('Net zero Activity data'!BB6*EF!$H37*EF!$H55)*NtoN2O*kgtoGg,"ERROR"))</f>
        <v>0.31550229593031343</v>
      </c>
      <c r="AJ1100" s="93">
        <f>IF('Net zero activities &amp; levers'!$C$14="Off",('Activity data'!BC6*EF!$H37*EF!$H55)*NtoN2O*kgtoGg,IF('Net zero activities &amp; levers'!$C$14="On",('Net zero Activity data'!BC6*EF!$H37*EF!$H55)*NtoN2O*kgtoGg,"ERROR"))</f>
        <v>0.32109570162242335</v>
      </c>
      <c r="AK1100" s="93">
        <f>IF('Net zero activities &amp; levers'!$C$14="Off",('Activity data'!BD6*EF!$H37*EF!$H55)*NtoN2O*kgtoGg,IF('Net zero activities &amp; levers'!$C$14="On",('Net zero Activity data'!BD6*EF!$H37*EF!$H55)*NtoN2O*kgtoGg,"ERROR"))</f>
        <v>0.32681136111491149</v>
      </c>
      <c r="AL1100" s="93">
        <f>IF('Net zero activities &amp; levers'!$C$14="Off",('Activity data'!BE6*EF!$H37*EF!$H55)*NtoN2O*kgtoGg,IF('Net zero activities &amp; levers'!$C$14="On",('Net zero Activity data'!BE6*EF!$H37*EF!$H55)*NtoN2O*kgtoGg,"ERROR"))</f>
        <v>0.33263473764104773</v>
      </c>
      <c r="AM1100" s="93">
        <f>IF('Net zero activities &amp; levers'!$C$14="Off",('Activity data'!BF6*EF!$H37*EF!$H55)*NtoN2O*kgtoGg,IF('Net zero activities &amp; levers'!$C$14="On",('Net zero Activity data'!BF6*EF!$H37*EF!$H55)*NtoN2O*kgtoGg,"ERROR"))</f>
        <v>0.33865965281516675</v>
      </c>
      <c r="AN1100" s="93">
        <f>IF('Net zero activities &amp; levers'!$C$14="Off",('Activity data'!BG6*EF!$H37*EF!$H55)*NtoN2O*kgtoGg,IF('Net zero activities &amp; levers'!$C$14="On",('Net zero Activity data'!BG6*EF!$H37*EF!$H55)*NtoN2O*kgtoGg,"ERROR"))</f>
        <v>0.34466118814776064</v>
      </c>
      <c r="AO1100" s="93">
        <f>IF('Net zero activities &amp; levers'!$C$14="Off",('Activity data'!BH6*EF!$H37*EF!$H55)*NtoN2O*kgtoGg,IF('Net zero activities &amp; levers'!$C$14="On",('Net zero Activity data'!BH6*EF!$H37*EF!$H55)*NtoN2O*kgtoGg,"ERROR"))</f>
        <v>0.35095100817620256</v>
      </c>
      <c r="AP1100" s="93">
        <f>IF('Net zero activities &amp; levers'!$C$14="Off",('Activity data'!BI6*EF!$H37*EF!$H55)*NtoN2O*kgtoGg,IF('Net zero activities &amp; levers'!$C$14="On",('Net zero Activity data'!BI6*EF!$H37*EF!$H55)*NtoN2O*kgtoGg,"ERROR"))</f>
        <v>0.35764523968771644</v>
      </c>
      <c r="AQ1100" s="93">
        <f>IF('Net zero activities &amp; levers'!$C$14="Off",('Activity data'!BJ6*EF!$H37*EF!$H55)*NtoN2O*kgtoGg,IF('Net zero activities &amp; levers'!$C$14="On",('Net zero Activity data'!BJ6*EF!$H37*EF!$H55)*NtoN2O*kgtoGg,"ERROR"))</f>
        <v>0.36455409833193048</v>
      </c>
      <c r="AR1100" s="93">
        <f>IF('Net zero activities &amp; levers'!$C$14="Off",('Activity data'!BK6*EF!$H37*EF!$H55)*NtoN2O*kgtoGg,IF('Net zero activities &amp; levers'!$C$14="On",('Net zero Activity data'!BK6*EF!$H37*EF!$H55)*NtoN2O*kgtoGg,"ERROR"))</f>
        <v>0.37169008333736225</v>
      </c>
      <c r="AS1100" s="93">
        <f>IF('Net zero activities &amp; levers'!$C$14="Off",('Activity data'!BL6*EF!$H37*EF!$H55)*NtoN2O*kgtoGg,IF('Net zero activities &amp; levers'!$C$14="On",('Net zero Activity data'!BL6*EF!$H37*EF!$H55)*NtoN2O*kgtoGg,"ERROR"))</f>
        <v>0.37927278600367109</v>
      </c>
      <c r="AT1100" s="93">
        <f>IF('Net zero activities &amp; levers'!$C$14="Off",('Activity data'!BM6*EF!$H37*EF!$H55)*NtoN2O*kgtoGg,IF('Net zero activities &amp; levers'!$C$14="On",('Net zero Activity data'!BM6*EF!$H37*EF!$H55)*NtoN2O*kgtoGg,"ERROR"))</f>
        <v>0.38723843538607666</v>
      </c>
      <c r="AU1100" s="93">
        <f>IF('Net zero activities &amp; levers'!$C$14="Off",('Activity data'!BN6*EF!$H37*EF!$H55)*NtoN2O*kgtoGg,IF('Net zero activities &amp; levers'!$C$14="On",('Net zero Activity data'!BN6*EF!$H37*EF!$H55)*NtoN2O*kgtoGg,"ERROR"))</f>
        <v>0.39554593422815865</v>
      </c>
      <c r="AV1100" s="93">
        <f>IF('Net zero activities &amp; levers'!$C$14="Off",('Activity data'!BO6*EF!$H37*EF!$H55)*NtoN2O*kgtoGg,IF('Net zero activities &amp; levers'!$C$14="On",('Net zero Activity data'!BO6*EF!$H37*EF!$H55)*NtoN2O*kgtoGg,"ERROR"))</f>
        <v>0.4043449773950597</v>
      </c>
      <c r="AW1100" s="93">
        <f>IF('Net zero activities &amp; levers'!$C$14="Off",('Activity data'!BP6*EF!$H37*EF!$H55)*NtoN2O*kgtoGg,IF('Net zero activities &amp; levers'!$C$14="On",('Net zero Activity data'!BP6*EF!$H37*EF!$H55)*NtoN2O*kgtoGg,"ERROR"))</f>
        <v>0.41281127901561981</v>
      </c>
      <c r="AY1100" s="79"/>
    </row>
    <row r="1101" spans="1:51" x14ac:dyDescent="0.25">
      <c r="A1101" s="95" t="str">
        <f t="shared" si="374"/>
        <v>CM Cattle MMN2O</v>
      </c>
      <c r="B1101" s="95" t="s">
        <v>1321</v>
      </c>
      <c r="C1101" s="95" t="s">
        <v>1231</v>
      </c>
      <c r="D1101" t="s">
        <v>15</v>
      </c>
      <c r="E1101" t="s">
        <v>657</v>
      </c>
      <c r="F1101" t="s">
        <v>67</v>
      </c>
      <c r="G1101" t="s">
        <v>307</v>
      </c>
      <c r="H1101" t="s">
        <v>1226</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1.1606124377232515E-2</v>
      </c>
      <c r="T1101" s="93">
        <f>IF('Net zero activities &amp; levers'!$C$14="Off",('Activity data'!AM7*EF!$H38*EF!$H56)*NtoN2O*kgtoGg,IF('Net zero activities &amp; levers'!$C$14="On",('Net zero Activity data'!AM7*EF!$H38*EF!$H56)*NtoN2O*kgtoGg,"ERROR"))</f>
        <v>1.1840174098124497E-2</v>
      </c>
      <c r="U1101" s="93">
        <f>IF('Net zero activities &amp; levers'!$C$14="Off",('Activity data'!AN7*EF!$H38*EF!$H56)*NtoN2O*kgtoGg,IF('Net zero activities &amp; levers'!$C$14="On",('Net zero Activity data'!AN7*EF!$H38*EF!$H56)*NtoN2O*kgtoGg,"ERROR"))</f>
        <v>1.1956358544343662E-2</v>
      </c>
      <c r="V1101" s="93">
        <f>IF('Net zero activities &amp; levers'!$C$14="Off",('Activity data'!AO7*EF!$H38*EF!$H56)*NtoN2O*kgtoGg,IF('Net zero activities &amp; levers'!$C$14="On",('Net zero Activity data'!AO7*EF!$H38*EF!$H56)*NtoN2O*kgtoGg,"ERROR"))</f>
        <v>1.198670120567806E-2</v>
      </c>
      <c r="W1101" s="93">
        <f>IF('Net zero activities &amp; levers'!$C$14="Off",('Activity data'!AP7*EF!$H38*EF!$H56)*NtoN2O*kgtoGg,IF('Net zero activities &amp; levers'!$C$14="On",('Net zero Activity data'!AP7*EF!$H38*EF!$H56)*NtoN2O*kgtoGg,"ERROR"))</f>
        <v>1.2029844906367174E-2</v>
      </c>
      <c r="X1101" s="93">
        <f>IF('Net zero activities &amp; levers'!$C$14="Off",('Activity data'!AQ7*EF!$H38*EF!$H56)*NtoN2O*kgtoGg,IF('Net zero activities &amp; levers'!$C$14="On",('Net zero Activity data'!AQ7*EF!$H38*EF!$H56)*NtoN2O*kgtoGg,"ERROR"))</f>
        <v>1.2102240361384485E-2</v>
      </c>
      <c r="Y1101" s="93">
        <f>IF('Net zero activities &amp; levers'!$C$14="Off",('Activity data'!AR7*EF!$H38*EF!$H56)*NtoN2O*kgtoGg,IF('Net zero activities &amp; levers'!$C$14="On",('Net zero Activity data'!AR7*EF!$H38*EF!$H56)*NtoN2O*kgtoGg,"ERROR"))</f>
        <v>1.2197877305254469E-2</v>
      </c>
      <c r="Z1101" s="93">
        <f>IF('Net zero activities &amp; levers'!$C$14="Off",('Activity data'!AS7*EF!$H38*EF!$H56)*NtoN2O*kgtoGg,IF('Net zero activities &amp; levers'!$C$14="On",('Net zero Activity data'!AS7*EF!$H38*EF!$H56)*NtoN2O*kgtoGg,"ERROR"))</f>
        <v>1.2304953524755821E-2</v>
      </c>
      <c r="AA1101" s="93">
        <f>IF('Net zero activities &amp; levers'!$C$14="Off",('Activity data'!AT7*EF!$H38*EF!$H56)*NtoN2O*kgtoGg,IF('Net zero activities &amp; levers'!$C$14="On",('Net zero Activity data'!AT7*EF!$H38*EF!$H56)*NtoN2O*kgtoGg,"ERROR"))</f>
        <v>1.2426841320577307E-2</v>
      </c>
      <c r="AB1101" s="93">
        <f>IF('Net zero activities &amp; levers'!$C$14="Off",('Activity data'!AU7*EF!$H38*EF!$H56)*NtoN2O*kgtoGg,IF('Net zero activities &amp; levers'!$C$14="On",('Net zero Activity data'!AU7*EF!$H38*EF!$H56)*NtoN2O*kgtoGg,"ERROR"))</f>
        <v>1.2573991374848796E-2</v>
      </c>
      <c r="AC1101" s="93">
        <f>IF('Net zero activities &amp; levers'!$C$14="Off",('Activity data'!AV7*EF!$H38*EF!$H56)*NtoN2O*kgtoGg,IF('Net zero activities &amp; levers'!$C$14="On",('Net zero Activity data'!AV7*EF!$H38*EF!$H56)*NtoN2O*kgtoGg,"ERROR"))</f>
        <v>1.2745548870252437E-2</v>
      </c>
      <c r="AD1101" s="93">
        <f>IF('Net zero activities &amp; levers'!$C$14="Off",('Activity data'!AW7*EF!$H38*EF!$H56)*NtoN2O*kgtoGg,IF('Net zero activities &amp; levers'!$C$14="On",('Net zero Activity data'!AW7*EF!$H38*EF!$H56)*NtoN2O*kgtoGg,"ERROR"))</f>
        <v>1.2932274468323759E-2</v>
      </c>
      <c r="AE1101" s="93">
        <f>IF('Net zero activities &amp; levers'!$C$14="Off",('Activity data'!AX7*EF!$H38*EF!$H56)*NtoN2O*kgtoGg,IF('Net zero activities &amp; levers'!$C$14="On",('Net zero Activity data'!AX7*EF!$H38*EF!$H56)*NtoN2O*kgtoGg,"ERROR"))</f>
        <v>1.3133999409221648E-2</v>
      </c>
      <c r="AF1101" s="93">
        <f>IF('Net zero activities &amp; levers'!$C$14="Off",('Activity data'!AY7*EF!$H38*EF!$H56)*NtoN2O*kgtoGg,IF('Net zero activities &amp; levers'!$C$14="On",('Net zero Activity data'!AY7*EF!$H38*EF!$H56)*NtoN2O*kgtoGg,"ERROR"))</f>
        <v>1.3345604714202703E-2</v>
      </c>
      <c r="AG1101" s="93">
        <f>IF('Net zero activities &amp; levers'!$C$14="Off",('Activity data'!AZ7*EF!$H38*EF!$H56)*NtoN2O*kgtoGg,IF('Net zero activities &amp; levers'!$C$14="On",('Net zero Activity data'!AZ7*EF!$H38*EF!$H56)*NtoN2O*kgtoGg,"ERROR"))</f>
        <v>1.3569457148910296E-2</v>
      </c>
      <c r="AH1101" s="93">
        <f>IF('Net zero activities &amp; levers'!$C$14="Off",('Activity data'!BA7*EF!$H38*EF!$H56)*NtoN2O*kgtoGg,IF('Net zero activities &amp; levers'!$C$14="On",('Net zero Activity data'!BA7*EF!$H38*EF!$H56)*NtoN2O*kgtoGg,"ERROR"))</f>
        <v>1.3803255018526413E-2</v>
      </c>
      <c r="AI1101" s="93">
        <f>IF('Net zero activities &amp; levers'!$C$14="Off",('Activity data'!BB7*EF!$H38*EF!$H56)*NtoN2O*kgtoGg,IF('Net zero activities &amp; levers'!$C$14="On",('Net zero Activity data'!BB7*EF!$H38*EF!$H56)*NtoN2O*kgtoGg,"ERROR"))</f>
        <v>1.4037989110754724E-2</v>
      </c>
      <c r="AJ1101" s="93">
        <f>IF('Net zero activities &amp; levers'!$C$14="Off",('Activity data'!BC7*EF!$H38*EF!$H56)*NtoN2O*kgtoGg,IF('Net zero activities &amp; levers'!$C$14="On",('Net zero Activity data'!BC7*EF!$H38*EF!$H56)*NtoN2O*kgtoGg,"ERROR"))</f>
        <v>1.4286862634690086E-2</v>
      </c>
      <c r="AK1101" s="93">
        <f>IF('Net zero activities &amp; levers'!$C$14="Off",('Activity data'!BD7*EF!$H38*EF!$H56)*NtoN2O*kgtoGg,IF('Net zero activities &amp; levers'!$C$14="On",('Net zero Activity data'!BD7*EF!$H38*EF!$H56)*NtoN2O*kgtoGg,"ERROR"))</f>
        <v>1.4541175730826956E-2</v>
      </c>
      <c r="AL1101" s="93">
        <f>IF('Net zero activities &amp; levers'!$C$14="Off",('Activity data'!BE7*EF!$H38*EF!$H56)*NtoN2O*kgtoGg,IF('Net zero activities &amp; levers'!$C$14="On",('Net zero Activity data'!BE7*EF!$H38*EF!$H56)*NtoN2O*kgtoGg,"ERROR"))</f>
        <v>1.4800281598886257E-2</v>
      </c>
      <c r="AM1101" s="93">
        <f>IF('Net zero activities &amp; levers'!$C$14="Off",('Activity data'!BF7*EF!$H38*EF!$H56)*NtoN2O*kgtoGg,IF('Net zero activities &amp; levers'!$C$14="On",('Net zero Activity data'!BF7*EF!$H38*EF!$H56)*NtoN2O*kgtoGg,"ERROR"))</f>
        <v>1.5068354746684156E-2</v>
      </c>
      <c r="AN1101" s="93">
        <f>IF('Net zero activities &amp; levers'!$C$14="Off",('Activity data'!BG7*EF!$H38*EF!$H56)*NtoN2O*kgtoGg,IF('Net zero activities &amp; levers'!$C$14="On",('Net zero Activity data'!BG7*EF!$H38*EF!$H56)*NtoN2O*kgtoGg,"ERROR"))</f>
        <v>1.533538762959342E-2</v>
      </c>
      <c r="AO1101" s="93">
        <f>IF('Net zero activities &amp; levers'!$C$14="Off",('Activity data'!BH7*EF!$H38*EF!$H56)*NtoN2O*kgtoGg,IF('Net zero activities &amp; levers'!$C$14="On",('Net zero Activity data'!BH7*EF!$H38*EF!$H56)*NtoN2O*kgtoGg,"ERROR"))</f>
        <v>1.5615247479131181E-2</v>
      </c>
      <c r="AP1101" s="93">
        <f>IF('Net zero activities &amp; levers'!$C$14="Off",('Activity data'!BI7*EF!$H38*EF!$H56)*NtoN2O*kgtoGg,IF('Net zero activities &amp; levers'!$C$14="On",('Net zero Activity data'!BI7*EF!$H38*EF!$H56)*NtoN2O*kgtoGg,"ERROR"))</f>
        <v>1.5913101251593929E-2</v>
      </c>
      <c r="AQ1101" s="93">
        <f>IF('Net zero activities &amp; levers'!$C$14="Off",('Activity data'!BJ7*EF!$H38*EF!$H56)*NtoN2O*kgtoGg,IF('Net zero activities &amp; levers'!$C$14="On",('Net zero Activity data'!BJ7*EF!$H38*EF!$H56)*NtoN2O*kgtoGg,"ERROR"))</f>
        <v>1.6220504664076991E-2</v>
      </c>
      <c r="AR1101" s="93">
        <f>IF('Net zero activities &amp; levers'!$C$14="Off",('Activity data'!BK7*EF!$H38*EF!$H56)*NtoN2O*kgtoGg,IF('Net zero activities &amp; levers'!$C$14="On",('Net zero Activity data'!BK7*EF!$H38*EF!$H56)*NtoN2O*kgtoGg,"ERROR"))</f>
        <v>1.6538013858440784E-2</v>
      </c>
      <c r="AS1101" s="93">
        <f>IF('Net zero activities &amp; levers'!$C$14="Off",('Activity data'!BL7*EF!$H38*EF!$H56)*NtoN2O*kgtoGg,IF('Net zero activities &amp; levers'!$C$14="On",('Net zero Activity data'!BL7*EF!$H38*EF!$H56)*NtoN2O*kgtoGg,"ERROR"))</f>
        <v>1.6875399350821628E-2</v>
      </c>
      <c r="AT1101" s="93">
        <f>IF('Net zero activities &amp; levers'!$C$14="Off",('Activity data'!BM7*EF!$H38*EF!$H56)*NtoN2O*kgtoGg,IF('Net zero activities &amp; levers'!$C$14="On",('Net zero Activity data'!BM7*EF!$H38*EF!$H56)*NtoN2O*kgtoGg,"ERROR"))</f>
        <v>1.7229823710747674E-2</v>
      </c>
      <c r="AU1101" s="93">
        <f>IF('Net zero activities &amp; levers'!$C$14="Off",('Activity data'!BN7*EF!$H38*EF!$H56)*NtoN2O*kgtoGg,IF('Net zero activities &amp; levers'!$C$14="On",('Net zero Activity data'!BN7*EF!$H38*EF!$H56)*NtoN2O*kgtoGg,"ERROR"))</f>
        <v>1.7599458352989747E-2</v>
      </c>
      <c r="AV1101" s="93">
        <f>IF('Net zero activities &amp; levers'!$C$14="Off",('Activity data'!BO7*EF!$H38*EF!$H56)*NtoN2O*kgtoGg,IF('Net zero activities &amp; levers'!$C$14="On",('Net zero Activity data'!BO7*EF!$H38*EF!$H56)*NtoN2O*kgtoGg,"ERROR"))</f>
        <v>1.7990963815090407E-2</v>
      </c>
      <c r="AW1101" s="93">
        <f>IF('Net zero activities &amp; levers'!$C$14="Off",('Activity data'!BP7*EF!$H38*EF!$H56)*NtoN2O*kgtoGg,IF('Net zero activities &amp; levers'!$C$14="On",('Net zero Activity data'!BP7*EF!$H38*EF!$H56)*NtoN2O*kgtoGg,"ERROR"))</f>
        <v>1.836766424323575E-2</v>
      </c>
      <c r="AY1101" s="79"/>
    </row>
    <row r="1102" spans="1:51" x14ac:dyDescent="0.25">
      <c r="A1102" s="95" t="str">
        <f t="shared" si="374"/>
        <v>CM Cattle MMN2O</v>
      </c>
      <c r="B1102" s="95" t="s">
        <v>1321</v>
      </c>
      <c r="C1102" s="95" t="s">
        <v>1231</v>
      </c>
      <c r="D1102" t="s">
        <v>15</v>
      </c>
      <c r="E1102" t="s">
        <v>657</v>
      </c>
      <c r="F1102" t="s">
        <v>67</v>
      </c>
      <c r="G1102" t="s">
        <v>122</v>
      </c>
      <c r="H1102" t="s">
        <v>1226</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0.51896282251134851</v>
      </c>
      <c r="N1102" s="93">
        <f>IF('Net zero activities &amp; levers'!$C$14="Off",('Activity data'!AG8*EF!$H39*EF!$H57)*NtoN2O*kgtoGg,IF('Net zero activities &amp; levers'!$C$14="On",('Net zero Activity data'!AG8*EF!$H39*EF!$H57)*NtoN2O*kgtoGg,"ERROR"))</f>
        <v>0.51203275332440912</v>
      </c>
      <c r="O1102" s="93">
        <f>IF('Net zero activities &amp; levers'!$C$14="Off",('Activity data'!AH8*EF!$H39*EF!$H57)*NtoN2O*kgtoGg,IF('Net zero activities &amp; levers'!$C$14="On",('Net zero Activity data'!AH8*EF!$H39*EF!$H57)*NtoN2O*kgtoGg,"ERROR"))</f>
        <v>0.50197358865556663</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0.41885745966075799</v>
      </c>
      <c r="T1102" s="93">
        <f>IF('Net zero activities &amp; levers'!$C$14="Off",('Activity data'!AM8*EF!$H39*EF!$H57)*NtoN2O*kgtoGg,IF('Net zero activities &amp; levers'!$C$14="On",('Net zero Activity data'!AM8*EF!$H39*EF!$H57)*NtoN2O*kgtoGg,"ERROR"))</f>
        <v>0.43888316121589754</v>
      </c>
      <c r="U1102" s="93">
        <f>IF('Net zero activities &amp; levers'!$C$14="Off",('Activity data'!AN8*EF!$H39*EF!$H57)*NtoN2O*kgtoGg,IF('Net zero activities &amp; levers'!$C$14="On",('Net zero Activity data'!AN8*EF!$H39*EF!$H57)*NtoN2O*kgtoGg,"ERROR"))</f>
        <v>0.44581606294816456</v>
      </c>
      <c r="V1102" s="93">
        <f>IF('Net zero activities &amp; levers'!$C$14="Off",('Activity data'!AO8*EF!$H39*EF!$H57)*NtoN2O*kgtoGg,IF('Net zero activities &amp; levers'!$C$14="On",('Net zero Activity data'!AO8*EF!$H39*EF!$H57)*NtoN2O*kgtoGg,"ERROR"))</f>
        <v>0.4428053451992871</v>
      </c>
      <c r="W1102" s="93">
        <f>IF('Net zero activities &amp; levers'!$C$14="Off",('Activity data'!AP8*EF!$H39*EF!$H57)*NtoN2O*kgtoGg,IF('Net zero activities &amp; levers'!$C$14="On",('Net zero Activity data'!AP8*EF!$H39*EF!$H57)*NtoN2O*kgtoGg,"ERROR"))</f>
        <v>0.44035633830428106</v>
      </c>
      <c r="X1102" s="93">
        <f>IF('Net zero activities &amp; levers'!$C$14="Off",('Activity data'!AQ8*EF!$H39*EF!$H57)*NtoN2O*kgtoGg,IF('Net zero activities &amp; levers'!$C$14="On",('Net zero Activity data'!AQ8*EF!$H39*EF!$H57)*NtoN2O*kgtoGg,"ERROR"))</f>
        <v>0.44051721103792468</v>
      </c>
      <c r="Y1102" s="93">
        <f>IF('Net zero activities &amp; levers'!$C$14="Off",('Activity data'!AR8*EF!$H39*EF!$H57)*NtoN2O*kgtoGg,IF('Net zero activities &amp; levers'!$C$14="On",('Net zero Activity data'!AR8*EF!$H39*EF!$H57)*NtoN2O*kgtoGg,"ERROR"))</f>
        <v>0.44310396179359002</v>
      </c>
      <c r="Z1102" s="93">
        <f>IF('Net zero activities &amp; levers'!$C$14="Off",('Activity data'!AS8*EF!$H39*EF!$H57)*NtoN2O*kgtoGg,IF('Net zero activities &amp; levers'!$C$14="On",('Net zero Activity data'!AS8*EF!$H39*EF!$H57)*NtoN2O*kgtoGg,"ERROR"))</f>
        <v>0.4467743835824281</v>
      </c>
      <c r="AA1102" s="93">
        <f>IF('Net zero activities &amp; levers'!$C$14="Off",('Activity data'!AT8*EF!$H39*EF!$H57)*NtoN2O*kgtoGg,IF('Net zero activities &amp; levers'!$C$14="On",('Net zero Activity data'!AT8*EF!$H39*EF!$H57)*NtoN2O*kgtoGg,"ERROR"))</f>
        <v>0.45182412453822507</v>
      </c>
      <c r="AB1102" s="93">
        <f>IF('Net zero activities &amp; levers'!$C$14="Off",('Activity data'!AU8*EF!$H39*EF!$H57)*NtoN2O*kgtoGg,IF('Net zero activities &amp; levers'!$C$14="On",('Net zero Activity data'!AU8*EF!$H39*EF!$H57)*NtoN2O*kgtoGg,"ERROR"))</f>
        <v>0.4592210041031291</v>
      </c>
      <c r="AC1102" s="93">
        <f>IF('Net zero activities &amp; levers'!$C$14="Off",('Activity data'!AV8*EF!$H39*EF!$H57)*NtoN2O*kgtoGg,IF('Net zero activities &amp; levers'!$C$14="On",('Net zero Activity data'!AV8*EF!$H39*EF!$H57)*NtoN2O*kgtoGg,"ERROR"))</f>
        <v>0.46875611727926397</v>
      </c>
      <c r="AD1102" s="93">
        <f>IF('Net zero activities &amp; levers'!$C$14="Off",('Activity data'!AW8*EF!$H39*EF!$H57)*NtoN2O*kgtoGg,IF('Net zero activities &amp; levers'!$C$14="On",('Net zero Activity data'!AW8*EF!$H39*EF!$H57)*NtoN2O*kgtoGg,"ERROR"))</f>
        <v>0.47540395120736983</v>
      </c>
      <c r="AE1102" s="93">
        <f>IF('Net zero activities &amp; levers'!$C$14="Off",('Activity data'!AX8*EF!$H39*EF!$H57)*NtoN2O*kgtoGg,IF('Net zero activities &amp; levers'!$C$14="On",('Net zero Activity data'!AX8*EF!$H39*EF!$H57)*NtoN2O*kgtoGg,"ERROR"))</f>
        <v>0.48283708354051091</v>
      </c>
      <c r="AF1102" s="93">
        <f>IF('Net zero activities &amp; levers'!$C$14="Off",('Activity data'!AY8*EF!$H39*EF!$H57)*NtoN2O*kgtoGg,IF('Net zero activities &amp; levers'!$C$14="On",('Net zero Activity data'!AY8*EF!$H39*EF!$H57)*NtoN2O*kgtoGg,"ERROR"))</f>
        <v>0.49049534376627268</v>
      </c>
      <c r="AG1102" s="93">
        <f>IF('Net zero activities &amp; levers'!$C$14="Off",('Activity data'!AZ8*EF!$H39*EF!$H57)*NtoN2O*kgtoGg,IF('Net zero activities &amp; levers'!$C$14="On",('Net zero Activity data'!AZ8*EF!$H39*EF!$H57)*NtoN2O*kgtoGg,"ERROR"))</f>
        <v>0.49854885128886806</v>
      </c>
      <c r="AH1102" s="93">
        <f>IF('Net zero activities &amp; levers'!$C$14="Off",('Activity data'!BA8*EF!$H39*EF!$H57)*NtoN2O*kgtoGg,IF('Net zero activities &amp; levers'!$C$14="On",('Net zero Activity data'!BA8*EF!$H39*EF!$H57)*NtoN2O*kgtoGg,"ERROR"))</f>
        <v>0.50672298371374713</v>
      </c>
      <c r="AI1102" s="93">
        <f>IF('Net zero activities &amp; levers'!$C$14="Off",('Activity data'!BB8*EF!$H39*EF!$H57)*NtoN2O*kgtoGg,IF('Net zero activities &amp; levers'!$C$14="On",('Net zero Activity data'!BB8*EF!$H39*EF!$H57)*NtoN2O*kgtoGg,"ERROR"))</f>
        <v>0.51418741913189581</v>
      </c>
      <c r="AJ1102" s="93">
        <f>IF('Net zero activities &amp; levers'!$C$14="Off",('Activity data'!BC8*EF!$H39*EF!$H57)*NtoN2O*kgtoGg,IF('Net zero activities &amp; levers'!$C$14="On",('Net zero Activity data'!BC8*EF!$H39*EF!$H57)*NtoN2O*kgtoGg,"ERROR"))</f>
        <v>0.52206102854310632</v>
      </c>
      <c r="AK1102" s="93">
        <f>IF('Net zero activities &amp; levers'!$C$14="Off",('Activity data'!BD8*EF!$H39*EF!$H57)*NtoN2O*kgtoGg,IF('Net zero activities &amp; levers'!$C$14="On",('Net zero Activity data'!BD8*EF!$H39*EF!$H57)*NtoN2O*kgtoGg,"ERROR"))</f>
        <v>0.52957812188119258</v>
      </c>
      <c r="AL1102" s="93">
        <f>IF('Net zero activities &amp; levers'!$C$14="Off",('Activity data'!BE8*EF!$H39*EF!$H57)*NtoN2O*kgtoGg,IF('Net zero activities &amp; levers'!$C$14="On",('Net zero Activity data'!BE8*EF!$H39*EF!$H57)*NtoN2O*kgtoGg,"ERROR"))</f>
        <v>0.53666628025365293</v>
      </c>
      <c r="AM1102" s="93">
        <f>IF('Net zero activities &amp; levers'!$C$14="Off",('Activity data'!BF8*EF!$H39*EF!$H57)*NtoN2O*kgtoGg,IF('Net zero activities &amp; levers'!$C$14="On",('Net zero Activity data'!BF8*EF!$H39*EF!$H57)*NtoN2O*kgtoGg,"ERROR"))</f>
        <v>0.543628496445968</v>
      </c>
      <c r="AN1102" s="93">
        <f>IF('Net zero activities &amp; levers'!$C$14="Off",('Activity data'!BG8*EF!$H39*EF!$H57)*NtoN2O*kgtoGg,IF('Net zero activities &amp; levers'!$C$14="On",('Net zero Activity data'!BG8*EF!$H39*EF!$H57)*NtoN2O*kgtoGg,"ERROR"))</f>
        <v>0.55246945736606723</v>
      </c>
      <c r="AO1102" s="93">
        <f>IF('Net zero activities &amp; levers'!$C$14="Off",('Activity data'!BH8*EF!$H39*EF!$H57)*NtoN2O*kgtoGg,IF('Net zero activities &amp; levers'!$C$14="On",('Net zero Activity data'!BH8*EF!$H39*EF!$H57)*NtoN2O*kgtoGg,"ERROR"))</f>
        <v>0.56161375103123634</v>
      </c>
      <c r="AP1102" s="93">
        <f>IF('Net zero activities &amp; levers'!$C$14="Off",('Activity data'!BI8*EF!$H39*EF!$H57)*NtoN2O*kgtoGg,IF('Net zero activities &amp; levers'!$C$14="On",('Net zero Activity data'!BI8*EF!$H39*EF!$H57)*NtoN2O*kgtoGg,"ERROR"))</f>
        <v>0.57139369130463846</v>
      </c>
      <c r="AQ1102" s="93">
        <f>IF('Net zero activities &amp; levers'!$C$14="Off",('Activity data'!BJ8*EF!$H39*EF!$H57)*NtoN2O*kgtoGg,IF('Net zero activities &amp; levers'!$C$14="On",('Net zero Activity data'!BJ8*EF!$H39*EF!$H57)*NtoN2O*kgtoGg,"ERROR"))</f>
        <v>0.58113558104968666</v>
      </c>
      <c r="AR1102" s="93">
        <f>IF('Net zero activities &amp; levers'!$C$14="Off",('Activity data'!BK8*EF!$H39*EF!$H57)*NtoN2O*kgtoGg,IF('Net zero activities &amp; levers'!$C$14="On",('Net zero Activity data'!BK8*EF!$H39*EF!$H57)*NtoN2O*kgtoGg,"ERROR"))</f>
        <v>0.59085206465758344</v>
      </c>
      <c r="AS1102" s="93">
        <f>IF('Net zero activities &amp; levers'!$C$14="Off",('Activity data'!BL8*EF!$H39*EF!$H57)*NtoN2O*kgtoGg,IF('Net zero activities &amp; levers'!$C$14="On",('Net zero Activity data'!BL8*EF!$H39*EF!$H57)*NtoN2O*kgtoGg,"ERROR"))</f>
        <v>0.6011817102296716</v>
      </c>
      <c r="AT1102" s="93">
        <f>IF('Net zero activities &amp; levers'!$C$14="Off",('Activity data'!BM8*EF!$H39*EF!$H57)*NtoN2O*kgtoGg,IF('Net zero activities &amp; levers'!$C$14="On",('Net zero Activity data'!BM8*EF!$H39*EF!$H57)*NtoN2O*kgtoGg,"ERROR"))</f>
        <v>0.61185705718445471</v>
      </c>
      <c r="AU1102" s="93">
        <f>IF('Net zero activities &amp; levers'!$C$14="Off",('Activity data'!BN8*EF!$H39*EF!$H57)*NtoN2O*kgtoGg,IF('Net zero activities &amp; levers'!$C$14="On",('Net zero Activity data'!BN8*EF!$H39*EF!$H57)*NtoN2O*kgtoGg,"ERROR"))</f>
        <v>0.6226925043907553</v>
      </c>
      <c r="AV1102" s="93">
        <f>IF('Net zero activities &amp; levers'!$C$14="Off",('Activity data'!BO8*EF!$H39*EF!$H57)*NtoN2O*kgtoGg,IF('Net zero activities &amp; levers'!$C$14="On",('Net zero Activity data'!BO8*EF!$H39*EF!$H57)*NtoN2O*kgtoGg,"ERROR"))</f>
        <v>0.63405678889252681</v>
      </c>
      <c r="AW1102" s="93">
        <f>IF('Net zero activities &amp; levers'!$C$14="Off",('Activity data'!BP8*EF!$H39*EF!$H57)*NtoN2O*kgtoGg,IF('Net zero activities &amp; levers'!$C$14="On",('Net zero Activity data'!BP8*EF!$H39*EF!$H57)*NtoN2O*kgtoGg,"ERROR"))</f>
        <v>0.64358432778937325</v>
      </c>
      <c r="AY1102" s="79"/>
    </row>
    <row r="1103" spans="1:51" x14ac:dyDescent="0.25">
      <c r="A1103" s="95" t="str">
        <f t="shared" si="374"/>
        <v>CM Cattle MMN2O</v>
      </c>
      <c r="B1103" s="95" t="s">
        <v>1321</v>
      </c>
      <c r="C1103" s="95" t="s">
        <v>1231</v>
      </c>
      <c r="D1103" t="s">
        <v>15</v>
      </c>
      <c r="E1103" t="s">
        <v>657</v>
      </c>
      <c r="F1103" t="s">
        <v>67</v>
      </c>
      <c r="G1103" t="s">
        <v>123</v>
      </c>
      <c r="H1103" t="s">
        <v>1226</v>
      </c>
      <c r="I1103" t="s">
        <v>139</v>
      </c>
      <c r="J1103" t="s">
        <v>287</v>
      </c>
      <c r="K1103" s="93">
        <f>IF('Net zero activities &amp; levers'!$C$14="Off",('Activity data'!AD9*EF!$H40*EF!$H58)*NtoN2O*kgtoGg,IF('Net zero activities &amp; levers'!$C$14="On",('Net zero Activity data'!AD9*EF!$H40*EF!$H58)*NtoN2O*kgtoGg,"ERROR"))</f>
        <v>0.80452586370517842</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0.78427763712907439</v>
      </c>
      <c r="O1103" s="93">
        <f>IF('Net zero activities &amp; levers'!$C$14="Off",('Activity data'!AH9*EF!$H40*EF!$H58)*NtoN2O*kgtoGg,IF('Net zero activities &amp; levers'!$C$14="On",('Net zero Activity data'!AH9*EF!$H40*EF!$H58)*NtoN2O*kgtoGg,"ERROR"))</f>
        <v>0.76887007218962278</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0.64156157320759799</v>
      </c>
      <c r="T1103" s="93">
        <f>IF('Net zero activities &amp; levers'!$C$14="Off",('Activity data'!AM9*EF!$H40*EF!$H58)*NtoN2O*kgtoGg,IF('Net zero activities &amp; levers'!$C$14="On",('Net zero Activity data'!AM9*EF!$H40*EF!$H58)*NtoN2O*kgtoGg,"ERROR"))</f>
        <v>0.67223482564222559</v>
      </c>
      <c r="U1103" s="93">
        <f>IF('Net zero activities &amp; levers'!$C$14="Off",('Activity data'!AN9*EF!$H40*EF!$H58)*NtoN2O*kgtoGg,IF('Net zero activities &amp; levers'!$C$14="On",('Net zero Activity data'!AN9*EF!$H40*EF!$H58)*NtoN2O*kgtoGg,"ERROR"))</f>
        <v>0.68285391153805586</v>
      </c>
      <c r="V1103" s="93">
        <f>IF('Net zero activities &amp; levers'!$C$14="Off",('Activity data'!AO9*EF!$H40*EF!$H58)*NtoN2O*kgtoGg,IF('Net zero activities &amp; levers'!$C$14="On",('Net zero Activity data'!AO9*EF!$H40*EF!$H58)*NtoN2O*kgtoGg,"ERROR"))</f>
        <v>0.67824241239699168</v>
      </c>
      <c r="W1103" s="93">
        <f>IF('Net zero activities &amp; levers'!$C$14="Off",('Activity data'!AP9*EF!$H40*EF!$H58)*NtoN2O*kgtoGg,IF('Net zero activities &amp; levers'!$C$14="On",('Net zero Activity data'!AP9*EF!$H40*EF!$H58)*NtoN2O*kgtoGg,"ERROR"))</f>
        <v>0.67449128255528179</v>
      </c>
      <c r="X1103" s="93">
        <f>IF('Net zero activities &amp; levers'!$C$14="Off",('Activity data'!AQ9*EF!$H40*EF!$H58)*NtoN2O*kgtoGg,IF('Net zero activities &amp; levers'!$C$14="On",('Net zero Activity data'!AQ9*EF!$H40*EF!$H58)*NtoN2O*kgtoGg,"ERROR"))</f>
        <v>0.67473769040048559</v>
      </c>
      <c r="Y1103" s="93">
        <f>IF('Net zero activities &amp; levers'!$C$14="Off",('Activity data'!AR9*EF!$H40*EF!$H58)*NtoN2O*kgtoGg,IF('Net zero activities &amp; levers'!$C$14="On",('Net zero Activity data'!AR9*EF!$H40*EF!$H58)*NtoN2O*kgtoGg,"ERROR"))</f>
        <v>0.67869980172505096</v>
      </c>
      <c r="Z1103" s="93">
        <f>IF('Net zero activities &amp; levers'!$C$14="Off",('Activity data'!AS9*EF!$H40*EF!$H58)*NtoN2O*kgtoGg,IF('Net zero activities &amp; levers'!$C$14="On",('Net zero Activity data'!AS9*EF!$H40*EF!$H58)*NtoN2O*kgtoGg,"ERROR"))</f>
        <v>0.68432176576763859</v>
      </c>
      <c r="AA1103" s="93">
        <f>IF('Net zero activities &amp; levers'!$C$14="Off",('Activity data'!AT9*EF!$H40*EF!$H58)*NtoN2O*kgtoGg,IF('Net zero activities &amp; levers'!$C$14="On",('Net zero Activity data'!AT9*EF!$H40*EF!$H58)*NtoN2O*kgtoGg,"ERROR"))</f>
        <v>0.69205642508232745</v>
      </c>
      <c r="AB1103" s="93">
        <f>IF('Net zero activities &amp; levers'!$C$14="Off",('Activity data'!AU9*EF!$H40*EF!$H58)*NtoN2O*kgtoGg,IF('Net zero activities &amp; levers'!$C$14="On",('Net zero Activity data'!AU9*EF!$H40*EF!$H58)*NtoN2O*kgtoGg,"ERROR"))</f>
        <v>0.70338618316836132</v>
      </c>
      <c r="AC1103" s="93">
        <f>IF('Net zero activities &amp; levers'!$C$14="Off",('Activity data'!AV9*EF!$H40*EF!$H58)*NtoN2O*kgtoGg,IF('Net zero activities &amp; levers'!$C$14="On",('Net zero Activity data'!AV9*EF!$H40*EF!$H58)*NtoN2O*kgtoGg,"ERROR"))</f>
        <v>0.71799106143637159</v>
      </c>
      <c r="AD1103" s="93">
        <f>IF('Net zero activities &amp; levers'!$C$14="Off",('Activity data'!AW9*EF!$H40*EF!$H58)*NtoN2O*kgtoGg,IF('Net zero activities &amp; levers'!$C$14="On",('Net zero Activity data'!AW9*EF!$H40*EF!$H58)*NtoN2O*kgtoGg,"ERROR"))</f>
        <v>0.72817351060844282</v>
      </c>
      <c r="AE1103" s="93">
        <f>IF('Net zero activities &amp; levers'!$C$14="Off",('Activity data'!AX9*EF!$H40*EF!$H58)*NtoN2O*kgtoGg,IF('Net zero activities &amp; levers'!$C$14="On",('Net zero Activity data'!AX9*EF!$H40*EF!$H58)*NtoN2O*kgtoGg,"ERROR"))</f>
        <v>0.7395587968520555</v>
      </c>
      <c r="AF1103" s="93">
        <f>IF('Net zero activities &amp; levers'!$C$14="Off",('Activity data'!AY9*EF!$H40*EF!$H58)*NtoN2O*kgtoGg,IF('Net zero activities &amp; levers'!$C$14="On",('Net zero Activity data'!AY9*EF!$H40*EF!$H58)*NtoN2O*kgtoGg,"ERROR"))</f>
        <v>0.75128891020004818</v>
      </c>
      <c r="AG1103" s="93">
        <f>IF('Net zero activities &amp; levers'!$C$14="Off",('Activity data'!AZ9*EF!$H40*EF!$H58)*NtoN2O*kgtoGg,IF('Net zero activities &amp; levers'!$C$14="On",('Net zero Activity data'!AZ9*EF!$H40*EF!$H58)*NtoN2O*kgtoGg,"ERROR"))</f>
        <v>0.76362442157000243</v>
      </c>
      <c r="AH1103" s="93">
        <f>IF('Net zero activities &amp; levers'!$C$14="Off",('Activity data'!BA9*EF!$H40*EF!$H58)*NtoN2O*kgtoGg,IF('Net zero activities &amp; levers'!$C$14="On",('Net zero Activity data'!BA9*EF!$H40*EF!$H58)*NtoN2O*kgtoGg,"ERROR"))</f>
        <v>0.77614469341226622</v>
      </c>
      <c r="AI1103" s="93">
        <f>IF('Net zero activities &amp; levers'!$C$14="Off",('Activity data'!BB9*EF!$H40*EF!$H58)*NtoN2O*kgtoGg,IF('Net zero activities &amp; levers'!$C$14="On",('Net zero Activity data'!BB9*EF!$H40*EF!$H58)*NtoN2O*kgtoGg,"ERROR"))</f>
        <v>0.78757792641199043</v>
      </c>
      <c r="AJ1103" s="93">
        <f>IF('Net zero activities &amp; levers'!$C$14="Off",('Activity data'!BC9*EF!$H40*EF!$H58)*NtoN2O*kgtoGg,IF('Net zero activities &amp; levers'!$C$14="On",('Net zero Activity data'!BC9*EF!$H40*EF!$H58)*NtoN2O*kgtoGg,"ERROR"))</f>
        <v>0.79963788887456544</v>
      </c>
      <c r="AK1103" s="93">
        <f>IF('Net zero activities &amp; levers'!$C$14="Off",('Activity data'!BD9*EF!$H40*EF!$H58)*NtoN2O*kgtoGg,IF('Net zero activities &amp; levers'!$C$14="On",('Net zero Activity data'!BD9*EF!$H40*EF!$H58)*NtoN2O*kgtoGg,"ERROR"))</f>
        <v>0.81115177770881697</v>
      </c>
      <c r="AL1103" s="93">
        <f>IF('Net zero activities &amp; levers'!$C$14="Off",('Activity data'!BE9*EF!$H40*EF!$H58)*NtoN2O*kgtoGg,IF('Net zero activities &amp; levers'!$C$14="On",('Net zero Activity data'!BE9*EF!$H40*EF!$H58)*NtoN2O*kgtoGg,"ERROR"))</f>
        <v>0.82200866931166305</v>
      </c>
      <c r="AM1103" s="93">
        <f>IF('Net zero activities &amp; levers'!$C$14="Off",('Activity data'!BF9*EF!$H40*EF!$H58)*NtoN2O*kgtoGg,IF('Net zero activities &amp; levers'!$C$14="On",('Net zero Activity data'!BF9*EF!$H40*EF!$H58)*NtoN2O*kgtoGg,"ERROR"))</f>
        <v>0.83267265599813822</v>
      </c>
      <c r="AN1103" s="93">
        <f>IF('Net zero activities &amp; levers'!$C$14="Off",('Activity data'!BG9*EF!$H40*EF!$H58)*NtoN2O*kgtoGg,IF('Net zero activities &amp; levers'!$C$14="On",('Net zero Activity data'!BG9*EF!$H40*EF!$H58)*NtoN2O*kgtoGg,"ERROR"))</f>
        <v>0.84621430522926222</v>
      </c>
      <c r="AO1103" s="93">
        <f>IF('Net zero activities &amp; levers'!$C$14="Off",('Activity data'!BH9*EF!$H40*EF!$H58)*NtoN2O*kgtoGg,IF('Net zero activities &amp; levers'!$C$14="On",('Net zero Activity data'!BH9*EF!$H40*EF!$H58)*NtoN2O*kgtoGg,"ERROR"))</f>
        <v>0.86022056748957776</v>
      </c>
      <c r="AP1103" s="93">
        <f>IF('Net zero activities &amp; levers'!$C$14="Off",('Activity data'!BI9*EF!$H40*EF!$H58)*NtoN2O*kgtoGg,IF('Net zero activities &amp; levers'!$C$14="On",('Net zero Activity data'!BI9*EF!$H40*EF!$H58)*NtoN2O*kgtoGg,"ERROR"))</f>
        <v>0.87520044602095726</v>
      </c>
      <c r="AQ1103" s="93">
        <f>IF('Net zero activities &amp; levers'!$C$14="Off",('Activity data'!BJ9*EF!$H40*EF!$H58)*NtoN2O*kgtoGg,IF('Net zero activities &amp; levers'!$C$14="On",('Net zero Activity data'!BJ9*EF!$H40*EF!$H58)*NtoN2O*kgtoGg,"ERROR"))</f>
        <v>0.89012204277587748</v>
      </c>
      <c r="AR1103" s="93">
        <f>IF('Net zero activities &amp; levers'!$C$14="Off",('Activity data'!BK9*EF!$H40*EF!$H58)*NtoN2O*kgtoGg,IF('Net zero activities &amp; levers'!$C$14="On",('Net zero Activity data'!BK9*EF!$H40*EF!$H58)*NtoN2O*kgtoGg,"ERROR"))</f>
        <v>0.90500472509596042</v>
      </c>
      <c r="AS1103" s="93">
        <f>IF('Net zero activities &amp; levers'!$C$14="Off",('Activity data'!BL9*EF!$H40*EF!$H58)*NtoN2O*kgtoGg,IF('Net zero activities &amp; levers'!$C$14="On",('Net zero Activity data'!BL9*EF!$H40*EF!$H58)*NtoN2O*kgtoGg,"ERROR"))</f>
        <v>0.92082658408654217</v>
      </c>
      <c r="AT1103" s="93">
        <f>IF('Net zero activities &amp; levers'!$C$14="Off",('Activity data'!BM9*EF!$H40*EF!$H58)*NtoN2O*kgtoGg,IF('Net zero activities &amp; levers'!$C$14="On",('Net zero Activity data'!BM9*EF!$H40*EF!$H58)*NtoN2O*kgtoGg,"ERROR"))</f>
        <v>0.93717795190602593</v>
      </c>
      <c r="AU1103" s="93">
        <f>IF('Net zero activities &amp; levers'!$C$14="Off",('Activity data'!BN9*EF!$H40*EF!$H58)*NtoN2O*kgtoGg,IF('Net zero activities &amp; levers'!$C$14="On",('Net zero Activity data'!BN9*EF!$H40*EF!$H58)*NtoN2O*kgtoGg,"ERROR"))</f>
        <v>0.95377454436426301</v>
      </c>
      <c r="AV1103" s="93">
        <f>IF('Net zero activities &amp; levers'!$C$14="Off",('Activity data'!BO9*EF!$H40*EF!$H58)*NtoN2O*kgtoGg,IF('Net zero activities &amp; levers'!$C$14="On",('Net zero Activity data'!BO9*EF!$H40*EF!$H58)*NtoN2O*kgtoGg,"ERROR"))</f>
        <v>0.97118115388063697</v>
      </c>
      <c r="AW1103" s="93">
        <f>IF('Net zero activities &amp; levers'!$C$14="Off",('Activity data'!BP9*EF!$H40*EF!$H58)*NtoN2O*kgtoGg,IF('Net zero activities &amp; levers'!$C$14="On",('Net zero Activity data'!BP9*EF!$H40*EF!$H58)*NtoN2O*kgtoGg,"ERROR"))</f>
        <v>0.98577443066842085</v>
      </c>
      <c r="AY1103" s="79"/>
    </row>
    <row r="1104" spans="1:51" x14ac:dyDescent="0.25">
      <c r="A1104" s="95" t="str">
        <f t="shared" si="374"/>
        <v>CM Cattle MMN2O</v>
      </c>
      <c r="B1104" s="95" t="s">
        <v>1321</v>
      </c>
      <c r="C1104" s="95" t="s">
        <v>1231</v>
      </c>
      <c r="D1104" t="s">
        <v>15</v>
      </c>
      <c r="E1104" t="s">
        <v>657</v>
      </c>
      <c r="F1104" t="s">
        <v>67</v>
      </c>
      <c r="G1104" t="s">
        <v>135</v>
      </c>
      <c r="H1104" t="s">
        <v>1226</v>
      </c>
      <c r="I1104" t="s">
        <v>139</v>
      </c>
      <c r="J1104" t="s">
        <v>287</v>
      </c>
      <c r="K1104" s="93">
        <f>IF('Net zero activities &amp; levers'!$C$14="Off",('Activity data'!AD10*EF!$H41*EF!$H59)*NtoN2O*kgtoGg,IF('Net zero activities &amp; levers'!$C$14="On",('Net zero Activity data'!AD10*EF!$H41*EF!$H59)*NtoN2O*kgtoGg,"ERROR"))</f>
        <v>0.97926119892671459</v>
      </c>
      <c r="L1104" s="93">
        <f>IF('Net zero activities &amp; levers'!$C$14="Off",('Activity data'!AE10*EF!$H41*EF!$H59)*NtoN2O*kgtoGg,IF('Net zero activities &amp; levers'!$C$14="On",('Net zero Activity data'!AE10*EF!$H41*EF!$H59)*NtoN2O*kgtoGg,"ERROR"))</f>
        <v>1.0122801448609138</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1.0806972456941148</v>
      </c>
      <c r="O1104" s="93">
        <f>IF('Net zero activities &amp; levers'!$C$14="Off",('Activity data'!AH10*EF!$H41*EF!$H59)*NtoN2O*kgtoGg,IF('Net zero activities &amp; levers'!$C$14="On",('Net zero Activity data'!AH10*EF!$H41*EF!$H59)*NtoN2O*kgtoGg,"ERROR"))</f>
        <v>1.103236794343371</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1.0797349387647497</v>
      </c>
      <c r="T1104" s="93">
        <f>IF('Net zero activities &amp; levers'!$C$14="Off",('Activity data'!AM10*EF!$H41*EF!$H59)*NtoN2O*kgtoGg,IF('Net zero activities &amp; levers'!$C$14="On",('Net zero Activity data'!AM10*EF!$H41*EF!$H59)*NtoN2O*kgtoGg,"ERROR"))</f>
        <v>1.1586148391754056</v>
      </c>
      <c r="U1104" s="93">
        <f>IF('Net zero activities &amp; levers'!$C$14="Off",('Activity data'!AN10*EF!$H41*EF!$H59)*NtoN2O*kgtoGg,IF('Net zero activities &amp; levers'!$C$14="On",('Net zero Activity data'!AN10*EF!$H41*EF!$H59)*NtoN2O*kgtoGg,"ERROR"))</f>
        <v>1.2048828534043301</v>
      </c>
      <c r="V1104" s="93">
        <f>IF('Net zero activities &amp; levers'!$C$14="Off",('Activity data'!AO10*EF!$H41*EF!$H59)*NtoN2O*kgtoGg,IF('Net zero activities &amp; levers'!$C$14="On",('Net zero Activity data'!AO10*EF!$H41*EF!$H59)*NtoN2O*kgtoGg,"ERROR"))</f>
        <v>1.2248214292243891</v>
      </c>
      <c r="W1104" s="93">
        <f>IF('Net zero activities &amp; levers'!$C$14="Off",('Activity data'!AP10*EF!$H41*EF!$H59)*NtoN2O*kgtoGg,IF('Net zero activities &amp; levers'!$C$14="On",('Net zero Activity data'!AP10*EF!$H41*EF!$H59)*NtoN2O*kgtoGg,"ERROR"))</f>
        <v>1.2462862134810584</v>
      </c>
      <c r="X1104" s="93">
        <f>IF('Net zero activities &amp; levers'!$C$14="Off",('Activity data'!AQ10*EF!$H41*EF!$H59)*NtoN2O*kgtoGg,IF('Net zero activities &amp; levers'!$C$14="On",('Net zero Activity data'!AQ10*EF!$H41*EF!$H59)*NtoN2O*kgtoGg,"ERROR"))</f>
        <v>1.2753304123156213</v>
      </c>
      <c r="Y1104" s="93">
        <f>IF('Net zero activities &amp; levers'!$C$14="Off",('Activity data'!AR10*EF!$H41*EF!$H59)*NtoN2O*kgtoGg,IF('Net zero activities &amp; levers'!$C$14="On",('Net zero Activity data'!AR10*EF!$H41*EF!$H59)*NtoN2O*kgtoGg,"ERROR"))</f>
        <v>1.3119382309958816</v>
      </c>
      <c r="Z1104" s="93">
        <f>IF('Net zero activities &amp; levers'!$C$14="Off",('Activity data'!AS10*EF!$H41*EF!$H59)*NtoN2O*kgtoGg,IF('Net zero activities &amp; levers'!$C$14="On",('Net zero Activity data'!AS10*EF!$H41*EF!$H59)*NtoN2O*kgtoGg,"ERROR"))</f>
        <v>1.352551168014529</v>
      </c>
      <c r="AA1104" s="93">
        <f>IF('Net zero activities &amp; levers'!$C$14="Off",('Activity data'!AT10*EF!$H41*EF!$H59)*NtoN2O*kgtoGg,IF('Net zero activities &amp; levers'!$C$14="On",('Net zero Activity data'!AT10*EF!$H41*EF!$H59)*NtoN2O*kgtoGg,"ERROR"))</f>
        <v>1.3983302277222904</v>
      </c>
      <c r="AB1104" s="93">
        <f>IF('Net zero activities &amp; levers'!$C$14="Off",('Activity data'!AU10*EF!$H41*EF!$H59)*NtoN2O*kgtoGg,IF('Net zero activities &amp; levers'!$C$14="On",('Net zero Activity data'!AU10*EF!$H41*EF!$H59)*NtoN2O*kgtoGg,"ERROR"))</f>
        <v>1.45265003311069</v>
      </c>
      <c r="AC1104" s="93">
        <f>IF('Net zero activities &amp; levers'!$C$14="Off",('Activity data'!AV10*EF!$H41*EF!$H59)*NtoN2O*kgtoGg,IF('Net zero activities &amp; levers'!$C$14="On",('Net zero Activity data'!AV10*EF!$H41*EF!$H59)*NtoN2O*kgtoGg,"ERROR"))</f>
        <v>1.5153587089508171</v>
      </c>
      <c r="AD1104" s="93">
        <f>IF('Net zero activities &amp; levers'!$C$14="Off",('Activity data'!AW10*EF!$H41*EF!$H59)*NtoN2O*kgtoGg,IF('Net zero activities &amp; levers'!$C$14="On",('Net zero Activity data'!AW10*EF!$H41*EF!$H59)*NtoN2O*kgtoGg,"ERROR"))</f>
        <v>1.5878154020260862</v>
      </c>
      <c r="AE1104" s="93">
        <f>IF('Net zero activities &amp; levers'!$C$14="Off",('Activity data'!AX10*EF!$H41*EF!$H59)*NtoN2O*kgtoGg,IF('Net zero activities &amp; levers'!$C$14="On",('Net zero Activity data'!AX10*EF!$H41*EF!$H59)*NtoN2O*kgtoGg,"ERROR"))</f>
        <v>1.6662236213187609</v>
      </c>
      <c r="AF1104" s="93">
        <f>IF('Net zero activities &amp; levers'!$C$14="Off",('Activity data'!AY10*EF!$H41*EF!$H59)*NtoN2O*kgtoGg,IF('Net zero activities &amp; levers'!$C$14="On",('Net zero Activity data'!AY10*EF!$H41*EF!$H59)*NtoN2O*kgtoGg,"ERROR"))</f>
        <v>1.7490356868363826</v>
      </c>
      <c r="AG1104" s="93">
        <f>IF('Net zero activities &amp; levers'!$C$14="Off",('Activity data'!AZ10*EF!$H41*EF!$H59)*NtoN2O*kgtoGg,IF('Net zero activities &amp; levers'!$C$14="On",('Net zero Activity data'!AZ10*EF!$H41*EF!$H59)*NtoN2O*kgtoGg,"ERROR"))</f>
        <v>1.8371605385940195</v>
      </c>
      <c r="AH1104" s="93">
        <f>IF('Net zero activities &amp; levers'!$C$14="Off",('Activity data'!BA10*EF!$H41*EF!$H59)*NtoN2O*kgtoGg,IF('Net zero activities &amp; levers'!$C$14="On",('Net zero Activity data'!BA10*EF!$H41*EF!$H59)*NtoN2O*kgtoGg,"ERROR"))</f>
        <v>1.9299179853404884</v>
      </c>
      <c r="AI1104" s="93">
        <f>IF('Net zero activities &amp; levers'!$C$14="Off",('Activity data'!BB10*EF!$H41*EF!$H59)*NtoN2O*kgtoGg,IF('Net zero activities &amp; levers'!$C$14="On",('Net zero Activity data'!BB10*EF!$H41*EF!$H59)*NtoN2O*kgtoGg,"ERROR"))</f>
        <v>2.0243264887955772</v>
      </c>
      <c r="AJ1104" s="93">
        <f>IF('Net zero activities &amp; levers'!$C$14="Off",('Activity data'!BC10*EF!$H41*EF!$H59)*NtoN2O*kgtoGg,IF('Net zero activities &amp; levers'!$C$14="On",('Net zero Activity data'!BC10*EF!$H41*EF!$H59)*NtoN2O*kgtoGg,"ERROR"))</f>
        <v>2.1249172544227406</v>
      </c>
      <c r="AK1104" s="93">
        <f>IF('Net zero activities &amp; levers'!$C$14="Off",('Activity data'!BD10*EF!$H41*EF!$H59)*NtoN2O*kgtoGg,IF('Net zero activities &amp; levers'!$C$14="On",('Net zero Activity data'!BD10*EF!$H41*EF!$H59)*NtoN2O*kgtoGg,"ERROR"))</f>
        <v>2.2289075077368197</v>
      </c>
      <c r="AL1104" s="93">
        <f>IF('Net zero activities &amp; levers'!$C$14="Off",('Activity data'!BE10*EF!$H41*EF!$H59)*NtoN2O*kgtoGg,IF('Net zero activities &amp; levers'!$C$14="On",('Net zero Activity data'!BE10*EF!$H41*EF!$H59)*NtoN2O*kgtoGg,"ERROR"))</f>
        <v>2.3361255764589468</v>
      </c>
      <c r="AM1104" s="93">
        <f>IF('Net zero activities &amp; levers'!$C$14="Off",('Activity data'!BF10*EF!$H41*EF!$H59)*NtoN2O*kgtoGg,IF('Net zero activities &amp; levers'!$C$14="On",('Net zero Activity data'!BF10*EF!$H41*EF!$H59)*NtoN2O*kgtoGg,"ERROR"))</f>
        <v>2.4480579395389377</v>
      </c>
      <c r="AN1104" s="93">
        <f>IF('Net zero activities &amp; levers'!$C$14="Off",('Activity data'!BG10*EF!$H41*EF!$H59)*NtoN2O*kgtoGg,IF('Net zero activities &amp; levers'!$C$14="On",('Net zero Activity data'!BG10*EF!$H41*EF!$H59)*NtoN2O*kgtoGg,"ERROR"))</f>
        <v>2.5580662421643461</v>
      </c>
      <c r="AO1104" s="93">
        <f>IF('Net zero activities &amp; levers'!$C$14="Off",('Activity data'!BH10*EF!$H41*EF!$H59)*NtoN2O*kgtoGg,IF('Net zero activities &amp; levers'!$C$14="On",('Net zero Activity data'!BH10*EF!$H41*EF!$H59)*NtoN2O*kgtoGg,"ERROR"))</f>
        <v>2.6740312374133999</v>
      </c>
      <c r="AP1104" s="93">
        <f>IF('Net zero activities &amp; levers'!$C$14="Off",('Activity data'!BI10*EF!$H41*EF!$H59)*NtoN2O*kgtoGg,IF('Net zero activities &amp; levers'!$C$14="On",('Net zero Activity data'!BI10*EF!$H41*EF!$H59)*NtoN2O*kgtoGg,"ERROR"))</f>
        <v>2.7979244732629738</v>
      </c>
      <c r="AQ1104" s="93">
        <f>IF('Net zero activities &amp; levers'!$C$14="Off",('Activity data'!BJ10*EF!$H41*EF!$H59)*NtoN2O*kgtoGg,IF('Net zero activities &amp; levers'!$C$14="On",('Net zero Activity data'!BJ10*EF!$H41*EF!$H59)*NtoN2O*kgtoGg,"ERROR"))</f>
        <v>2.9268588582276069</v>
      </c>
      <c r="AR1104" s="93">
        <f>IF('Net zero activities &amp; levers'!$C$14="Off",('Activity data'!BK10*EF!$H41*EF!$H59)*NtoN2O*kgtoGg,IF('Net zero activities &amp; levers'!$C$14="On",('Net zero Activity data'!BK10*EF!$H41*EF!$H59)*NtoN2O*kgtoGg,"ERROR"))</f>
        <v>3.0611473278848456</v>
      </c>
      <c r="AS1104" s="93">
        <f>IF('Net zero activities &amp; levers'!$C$14="Off",('Activity data'!BL10*EF!$H41*EF!$H59)*NtoN2O*kgtoGg,IF('Net zero activities &amp; levers'!$C$14="On",('Net zero Activity data'!BL10*EF!$H41*EF!$H59)*NtoN2O*kgtoGg,"ERROR"))</f>
        <v>3.2044630996439452</v>
      </c>
      <c r="AT1104" s="93">
        <f>IF('Net zero activities &amp; levers'!$C$14="Off",('Activity data'!BM10*EF!$H41*EF!$H59)*NtoN2O*kgtoGg,IF('Net zero activities &amp; levers'!$C$14="On",('Net zero Activity data'!BM10*EF!$H41*EF!$H59)*NtoN2O*kgtoGg,"ERROR"))</f>
        <v>3.3559228759421229</v>
      </c>
      <c r="AU1104" s="93">
        <f>IF('Net zero activities &amp; levers'!$C$14="Off",('Activity data'!BN10*EF!$H41*EF!$H59)*NtoN2O*kgtoGg,IF('Net zero activities &amp; levers'!$C$14="On",('Net zero Activity data'!BN10*EF!$H41*EF!$H59)*NtoN2O*kgtoGg,"ERROR"))</f>
        <v>3.5149748258951519</v>
      </c>
      <c r="AV1104" s="93">
        <f>IF('Net zero activities &amp; levers'!$C$14="Off",('Activity data'!BO10*EF!$H41*EF!$H59)*NtoN2O*kgtoGg,IF('Net zero activities &amp; levers'!$C$14="On",('Net zero Activity data'!BO10*EF!$H41*EF!$H59)*NtoN2O*kgtoGg,"ERROR"))</f>
        <v>3.6841999883853953</v>
      </c>
      <c r="AW1104" s="93">
        <f>IF('Net zero activities &amp; levers'!$C$14="Off",('Activity data'!BP10*EF!$H41*EF!$H59)*NtoN2O*kgtoGg,IF('Net zero activities &amp; levers'!$C$14="On",('Net zero Activity data'!BP10*EF!$H41*EF!$H59)*NtoN2O*kgtoGg,"ERROR"))</f>
        <v>3.8501065426145096</v>
      </c>
      <c r="AY1104" s="79"/>
    </row>
    <row r="1105" spans="1:51" x14ac:dyDescent="0.25">
      <c r="A1105" s="95" t="str">
        <f t="shared" si="374"/>
        <v>CM Sheep MMN2O</v>
      </c>
      <c r="B1105" s="95" t="s">
        <v>1321</v>
      </c>
      <c r="C1105" s="95" t="s">
        <v>1327</v>
      </c>
      <c r="D1105" t="s">
        <v>15</v>
      </c>
      <c r="E1105" t="s">
        <v>657</v>
      </c>
      <c r="F1105" t="s">
        <v>18</v>
      </c>
      <c r="G1105" t="s">
        <v>122</v>
      </c>
      <c r="H1105" t="s">
        <v>1226</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0.11888884787446641</v>
      </c>
      <c r="T1105" s="93">
        <f>IF('Net zero activities &amp; levers'!$C$14="Off",('Activity data'!AM11*EF!$H42*EF!$H60)*NtoN2O*kgtoGg,IF('Net zero activities &amp; levers'!$C$14="On",('Net zero Activity data'!AM11*EF!$H42*EF!$H60)*NtoN2O*kgtoGg,"ERROR"))</f>
        <v>0.11897442160845599</v>
      </c>
      <c r="U1105" s="93">
        <f>IF('Net zero activities &amp; levers'!$C$14="Off",('Activity data'!AN11*EF!$H42*EF!$H60)*NtoN2O*kgtoGg,IF('Net zero activities &amp; levers'!$C$14="On",('Net zero Activity data'!AN11*EF!$H42*EF!$H60)*NtoN2O*kgtoGg,"ERROR"))</f>
        <v>0.11894433570617077</v>
      </c>
      <c r="V1105" s="93">
        <f>IF('Net zero activities &amp; levers'!$C$14="Off",('Activity data'!AO11*EF!$H42*EF!$H60)*NtoN2O*kgtoGg,IF('Net zero activities &amp; levers'!$C$14="On",('Net zero Activity data'!AO11*EF!$H42*EF!$H60)*NtoN2O*kgtoGg,"ERROR"))</f>
        <v>0.11894216976117228</v>
      </c>
      <c r="W1105" s="93">
        <f>IF('Net zero activities &amp; levers'!$C$14="Off",('Activity data'!AP11*EF!$H42*EF!$H60)*NtoN2O*kgtoGg,IF('Net zero activities &amp; levers'!$C$14="On",('Net zero Activity data'!AP11*EF!$H42*EF!$H60)*NtoN2O*kgtoGg,"ERROR"))</f>
        <v>0.11906833284654554</v>
      </c>
      <c r="X1105" s="93">
        <f>IF('Net zero activities &amp; levers'!$C$14="Off",('Activity data'!AQ11*EF!$H42*EF!$H60)*NtoN2O*kgtoGg,IF('Net zero activities &amp; levers'!$C$14="On",('Net zero Activity data'!AQ11*EF!$H42*EF!$H60)*NtoN2O*kgtoGg,"ERROR"))</f>
        <v>0.1192748103604965</v>
      </c>
      <c r="Y1105" s="93">
        <f>IF('Net zero activities &amp; levers'!$C$14="Off",('Activity data'!AR11*EF!$H42*EF!$H60)*NtoN2O*kgtoGg,IF('Net zero activities &amp; levers'!$C$14="On",('Net zero Activity data'!AR11*EF!$H42*EF!$H60)*NtoN2O*kgtoGg,"ERROR"))</f>
        <v>0.11947292782589553</v>
      </c>
      <c r="Z1105" s="93">
        <f>IF('Net zero activities &amp; levers'!$C$14="Off",('Activity data'!AS11*EF!$H42*EF!$H60)*NtoN2O*kgtoGg,IF('Net zero activities &amp; levers'!$C$14="On",('Net zero Activity data'!AS11*EF!$H42*EF!$H60)*NtoN2O*kgtoGg,"ERROR"))</f>
        <v>0.11966332441080059</v>
      </c>
      <c r="AA1105" s="93">
        <f>IF('Net zero activities &amp; levers'!$C$14="Off",('Activity data'!AT11*EF!$H42*EF!$H60)*NtoN2O*kgtoGg,IF('Net zero activities &amp; levers'!$C$14="On",('Net zero Activity data'!AT11*EF!$H42*EF!$H60)*NtoN2O*kgtoGg,"ERROR"))</f>
        <v>0.11984574027292559</v>
      </c>
      <c r="AB1105" s="93">
        <f>IF('Net zero activities &amp; levers'!$C$14="Off",('Activity data'!AU11*EF!$H42*EF!$H60)*NtoN2O*kgtoGg,IF('Net zero activities &amp; levers'!$C$14="On",('Net zero Activity data'!AU11*EF!$H42*EF!$H60)*NtoN2O*kgtoGg,"ERROR"))</f>
        <v>0.12002397691702794</v>
      </c>
      <c r="AC1105" s="93">
        <f>IF('Net zero activities &amp; levers'!$C$14="Off",('Activity data'!AV11*EF!$H42*EF!$H60)*NtoN2O*kgtoGg,IF('Net zero activities &amp; levers'!$C$14="On",('Net zero Activity data'!AV11*EF!$H42*EF!$H60)*NtoN2O*kgtoGg,"ERROR"))</f>
        <v>0.12020063791291828</v>
      </c>
      <c r="AD1105" s="93">
        <f>IF('Net zero activities &amp; levers'!$C$14="Off",('Activity data'!AW11*EF!$H42*EF!$H60)*NtoN2O*kgtoGg,IF('Net zero activities &amp; levers'!$C$14="On",('Net zero Activity data'!AW11*EF!$H42*EF!$H60)*NtoN2O*kgtoGg,"ERROR"))</f>
        <v>0.12037395069486655</v>
      </c>
      <c r="AE1105" s="93">
        <f>IF('Net zero activities &amp; levers'!$C$14="Off",('Activity data'!AX11*EF!$H42*EF!$H60)*NtoN2O*kgtoGg,IF('Net zero activities &amp; levers'!$C$14="On",('Net zero Activity data'!AX11*EF!$H42*EF!$H60)*NtoN2O*kgtoGg,"ERROR"))</f>
        <v>0.12054640721794915</v>
      </c>
      <c r="AF1105" s="93">
        <f>IF('Net zero activities &amp; levers'!$C$14="Off",('Activity data'!AY11*EF!$H42*EF!$H60)*NtoN2O*kgtoGg,IF('Net zero activities &amp; levers'!$C$14="On",('Net zero Activity data'!AY11*EF!$H42*EF!$H60)*NtoN2O*kgtoGg,"ERROR"))</f>
        <v>0.12071746421078627</v>
      </c>
      <c r="AG1105" s="93">
        <f>IF('Net zero activities &amp; levers'!$C$14="Off",('Activity data'!AZ11*EF!$H42*EF!$H60)*NtoN2O*kgtoGg,IF('Net zero activities &amp; levers'!$C$14="On",('Net zero Activity data'!AZ11*EF!$H42*EF!$H60)*NtoN2O*kgtoGg,"ERROR"))</f>
        <v>0.12088575105723816</v>
      </c>
      <c r="AH1105" s="93">
        <f>IF('Net zero activities &amp; levers'!$C$14="Off",('Activity data'!BA11*EF!$H42*EF!$H60)*NtoN2O*kgtoGg,IF('Net zero activities &amp; levers'!$C$14="On",('Net zero Activity data'!BA11*EF!$H42*EF!$H60)*NtoN2O*kgtoGg,"ERROR"))</f>
        <v>0.12105200867781399</v>
      </c>
      <c r="AI1105" s="93">
        <f>IF('Net zero activities &amp; levers'!$C$14="Off",('Activity data'!BB11*EF!$H42*EF!$H60)*NtoN2O*kgtoGg,IF('Net zero activities &amp; levers'!$C$14="On",('Net zero Activity data'!BB11*EF!$H42*EF!$H60)*NtoN2O*kgtoGg,"ERROR"))</f>
        <v>0.12121641449313381</v>
      </c>
      <c r="AJ1105" s="93">
        <f>IF('Net zero activities &amp; levers'!$C$14="Off",('Activity data'!BC11*EF!$H42*EF!$H60)*NtoN2O*kgtoGg,IF('Net zero activities &amp; levers'!$C$14="On",('Net zero Activity data'!BC11*EF!$H42*EF!$H60)*NtoN2O*kgtoGg,"ERROR"))</f>
        <v>0.12137952665146406</v>
      </c>
      <c r="AK1105" s="93">
        <f>IF('Net zero activities &amp; levers'!$C$14="Off",('Activity data'!BD11*EF!$H42*EF!$H60)*NtoN2O*kgtoGg,IF('Net zero activities &amp; levers'!$C$14="On",('Net zero Activity data'!BD11*EF!$H42*EF!$H60)*NtoN2O*kgtoGg,"ERROR"))</f>
        <v>0.12153635424536353</v>
      </c>
      <c r="AL1105" s="93">
        <f>IF('Net zero activities &amp; levers'!$C$14="Off",('Activity data'!BE11*EF!$H42*EF!$H60)*NtoN2O*kgtoGg,IF('Net zero activities &amp; levers'!$C$14="On",('Net zero Activity data'!BE11*EF!$H42*EF!$H60)*NtoN2O*kgtoGg,"ERROR"))</f>
        <v>0.12168671378968904</v>
      </c>
      <c r="AM1105" s="93">
        <f>IF('Net zero activities &amp; levers'!$C$14="Off",('Activity data'!BF11*EF!$H42*EF!$H60)*NtoN2O*kgtoGg,IF('Net zero activities &amp; levers'!$C$14="On",('Net zero Activity data'!BF11*EF!$H42*EF!$H60)*NtoN2O*kgtoGg,"ERROR"))</f>
        <v>0.12183201055728769</v>
      </c>
      <c r="AN1105" s="93">
        <f>IF('Net zero activities &amp; levers'!$C$14="Off",('Activity data'!BG11*EF!$H42*EF!$H60)*NtoN2O*kgtoGg,IF('Net zero activities &amp; levers'!$C$14="On",('Net zero Activity data'!BG11*EF!$H42*EF!$H60)*NtoN2O*kgtoGg,"ERROR"))</f>
        <v>0.12197112574763715</v>
      </c>
      <c r="AO1105" s="93">
        <f>IF('Net zero activities &amp; levers'!$C$14="Off",('Activity data'!BH11*EF!$H42*EF!$H60)*NtoN2O*kgtoGg,IF('Net zero activities &amp; levers'!$C$14="On",('Net zero Activity data'!BH11*EF!$H42*EF!$H60)*NtoN2O*kgtoGg,"ERROR"))</f>
        <v>0.12210431172658152</v>
      </c>
      <c r="AP1105" s="93">
        <f>IF('Net zero activities &amp; levers'!$C$14="Off",('Activity data'!BI11*EF!$H42*EF!$H60)*NtoN2O*kgtoGg,IF('Net zero activities &amp; levers'!$C$14="On",('Net zero Activity data'!BI11*EF!$H42*EF!$H60)*NtoN2O*kgtoGg,"ERROR"))</f>
        <v>0.12223096862203452</v>
      </c>
      <c r="AQ1105" s="93">
        <f>IF('Net zero activities &amp; levers'!$C$14="Off",('Activity data'!BJ11*EF!$H42*EF!$H60)*NtoN2O*kgtoGg,IF('Net zero activities &amp; levers'!$C$14="On",('Net zero Activity data'!BJ11*EF!$H42*EF!$H60)*NtoN2O*kgtoGg,"ERROR"))</f>
        <v>0.12234928396390207</v>
      </c>
      <c r="AR1105" s="93">
        <f>IF('Net zero activities &amp; levers'!$C$14="Off",('Activity data'!BK11*EF!$H42*EF!$H60)*NtoN2O*kgtoGg,IF('Net zero activities &amp; levers'!$C$14="On",('Net zero Activity data'!BK11*EF!$H42*EF!$H60)*NtoN2O*kgtoGg,"ERROR"))</f>
        <v>0.12245757817594662</v>
      </c>
      <c r="AS1105" s="93">
        <f>IF('Net zero activities &amp; levers'!$C$14="Off",('Activity data'!BL11*EF!$H42*EF!$H60)*NtoN2O*kgtoGg,IF('Net zero activities &amp; levers'!$C$14="On",('Net zero Activity data'!BL11*EF!$H42*EF!$H60)*NtoN2O*kgtoGg,"ERROR"))</f>
        <v>0.12255574185064526</v>
      </c>
      <c r="AT1105" s="93">
        <f>IF('Net zero activities &amp; levers'!$C$14="Off",('Activity data'!BM11*EF!$H42*EF!$H60)*NtoN2O*kgtoGg,IF('Net zero activities &amp; levers'!$C$14="On",('Net zero Activity data'!BM11*EF!$H42*EF!$H60)*NtoN2O*kgtoGg,"ERROR"))</f>
        <v>0.12264302379658787</v>
      </c>
      <c r="AU1105" s="93">
        <f>IF('Net zero activities &amp; levers'!$C$14="Off",('Activity data'!BN11*EF!$H42*EF!$H60)*NtoN2O*kgtoGg,IF('Net zero activities &amp; levers'!$C$14="On",('Net zero Activity data'!BN11*EF!$H42*EF!$H60)*NtoN2O*kgtoGg,"ERROR"))</f>
        <v>0.12271938191890155</v>
      </c>
      <c r="AV1105" s="93">
        <f>IF('Net zero activities &amp; levers'!$C$14="Off",('Activity data'!BO11*EF!$H42*EF!$H60)*NtoN2O*kgtoGg,IF('Net zero activities &amp; levers'!$C$14="On",('Net zero Activity data'!BO11*EF!$H42*EF!$H60)*NtoN2O*kgtoGg,"ERROR"))</f>
        <v>0.12278627747914957</v>
      </c>
      <c r="AW1105" s="93">
        <f>IF('Net zero activities &amp; levers'!$C$14="Off",('Activity data'!BP11*EF!$H42*EF!$H60)*NtoN2O*kgtoGg,IF('Net zero activities &amp; levers'!$C$14="On",('Net zero Activity data'!BP11*EF!$H42*EF!$H60)*NtoN2O*kgtoGg,"ERROR"))</f>
        <v>0.12283502162881774</v>
      </c>
      <c r="AY1105" s="79"/>
    </row>
    <row r="1106" spans="1:51" x14ac:dyDescent="0.25">
      <c r="A1106" s="95" t="str">
        <f t="shared" si="374"/>
        <v>CM Sheep MMN2O</v>
      </c>
      <c r="B1106" s="95" t="s">
        <v>1321</v>
      </c>
      <c r="C1106" s="95" t="s">
        <v>1327</v>
      </c>
      <c r="D1106" t="s">
        <v>15</v>
      </c>
      <c r="E1106" t="s">
        <v>657</v>
      </c>
      <c r="F1106" t="s">
        <v>18</v>
      </c>
      <c r="G1106" t="s">
        <v>123</v>
      </c>
      <c r="H1106" t="s">
        <v>1226</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6.3574794121898134E-2</v>
      </c>
      <c r="T1106" s="93">
        <f>IF('Net zero activities &amp; levers'!$C$14="Off",('Activity data'!AM12*EF!$H43*EF!$H61)*NtoN2O*kgtoGg,IF('Net zero activities &amp; levers'!$C$14="On",('Net zero Activity data'!AM12*EF!$H43*EF!$H61)*NtoN2O*kgtoGg,"ERROR"))</f>
        <v>6.362055394393272E-2</v>
      </c>
      <c r="U1106" s="93">
        <f>IF('Net zero activities &amp; levers'!$C$14="Off",('Activity data'!AN12*EF!$H43*EF!$H61)*NtoN2O*kgtoGg,IF('Net zero activities &amp; levers'!$C$14="On",('Net zero Activity data'!AN12*EF!$H43*EF!$H61)*NtoN2O*kgtoGg,"ERROR"))</f>
        <v>6.3604465765117371E-2</v>
      </c>
      <c r="V1106" s="93">
        <f>IF('Net zero activities &amp; levers'!$C$14="Off",('Activity data'!AO12*EF!$H43*EF!$H61)*NtoN2O*kgtoGg,IF('Net zero activities &amp; levers'!$C$14="On",('Net zero Activity data'!AO12*EF!$H43*EF!$H61)*NtoN2O*kgtoGg,"ERROR"))</f>
        <v>6.3603307544562435E-2</v>
      </c>
      <c r="W1106" s="93">
        <f>IF('Net zero activities &amp; levers'!$C$14="Off",('Activity data'!AP12*EF!$H43*EF!$H61)*NtoN2O*kgtoGg,IF('Net zero activities &amp; levers'!$C$14="On",('Net zero Activity data'!AP12*EF!$H43*EF!$H61)*NtoN2O*kgtoGg,"ERROR"))</f>
        <v>6.3670772174944407E-2</v>
      </c>
      <c r="X1106" s="93">
        <f>IF('Net zero activities &amp; levers'!$C$14="Off",('Activity data'!AQ12*EF!$H43*EF!$H61)*NtoN2O*kgtoGg,IF('Net zero activities &amp; levers'!$C$14="On",('Net zero Activity data'!AQ12*EF!$H43*EF!$H61)*NtoN2O*kgtoGg,"ERROR"))</f>
        <v>6.3781184258793491E-2</v>
      </c>
      <c r="Y1106" s="93">
        <f>IF('Net zero activities &amp; levers'!$C$14="Off",('Activity data'!AR12*EF!$H43*EF!$H61)*NtoN2O*kgtoGg,IF('Net zero activities &amp; levers'!$C$14="On",('Net zero Activity data'!AR12*EF!$H43*EF!$H61)*NtoN2O*kgtoGg,"ERROR"))</f>
        <v>6.3887125878212575E-2</v>
      </c>
      <c r="Z1106" s="93">
        <f>IF('Net zero activities &amp; levers'!$C$14="Off",('Activity data'!AS12*EF!$H43*EF!$H61)*NtoN2O*kgtoGg,IF('Net zero activities &amp; levers'!$C$14="On",('Net zero Activity data'!AS12*EF!$H43*EF!$H61)*NtoN2O*kgtoGg,"ERROR"))</f>
        <v>6.3988938822851713E-2</v>
      </c>
      <c r="AA1106" s="93">
        <f>IF('Net zero activities &amp; levers'!$C$14="Off",('Activity data'!AT12*EF!$H43*EF!$H61)*NtoN2O*kgtoGg,IF('Net zero activities &amp; levers'!$C$14="On",('Net zero Activity data'!AT12*EF!$H43*EF!$H61)*NtoN2O*kgtoGg,"ERROR"))</f>
        <v>6.4086484144271705E-2</v>
      </c>
      <c r="AB1106" s="93">
        <f>IF('Net zero activities &amp; levers'!$C$14="Off",('Activity data'!AU12*EF!$H43*EF!$H61)*NtoN2O*kgtoGg,IF('Net zero activities &amp; levers'!$C$14="On",('Net zero Activity data'!AU12*EF!$H43*EF!$H61)*NtoN2O*kgtoGg,"ERROR"))</f>
        <v>6.4181794664613767E-2</v>
      </c>
      <c r="AC1106" s="93">
        <f>IF('Net zero activities &amp; levers'!$C$14="Off",('Activity data'!AV12*EF!$H43*EF!$H61)*NtoN2O*kgtoGg,IF('Net zero activities &amp; levers'!$C$14="On",('Net zero Activity data'!AV12*EF!$H43*EF!$H61)*NtoN2O*kgtoGg,"ERROR"))</f>
        <v>6.4276262620556607E-2</v>
      </c>
      <c r="AD1106" s="93">
        <f>IF('Net zero activities &amp; levers'!$C$14="Off",('Activity data'!AW12*EF!$H43*EF!$H61)*NtoN2O*kgtoGg,IF('Net zero activities &amp; levers'!$C$14="On",('Net zero Activity data'!AW12*EF!$H43*EF!$H61)*NtoN2O*kgtoGg,"ERROR"))</f>
        <v>6.4368940147743067E-2</v>
      </c>
      <c r="AE1106" s="93">
        <f>IF('Net zero activities &amp; levers'!$C$14="Off",('Activity data'!AX12*EF!$H43*EF!$H61)*NtoN2O*kgtoGg,IF('Net zero activities &amp; levers'!$C$14="On",('Net zero Activity data'!AX12*EF!$H43*EF!$H61)*NtoN2O*kgtoGg,"ERROR"))</f>
        <v>6.4461159797827752E-2</v>
      </c>
      <c r="AF1106" s="93">
        <f>IF('Net zero activities &amp; levers'!$C$14="Off",('Activity data'!AY12*EF!$H43*EF!$H61)*NtoN2O*kgtoGg,IF('Net zero activities &amp; levers'!$C$14="On",('Net zero Activity data'!AY12*EF!$H43*EF!$H61)*NtoN2O*kgtoGg,"ERROR"))</f>
        <v>6.4552631061088828E-2</v>
      </c>
      <c r="AG1106" s="93">
        <f>IF('Net zero activities &amp; levers'!$C$14="Off",('Activity data'!AZ12*EF!$H43*EF!$H61)*NtoN2O*kgtoGg,IF('Net zero activities &amp; levers'!$C$14="On",('Net zero Activity data'!AZ12*EF!$H43*EF!$H61)*NtoN2O*kgtoGg,"ERROR"))</f>
        <v>6.4642621012273305E-2</v>
      </c>
      <c r="AH1106" s="93">
        <f>IF('Net zero activities &amp; levers'!$C$14="Off",('Activity data'!BA12*EF!$H43*EF!$H61)*NtoN2O*kgtoGg,IF('Net zero activities &amp; levers'!$C$14="On",('Net zero Activity data'!BA12*EF!$H43*EF!$H61)*NtoN2O*kgtoGg,"ERROR"))</f>
        <v>6.4731525852283742E-2</v>
      </c>
      <c r="AI1106" s="93">
        <f>IF('Net zero activities &amp; levers'!$C$14="Off",('Activity data'!BB12*EF!$H43*EF!$H61)*NtoN2O*kgtoGg,IF('Net zero activities &amp; levers'!$C$14="On",('Net zero Activity data'!BB12*EF!$H43*EF!$H61)*NtoN2O*kgtoGg,"ERROR"))</f>
        <v>6.4819440455278599E-2</v>
      </c>
      <c r="AJ1106" s="93">
        <f>IF('Net zero activities &amp; levers'!$C$14="Off",('Activity data'!BC12*EF!$H43*EF!$H61)*NtoN2O*kgtoGg,IF('Net zero activities &amp; levers'!$C$14="On",('Net zero Activity data'!BC12*EF!$H43*EF!$H61)*NtoN2O*kgtoGg,"ERROR"))</f>
        <v>6.4906663286267555E-2</v>
      </c>
      <c r="AK1106" s="93">
        <f>IF('Net zero activities &amp; levers'!$C$14="Off",('Activity data'!BD12*EF!$H43*EF!$H61)*NtoN2O*kgtoGg,IF('Net zero activities &amp; levers'!$C$14="On",('Net zero Activity data'!BD12*EF!$H43*EF!$H61)*NtoN2O*kgtoGg,"ERROR"))</f>
        <v>6.499052550020136E-2</v>
      </c>
      <c r="AL1106" s="93">
        <f>IF('Net zero activities &amp; levers'!$C$14="Off",('Activity data'!BE12*EF!$H43*EF!$H61)*NtoN2O*kgtoGg,IF('Net zero activities &amp; levers'!$C$14="On",('Net zero Activity data'!BE12*EF!$H43*EF!$H61)*NtoN2O*kgtoGg,"ERROR"))</f>
        <v>6.5070928979969703E-2</v>
      </c>
      <c r="AM1106" s="93">
        <f>IF('Net zero activities &amp; levers'!$C$14="Off",('Activity data'!BF12*EF!$H43*EF!$H61)*NtoN2O*kgtoGg,IF('Net zero activities &amp; levers'!$C$14="On",('Net zero Activity data'!BF12*EF!$H43*EF!$H61)*NtoN2O*kgtoGg,"ERROR"))</f>
        <v>6.5148625183203274E-2</v>
      </c>
      <c r="AN1106" s="93">
        <f>IF('Net zero activities &amp; levers'!$C$14="Off",('Activity data'!BG12*EF!$H43*EF!$H61)*NtoN2O*kgtoGg,IF('Net zero activities &amp; levers'!$C$14="On",('Net zero Activity data'!BG12*EF!$H43*EF!$H61)*NtoN2O*kgtoGg,"ERROR"))</f>
        <v>6.5223015840895862E-2</v>
      </c>
      <c r="AO1106" s="93">
        <f>IF('Net zero activities &amp; levers'!$C$14="Off",('Activity data'!BH12*EF!$H43*EF!$H61)*NtoN2O*kgtoGg,IF('Net zero activities &amp; levers'!$C$14="On",('Net zero Activity data'!BH12*EF!$H43*EF!$H61)*NtoN2O*kgtoGg,"ERROR"))</f>
        <v>6.5294235903523207E-2</v>
      </c>
      <c r="AP1106" s="93">
        <f>IF('Net zero activities &amp; levers'!$C$14="Off",('Activity data'!BI12*EF!$H43*EF!$H61)*NtoN2O*kgtoGg,IF('Net zero activities &amp; levers'!$C$14="On",('Net zero Activity data'!BI12*EF!$H43*EF!$H61)*NtoN2O*kgtoGg,"ERROR"))</f>
        <v>6.5361964594620001E-2</v>
      </c>
      <c r="AQ1106" s="93">
        <f>IF('Net zero activities &amp; levers'!$C$14="Off",('Activity data'!BJ12*EF!$H43*EF!$H61)*NtoN2O*kgtoGg,IF('Net zero activities &amp; levers'!$C$14="On",('Net zero Activity data'!BJ12*EF!$H43*EF!$H61)*NtoN2O*kgtoGg,"ERROR"))</f>
        <v>6.542523271131194E-2</v>
      </c>
      <c r="AR1106" s="93">
        <f>IF('Net zero activities &amp; levers'!$C$14="Off",('Activity data'!BK12*EF!$H43*EF!$H61)*NtoN2O*kgtoGg,IF('Net zero activities &amp; levers'!$C$14="On",('Net zero Activity data'!BK12*EF!$H43*EF!$H61)*NtoN2O*kgtoGg,"ERROR"))</f>
        <v>6.548314211457737E-2</v>
      </c>
      <c r="AS1106" s="93">
        <f>IF('Net zero activities &amp; levers'!$C$14="Off",('Activity data'!BL12*EF!$H43*EF!$H61)*NtoN2O*kgtoGg,IF('Net zero activities &amp; levers'!$C$14="On",('Net zero Activity data'!BL12*EF!$H43*EF!$H61)*NtoN2O*kgtoGg,"ERROR"))</f>
        <v>6.5535634299679582E-2</v>
      </c>
      <c r="AT1106" s="93">
        <f>IF('Net zero activities &amp; levers'!$C$14="Off",('Activity data'!BM12*EF!$H43*EF!$H61)*NtoN2O*kgtoGg,IF('Net zero activities &amp; levers'!$C$14="On",('Net zero Activity data'!BM12*EF!$H43*EF!$H61)*NtoN2O*kgtoGg,"ERROR"))</f>
        <v>6.5582307573439622E-2</v>
      </c>
      <c r="AU1106" s="93">
        <f>IF('Net zero activities &amp; levers'!$C$14="Off",('Activity data'!BN12*EF!$H43*EF!$H61)*NtoN2O*kgtoGg,IF('Net zero activities &amp; levers'!$C$14="On",('Net zero Activity data'!BN12*EF!$H43*EF!$H61)*NtoN2O*kgtoGg,"ERROR"))</f>
        <v>6.5623139425984384E-2</v>
      </c>
      <c r="AV1106" s="93">
        <f>IF('Net zero activities &amp; levers'!$C$14="Off",('Activity data'!BO12*EF!$H43*EF!$H61)*NtoN2O*kgtoGg,IF('Net zero activities &amp; levers'!$C$14="On",('Net zero Activity data'!BO12*EF!$H43*EF!$H61)*NtoN2O*kgtoGg,"ERROR"))</f>
        <v>6.5658911254431448E-2</v>
      </c>
      <c r="AW1106" s="93">
        <f>IF('Net zero activities &amp; levers'!$C$14="Off",('Activity data'!BP12*EF!$H43*EF!$H61)*NtoN2O*kgtoGg,IF('Net zero activities &amp; levers'!$C$14="On",('Net zero Activity data'!BP12*EF!$H43*EF!$H61)*NtoN2O*kgtoGg,"ERROR"))</f>
        <v>6.5684976771384518E-2</v>
      </c>
      <c r="AY1106" s="79"/>
    </row>
    <row r="1107" spans="1:51" x14ac:dyDescent="0.25">
      <c r="A1107" s="95" t="str">
        <f t="shared" si="374"/>
        <v>CM Goats MMN2O</v>
      </c>
      <c r="B1107" s="95" t="s">
        <v>1321</v>
      </c>
      <c r="C1107" s="95" t="s">
        <v>1328</v>
      </c>
      <c r="D1107" t="s">
        <v>15</v>
      </c>
      <c r="E1107" t="s">
        <v>657</v>
      </c>
      <c r="F1107" t="s">
        <v>19</v>
      </c>
      <c r="G1107" t="s">
        <v>122</v>
      </c>
      <c r="H1107" t="s">
        <v>1226</v>
      </c>
      <c r="I1107" t="s">
        <v>139</v>
      </c>
      <c r="J1107" t="s">
        <v>287</v>
      </c>
      <c r="K1107" s="93">
        <f>IF('Net zero activities &amp; levers'!$C$14="Off",('Activity data'!AD13*EF!$H44*EF!$H62)*NtoN2O*kgtoGg,IF('Net zero activities &amp; levers'!$C$14="On",('Net zero Activity data'!AD13*EF!$H44*EF!$H62)*NtoN2O*kgtoGg,"ERROR"))</f>
        <v>1.4486129996083083E-2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1.4890706011157254E-2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1.4951923212530764E-2</v>
      </c>
      <c r="T1107" s="93">
        <f>IF('Net zero activities &amp; levers'!$C$14="Off",('Activity data'!AM13*EF!$H44*EF!$H62)*NtoN2O*kgtoGg,IF('Net zero activities &amp; levers'!$C$14="On",('Net zero Activity data'!AM13*EF!$H44*EF!$H62)*NtoN2O*kgtoGg,"ERROR"))</f>
        <v>1.4977625582861876E-2</v>
      </c>
      <c r="U1107" s="93">
        <f>IF('Net zero activities &amp; levers'!$C$14="Off",('Activity data'!AN13*EF!$H44*EF!$H62)*NtoN2O*kgtoGg,IF('Net zero activities &amp; levers'!$C$14="On",('Net zero Activity data'!AN13*EF!$H44*EF!$H62)*NtoN2O*kgtoGg,"ERROR"))</f>
        <v>1.4980119703065675E-2</v>
      </c>
      <c r="V1107" s="93">
        <f>IF('Net zero activities &amp; levers'!$C$14="Off",('Activity data'!AO13*EF!$H44*EF!$H62)*NtoN2O*kgtoGg,IF('Net zero activities &amp; levers'!$C$14="On",('Net zero Activity data'!AO13*EF!$H44*EF!$H62)*NtoN2O*kgtoGg,"ERROR"))</f>
        <v>1.4986976942692673E-2</v>
      </c>
      <c r="W1107" s="93">
        <f>IF('Net zero activities &amp; levers'!$C$14="Off",('Activity data'!AP13*EF!$H44*EF!$H62)*NtoN2O*kgtoGg,IF('Net zero activities &amp; levers'!$C$14="On",('Net zero Activity data'!AP13*EF!$H44*EF!$H62)*NtoN2O*kgtoGg,"ERROR"))</f>
        <v>1.5017294663736542E-2</v>
      </c>
      <c r="X1107" s="93">
        <f>IF('Net zero activities &amp; levers'!$C$14="Off",('Activity data'!AQ13*EF!$H44*EF!$H62)*NtoN2O*kgtoGg,IF('Net zero activities &amp; levers'!$C$14="On",('Net zero Activity data'!AQ13*EF!$H44*EF!$H62)*NtoN2O*kgtoGg,"ERROR"))</f>
        <v>1.5061890336193319E-2</v>
      </c>
      <c r="Y1107" s="93">
        <f>IF('Net zero activities &amp; levers'!$C$14="Off",('Activity data'!AR13*EF!$H44*EF!$H62)*NtoN2O*kgtoGg,IF('Net zero activities &amp; levers'!$C$14="On",('Net zero Activity data'!AR13*EF!$H44*EF!$H62)*NtoN2O*kgtoGg,"ERROR"))</f>
        <v>1.5103986297595969E-2</v>
      </c>
      <c r="Z1107" s="93">
        <f>IF('Net zero activities &amp; levers'!$C$14="Off",('Activity data'!AS13*EF!$H44*EF!$H62)*NtoN2O*kgtoGg,IF('Net zero activities &amp; levers'!$C$14="On",('Net zero Activity data'!AS13*EF!$H44*EF!$H62)*NtoN2O*kgtoGg,"ERROR"))</f>
        <v>1.5143780477124499E-2</v>
      </c>
      <c r="AA1107" s="93">
        <f>IF('Net zero activities &amp; levers'!$C$14="Off",('Activity data'!AT13*EF!$H44*EF!$H62)*NtoN2O*kgtoGg,IF('Net zero activities &amp; levers'!$C$14="On",('Net zero Activity data'!AT13*EF!$H44*EF!$H62)*NtoN2O*kgtoGg,"ERROR"))</f>
        <v>1.518129324368281E-2</v>
      </c>
      <c r="AB1107" s="93">
        <f>IF('Net zero activities &amp; levers'!$C$14="Off",('Activity data'!AU13*EF!$H44*EF!$H62)*NtoN2O*kgtoGg,IF('Net zero activities &amp; levers'!$C$14="On",('Net zero Activity data'!AU13*EF!$H44*EF!$H62)*NtoN2O*kgtoGg,"ERROR"))</f>
        <v>1.5217300806744069E-2</v>
      </c>
      <c r="AC1107" s="93">
        <f>IF('Net zero activities &amp; levers'!$C$14="Off",('Activity data'!AV13*EF!$H44*EF!$H62)*NtoN2O*kgtoGg,IF('Net zero activities &amp; levers'!$C$14="On",('Net zero Activity data'!AV13*EF!$H44*EF!$H62)*NtoN2O*kgtoGg,"ERROR"))</f>
        <v>1.5252343422195683E-2</v>
      </c>
      <c r="AD1107" s="93">
        <f>IF('Net zero activities &amp; levers'!$C$14="Off",('Activity data'!AW13*EF!$H44*EF!$H62)*NtoN2O*kgtoGg,IF('Net zero activities &amp; levers'!$C$14="On",('Net zero Activity data'!AW13*EF!$H44*EF!$H62)*NtoN2O*kgtoGg,"ERROR"))</f>
        <v>1.528613499352576E-2</v>
      </c>
      <c r="AE1107" s="93">
        <f>IF('Net zero activities &amp; levers'!$C$14="Off",('Activity data'!AX13*EF!$H44*EF!$H62)*NtoN2O*kgtoGg,IF('Net zero activities &amp; levers'!$C$14="On",('Net zero Activity data'!AX13*EF!$H44*EF!$H62)*NtoN2O*kgtoGg,"ERROR"))</f>
        <v>1.5319183069795761E-2</v>
      </c>
      <c r="AF1107" s="93">
        <f>IF('Net zero activities &amp; levers'!$C$14="Off",('Activity data'!AY13*EF!$H44*EF!$H62)*NtoN2O*kgtoGg,IF('Net zero activities &amp; levers'!$C$14="On",('Net zero Activity data'!AY13*EF!$H44*EF!$H62)*NtoN2O*kgtoGg,"ERROR"))</f>
        <v>1.5351423055728343E-2</v>
      </c>
      <c r="AG1107" s="93">
        <f>IF('Net zero activities &amp; levers'!$C$14="Off",('Activity data'!AZ13*EF!$H44*EF!$H62)*NtoN2O*kgtoGg,IF('Net zero activities &amp; levers'!$C$14="On",('Net zero Activity data'!AZ13*EF!$H44*EF!$H62)*NtoN2O*kgtoGg,"ERROR"))</f>
        <v>1.5382634347686872E-2</v>
      </c>
      <c r="AH1107" s="93">
        <f>IF('Net zero activities &amp; levers'!$C$14="Off",('Activity data'!BA13*EF!$H44*EF!$H62)*NtoN2O*kgtoGg,IF('Net zero activities &amp; levers'!$C$14="On",('Net zero Activity data'!BA13*EF!$H44*EF!$H62)*NtoN2O*kgtoGg,"ERROR"))</f>
        <v>1.5412986814805201E-2</v>
      </c>
      <c r="AI1107" s="93">
        <f>IF('Net zero activities &amp; levers'!$C$14="Off",('Activity data'!BB13*EF!$H44*EF!$H62)*NtoN2O*kgtoGg,IF('Net zero activities &amp; levers'!$C$14="On",('Net zero Activity data'!BB13*EF!$H44*EF!$H62)*NtoN2O*kgtoGg,"ERROR"))</f>
        <v>1.5442542460580333E-2</v>
      </c>
      <c r="AJ1107" s="93">
        <f>IF('Net zero activities &amp; levers'!$C$14="Off",('Activity data'!BC13*EF!$H44*EF!$H62)*NtoN2O*kgtoGg,IF('Net zero activities &amp; levers'!$C$14="On",('Net zero Activity data'!BC13*EF!$H44*EF!$H62)*NtoN2O*kgtoGg,"ERROR"))</f>
        <v>1.5471431054826285E-2</v>
      </c>
      <c r="AK1107" s="93">
        <f>IF('Net zero activities &amp; levers'!$C$14="Off",('Activity data'!BD13*EF!$H44*EF!$H62)*NtoN2O*kgtoGg,IF('Net zero activities &amp; levers'!$C$14="On",('Net zero Activity data'!BD13*EF!$H44*EF!$H62)*NtoN2O*kgtoGg,"ERROR"))</f>
        <v>1.5498756892033489E-2</v>
      </c>
      <c r="AL1107" s="93">
        <f>IF('Net zero activities &amp; levers'!$C$14="Off",('Activity data'!BE13*EF!$H44*EF!$H62)*NtoN2O*kgtoGg,IF('Net zero activities &amp; levers'!$C$14="On",('Net zero Activity data'!BE13*EF!$H44*EF!$H62)*NtoN2O*kgtoGg,"ERROR"))</f>
        <v>1.5524513513074619E-2</v>
      </c>
      <c r="AM1107" s="93">
        <f>IF('Net zero activities &amp; levers'!$C$14="Off",('Activity data'!BF13*EF!$H44*EF!$H62)*NtoN2O*kgtoGg,IF('Net zero activities &amp; levers'!$C$14="On",('Net zero Activity data'!BF13*EF!$H44*EF!$H62)*NtoN2O*kgtoGg,"ERROR"))</f>
        <v>1.5548984646319333E-2</v>
      </c>
      <c r="AN1107" s="93">
        <f>IF('Net zero activities &amp; levers'!$C$14="Off",('Activity data'!BG13*EF!$H44*EF!$H62)*NtoN2O*kgtoGg,IF('Net zero activities &amp; levers'!$C$14="On",('Net zero Activity data'!BG13*EF!$H44*EF!$H62)*NtoN2O*kgtoGg,"ERROR"))</f>
        <v>1.5571987875403363E-2</v>
      </c>
      <c r="AO1107" s="93">
        <f>IF('Net zero activities &amp; levers'!$C$14="Off",('Activity data'!BH13*EF!$H44*EF!$H62)*NtoN2O*kgtoGg,IF('Net zero activities &amp; levers'!$C$14="On",('Net zero Activity data'!BH13*EF!$H44*EF!$H62)*NtoN2O*kgtoGg,"ERROR"))</f>
        <v>1.5593591673600768E-2</v>
      </c>
      <c r="AP1107" s="93">
        <f>IF('Net zero activities &amp; levers'!$C$14="Off",('Activity data'!BI13*EF!$H44*EF!$H62)*NtoN2O*kgtoGg,IF('Net zero activities &amp; levers'!$C$14="On",('Net zero Activity data'!BI13*EF!$H44*EF!$H62)*NtoN2O*kgtoGg,"ERROR"))</f>
        <v>1.5613707165200276E-2</v>
      </c>
      <c r="AQ1107" s="93">
        <f>IF('Net zero activities &amp; levers'!$C$14="Off",('Activity data'!BJ13*EF!$H44*EF!$H62)*NtoN2O*kgtoGg,IF('Net zero activities &amp; levers'!$C$14="On",('Net zero Activity data'!BJ13*EF!$H44*EF!$H62)*NtoN2O*kgtoGg,"ERROR"))</f>
        <v>1.5632023858239551E-2</v>
      </c>
      <c r="AR1107" s="93">
        <f>IF('Net zero activities &amp; levers'!$C$14="Off",('Activity data'!BK13*EF!$H44*EF!$H62)*NtoN2O*kgtoGg,IF('Net zero activities &amp; levers'!$C$14="On",('Net zero Activity data'!BK13*EF!$H44*EF!$H62)*NtoN2O*kgtoGg,"ERROR"))</f>
        <v>1.5648256533695205E-2</v>
      </c>
      <c r="AS1107" s="93">
        <f>IF('Net zero activities &amp; levers'!$C$14="Off",('Activity data'!BL13*EF!$H44*EF!$H62)*NtoN2O*kgtoGg,IF('Net zero activities &amp; levers'!$C$14="On",('Net zero Activity data'!BL13*EF!$H44*EF!$H62)*NtoN2O*kgtoGg,"ERROR"))</f>
        <v>1.5662406299088667E-2</v>
      </c>
      <c r="AT1107" s="93">
        <f>IF('Net zero activities &amp; levers'!$C$14="Off",('Activity data'!BM13*EF!$H44*EF!$H62)*NtoN2O*kgtoGg,IF('Net zero activities &amp; levers'!$C$14="On",('Net zero Activity data'!BM13*EF!$H44*EF!$H62)*NtoN2O*kgtoGg,"ERROR"))</f>
        <v>1.5674356891571192E-2</v>
      </c>
      <c r="AU1107" s="93">
        <f>IF('Net zero activities &amp; levers'!$C$14="Off",('Activity data'!BN13*EF!$H44*EF!$H62)*NtoN2O*kgtoGg,IF('Net zero activities &amp; levers'!$C$14="On",('Net zero Activity data'!BN13*EF!$H44*EF!$H62)*NtoN2O*kgtoGg,"ERROR"))</f>
        <v>1.568412043163633E-2</v>
      </c>
      <c r="AV1107" s="93">
        <f>IF('Net zero activities &amp; levers'!$C$14="Off",('Activity data'!BO13*EF!$H44*EF!$H62)*NtoN2O*kgtoGg,IF('Net zero activities &amp; levers'!$C$14="On",('Net zero Activity data'!BO13*EF!$H44*EF!$H62)*NtoN2O*kgtoGg,"ERROR"))</f>
        <v>1.5691980107154113E-2</v>
      </c>
      <c r="AW1107" s="93">
        <f>IF('Net zero activities &amp; levers'!$C$14="Off",('Activity data'!BP13*EF!$H44*EF!$H62)*NtoN2O*kgtoGg,IF('Net zero activities &amp; levers'!$C$14="On",('Net zero Activity data'!BP13*EF!$H44*EF!$H62)*NtoN2O*kgtoGg,"ERROR"))</f>
        <v>1.5696383554298719E-2</v>
      </c>
      <c r="AY1107" s="79"/>
    </row>
    <row r="1108" spans="1:51" x14ac:dyDescent="0.25">
      <c r="A1108" s="95" t="str">
        <f t="shared" si="374"/>
        <v>CM Goats MMN2O</v>
      </c>
      <c r="B1108" s="95" t="s">
        <v>1321</v>
      </c>
      <c r="C1108" s="95" t="s">
        <v>1328</v>
      </c>
      <c r="D1108" t="s">
        <v>15</v>
      </c>
      <c r="E1108" t="s">
        <v>657</v>
      </c>
      <c r="F1108" t="s">
        <v>19</v>
      </c>
      <c r="G1108" t="s">
        <v>123</v>
      </c>
      <c r="H1108" t="s">
        <v>1226</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0.11805182815822723</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0.11853715118666242</v>
      </c>
      <c r="T1108" s="93">
        <f>IF('Net zero activities &amp; levers'!$C$14="Off",('Activity data'!AM14*EF!$H45*EF!$H63)*NtoN2O*kgtoGg,IF('Net zero activities &amp; levers'!$C$14="On",('Net zero Activity data'!AM14*EF!$H45*EF!$H63)*NtoN2O*kgtoGg,"ERROR"))</f>
        <v>0.11874091666314918</v>
      </c>
      <c r="U1108" s="93">
        <f>IF('Net zero activities &amp; levers'!$C$14="Off",('Activity data'!AN14*EF!$H45*EF!$H63)*NtoN2O*kgtoGg,IF('Net zero activities &amp; levers'!$C$14="On",('Net zero Activity data'!AN14*EF!$H45*EF!$H63)*NtoN2O*kgtoGg,"ERROR"))</f>
        <v>0.11876068976520925</v>
      </c>
      <c r="V1108" s="93">
        <f>IF('Net zero activities &amp; levers'!$C$14="Off",('Activity data'!AO14*EF!$H45*EF!$H63)*NtoN2O*kgtoGg,IF('Net zero activities &amp; levers'!$C$14="On",('Net zero Activity data'!AO14*EF!$H45*EF!$H63)*NtoN2O*kgtoGg,"ERROR"))</f>
        <v>0.11881505318313448</v>
      </c>
      <c r="W1108" s="93">
        <f>IF('Net zero activities &amp; levers'!$C$14="Off",('Activity data'!AP14*EF!$H45*EF!$H63)*NtoN2O*kgtoGg,IF('Net zero activities &amp; levers'!$C$14="On",('Net zero Activity data'!AP14*EF!$H45*EF!$H63)*NtoN2O*kgtoGg,"ERROR"))</f>
        <v>0.11905540863653861</v>
      </c>
      <c r="X1108" s="93">
        <f>IF('Net zero activities &amp; levers'!$C$14="Off",('Activity data'!AQ14*EF!$H45*EF!$H63)*NtoN2O*kgtoGg,IF('Net zero activities &amp; levers'!$C$14="On",('Net zero Activity data'!AQ14*EF!$H45*EF!$H63)*NtoN2O*kgtoGg,"ERROR"))</f>
        <v>0.11940895806915272</v>
      </c>
      <c r="Y1108" s="93">
        <f>IF('Net zero activities &amp; levers'!$C$14="Off",('Activity data'!AR14*EF!$H45*EF!$H63)*NtoN2O*kgtoGg,IF('Net zero activities &amp; levers'!$C$14="On",('Net zero Activity data'!AR14*EF!$H45*EF!$H63)*NtoN2O*kgtoGg,"ERROR"))</f>
        <v>0.11974269007607956</v>
      </c>
      <c r="Z1108" s="93">
        <f>IF('Net zero activities &amp; levers'!$C$14="Off",('Activity data'!AS14*EF!$H45*EF!$H63)*NtoN2O*kgtoGg,IF('Net zero activities &amp; levers'!$C$14="On",('Net zero Activity data'!AS14*EF!$H45*EF!$H63)*NtoN2O*kgtoGg,"ERROR"))</f>
        <v>0.12005817381740651</v>
      </c>
      <c r="AA1108" s="93">
        <f>IF('Net zero activities &amp; levers'!$C$14="Off",('Activity data'!AT14*EF!$H45*EF!$H63)*NtoN2O*kgtoGg,IF('Net zero activities &amp; levers'!$C$14="On",('Net zero Activity data'!AT14*EF!$H45*EF!$H63)*NtoN2O*kgtoGg,"ERROR"))</f>
        <v>0.12035557077549322</v>
      </c>
      <c r="AB1108" s="93">
        <f>IF('Net zero activities &amp; levers'!$C$14="Off",('Activity data'!AU14*EF!$H45*EF!$H63)*NtoN2O*kgtoGg,IF('Net zero activities &amp; levers'!$C$14="On",('Net zero Activity data'!AU14*EF!$H45*EF!$H63)*NtoN2O*kgtoGg,"ERROR"))</f>
        <v>0.12064103465099509</v>
      </c>
      <c r="AC1108" s="93">
        <f>IF('Net zero activities &amp; levers'!$C$14="Off",('Activity data'!AV14*EF!$H45*EF!$H63)*NtoN2O*kgtoGg,IF('Net zero activities &amp; levers'!$C$14="On",('Net zero Activity data'!AV14*EF!$H45*EF!$H63)*NtoN2O*kgtoGg,"ERROR"))</f>
        <v>0.12091884853130468</v>
      </c>
      <c r="AD1108" s="93">
        <f>IF('Net zero activities &amp; levers'!$C$14="Off",('Activity data'!AW14*EF!$H45*EF!$H63)*NtoN2O*kgtoGg,IF('Net zero activities &amp; levers'!$C$14="On",('Net zero Activity data'!AW14*EF!$H45*EF!$H63)*NtoN2O*kgtoGg,"ERROR"))</f>
        <v>0.12118674427572847</v>
      </c>
      <c r="AE1108" s="93">
        <f>IF('Net zero activities &amp; levers'!$C$14="Off",('Activity data'!AX14*EF!$H45*EF!$H63)*NtoN2O*kgtoGg,IF('Net zero activities &amp; levers'!$C$14="On",('Net zero Activity data'!AX14*EF!$H45*EF!$H63)*NtoN2O*kgtoGg,"ERROR"))</f>
        <v>0.12144874567565288</v>
      </c>
      <c r="AF1108" s="93">
        <f>IF('Net zero activities &amp; levers'!$C$14="Off",('Activity data'!AY14*EF!$H45*EF!$H63)*NtoN2O*kgtoGg,IF('Net zero activities &amp; levers'!$C$14="On",('Net zero Activity data'!AY14*EF!$H45*EF!$H63)*NtoN2O*kgtoGg,"ERROR"))</f>
        <v>0.1217043406270464</v>
      </c>
      <c r="AG1108" s="93">
        <f>IF('Net zero activities &amp; levers'!$C$14="Off",('Activity data'!AZ14*EF!$H45*EF!$H63)*NtoN2O*kgtoGg,IF('Net zero activities &amp; levers'!$C$14="On",('Net zero Activity data'!AZ14*EF!$H45*EF!$H63)*NtoN2O*kgtoGg,"ERROR"))</f>
        <v>0.12195178020930149</v>
      </c>
      <c r="AH1108" s="93">
        <f>IF('Net zero activities &amp; levers'!$C$14="Off",('Activity data'!BA14*EF!$H45*EF!$H63)*NtoN2O*kgtoGg,IF('Net zero activities &amp; levers'!$C$14="On",('Net zero Activity data'!BA14*EF!$H45*EF!$H63)*NtoN2O*kgtoGg,"ERROR"))</f>
        <v>0.12219241112564265</v>
      </c>
      <c r="AI1108" s="93">
        <f>IF('Net zero activities &amp; levers'!$C$14="Off",('Activity data'!BB14*EF!$H45*EF!$H63)*NtoN2O*kgtoGg,IF('Net zero activities &amp; levers'!$C$14="On",('Net zero Activity data'!BB14*EF!$H45*EF!$H63)*NtoN2O*kgtoGg,"ERROR"))</f>
        <v>0.1224267249327608</v>
      </c>
      <c r="AJ1108" s="93">
        <f>IF('Net zero activities &amp; levers'!$C$14="Off",('Activity data'!BC14*EF!$H45*EF!$H63)*NtoN2O*kgtoGg,IF('Net zero activities &amp; levers'!$C$14="On",('Net zero Activity data'!BC14*EF!$H45*EF!$H63)*NtoN2O*kgtoGg,"ERROR"))</f>
        <v>0.1226557504310213</v>
      </c>
      <c r="AK1108" s="93">
        <f>IF('Net zero activities &amp; levers'!$C$14="Off",('Activity data'!BD14*EF!$H45*EF!$H63)*NtoN2O*kgtoGg,IF('Net zero activities &amp; levers'!$C$14="On",('Net zero Activity data'!BD14*EF!$H45*EF!$H63)*NtoN2O*kgtoGg,"ERROR"))</f>
        <v>0.12287238656874688</v>
      </c>
      <c r="AL1108" s="93">
        <f>IF('Net zero activities &amp; levers'!$C$14="Off",('Activity data'!BE14*EF!$H45*EF!$H63)*NtoN2O*kgtoGg,IF('Net zero activities &amp; levers'!$C$14="On",('Net zero Activity data'!BE14*EF!$H45*EF!$H63)*NtoN2O*kgtoGg,"ERROR"))</f>
        <v>0.12307658213870883</v>
      </c>
      <c r="AM1108" s="93">
        <f>IF('Net zero activities &amp; levers'!$C$14="Off",('Activity data'!BF14*EF!$H45*EF!$H63)*NtoN2O*kgtoGg,IF('Net zero activities &amp; levers'!$C$14="On",('Net zero Activity data'!BF14*EF!$H45*EF!$H63)*NtoN2O*kgtoGg,"ERROR"))</f>
        <v>0.1232705865072376</v>
      </c>
      <c r="AN1108" s="93">
        <f>IF('Net zero activities &amp; levers'!$C$14="Off",('Activity data'!BG14*EF!$H45*EF!$H63)*NtoN2O*kgtoGg,IF('Net zero activities &amp; levers'!$C$14="On",('Net zero Activity data'!BG14*EF!$H45*EF!$H63)*NtoN2O*kgtoGg,"ERROR"))</f>
        <v>0.12345295349808931</v>
      </c>
      <c r="AO1108" s="93">
        <f>IF('Net zero activities &amp; levers'!$C$14="Off",('Activity data'!BH14*EF!$H45*EF!$H63)*NtoN2O*kgtoGg,IF('Net zero activities &amp; levers'!$C$14="On",('Net zero Activity data'!BH14*EF!$H45*EF!$H63)*NtoN2O*kgtoGg,"ERROR"))</f>
        <v>0.12362422595961356</v>
      </c>
      <c r="AP1108" s="93">
        <f>IF('Net zero activities &amp; levers'!$C$14="Off",('Activity data'!BI14*EF!$H45*EF!$H63)*NtoN2O*kgtoGg,IF('Net zero activities &amp; levers'!$C$14="On",('Net zero Activity data'!BI14*EF!$H45*EF!$H63)*NtoN2O*kgtoGg,"ERROR"))</f>
        <v>0.12378369929525287</v>
      </c>
      <c r="AQ1108" s="93">
        <f>IF('Net zero activities &amp; levers'!$C$14="Off",('Activity data'!BJ14*EF!$H45*EF!$H63)*NtoN2O*kgtoGg,IF('Net zero activities &amp; levers'!$C$14="On",('Net zero Activity data'!BJ14*EF!$H45*EF!$H63)*NtoN2O*kgtoGg,"ERROR"))</f>
        <v>0.12392891195994982</v>
      </c>
      <c r="AR1108" s="93">
        <f>IF('Net zero activities &amp; levers'!$C$14="Off",('Activity data'!BK14*EF!$H45*EF!$H63)*NtoN2O*kgtoGg,IF('Net zero activities &amp; levers'!$C$14="On",('Net zero Activity data'!BK14*EF!$H45*EF!$H63)*NtoN2O*kgtoGg,"ERROR"))</f>
        <v>0.12405760276964035</v>
      </c>
      <c r="AS1108" s="93">
        <f>IF('Net zero activities &amp; levers'!$C$14="Off",('Activity data'!BL14*EF!$H45*EF!$H63)*NtoN2O*kgtoGg,IF('Net zero activities &amp; levers'!$C$14="On",('Net zero Activity data'!BL14*EF!$H45*EF!$H63)*NtoN2O*kgtoGg,"ERROR"))</f>
        <v>0.12416978050462869</v>
      </c>
      <c r="AT1108" s="93">
        <f>IF('Net zero activities &amp; levers'!$C$14="Off",('Activity data'!BM14*EF!$H45*EF!$H63)*NtoN2O*kgtoGg,IF('Net zero activities &amp; levers'!$C$14="On",('Net zero Activity data'!BM14*EF!$H45*EF!$H63)*NtoN2O*kgtoGg,"ERROR"))</f>
        <v>0.12426452344623794</v>
      </c>
      <c r="AU1108" s="93">
        <f>IF('Net zero activities &amp; levers'!$C$14="Off",('Activity data'!BN14*EF!$H45*EF!$H63)*NtoN2O*kgtoGg,IF('Net zero activities &amp; levers'!$C$14="On",('Net zero Activity data'!BN14*EF!$H45*EF!$H63)*NtoN2O*kgtoGg,"ERROR"))</f>
        <v>0.12434192768436619</v>
      </c>
      <c r="AV1108" s="93">
        <f>IF('Net zero activities &amp; levers'!$C$14="Off",('Activity data'!BO14*EF!$H45*EF!$H63)*NtoN2O*kgtoGg,IF('Net zero activities &amp; levers'!$C$14="On",('Net zero Activity data'!BO14*EF!$H45*EF!$H63)*NtoN2O*kgtoGg,"ERROR"))</f>
        <v>0.1244042383003242</v>
      </c>
      <c r="AW1108" s="93">
        <f>IF('Net zero activities &amp; levers'!$C$14="Off",('Activity data'!BP14*EF!$H45*EF!$H63)*NtoN2O*kgtoGg,IF('Net zero activities &amp; levers'!$C$14="On",('Net zero Activity data'!BP14*EF!$H45*EF!$H63)*NtoN2O*kgtoGg,"ERROR"))</f>
        <v>0.12443914832979021</v>
      </c>
      <c r="AY1108" s="79"/>
    </row>
    <row r="1109" spans="1:51" x14ac:dyDescent="0.25">
      <c r="A1109" s="95" t="str">
        <f t="shared" si="374"/>
        <v>CM Horses MMN2O</v>
      </c>
      <c r="B1109" s="95" t="s">
        <v>1321</v>
      </c>
      <c r="C1109" s="95" t="s">
        <v>1329</v>
      </c>
      <c r="D1109" t="s">
        <v>15</v>
      </c>
      <c r="E1109" t="s">
        <v>657</v>
      </c>
      <c r="F1109" t="s">
        <v>20</v>
      </c>
      <c r="G1109" t="s">
        <v>3</v>
      </c>
      <c r="H1109" t="s">
        <v>1226</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5">
      <c r="A1110" s="95" t="str">
        <f t="shared" si="374"/>
        <v>CM Mules MMN2O</v>
      </c>
      <c r="B1110" s="95" t="s">
        <v>1321</v>
      </c>
      <c r="C1110" s="95" t="s">
        <v>1330</v>
      </c>
      <c r="D1110" t="s">
        <v>15</v>
      </c>
      <c r="E1110" t="s">
        <v>657</v>
      </c>
      <c r="F1110" t="s">
        <v>140</v>
      </c>
      <c r="G1110" t="s">
        <v>124</v>
      </c>
      <c r="H1110" t="s">
        <v>1226</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5">
      <c r="A1111" s="95" t="str">
        <f t="shared" si="374"/>
        <v>CM Swine MMN2O</v>
      </c>
      <c r="B1111" s="95" t="s">
        <v>1321</v>
      </c>
      <c r="C1111" s="95" t="s">
        <v>1232</v>
      </c>
      <c r="D1111" t="s">
        <v>15</v>
      </c>
      <c r="E1111" t="s">
        <v>657</v>
      </c>
      <c r="F1111" t="s">
        <v>21</v>
      </c>
      <c r="G1111" t="s">
        <v>122</v>
      </c>
      <c r="H1111" t="s">
        <v>1226</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9.6937181363551519E-2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9.6090308702663552E-2</v>
      </c>
      <c r="O1111" s="93">
        <f>IF('Net zero activities &amp; levers'!$C$14="Off",('Activity data'!AH17*EF!$H48*EF!$H66)*NtoN2O*kgtoGg,IF('Net zero activities &amp; levers'!$C$14="On",('Net zero Activity data'!AH17*EF!$H48*EF!$H66)*NtoN2O*kgtoGg,"ERROR"))</f>
        <v>9.4636150647850456E-2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8.9872834352323586E-2</v>
      </c>
      <c r="S1111" s="93">
        <f>IF('Net zero activities &amp; levers'!$C$14="Off",('Activity data'!AL17*EF!$H48*EF!$H66)*NtoN2O*kgtoGg,IF('Net zero activities &amp; levers'!$C$14="On",('Net zero Activity data'!AL17*EF!$H48*EF!$H66)*NtoN2O*kgtoGg,"ERROR"))</f>
        <v>8.0734544225409766E-2</v>
      </c>
      <c r="T1111" s="93">
        <f>IF('Net zero activities &amp; levers'!$C$14="Off",('Activity data'!AM17*EF!$H48*EF!$H66)*NtoN2O*kgtoGg,IF('Net zero activities &amp; levers'!$C$14="On",('Net zero Activity data'!AM17*EF!$H48*EF!$H66)*NtoN2O*kgtoGg,"ERROR"))</f>
        <v>8.4382841213531623E-2</v>
      </c>
      <c r="U1111" s="93">
        <f>IF('Net zero activities &amp; levers'!$C$14="Off",('Activity data'!AN17*EF!$H48*EF!$H66)*NtoN2O*kgtoGg,IF('Net zero activities &amp; levers'!$C$14="On",('Net zero Activity data'!AN17*EF!$H48*EF!$H66)*NtoN2O*kgtoGg,"ERROR"))</f>
        <v>8.5485831085546846E-2</v>
      </c>
      <c r="V1111" s="93">
        <f>IF('Net zero activities &amp; levers'!$C$14="Off",('Activity data'!AO17*EF!$H48*EF!$H66)*NtoN2O*kgtoGg,IF('Net zero activities &amp; levers'!$C$14="On",('Net zero Activity data'!AO17*EF!$H48*EF!$H66)*NtoN2O*kgtoGg,"ERROR"))</f>
        <v>8.4642168924532232E-2</v>
      </c>
      <c r="W1111" s="93">
        <f>IF('Net zero activities &amp; levers'!$C$14="Off",('Activity data'!AP17*EF!$H48*EF!$H66)*NtoN2O*kgtoGg,IF('Net zero activities &amp; levers'!$C$14="On",('Net zero Activity data'!AP17*EF!$H48*EF!$H66)*NtoN2O*kgtoGg,"ERROR"))</f>
        <v>8.3900172539890919E-2</v>
      </c>
      <c r="X1111" s="93">
        <f>IF('Net zero activities &amp; levers'!$C$14="Off",('Activity data'!AQ17*EF!$H48*EF!$H66)*NtoN2O*kgtoGg,IF('Net zero activities &amp; levers'!$C$14="On",('Net zero Activity data'!AQ17*EF!$H48*EF!$H66)*NtoN2O*kgtoGg,"ERROR"))</f>
        <v>8.3670858252268526E-2</v>
      </c>
      <c r="Y1111" s="93">
        <f>IF('Net zero activities &amp; levers'!$C$14="Off",('Activity data'!AR17*EF!$H48*EF!$H66)*NtoN2O*kgtoGg,IF('Net zero activities &amp; levers'!$C$14="On",('Net zero Activity data'!AR17*EF!$H48*EF!$H66)*NtoN2O*kgtoGg,"ERROR"))</f>
        <v>8.3934301237427442E-2</v>
      </c>
      <c r="Z1111" s="93">
        <f>IF('Net zero activities &amp; levers'!$C$14="Off",('Activity data'!AS17*EF!$H48*EF!$H66)*NtoN2O*kgtoGg,IF('Net zero activities &amp; levers'!$C$14="On",('Net zero Activity data'!AS17*EF!$H48*EF!$H66)*NtoN2O*kgtoGg,"ERROR"))</f>
        <v>8.44249898120146E-2</v>
      </c>
      <c r="AA1111" s="93">
        <f>IF('Net zero activities &amp; levers'!$C$14="Off",('Activity data'!AT17*EF!$H48*EF!$H66)*NtoN2O*kgtoGg,IF('Net zero activities &amp; levers'!$C$14="On",('Net zero Activity data'!AT17*EF!$H48*EF!$H66)*NtoN2O*kgtoGg,"ERROR"))</f>
        <v>8.5198904999322256E-2</v>
      </c>
      <c r="AB1111" s="93">
        <f>IF('Net zero activities &amp; levers'!$C$14="Off",('Activity data'!AU17*EF!$H48*EF!$H66)*NtoN2O*kgtoGg,IF('Net zero activities &amp; levers'!$C$14="On",('Net zero Activity data'!AU17*EF!$H48*EF!$H66)*NtoN2O*kgtoGg,"ERROR"))</f>
        <v>8.6442123684456251E-2</v>
      </c>
      <c r="AC1111" s="93">
        <f>IF('Net zero activities &amp; levers'!$C$14="Off",('Activity data'!AV17*EF!$H48*EF!$H66)*NtoN2O*kgtoGg,IF('Net zero activities &amp; levers'!$C$14="On",('Net zero Activity data'!AV17*EF!$H48*EF!$H66)*NtoN2O*kgtoGg,"ERROR"))</f>
        <v>8.8111240076380506E-2</v>
      </c>
      <c r="AD1111" s="93">
        <f>IF('Net zero activities &amp; levers'!$C$14="Off",('Activity data'!AW17*EF!$H48*EF!$H66)*NtoN2O*kgtoGg,IF('Net zero activities &amp; levers'!$C$14="On",('Net zero Activity data'!AW17*EF!$H48*EF!$H66)*NtoN2O*kgtoGg,"ERROR"))</f>
        <v>9.001094563198829E-2</v>
      </c>
      <c r="AE1111" s="93">
        <f>IF('Net zero activities &amp; levers'!$C$14="Off",('Activity data'!AX17*EF!$H48*EF!$H66)*NtoN2O*kgtoGg,IF('Net zero activities &amp; levers'!$C$14="On",('Net zero Activity data'!AX17*EF!$H48*EF!$H66)*NtoN2O*kgtoGg,"ERROR"))</f>
        <v>9.2122381916242821E-2</v>
      </c>
      <c r="AF1111" s="93">
        <f>IF('Net zero activities &amp; levers'!$C$14="Off",('Activity data'!AY17*EF!$H48*EF!$H66)*NtoN2O*kgtoGg,IF('Net zero activities &amp; levers'!$C$14="On",('Net zero Activity data'!AY17*EF!$H48*EF!$H66)*NtoN2O*kgtoGg,"ERROR"))</f>
        <v>9.433993402703468E-2</v>
      </c>
      <c r="AG1111" s="93">
        <f>IF('Net zero activities &amp; levers'!$C$14="Off",('Activity data'!AZ17*EF!$H48*EF!$H66)*NtoN2O*kgtoGg,IF('Net zero activities &amp; levers'!$C$14="On",('Net zero Activity data'!AZ17*EF!$H48*EF!$H66)*NtoN2O*kgtoGg,"ERROR"))</f>
        <v>9.6701686348057328E-2</v>
      </c>
      <c r="AH1111" s="93">
        <f>IF('Net zero activities &amp; levers'!$C$14="Off",('Activity data'!BA17*EF!$H48*EF!$H66)*NtoN2O*kgtoGg,IF('Net zero activities &amp; levers'!$C$14="On",('Net zero Activity data'!BA17*EF!$H48*EF!$H66)*NtoN2O*kgtoGg,"ERROR"))</f>
        <v>9.9156733920468212E-2</v>
      </c>
      <c r="AI1111" s="93">
        <f>IF('Net zero activities &amp; levers'!$C$14="Off",('Activity data'!BB17*EF!$H48*EF!$H66)*NtoN2O*kgtoGg,IF('Net zero activities &amp; levers'!$C$14="On",('Net zero Activity data'!BB17*EF!$H48*EF!$H66)*NtoN2O*kgtoGg,"ERROR"))</f>
        <v>0.10153918433243618</v>
      </c>
      <c r="AJ1111" s="93">
        <f>IF('Net zero activities &amp; levers'!$C$14="Off",('Activity data'!BC17*EF!$H48*EF!$H66)*NtoN2O*kgtoGg,IF('Net zero activities &amp; levers'!$C$14="On",('Net zero Activity data'!BC17*EF!$H48*EF!$H66)*NtoN2O*kgtoGg,"ERROR"))</f>
        <v>0.10407920464758763</v>
      </c>
      <c r="AK1111" s="93">
        <f>IF('Net zero activities &amp; levers'!$C$14="Off",('Activity data'!BD17*EF!$H48*EF!$H66)*NtoN2O*kgtoGg,IF('Net zero activities &amp; levers'!$C$14="On",('Net zero Activity data'!BD17*EF!$H48*EF!$H66)*NtoN2O*kgtoGg,"ERROR"))</f>
        <v>0.10662429120765052</v>
      </c>
      <c r="AL1111" s="93">
        <f>IF('Net zero activities &amp; levers'!$C$14="Off",('Activity data'!BE17*EF!$H48*EF!$H66)*NtoN2O*kgtoGg,IF('Net zero activities &amp; levers'!$C$14="On",('Net zero Activity data'!BE17*EF!$H48*EF!$H66)*NtoN2O*kgtoGg,"ERROR"))</f>
        <v>0.10916108152437015</v>
      </c>
      <c r="AM1111" s="93">
        <f>IF('Net zero activities &amp; levers'!$C$14="Off",('Activity data'!BF17*EF!$H48*EF!$H66)*NtoN2O*kgtoGg,IF('Net zero activities &amp; levers'!$C$14="On",('Net zero Activity data'!BF17*EF!$H48*EF!$H66)*NtoN2O*kgtoGg,"ERROR"))</f>
        <v>0.11175521560682936</v>
      </c>
      <c r="AN1111" s="93">
        <f>IF('Net zero activities &amp; levers'!$C$14="Off",('Activity data'!BG17*EF!$H48*EF!$H66)*NtoN2O*kgtoGg,IF('Net zero activities &amp; levers'!$C$14="On",('Net zero Activity data'!BG17*EF!$H48*EF!$H66)*NtoN2O*kgtoGg,"ERROR"))</f>
        <v>0.11423893572460501</v>
      </c>
      <c r="AO1111" s="93">
        <f>IF('Net zero activities &amp; levers'!$C$14="Off",('Activity data'!BH17*EF!$H48*EF!$H66)*NtoN2O*kgtoGg,IF('Net zero activities &amp; levers'!$C$14="On",('Net zero Activity data'!BH17*EF!$H48*EF!$H66)*NtoN2O*kgtoGg,"ERROR"))</f>
        <v>0.11683800387615073</v>
      </c>
      <c r="AP1111" s="93">
        <f>IF('Net zero activities &amp; levers'!$C$14="Off",('Activity data'!BI17*EF!$H48*EF!$H66)*NtoN2O*kgtoGg,IF('Net zero activities &amp; levers'!$C$14="On",('Net zero Activity data'!BI17*EF!$H48*EF!$H66)*NtoN2O*kgtoGg,"ERROR"))</f>
        <v>0.11962734368800265</v>
      </c>
      <c r="AQ1111" s="93">
        <f>IF('Net zero activities &amp; levers'!$C$14="Off",('Activity data'!BJ17*EF!$H48*EF!$H66)*NtoN2O*kgtoGg,IF('Net zero activities &amp; levers'!$C$14="On",('Net zero Activity data'!BJ17*EF!$H48*EF!$H66)*NtoN2O*kgtoGg,"ERROR"))</f>
        <v>0.12246543086827189</v>
      </c>
      <c r="AR1111" s="93">
        <f>IF('Net zero activities &amp; levers'!$C$14="Off",('Activity data'!BK17*EF!$H48*EF!$H66)*NtoN2O*kgtoGg,IF('Net zero activities &amp; levers'!$C$14="On",('Net zero Activity data'!BK17*EF!$H48*EF!$H66)*NtoN2O*kgtoGg,"ERROR"))</f>
        <v>0.12535748302837027</v>
      </c>
      <c r="AS1111" s="93">
        <f>IF('Net zero activities &amp; levers'!$C$14="Off",('Activity data'!BL17*EF!$H48*EF!$H66)*NtoN2O*kgtoGg,IF('Net zero activities &amp; levers'!$C$14="On",('Net zero Activity data'!BL17*EF!$H48*EF!$H66)*NtoN2O*kgtoGg,"ERROR"))</f>
        <v>0.12844640721926534</v>
      </c>
      <c r="AT1111" s="93">
        <f>IF('Net zero activities &amp; levers'!$C$14="Off",('Activity data'!BM17*EF!$H48*EF!$H66)*NtoN2O*kgtoGg,IF('Net zero activities &amp; levers'!$C$14="On",('Net zero Activity data'!BM17*EF!$H48*EF!$H66)*NtoN2O*kgtoGg,"ERROR"))</f>
        <v>0.13167842894497958</v>
      </c>
      <c r="AU1111" s="93">
        <f>IF('Net zero activities &amp; levers'!$C$14="Off",('Activity data'!BN17*EF!$H48*EF!$H66)*NtoN2O*kgtoGg,IF('Net zero activities &amp; levers'!$C$14="On",('Net zero Activity data'!BN17*EF!$H48*EF!$H66)*NtoN2O*kgtoGg,"ERROR"))</f>
        <v>0.13501670748772379</v>
      </c>
      <c r="AV1111" s="93">
        <f>IF('Net zero activities &amp; levers'!$C$14="Off",('Activity data'!BO17*EF!$H48*EF!$H66)*NtoN2O*kgtoGg,IF('Net zero activities &amp; levers'!$C$14="On",('Net zero Activity data'!BO17*EF!$H48*EF!$H66)*NtoN2O*kgtoGg,"ERROR"))</f>
        <v>0.13854783957825018</v>
      </c>
      <c r="AW1111" s="93">
        <f>IF('Net zero activities &amp; levers'!$C$14="Off",('Activity data'!BP17*EF!$H48*EF!$H66)*NtoN2O*kgtoGg,IF('Net zero activities &amp; levers'!$C$14="On",('Net zero Activity data'!BP17*EF!$H48*EF!$H66)*NtoN2O*kgtoGg,"ERROR"))</f>
        <v>0.14174415331850926</v>
      </c>
      <c r="AY1111" s="79"/>
    </row>
    <row r="1112" spans="1:51" x14ac:dyDescent="0.25">
      <c r="A1112" s="95" t="str">
        <f t="shared" si="374"/>
        <v>CM Swine MMN2O</v>
      </c>
      <c r="B1112" s="95" t="s">
        <v>1321</v>
      </c>
      <c r="C1112" s="95" t="s">
        <v>1232</v>
      </c>
      <c r="D1112" t="s">
        <v>15</v>
      </c>
      <c r="E1112" t="s">
        <v>657</v>
      </c>
      <c r="F1112" t="s">
        <v>21</v>
      </c>
      <c r="G1112" t="s">
        <v>123</v>
      </c>
      <c r="H1112" t="s">
        <v>1226</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3.7592474284510076E-2</v>
      </c>
      <c r="O1112" s="93">
        <f>IF('Net zero activities &amp; levers'!$C$14="Off",('Activity data'!AH18*EF!$H49*EF!$H67)*NtoN2O*kgtoGg,IF('Net zero activities &amp; levers'!$C$14="On",('Net zero Activity data'!AH18*EF!$H49*EF!$H67)*NtoN2O*kgtoGg,"ERROR"))</f>
        <v>3.7023578211438556E-2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3.5676569387541837E-2</v>
      </c>
      <c r="R1112" s="93">
        <f>IF('Net zero activities &amp; levers'!$C$14="Off",('Activity data'!AK18*EF!$H49*EF!$H67)*NtoN2O*kgtoGg,IF('Net zero activities &amp; levers'!$C$14="On",('Net zero Activity data'!AK18*EF!$H49*EF!$H67)*NtoN2O*kgtoGg,"ERROR"))</f>
        <v>3.5160072434777263E-2</v>
      </c>
      <c r="S1112" s="93">
        <f>IF('Net zero activities &amp; levers'!$C$14="Off",('Activity data'!AL18*EF!$H49*EF!$H67)*NtoN2O*kgtoGg,IF('Net zero activities &amp; levers'!$C$14="On",('Net zero Activity data'!AL18*EF!$H49*EF!$H67)*NtoN2O*kgtoGg,"ERROR"))</f>
        <v>3.1584988316113387E-2</v>
      </c>
      <c r="T1112" s="93">
        <f>IF('Net zero activities &amp; levers'!$C$14="Off",('Activity data'!AM18*EF!$H49*EF!$H67)*NtoN2O*kgtoGg,IF('Net zero activities &amp; levers'!$C$14="On",('Net zero Activity data'!AM18*EF!$H49*EF!$H67)*NtoN2O*kgtoGg,"ERROR"))</f>
        <v>3.3012275964159274E-2</v>
      </c>
      <c r="U1112" s="93">
        <f>IF('Net zero activities &amp; levers'!$C$14="Off",('Activity data'!AN18*EF!$H49*EF!$H67)*NtoN2O*kgtoGg,IF('Net zero activities &amp; levers'!$C$14="On",('Net zero Activity data'!AN18*EF!$H49*EF!$H67)*NtoN2O*kgtoGg,"ERROR"))</f>
        <v>3.3443787934092799E-2</v>
      </c>
      <c r="V1112" s="93">
        <f>IF('Net zero activities &amp; levers'!$C$14="Off",('Activity data'!AO18*EF!$H49*EF!$H67)*NtoN2O*kgtoGg,IF('Net zero activities &amp; levers'!$C$14="On",('Net zero Activity data'!AO18*EF!$H49*EF!$H67)*NtoN2O*kgtoGg,"ERROR"))</f>
        <v>3.3113730215255661E-2</v>
      </c>
      <c r="W1112" s="93">
        <f>IF('Net zero activities &amp; levers'!$C$14="Off",('Activity data'!AP18*EF!$H49*EF!$H67)*NtoN2O*kgtoGg,IF('Net zero activities &amp; levers'!$C$14="On",('Net zero Activity data'!AP18*EF!$H49*EF!$H67)*NtoN2O*kgtoGg,"ERROR"))</f>
        <v>3.2823446206541117E-2</v>
      </c>
      <c r="X1112" s="93">
        <f>IF('Net zero activities &amp; levers'!$C$14="Off",('Activity data'!AQ18*EF!$H49*EF!$H67)*NtoN2O*kgtoGg,IF('Net zero activities &amp; levers'!$C$14="On",('Net zero Activity data'!AQ18*EF!$H49*EF!$H67)*NtoN2O*kgtoGg,"ERROR"))</f>
        <v>3.2733733814345668E-2</v>
      </c>
      <c r="Y1112" s="93">
        <f>IF('Net zero activities &amp; levers'!$C$14="Off",('Activity data'!AR18*EF!$H49*EF!$H67)*NtoN2O*kgtoGg,IF('Net zero activities &amp; levers'!$C$14="On",('Net zero Activity data'!AR18*EF!$H49*EF!$H67)*NtoN2O*kgtoGg,"ERROR"))</f>
        <v>3.2836798044013883E-2</v>
      </c>
      <c r="Z1112" s="93">
        <f>IF('Net zero activities &amp; levers'!$C$14="Off",('Activity data'!AS18*EF!$H49*EF!$H67)*NtoN2O*kgtoGg,IF('Net zero activities &amp; levers'!$C$14="On",('Net zero Activity data'!AS18*EF!$H49*EF!$H67)*NtoN2O*kgtoGg,"ERROR"))</f>
        <v>3.3028765349259512E-2</v>
      </c>
      <c r="AA1112" s="93">
        <f>IF('Net zero activities &amp; levers'!$C$14="Off",('Activity data'!AT18*EF!$H49*EF!$H67)*NtoN2O*kgtoGg,IF('Net zero activities &amp; levers'!$C$14="On",('Net zero Activity data'!AT18*EF!$H49*EF!$H67)*NtoN2O*kgtoGg,"ERROR"))</f>
        <v>3.3331536639830336E-2</v>
      </c>
      <c r="AB1112" s="93">
        <f>IF('Net zero activities &amp; levers'!$C$14="Off",('Activity data'!AU18*EF!$H49*EF!$H67)*NtoN2O*kgtoGg,IF('Net zero activities &amp; levers'!$C$14="On",('Net zero Activity data'!AU18*EF!$H49*EF!$H67)*NtoN2O*kgtoGg,"ERROR"))</f>
        <v>3.3817908960638868E-2</v>
      </c>
      <c r="AC1112" s="93">
        <f>IF('Net zero activities &amp; levers'!$C$14="Off",('Activity data'!AV18*EF!$H49*EF!$H67)*NtoN2O*kgtoGg,IF('Net zero activities &amp; levers'!$C$14="On",('Net zero Activity data'!AV18*EF!$H49*EF!$H67)*NtoN2O*kgtoGg,"ERROR"))</f>
        <v>3.4470901087403957E-2</v>
      </c>
      <c r="AD1112" s="93">
        <f>IF('Net zero activities &amp; levers'!$C$14="Off",('Activity data'!AW18*EF!$H49*EF!$H67)*NtoN2O*kgtoGg,IF('Net zero activities &amp; levers'!$C$14="On",('Net zero Activity data'!AW18*EF!$H49*EF!$H67)*NtoN2O*kgtoGg,"ERROR"))</f>
        <v>3.5214104363691767E-2</v>
      </c>
      <c r="AE1112" s="93">
        <f>IF('Net zero activities &amp; levers'!$C$14="Off",('Activity data'!AX18*EF!$H49*EF!$H67)*NtoN2O*kgtoGg,IF('Net zero activities &amp; levers'!$C$14="On",('Net zero Activity data'!AX18*EF!$H49*EF!$H67)*NtoN2O*kgtoGg,"ERROR"))</f>
        <v>3.6040140987893189E-2</v>
      </c>
      <c r="AF1112" s="93">
        <f>IF('Net zero activities &amp; levers'!$C$14="Off",('Activity data'!AY18*EF!$H49*EF!$H67)*NtoN2O*kgtoGg,IF('Net zero activities &amp; levers'!$C$14="On",('Net zero Activity data'!AY18*EF!$H49*EF!$H67)*NtoN2O*kgtoGg,"ERROR"))</f>
        <v>3.6907692271940552E-2</v>
      </c>
      <c r="AG1112" s="93">
        <f>IF('Net zero activities &amp; levers'!$C$14="Off",('Activity data'!AZ18*EF!$H49*EF!$H67)*NtoN2O*kgtoGg,IF('Net zero activities &amp; levers'!$C$14="On",('Net zero Activity data'!AZ18*EF!$H49*EF!$H67)*NtoN2O*kgtoGg,"ERROR"))</f>
        <v>3.7831657597821179E-2</v>
      </c>
      <c r="AH1112" s="93">
        <f>IF('Net zero activities &amp; levers'!$C$14="Off",('Activity data'!BA18*EF!$H49*EF!$H67)*NtoN2O*kgtoGg,IF('Net zero activities &amp; levers'!$C$14="On",('Net zero Activity data'!BA18*EF!$H49*EF!$H67)*NtoN2O*kgtoGg,"ERROR"))</f>
        <v>3.879212191497397E-2</v>
      </c>
      <c r="AI1112" s="93">
        <f>IF('Net zero activities &amp; levers'!$C$14="Off",('Activity data'!BB18*EF!$H49*EF!$H67)*NtoN2O*kgtoGg,IF('Net zero activities &amp; levers'!$C$14="On",('Net zero Activity data'!BB18*EF!$H49*EF!$H67)*NtoN2O*kgtoGg,"ERROR"))</f>
        <v>3.9724184753102243E-2</v>
      </c>
      <c r="AJ1112" s="93">
        <f>IF('Net zero activities &amp; levers'!$C$14="Off",('Activity data'!BC18*EF!$H49*EF!$H67)*NtoN2O*kgtoGg,IF('Net zero activities &amp; levers'!$C$14="On",('Net zero Activity data'!BC18*EF!$H49*EF!$H67)*NtoN2O*kgtoGg,"ERROR"))</f>
        <v>4.0717892127640175E-2</v>
      </c>
      <c r="AK1112" s="93">
        <f>IF('Net zero activities &amp; levers'!$C$14="Off",('Activity data'!BD18*EF!$H49*EF!$H67)*NtoN2O*kgtoGg,IF('Net zero activities &amp; levers'!$C$14="On",('Net zero Activity data'!BD18*EF!$H49*EF!$H67)*NtoN2O*kgtoGg,"ERROR"))</f>
        <v>4.1713581519762656E-2</v>
      </c>
      <c r="AL1112" s="93">
        <f>IF('Net zero activities &amp; levers'!$C$14="Off",('Activity data'!BE18*EF!$H49*EF!$H67)*NtoN2O*kgtoGg,IF('Net zero activities &amp; levers'!$C$14="On",('Net zero Activity data'!BE18*EF!$H49*EF!$H67)*NtoN2O*kgtoGg,"ERROR"))</f>
        <v>4.270602525351698E-2</v>
      </c>
      <c r="AM1112" s="93">
        <f>IF('Net zero activities &amp; levers'!$C$14="Off",('Activity data'!BF18*EF!$H49*EF!$H67)*NtoN2O*kgtoGg,IF('Net zero activities &amp; levers'!$C$14="On",('Net zero Activity data'!BF18*EF!$H49*EF!$H67)*NtoN2O*kgtoGg,"ERROR"))</f>
        <v>4.3720903029455652E-2</v>
      </c>
      <c r="AN1112" s="93">
        <f>IF('Net zero activities &amp; levers'!$C$14="Off",('Activity data'!BG18*EF!$H49*EF!$H67)*NtoN2O*kgtoGg,IF('Net zero activities &amp; levers'!$C$14="On",('Net zero Activity data'!BG18*EF!$H49*EF!$H67)*NtoN2O*kgtoGg,"ERROR"))</f>
        <v>4.4692584626882061E-2</v>
      </c>
      <c r="AO1112" s="93">
        <f>IF('Net zero activities &amp; levers'!$C$14="Off",('Activity data'!BH18*EF!$H49*EF!$H67)*NtoN2O*kgtoGg,IF('Net zero activities &amp; levers'!$C$14="On",('Net zero Activity data'!BH18*EF!$H49*EF!$H67)*NtoN2O*kgtoGg,"ERROR"))</f>
        <v>4.5709392710546422E-2</v>
      </c>
      <c r="AP1112" s="93">
        <f>IF('Net zero activities &amp; levers'!$C$14="Off",('Activity data'!BI18*EF!$H49*EF!$H67)*NtoN2O*kgtoGg,IF('Net zero activities &amp; levers'!$C$14="On",('Net zero Activity data'!BI18*EF!$H49*EF!$H67)*NtoN2O*kgtoGg,"ERROR"))</f>
        <v>4.6800638920112353E-2</v>
      </c>
      <c r="AQ1112" s="93">
        <f>IF('Net zero activities &amp; levers'!$C$14="Off",('Activity data'!BJ18*EF!$H49*EF!$H67)*NtoN2O*kgtoGg,IF('Net zero activities &amp; levers'!$C$14="On",('Net zero Activity data'!BJ18*EF!$H49*EF!$H67)*NtoN2O*kgtoGg,"ERROR"))</f>
        <v>4.791095608718076E-2</v>
      </c>
      <c r="AR1112" s="93">
        <f>IF('Net zero activities &amp; levers'!$C$14="Off",('Activity data'!BK18*EF!$H49*EF!$H67)*NtoN2O*kgtoGg,IF('Net zero activities &amp; levers'!$C$14="On",('Net zero Activity data'!BK18*EF!$H49*EF!$H67)*NtoN2O*kgtoGg,"ERROR"))</f>
        <v>4.9042385446975784E-2</v>
      </c>
      <c r="AS1112" s="93">
        <f>IF('Net zero activities &amp; levers'!$C$14="Off",('Activity data'!BL18*EF!$H49*EF!$H67)*NtoN2O*kgtoGg,IF('Net zero activities &amp; levers'!$C$14="On",('Net zero Activity data'!BL18*EF!$H49*EF!$H67)*NtoN2O*kgtoGg,"ERROR"))</f>
        <v>5.0250835131244558E-2</v>
      </c>
      <c r="AT1112" s="93">
        <f>IF('Net zero activities &amp; levers'!$C$14="Off",('Activity data'!BM18*EF!$H49*EF!$H67)*NtoN2O*kgtoGg,IF('Net zero activities &amp; levers'!$C$14="On",('Net zero Activity data'!BM18*EF!$H49*EF!$H67)*NtoN2O*kgtoGg,"ERROR"))</f>
        <v>5.1515267468399954E-2</v>
      </c>
      <c r="AU1112" s="93">
        <f>IF('Net zero activities &amp; levers'!$C$14="Off",('Activity data'!BN18*EF!$H49*EF!$H67)*NtoN2O*kgtoGg,IF('Net zero activities &amp; levers'!$C$14="On",('Net zero Activity data'!BN18*EF!$H49*EF!$H67)*NtoN2O*kgtoGg,"ERROR"))</f>
        <v>5.2821269623736601E-2</v>
      </c>
      <c r="AV1112" s="93">
        <f>IF('Net zero activities &amp; levers'!$C$14="Off",('Activity data'!BO18*EF!$H49*EF!$H67)*NtoN2O*kgtoGg,IF('Net zero activities &amp; levers'!$C$14="On",('Net zero Activity data'!BO18*EF!$H49*EF!$H67)*NtoN2O*kgtoGg,"ERROR"))</f>
        <v>5.4202719991630371E-2</v>
      </c>
      <c r="AW1112" s="93">
        <f>IF('Net zero activities &amp; levers'!$C$14="Off",('Activity data'!BP18*EF!$H49*EF!$H67)*NtoN2O*kgtoGg,IF('Net zero activities &amp; levers'!$C$14="On",('Net zero Activity data'!BP18*EF!$H49*EF!$H67)*NtoN2O*kgtoGg,"ERROR"))</f>
        <v>5.5453182641903707E-2</v>
      </c>
      <c r="AY1112" s="79"/>
    </row>
    <row r="1113" spans="1:51" x14ac:dyDescent="0.25">
      <c r="A1113" s="95" t="str">
        <f t="shared" si="374"/>
        <v>CM Poultry MMN2O</v>
      </c>
      <c r="B1113" s="95" t="s">
        <v>1321</v>
      </c>
      <c r="C1113" s="95" t="s">
        <v>1233</v>
      </c>
      <c r="D1113" t="s">
        <v>15</v>
      </c>
      <c r="E1113" t="s">
        <v>657</v>
      </c>
      <c r="F1113" t="s">
        <v>28</v>
      </c>
      <c r="G1113" t="s">
        <v>131</v>
      </c>
      <c r="H1113" t="s">
        <v>1226</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0.35135538223408885</v>
      </c>
      <c r="T1113" s="93">
        <f>IF('Net zero activities &amp; levers'!$C$14="Off",('Activity data'!AM19*EF!$H50*EF!$H68)*NtoN2O*kgtoGg,IF('Net zero activities &amp; levers'!$C$14="On",('Net zero Activity data'!AM19*EF!$H50*EF!$H68)*NtoN2O*kgtoGg,"ERROR"))</f>
        <v>0.3660250744881503</v>
      </c>
      <c r="U1113" s="93">
        <f>IF('Net zero activities &amp; levers'!$C$14="Off",('Activity data'!AN19*EF!$H50*EF!$H68)*NtoN2O*kgtoGg,IF('Net zero activities &amp; levers'!$C$14="On",('Net zero Activity data'!AN19*EF!$H50*EF!$H68)*NtoN2O*kgtoGg,"ERROR"))</f>
        <v>0.3747433751291977</v>
      </c>
      <c r="V1113" s="93">
        <f>IF('Net zero activities &amp; levers'!$C$14="Off",('Activity data'!AO19*EF!$H50*EF!$H68)*NtoN2O*kgtoGg,IF('Net zero activities &amp; levers'!$C$14="On",('Net zero Activity data'!AO19*EF!$H50*EF!$H68)*NtoN2O*kgtoGg,"ERROR"))</f>
        <v>0.37890472124533414</v>
      </c>
      <c r="W1113" s="93">
        <f>IF('Net zero activities &amp; levers'!$C$14="Off",('Activity data'!AP19*EF!$H50*EF!$H68)*NtoN2O*kgtoGg,IF('Net zero activities &amp; levers'!$C$14="On",('Net zero Activity data'!AP19*EF!$H50*EF!$H68)*NtoN2O*kgtoGg,"ERROR"))</f>
        <v>0.38351980018418114</v>
      </c>
      <c r="X1113" s="93">
        <f>IF('Net zero activities &amp; levers'!$C$14="Off",('Activity data'!AQ19*EF!$H50*EF!$H68)*NtoN2O*kgtoGg,IF('Net zero activities &amp; levers'!$C$14="On",('Net zero Activity data'!AQ19*EF!$H50*EF!$H68)*NtoN2O*kgtoGg,"ERROR"))</f>
        <v>0.38953835570243145</v>
      </c>
      <c r="Y1113" s="93">
        <f>IF('Net zero activities &amp; levers'!$C$14="Off",('Activity data'!AR19*EF!$H50*EF!$H68)*NtoN2O*kgtoGg,IF('Net zero activities &amp; levers'!$C$14="On",('Net zero Activity data'!AR19*EF!$H50*EF!$H68)*NtoN2O*kgtoGg,"ERROR"))</f>
        <v>0.39678314869255904</v>
      </c>
      <c r="Z1113" s="93">
        <f>IF('Net zero activities &amp; levers'!$C$14="Off",('Activity data'!AS19*EF!$H50*EF!$H68)*NtoN2O*kgtoGg,IF('Net zero activities &amp; levers'!$C$14="On",('Net zero Activity data'!AS19*EF!$H50*EF!$H68)*NtoN2O*kgtoGg,"ERROR"))</f>
        <v>0.40464075152916346</v>
      </c>
      <c r="AA1113" s="93">
        <f>IF('Net zero activities &amp; levers'!$C$14="Off",('Activity data'!AT19*EF!$H50*EF!$H68)*NtoN2O*kgtoGg,IF('Net zero activities &amp; levers'!$C$14="On",('Net zero Activity data'!AT19*EF!$H50*EF!$H68)*NtoN2O*kgtoGg,"ERROR"))</f>
        <v>0.41330404639575669</v>
      </c>
      <c r="AB1113" s="93">
        <f>IF('Net zero activities &amp; levers'!$C$14="Off",('Activity data'!AU19*EF!$H50*EF!$H68)*NtoN2O*kgtoGg,IF('Net zero activities &amp; levers'!$C$14="On",('Net zero Activity data'!AU19*EF!$H50*EF!$H68)*NtoN2O*kgtoGg,"ERROR"))</f>
        <v>0.42334665156208889</v>
      </c>
      <c r="AC1113" s="93">
        <f>IF('Net zero activities &amp; levers'!$C$14="Off",('Activity data'!AV19*EF!$H50*EF!$H68)*NtoN2O*kgtoGg,IF('Net zero activities &amp; levers'!$C$14="On",('Net zero Activity data'!AV19*EF!$H50*EF!$H68)*NtoN2O*kgtoGg,"ERROR"))</f>
        <v>0.43473806986049379</v>
      </c>
      <c r="AD1113" s="93">
        <f>IF('Net zero activities &amp; levers'!$C$14="Off",('Activity data'!AW19*EF!$H50*EF!$H68)*NtoN2O*kgtoGg,IF('Net zero activities &amp; levers'!$C$14="On",('Net zero Activity data'!AW19*EF!$H50*EF!$H68)*NtoN2O*kgtoGg,"ERROR"))</f>
        <v>0.44699375378888861</v>
      </c>
      <c r="AE1113" s="93">
        <f>IF('Net zero activities &amp; levers'!$C$14="Off",('Activity data'!AX19*EF!$H50*EF!$H68)*NtoN2O*kgtoGg,IF('Net zero activities &amp; levers'!$C$14="On",('Net zero Activity data'!AX19*EF!$H50*EF!$H68)*NtoN2O*kgtoGg,"ERROR"))</f>
        <v>0.46011178168093952</v>
      </c>
      <c r="AF1113" s="93">
        <f>IF('Net zero activities &amp; levers'!$C$14="Off",('Activity data'!AY19*EF!$H50*EF!$H68)*NtoN2O*kgtoGg,IF('Net zero activities &amp; levers'!$C$14="On",('Net zero Activity data'!AY19*EF!$H50*EF!$H68)*NtoN2O*kgtoGg,"ERROR"))</f>
        <v>0.47382089637959635</v>
      </c>
      <c r="AG1113" s="93">
        <f>IF('Net zero activities &amp; levers'!$C$14="Off",('Activity data'!AZ19*EF!$H50*EF!$H68)*NtoN2O*kgtoGg,IF('Net zero activities &amp; levers'!$C$14="On",('Net zero Activity data'!AZ19*EF!$H50*EF!$H68)*NtoN2O*kgtoGg,"ERROR"))</f>
        <v>0.48826027881230222</v>
      </c>
      <c r="AH1113" s="93">
        <f>IF('Net zero activities &amp; levers'!$C$14="Off",('Activity data'!BA19*EF!$H50*EF!$H68)*NtoN2O*kgtoGg,IF('Net zero activities &amp; levers'!$C$14="On",('Net zero Activity data'!BA19*EF!$H50*EF!$H68)*NtoN2O*kgtoGg,"ERROR"))</f>
        <v>0.50330862860005154</v>
      </c>
      <c r="AI1113" s="93">
        <f>IF('Net zero activities &amp; levers'!$C$14="Off",('Activity data'!BB19*EF!$H50*EF!$H68)*NtoN2O*kgtoGg,IF('Net zero activities &amp; levers'!$C$14="On",('Net zero Activity data'!BB19*EF!$H50*EF!$H68)*NtoN2O*kgtoGg,"ERROR"))</f>
        <v>0.5184689754858961</v>
      </c>
      <c r="AJ1113" s="93">
        <f>IF('Net zero activities &amp; levers'!$C$14="Off",('Activity data'!BC19*EF!$H50*EF!$H68)*NtoN2O*kgtoGg,IF('Net zero activities &amp; levers'!$C$14="On",('Net zero Activity data'!BC19*EF!$H50*EF!$H68)*NtoN2O*kgtoGg,"ERROR"))</f>
        <v>0.53447970815576928</v>
      </c>
      <c r="AK1113" s="93">
        <f>IF('Net zero activities &amp; levers'!$C$14="Off",('Activity data'!BD19*EF!$H50*EF!$H68)*NtoN2O*kgtoGg,IF('Net zero activities &amp; levers'!$C$14="On",('Net zero Activity data'!BD19*EF!$H50*EF!$H68)*NtoN2O*kgtoGg,"ERROR"))</f>
        <v>0.55086704408448872</v>
      </c>
      <c r="AL1113" s="93">
        <f>IF('Net zero activities &amp; levers'!$C$14="Off",('Activity data'!BE19*EF!$H50*EF!$H68)*NtoN2O*kgtoGg,IF('Net zero activities &amp; levers'!$C$14="On",('Net zero Activity data'!BE19*EF!$H50*EF!$H68)*NtoN2O*kgtoGg,"ERROR"))</f>
        <v>0.56759733652439393</v>
      </c>
      <c r="AM1113" s="93">
        <f>IF('Net zero activities &amp; levers'!$C$14="Off",('Activity data'!BF19*EF!$H50*EF!$H68)*NtoN2O*kgtoGg,IF('Net zero activities &amp; levers'!$C$14="On",('Net zero Activity data'!BF19*EF!$H50*EF!$H68)*NtoN2O*kgtoGg,"ERROR"))</f>
        <v>0.58490701814028823</v>
      </c>
      <c r="AN1113" s="93">
        <f>IF('Net zero activities &amp; levers'!$C$14="Off",('Activity data'!BG19*EF!$H50*EF!$H68)*NtoN2O*kgtoGg,IF('Net zero activities &amp; levers'!$C$14="On",('Net zero Activity data'!BG19*EF!$H50*EF!$H68)*NtoN2O*kgtoGg,"ERROR"))</f>
        <v>0.60223366750494911</v>
      </c>
      <c r="AO1113" s="93">
        <f>IF('Net zero activities &amp; levers'!$C$14="Off",('Activity data'!BH19*EF!$H50*EF!$H68)*NtoN2O*kgtoGg,IF('Net zero activities &amp; levers'!$C$14="On",('Net zero Activity data'!BH19*EF!$H50*EF!$H68)*NtoN2O*kgtoGg,"ERROR"))</f>
        <v>0.62036595204994383</v>
      </c>
      <c r="AP1113" s="93">
        <f>IF('Net zero activities &amp; levers'!$C$14="Off",('Activity data'!BI19*EF!$H50*EF!$H68)*NtoN2O*kgtoGg,IF('Net zero activities &amp; levers'!$C$14="On",('Net zero Activity data'!BI19*EF!$H50*EF!$H68)*NtoN2O*kgtoGg,"ERROR"))</f>
        <v>0.63960685850737242</v>
      </c>
      <c r="AQ1113" s="93">
        <f>IF('Net zero activities &amp; levers'!$C$14="Off",('Activity data'!BJ19*EF!$H50*EF!$H68)*NtoN2O*kgtoGg,IF('Net zero activities &amp; levers'!$C$14="On",('Net zero Activity data'!BJ19*EF!$H50*EF!$H68)*NtoN2O*kgtoGg,"ERROR"))</f>
        <v>0.65948374000710175</v>
      </c>
      <c r="AR1113" s="93">
        <f>IF('Net zero activities &amp; levers'!$C$14="Off",('Activity data'!BK19*EF!$H50*EF!$H68)*NtoN2O*kgtoGg,IF('Net zero activities &amp; levers'!$C$14="On",('Net zero Activity data'!BK19*EF!$H50*EF!$H68)*NtoN2O*kgtoGg,"ERROR"))</f>
        <v>0.68003541307118265</v>
      </c>
      <c r="AS1113" s="93">
        <f>IF('Net zero activities &amp; levers'!$C$14="Off",('Activity data'!BL19*EF!$H50*EF!$H68)*NtoN2O*kgtoGg,IF('Net zero activities &amp; levers'!$C$14="On",('Net zero Activity data'!BL19*EF!$H50*EF!$H68)*NtoN2O*kgtoGg,"ERROR"))</f>
        <v>0.70183096342172768</v>
      </c>
      <c r="AT1113" s="93">
        <f>IF('Net zero activities &amp; levers'!$C$14="Off",('Activity data'!BM19*EF!$H50*EF!$H68)*NtoN2O*kgtoGg,IF('Net zero activities &amp; levers'!$C$14="On",('Net zero Activity data'!BM19*EF!$H50*EF!$H68)*NtoN2O*kgtoGg,"ERROR"))</f>
        <v>0.72471687693803755</v>
      </c>
      <c r="AU1113" s="93">
        <f>IF('Net zero activities &amp; levers'!$C$14="Off",('Activity data'!BN19*EF!$H50*EF!$H68)*NtoN2O*kgtoGg,IF('Net zero activities &amp; levers'!$C$14="On",('Net zero Activity data'!BN19*EF!$H50*EF!$H68)*NtoN2O*kgtoGg,"ERROR"))</f>
        <v>0.74859496074669962</v>
      </c>
      <c r="AV1113" s="93">
        <f>IF('Net zero activities &amp; levers'!$C$14="Off",('Activity data'!BO19*EF!$H50*EF!$H68)*NtoN2O*kgtoGg,IF('Net zero activities &amp; levers'!$C$14="On",('Net zero Activity data'!BO19*EF!$H50*EF!$H68)*NtoN2O*kgtoGg,"ERROR"))</f>
        <v>0.77385822122722236</v>
      </c>
      <c r="AW1113" s="93">
        <f>IF('Net zero activities &amp; levers'!$C$14="Off",('Activity data'!BP19*EF!$H50*EF!$H68)*NtoN2O*kgtoGg,IF('Net zero activities &amp; levers'!$C$14="On",('Net zero Activity data'!BP19*EF!$H50*EF!$H68)*NtoN2O*kgtoGg,"ERROR"))</f>
        <v>0.79838507129603287</v>
      </c>
      <c r="AY1113" s="79"/>
    </row>
    <row r="1114" spans="1:51" x14ac:dyDescent="0.25">
      <c r="A1114" s="95" t="str">
        <f t="shared" si="374"/>
        <v>CM Poultry MMN2O</v>
      </c>
      <c r="B1114" s="95" t="s">
        <v>1321</v>
      </c>
      <c r="C1114" s="95" t="s">
        <v>1233</v>
      </c>
      <c r="D1114" t="s">
        <v>15</v>
      </c>
      <c r="E1114" t="s">
        <v>657</v>
      </c>
      <c r="F1114" t="s">
        <v>28</v>
      </c>
      <c r="G1114" t="s">
        <v>132</v>
      </c>
      <c r="H1114" t="s">
        <v>1226</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1.7601182693498105</v>
      </c>
      <c r="N1114" s="93">
        <f>IF('Net zero activities &amp; levers'!$C$14="Off",('Activity data'!AG20*EF!$H51*EF!$H69)*NtoN2O*kgtoGg,IF('Net zero activities &amp; levers'!$C$14="On",('Net zero Activity data'!AG20*EF!$H51*EF!$H69)*NtoN2O*kgtoGg,"ERROR"))</f>
        <v>1.7704533576020511</v>
      </c>
      <c r="O1114" s="93">
        <f>IF('Net zero activities &amp; levers'!$C$14="Off",('Activity data'!AH20*EF!$H51*EF!$H69)*NtoN2O*kgtoGg,IF('Net zero activities &amp; levers'!$C$14="On",('Net zero Activity data'!AH20*EF!$H51*EF!$H69)*NtoN2O*kgtoGg,"ERROR"))</f>
        <v>1.7641159598844747</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1.7315152516158574</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1.4999683948751941</v>
      </c>
      <c r="T1114" s="93">
        <f>IF('Net zero activities &amp; levers'!$C$14="Off",('Activity data'!AM20*EF!$H51*EF!$H69)*NtoN2O*kgtoGg,IF('Net zero activities &amp; levers'!$C$14="On",('Net zero Activity data'!AM20*EF!$H51*EF!$H69)*NtoN2O*kgtoGg,"ERROR"))</f>
        <v>1.635678170936574</v>
      </c>
      <c r="U1114" s="93">
        <f>IF('Net zero activities &amp; levers'!$C$14="Off",('Activity data'!AN20*EF!$H51*EF!$H69)*NtoN2O*kgtoGg,IF('Net zero activities &amp; levers'!$C$14="On",('Net zero Activity data'!AN20*EF!$H51*EF!$H69)*NtoN2O*kgtoGg,"ERROR"))</f>
        <v>1.7009774454367668</v>
      </c>
      <c r="V1114" s="93">
        <f>IF('Net zero activities &amp; levers'!$C$14="Off",('Activity data'!AO20*EF!$H51*EF!$H69)*NtoN2O*kgtoGg,IF('Net zero activities &amp; levers'!$C$14="On",('Net zero Activity data'!AO20*EF!$H51*EF!$H69)*NtoN2O*kgtoGg,"ERROR"))</f>
        <v>1.7091479327288939</v>
      </c>
      <c r="W1114" s="93">
        <f>IF('Net zero activities &amp; levers'!$C$14="Off",('Activity data'!AP20*EF!$H51*EF!$H69)*NtoN2O*kgtoGg,IF('Net zero activities &amp; levers'!$C$14="On",('Net zero Activity data'!AP20*EF!$H51*EF!$H69)*NtoN2O*kgtoGg,"ERROR"))</f>
        <v>1.7185668307415591</v>
      </c>
      <c r="X1114" s="93">
        <f>IF('Net zero activities &amp; levers'!$C$14="Off",('Activity data'!AQ20*EF!$H51*EF!$H69)*NtoN2O*kgtoGg,IF('Net zero activities &amp; levers'!$C$14="On",('Net zero Activity data'!AQ20*EF!$H51*EF!$H69)*NtoN2O*kgtoGg,"ERROR"))</f>
        <v>1.7424532471009451</v>
      </c>
      <c r="Y1114" s="93">
        <f>IF('Net zero activities &amp; levers'!$C$14="Off",('Activity data'!AR20*EF!$H51*EF!$H69)*NtoN2O*kgtoGg,IF('Net zero activities &amp; levers'!$C$14="On",('Net zero Activity data'!AR20*EF!$H51*EF!$H69)*NtoN2O*kgtoGg,"ERROR"))</f>
        <v>1.7817834224196265</v>
      </c>
      <c r="Z1114" s="93">
        <f>IF('Net zero activities &amp; levers'!$C$14="Off",('Activity data'!AS20*EF!$H51*EF!$H69)*NtoN2O*kgtoGg,IF('Net zero activities &amp; levers'!$C$14="On",('Net zero Activity data'!AS20*EF!$H51*EF!$H69)*NtoN2O*kgtoGg,"ERROR"))</f>
        <v>1.8288406604826053</v>
      </c>
      <c r="AA1114" s="93">
        <f>IF('Net zero activities &amp; levers'!$C$14="Off",('Activity data'!AT20*EF!$H51*EF!$H69)*NtoN2O*kgtoGg,IF('Net zero activities &amp; levers'!$C$14="On",('Net zero Activity data'!AT20*EF!$H51*EF!$H69)*NtoN2O*kgtoGg,"ERROR"))</f>
        <v>1.885701932517597</v>
      </c>
      <c r="AB1114" s="93">
        <f>IF('Net zero activities &amp; levers'!$C$14="Off",('Activity data'!AU20*EF!$H51*EF!$H69)*NtoN2O*kgtoGg,IF('Net zero activities &amp; levers'!$C$14="On",('Net zero Activity data'!AU20*EF!$H51*EF!$H69)*NtoN2O*kgtoGg,"ERROR"))</f>
        <v>1.9586802917289898</v>
      </c>
      <c r="AC1114" s="93">
        <f>IF('Net zero activities &amp; levers'!$C$14="Off",('Activity data'!AV20*EF!$H51*EF!$H69)*NtoN2O*kgtoGg,IF('Net zero activities &amp; levers'!$C$14="On",('Net zero Activity data'!AV20*EF!$H51*EF!$H69)*NtoN2O*kgtoGg,"ERROR"))</f>
        <v>2.0469431813370456</v>
      </c>
      <c r="AD1114" s="93">
        <f>IF('Net zero activities &amp; levers'!$C$14="Off",('Activity data'!AW20*EF!$H51*EF!$H69)*NtoN2O*kgtoGg,IF('Net zero activities &amp; levers'!$C$14="On",('Net zero Activity data'!AW20*EF!$H51*EF!$H69)*NtoN2O*kgtoGg,"ERROR"))</f>
        <v>2.1446346617917671</v>
      </c>
      <c r="AE1114" s="93">
        <f>IF('Net zero activities &amp; levers'!$C$14="Off",('Activity data'!AX20*EF!$H51*EF!$H69)*NtoN2O*kgtoGg,IF('Net zero activities &amp; levers'!$C$14="On",('Net zero Activity data'!AX20*EF!$H51*EF!$H69)*NtoN2O*kgtoGg,"ERROR"))</f>
        <v>2.2514306358992373</v>
      </c>
      <c r="AF1114" s="93">
        <f>IF('Net zero activities &amp; levers'!$C$14="Off",('Activity data'!AY20*EF!$H51*EF!$H69)*NtoN2O*kgtoGg,IF('Net zero activities &amp; levers'!$C$14="On",('Net zero Activity data'!AY20*EF!$H51*EF!$H69)*NtoN2O*kgtoGg,"ERROR"))</f>
        <v>2.364080403374996</v>
      </c>
      <c r="AG1114" s="93">
        <f>IF('Net zero activities &amp; levers'!$C$14="Off",('Activity data'!AZ20*EF!$H51*EF!$H69)*NtoN2O*kgtoGg,IF('Net zero activities &amp; levers'!$C$14="On",('Net zero Activity data'!AZ20*EF!$H51*EF!$H69)*NtoN2O*kgtoGg,"ERROR"))</f>
        <v>2.4840914132913525</v>
      </c>
      <c r="AH1114" s="93">
        <f>IF('Net zero activities &amp; levers'!$C$14="Off",('Activity data'!BA20*EF!$H51*EF!$H69)*NtoN2O*kgtoGg,IF('Net zero activities &amp; levers'!$C$14="On",('Net zero Activity data'!BA20*EF!$H51*EF!$H69)*NtoN2O*kgtoGg,"ERROR"))</f>
        <v>2.609932995576361</v>
      </c>
      <c r="AI1114" s="93">
        <f>IF('Net zero activities &amp; levers'!$C$14="Off",('Activity data'!BB20*EF!$H51*EF!$H69)*NtoN2O*kgtoGg,IF('Net zero activities &amp; levers'!$C$14="On",('Net zero Activity data'!BB20*EF!$H51*EF!$H69)*NtoN2O*kgtoGg,"ERROR"))</f>
        <v>2.7359571600200745</v>
      </c>
      <c r="AJ1114" s="93">
        <f>IF('Net zero activities &amp; levers'!$C$14="Off",('Activity data'!BC20*EF!$H51*EF!$H69)*NtoN2O*kgtoGg,IF('Net zero activities &amp; levers'!$C$14="On",('Net zero Activity data'!BC20*EF!$H51*EF!$H69)*NtoN2O*kgtoGg,"ERROR"))</f>
        <v>2.870315303671148</v>
      </c>
      <c r="AK1114" s="93">
        <f>IF('Net zero activities &amp; levers'!$C$14="Off",('Activity data'!BD20*EF!$H51*EF!$H69)*NtoN2O*kgtoGg,IF('Net zero activities &amp; levers'!$C$14="On",('Net zero Activity data'!BD20*EF!$H51*EF!$H69)*NtoN2O*kgtoGg,"ERROR"))</f>
        <v>3.0078431709030542</v>
      </c>
      <c r="AL1114" s="93">
        <f>IF('Net zero activities &amp; levers'!$C$14="Off",('Activity data'!BE20*EF!$H51*EF!$H69)*NtoN2O*kgtoGg,IF('Net zero activities &amp; levers'!$C$14="On",('Net zero Activity data'!BE20*EF!$H51*EF!$H69)*NtoN2O*kgtoGg,"ERROR"))</f>
        <v>3.1481328800356168</v>
      </c>
      <c r="AM1114" s="93">
        <f>IF('Net zero activities &amp; levers'!$C$14="Off",('Activity data'!BF20*EF!$H51*EF!$H69)*NtoN2O*kgtoGg,IF('Net zero activities &amp; levers'!$C$14="On",('Net zero Activity data'!BF20*EF!$H51*EF!$H69)*NtoN2O*kgtoGg,"ERROR"))</f>
        <v>3.293658685243031</v>
      </c>
      <c r="AN1114" s="93">
        <f>IF('Net zero activities &amp; levers'!$C$14="Off",('Activity data'!BG20*EF!$H51*EF!$H69)*NtoN2O*kgtoGg,IF('Net zero activities &amp; levers'!$C$14="On",('Net zero Activity data'!BG20*EF!$H51*EF!$H69)*NtoN2O*kgtoGg,"ERROR"))</f>
        <v>3.4383107407406079</v>
      </c>
      <c r="AO1114" s="93">
        <f>IF('Net zero activities &amp; levers'!$C$14="Off",('Activity data'!BH20*EF!$H51*EF!$H69)*NtoN2O*kgtoGg,IF('Net zero activities &amp; levers'!$C$14="On",('Net zero Activity data'!BH20*EF!$H51*EF!$H69)*NtoN2O*kgtoGg,"ERROR"))</f>
        <v>3.5905693529651876</v>
      </c>
      <c r="AP1114" s="93">
        <f>IF('Net zero activities &amp; levers'!$C$14="Off",('Activity data'!BI20*EF!$H51*EF!$H69)*NtoN2O*kgtoGg,IF('Net zero activities &amp; levers'!$C$14="On",('Net zero Activity data'!BI20*EF!$H51*EF!$H69)*NtoN2O*kgtoGg,"ERROR"))</f>
        <v>3.7535692593915186</v>
      </c>
      <c r="AQ1114" s="93">
        <f>IF('Net zero activities &amp; levers'!$C$14="Off",('Activity data'!BJ20*EF!$H51*EF!$H69)*NtoN2O*kgtoGg,IF('Net zero activities &amp; levers'!$C$14="On",('Net zero Activity data'!BJ20*EF!$H51*EF!$H69)*NtoN2O*kgtoGg,"ERROR"))</f>
        <v>3.922195814332385</v>
      </c>
      <c r="AR1114" s="93">
        <f>IF('Net zero activities &amp; levers'!$C$14="Off",('Activity data'!BK20*EF!$H51*EF!$H69)*NtoN2O*kgtoGg,IF('Net zero activities &amp; levers'!$C$14="On",('Net zero Activity data'!BK20*EF!$H51*EF!$H69)*NtoN2O*kgtoGg,"ERROR"))</f>
        <v>4.0968427833898948</v>
      </c>
      <c r="AS1114" s="93">
        <f>IF('Net zero activities &amp; levers'!$C$14="Off",('Activity data'!BL20*EF!$H51*EF!$H69)*NtoN2O*kgtoGg,IF('Net zero activities &amp; levers'!$C$14="On",('Net zero Activity data'!BL20*EF!$H51*EF!$H69)*NtoN2O*kgtoGg,"ERROR"))</f>
        <v>4.2833995063649954</v>
      </c>
      <c r="AT1114" s="93">
        <f>IF('Net zero activities &amp; levers'!$C$14="Off",('Activity data'!BM20*EF!$H51*EF!$H69)*NtoN2O*kgtoGg,IF('Net zero activities &amp; levers'!$C$14="On",('Net zero Activity data'!BM20*EF!$H51*EF!$H69)*NtoN2O*kgtoGg,"ERROR"))</f>
        <v>4.4801147383664359</v>
      </c>
      <c r="AU1114" s="93">
        <f>IF('Net zero activities &amp; levers'!$C$14="Off",('Activity data'!BN20*EF!$H51*EF!$H69)*NtoN2O*kgtoGg,IF('Net zero activities &amp; levers'!$C$14="On",('Net zero Activity data'!BN20*EF!$H51*EF!$H69)*NtoN2O*kgtoGg,"ERROR"))</f>
        <v>4.6858252173265607</v>
      </c>
      <c r="AV1114" s="93">
        <f>IF('Net zero activities &amp; levers'!$C$14="Off",('Activity data'!BO20*EF!$H51*EF!$H69)*NtoN2O*kgtoGg,IF('Net zero activities &amp; levers'!$C$14="On",('Net zero Activity data'!BO20*EF!$H51*EF!$H69)*NtoN2O*kgtoGg,"ERROR"))</f>
        <v>4.9044073325814885</v>
      </c>
      <c r="AW1114" s="93">
        <f>IF('Net zero activities &amp; levers'!$C$14="Off",('Activity data'!BP20*EF!$H51*EF!$H69)*NtoN2O*kgtoGg,IF('Net zero activities &amp; levers'!$C$14="On",('Net zero Activity data'!BP20*EF!$H51*EF!$H69)*NtoN2O*kgtoGg,"ERROR"))</f>
        <v>5.1142236717204526</v>
      </c>
      <c r="AY1114" s="79"/>
    </row>
    <row r="1115" spans="1:51" x14ac:dyDescent="0.25">
      <c r="A1115" s="95" t="str">
        <f t="shared" si="374"/>
        <v>CM Poultry MMN2O</v>
      </c>
      <c r="B1115" s="95" t="s">
        <v>1321</v>
      </c>
      <c r="C1115" s="95" t="s">
        <v>1233</v>
      </c>
      <c r="D1115" t="s">
        <v>15</v>
      </c>
      <c r="E1115" t="s">
        <v>657</v>
      </c>
      <c r="F1115" t="s">
        <v>28</v>
      </c>
      <c r="G1115" t="s">
        <v>134</v>
      </c>
      <c r="H1115" t="s">
        <v>1226</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1.4711795979713126E-2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1.4639807593087044E-2</v>
      </c>
      <c r="T1115" s="93">
        <f>IF('Net zero activities &amp; levers'!$C$14="Off",('Activity data'!AM21*EF!$H52*EF!$H70)*NtoN2O*kgtoGg,IF('Net zero activities &amp; levers'!$C$14="On",('Net zero Activity data'!AM21*EF!$H52*EF!$H70)*NtoN2O*kgtoGg,"ERROR"))</f>
        <v>1.525104477033961E-2</v>
      </c>
      <c r="U1115" s="93">
        <f>IF('Net zero activities &amp; levers'!$C$14="Off",('Activity data'!AN21*EF!$H52*EF!$H70)*NtoN2O*kgtoGg,IF('Net zero activities &amp; levers'!$C$14="On",('Net zero Activity data'!AN21*EF!$H52*EF!$H70)*NtoN2O*kgtoGg,"ERROR"))</f>
        <v>1.5614307297049917E-2</v>
      </c>
      <c r="V1115" s="93">
        <f>IF('Net zero activities &amp; levers'!$C$14="Off",('Activity data'!AO21*EF!$H52*EF!$H70)*NtoN2O*kgtoGg,IF('Net zero activities &amp; levers'!$C$14="On",('Net zero Activity data'!AO21*EF!$H52*EF!$H70)*NtoN2O*kgtoGg,"ERROR"))</f>
        <v>1.5787696718555604E-2</v>
      </c>
      <c r="W1115" s="93">
        <f>IF('Net zero activities &amp; levers'!$C$14="Off",('Activity data'!AP21*EF!$H52*EF!$H70)*NtoN2O*kgtoGg,IF('Net zero activities &amp; levers'!$C$14="On",('Net zero Activity data'!AP21*EF!$H52*EF!$H70)*NtoN2O*kgtoGg,"ERROR"))</f>
        <v>1.5979991674340898E-2</v>
      </c>
      <c r="X1115" s="93">
        <f>IF('Net zero activities &amp; levers'!$C$14="Off",('Activity data'!AQ21*EF!$H52*EF!$H70)*NtoN2O*kgtoGg,IF('Net zero activities &amp; levers'!$C$14="On",('Net zero Activity data'!AQ21*EF!$H52*EF!$H70)*NtoN2O*kgtoGg,"ERROR"))</f>
        <v>1.6230764820934659E-2</v>
      </c>
      <c r="Y1115" s="93">
        <f>IF('Net zero activities &amp; levers'!$C$14="Off",('Activity data'!AR21*EF!$H52*EF!$H70)*NtoN2O*kgtoGg,IF('Net zero activities &amp; levers'!$C$14="On",('Net zero Activity data'!AR21*EF!$H52*EF!$H70)*NtoN2O*kgtoGg,"ERROR"))</f>
        <v>1.6532631195523312E-2</v>
      </c>
      <c r="Z1115" s="93">
        <f>IF('Net zero activities &amp; levers'!$C$14="Off",('Activity data'!AS21*EF!$H52*EF!$H70)*NtoN2O*kgtoGg,IF('Net zero activities &amp; levers'!$C$14="On",('Net zero Activity data'!AS21*EF!$H52*EF!$H70)*NtoN2O*kgtoGg,"ERROR"))</f>
        <v>1.6860031313715163E-2</v>
      </c>
      <c r="AA1115" s="93">
        <f>IF('Net zero activities &amp; levers'!$C$14="Off",('Activity data'!AT21*EF!$H52*EF!$H70)*NtoN2O*kgtoGg,IF('Net zero activities &amp; levers'!$C$14="On",('Net zero Activity data'!AT21*EF!$H52*EF!$H70)*NtoN2O*kgtoGg,"ERROR"))</f>
        <v>1.7221001933156545E-2</v>
      </c>
      <c r="AB1115" s="93">
        <f>IF('Net zero activities &amp; levers'!$C$14="Off",('Activity data'!AU21*EF!$H52*EF!$H70)*NtoN2O*kgtoGg,IF('Net zero activities &amp; levers'!$C$14="On",('Net zero Activity data'!AU21*EF!$H52*EF!$H70)*NtoN2O*kgtoGg,"ERROR"))</f>
        <v>1.7639443815087055E-2</v>
      </c>
      <c r="AC1115" s="93">
        <f>IF('Net zero activities &amp; levers'!$C$14="Off",('Activity data'!AV21*EF!$H52*EF!$H70)*NtoN2O*kgtoGg,IF('Net zero activities &amp; levers'!$C$14="On",('Net zero Activity data'!AV21*EF!$H52*EF!$H70)*NtoN2O*kgtoGg,"ERROR"))</f>
        <v>1.8114086244187262E-2</v>
      </c>
      <c r="AD1115" s="93">
        <f>IF('Net zero activities &amp; levers'!$C$14="Off",('Activity data'!AW21*EF!$H52*EF!$H70)*NtoN2O*kgtoGg,IF('Net zero activities &amp; levers'!$C$14="On",('Net zero Activity data'!AW21*EF!$H52*EF!$H70)*NtoN2O*kgtoGg,"ERROR"))</f>
        <v>1.8624739741203704E-2</v>
      </c>
      <c r="AE1115" s="93">
        <f>IF('Net zero activities &amp; levers'!$C$14="Off",('Activity data'!AX21*EF!$H52*EF!$H70)*NtoN2O*kgtoGg,IF('Net zero activities &amp; levers'!$C$14="On",('Net zero Activity data'!AX21*EF!$H52*EF!$H70)*NtoN2O*kgtoGg,"ERROR"))</f>
        <v>1.9171324236705832E-2</v>
      </c>
      <c r="AF1115" s="93">
        <f>IF('Net zero activities &amp; levers'!$C$14="Off",('Activity data'!AY21*EF!$H52*EF!$H70)*NtoN2O*kgtoGg,IF('Net zero activities &amp; levers'!$C$14="On",('Net zero Activity data'!AY21*EF!$H52*EF!$H70)*NtoN2O*kgtoGg,"ERROR"))</f>
        <v>1.9742537349149866E-2</v>
      </c>
      <c r="AG1115" s="93">
        <f>IF('Net zero activities &amp; levers'!$C$14="Off",('Activity data'!AZ21*EF!$H52*EF!$H70)*NtoN2O*kgtoGg,IF('Net zero activities &amp; levers'!$C$14="On",('Net zero Activity data'!AZ21*EF!$H52*EF!$H70)*NtoN2O*kgtoGg,"ERROR"))</f>
        <v>2.0344178283845944E-2</v>
      </c>
      <c r="AH1115" s="93">
        <f>IF('Net zero activities &amp; levers'!$C$14="Off",('Activity data'!BA21*EF!$H52*EF!$H70)*NtoN2O*kgtoGg,IF('Net zero activities &amp; levers'!$C$14="On",('Net zero Activity data'!BA21*EF!$H52*EF!$H70)*NtoN2O*kgtoGg,"ERROR"))</f>
        <v>2.09711928583355E-2</v>
      </c>
      <c r="AI1115" s="93">
        <f>IF('Net zero activities &amp; levers'!$C$14="Off",('Activity data'!BB21*EF!$H52*EF!$H70)*NtoN2O*kgtoGg,IF('Net zero activities &amp; levers'!$C$14="On",('Net zero Activity data'!BB21*EF!$H52*EF!$H70)*NtoN2O*kgtoGg,"ERROR"))</f>
        <v>2.1602873978579022E-2</v>
      </c>
      <c r="AJ1115" s="93">
        <f>IF('Net zero activities &amp; levers'!$C$14="Off",('Activity data'!BC21*EF!$H52*EF!$H70)*NtoN2O*kgtoGg,IF('Net zero activities &amp; levers'!$C$14="On",('Net zero Activity data'!BC21*EF!$H52*EF!$H70)*NtoN2O*kgtoGg,"ERROR"))</f>
        <v>2.226998783982374E-2</v>
      </c>
      <c r="AK1115" s="93">
        <f>IF('Net zero activities &amp; levers'!$C$14="Off",('Activity data'!BD21*EF!$H52*EF!$H70)*NtoN2O*kgtoGg,IF('Net zero activities &amp; levers'!$C$14="On",('Net zero Activity data'!BD21*EF!$H52*EF!$H70)*NtoN2O*kgtoGg,"ERROR"))</f>
        <v>2.2952793503520384E-2</v>
      </c>
      <c r="AL1115" s="93">
        <f>IF('Net zero activities &amp; levers'!$C$14="Off",('Activity data'!BE21*EF!$H52*EF!$H70)*NtoN2O*kgtoGg,IF('Net zero activities &amp; levers'!$C$14="On",('Net zero Activity data'!BE21*EF!$H52*EF!$H70)*NtoN2O*kgtoGg,"ERROR"))</f>
        <v>2.3649889021849769E-2</v>
      </c>
      <c r="AM1115" s="93">
        <f>IF('Net zero activities &amp; levers'!$C$14="Off",('Activity data'!BF21*EF!$H52*EF!$H70)*NtoN2O*kgtoGg,IF('Net zero activities &amp; levers'!$C$14="On",('Net zero Activity data'!BF21*EF!$H52*EF!$H70)*NtoN2O*kgtoGg,"ERROR"))</f>
        <v>2.4371125755845373E-2</v>
      </c>
      <c r="AN1115" s="93">
        <f>IF('Net zero activities &amp; levers'!$C$14="Off",('Activity data'!BG21*EF!$H52*EF!$H70)*NtoN2O*kgtoGg,IF('Net zero activities &amp; levers'!$C$14="On",('Net zero Activity data'!BG21*EF!$H52*EF!$H70)*NtoN2O*kgtoGg,"ERROR"))</f>
        <v>2.5093069479372905E-2</v>
      </c>
      <c r="AO1115" s="93">
        <f>IF('Net zero activities &amp; levers'!$C$14="Off",('Activity data'!BH21*EF!$H52*EF!$H70)*NtoN2O*kgtoGg,IF('Net zero activities &amp; levers'!$C$14="On",('Net zero Activity data'!BH21*EF!$H52*EF!$H70)*NtoN2O*kgtoGg,"ERROR"))</f>
        <v>2.5848581335414348E-2</v>
      </c>
      <c r="AP1115" s="93">
        <f>IF('Net zero activities &amp; levers'!$C$14="Off",('Activity data'!BI21*EF!$H52*EF!$H70)*NtoN2O*kgtoGg,IF('Net zero activities &amp; levers'!$C$14="On",('Net zero Activity data'!BI21*EF!$H52*EF!$H70)*NtoN2O*kgtoGg,"ERROR"))</f>
        <v>2.665028577114054E-2</v>
      </c>
      <c r="AQ1115" s="93">
        <f>IF('Net zero activities &amp; levers'!$C$14="Off",('Activity data'!BJ21*EF!$H52*EF!$H70)*NtoN2O*kgtoGg,IF('Net zero activities &amp; levers'!$C$14="On",('Net zero Activity data'!BJ21*EF!$H52*EF!$H70)*NtoN2O*kgtoGg,"ERROR"))</f>
        <v>2.7478489166962602E-2</v>
      </c>
      <c r="AR1115" s="93">
        <f>IF('Net zero activities &amp; levers'!$C$14="Off",('Activity data'!BK21*EF!$H52*EF!$H70)*NtoN2O*kgtoGg,IF('Net zero activities &amp; levers'!$C$14="On",('Net zero Activity data'!BK21*EF!$H52*EF!$H70)*NtoN2O*kgtoGg,"ERROR"))</f>
        <v>2.8334808877965974E-2</v>
      </c>
      <c r="AS1115" s="93">
        <f>IF('Net zero activities &amp; levers'!$C$14="Off",('Activity data'!BL21*EF!$H52*EF!$H70)*NtoN2O*kgtoGg,IF('Net zero activities &amp; levers'!$C$14="On",('Net zero Activity data'!BL21*EF!$H52*EF!$H70)*NtoN2O*kgtoGg,"ERROR"))</f>
        <v>2.924295680923868E-2</v>
      </c>
      <c r="AT1115" s="93">
        <f>IF('Net zero activities &amp; levers'!$C$14="Off",('Activity data'!BM21*EF!$H52*EF!$H70)*NtoN2O*kgtoGg,IF('Net zero activities &amp; levers'!$C$14="On",('Net zero Activity data'!BM21*EF!$H52*EF!$H70)*NtoN2O*kgtoGg,"ERROR"))</f>
        <v>3.0196536539084926E-2</v>
      </c>
      <c r="AU1115" s="93">
        <f>IF('Net zero activities &amp; levers'!$C$14="Off",('Activity data'!BN21*EF!$H52*EF!$H70)*NtoN2O*kgtoGg,IF('Net zero activities &amp; levers'!$C$14="On",('Net zero Activity data'!BN21*EF!$H52*EF!$H70)*NtoN2O*kgtoGg,"ERROR"))</f>
        <v>3.1191456697779184E-2</v>
      </c>
      <c r="AV1115" s="93">
        <f>IF('Net zero activities &amp; levers'!$C$14="Off",('Activity data'!BO21*EF!$H52*EF!$H70)*NtoN2O*kgtoGg,IF('Net zero activities &amp; levers'!$C$14="On",('Net zero Activity data'!BO21*EF!$H52*EF!$H70)*NtoN2O*kgtoGg,"ERROR"))</f>
        <v>3.2244092551134286E-2</v>
      </c>
      <c r="AW1115" s="93">
        <f>IF('Net zero activities &amp; levers'!$C$14="Off",('Activity data'!BP21*EF!$H52*EF!$H70)*NtoN2O*kgtoGg,IF('Net zero activities &amp; levers'!$C$14="On",('Net zero Activity data'!BP21*EF!$H52*EF!$H70)*NtoN2O*kgtoGg,"ERROR"))</f>
        <v>3.3266044637334728E-2</v>
      </c>
      <c r="AY1115" s="79"/>
    </row>
    <row r="1116" spans="1:51" x14ac:dyDescent="0.25">
      <c r="A1116" s="95" t="str">
        <f t="shared" si="374"/>
        <v>CM Poultry MMN2O</v>
      </c>
      <c r="B1116" s="95" t="s">
        <v>1321</v>
      </c>
      <c r="C1116" s="95" t="s">
        <v>1233</v>
      </c>
      <c r="D1116" t="s">
        <v>15</v>
      </c>
      <c r="E1116" t="s">
        <v>657</v>
      </c>
      <c r="F1116" t="s">
        <v>28</v>
      </c>
      <c r="G1116" t="s">
        <v>133</v>
      </c>
      <c r="H1116" t="s">
        <v>1226</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7.3338261222908846E-2</v>
      </c>
      <c r="N1116" s="93">
        <f>IF('Net zero activities &amp; levers'!$C$14="Off",('Activity data'!AG22*EF!$H53*EF!$H71)*NtoN2O*kgtoGg,IF('Net zero activities &amp; levers'!$C$14="On",('Net zero Activity data'!AG22*EF!$H53*EF!$H71)*NtoN2O*kgtoGg,"ERROR"))</f>
        <v>7.3768889900085524E-2</v>
      </c>
      <c r="O1116" s="93">
        <f>IF('Net zero activities &amp; levers'!$C$14="Off",('Activity data'!AH22*EF!$H53*EF!$H71)*NtoN2O*kgtoGg,IF('Net zero activities &amp; levers'!$C$14="On",('Net zero Activity data'!AH22*EF!$H53*EF!$H71)*NtoN2O*kgtoGg,"ERROR"))</f>
        <v>7.3504831661853176E-2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7.2146468817327461E-2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6.2498683119799801E-2</v>
      </c>
      <c r="T1116" s="93">
        <f>IF('Net zero activities &amp; levers'!$C$14="Off",('Activity data'!AM22*EF!$H53*EF!$H71)*NtoN2O*kgtoGg,IF('Net zero activities &amp; levers'!$C$14="On",('Net zero Activity data'!AM22*EF!$H53*EF!$H71)*NtoN2O*kgtoGg,"ERROR"))</f>
        <v>6.81532571223573E-2</v>
      </c>
      <c r="U1116" s="93">
        <f>IF('Net zero activities &amp; levers'!$C$14="Off",('Activity data'!AN22*EF!$H53*EF!$H71)*NtoN2O*kgtoGg,IF('Net zero activities &amp; levers'!$C$14="On",('Net zero Activity data'!AN22*EF!$H53*EF!$H71)*NtoN2O*kgtoGg,"ERROR"))</f>
        <v>7.0874060226532018E-2</v>
      </c>
      <c r="V1116" s="93">
        <f>IF('Net zero activities &amp; levers'!$C$14="Off",('Activity data'!AO22*EF!$H53*EF!$H71)*NtoN2O*kgtoGg,IF('Net zero activities &amp; levers'!$C$14="On",('Net zero Activity data'!AO22*EF!$H53*EF!$H71)*NtoN2O*kgtoGg,"ERROR"))</f>
        <v>7.1214497197037332E-2</v>
      </c>
      <c r="W1116" s="93">
        <f>IF('Net zero activities &amp; levers'!$C$14="Off",('Activity data'!AP22*EF!$H53*EF!$H71)*NtoN2O*kgtoGg,IF('Net zero activities &amp; levers'!$C$14="On",('Net zero Activity data'!AP22*EF!$H53*EF!$H71)*NtoN2O*kgtoGg,"ERROR"))</f>
        <v>7.1606951280898362E-2</v>
      </c>
      <c r="X1116" s="93">
        <f>IF('Net zero activities &amp; levers'!$C$14="Off",('Activity data'!AQ22*EF!$H53*EF!$H71)*NtoN2O*kgtoGg,IF('Net zero activities &amp; levers'!$C$14="On",('Net zero Activity data'!AQ22*EF!$H53*EF!$H71)*NtoN2O*kgtoGg,"ERROR"))</f>
        <v>7.26022186292061E-2</v>
      </c>
      <c r="Y1116" s="93">
        <f>IF('Net zero activities &amp; levers'!$C$14="Off",('Activity data'!AR22*EF!$H53*EF!$H71)*NtoN2O*kgtoGg,IF('Net zero activities &amp; levers'!$C$14="On",('Net zero Activity data'!AR22*EF!$H53*EF!$H71)*NtoN2O*kgtoGg,"ERROR"))</f>
        <v>7.4240975934151174E-2</v>
      </c>
      <c r="Z1116" s="93">
        <f>IF('Net zero activities &amp; levers'!$C$14="Off",('Activity data'!AS22*EF!$H53*EF!$H71)*NtoN2O*kgtoGg,IF('Net zero activities &amp; levers'!$C$14="On",('Net zero Activity data'!AS22*EF!$H53*EF!$H71)*NtoN2O*kgtoGg,"ERROR"))</f>
        <v>7.620169418677529E-2</v>
      </c>
      <c r="AA1116" s="93">
        <f>IF('Net zero activities &amp; levers'!$C$14="Off",('Activity data'!AT22*EF!$H53*EF!$H71)*NtoN2O*kgtoGg,IF('Net zero activities &amp; levers'!$C$14="On",('Net zero Activity data'!AT22*EF!$H53*EF!$H71)*NtoN2O*kgtoGg,"ERROR"))</f>
        <v>7.8570913854899935E-2</v>
      </c>
      <c r="AB1116" s="93">
        <f>IF('Net zero activities &amp; levers'!$C$14="Off",('Activity data'!AU22*EF!$H53*EF!$H71)*NtoN2O*kgtoGg,IF('Net zero activities &amp; levers'!$C$14="On",('Net zero Activity data'!AU22*EF!$H53*EF!$H71)*NtoN2O*kgtoGg,"ERROR"))</f>
        <v>8.1611678822041331E-2</v>
      </c>
      <c r="AC1116" s="93">
        <f>IF('Net zero activities &amp; levers'!$C$14="Off",('Activity data'!AV22*EF!$H53*EF!$H71)*NtoN2O*kgtoGg,IF('Net zero activities &amp; levers'!$C$14="On",('Net zero Activity data'!AV22*EF!$H53*EF!$H71)*NtoN2O*kgtoGg,"ERROR"))</f>
        <v>8.5289299222376991E-2</v>
      </c>
      <c r="AD1116" s="93">
        <f>IF('Net zero activities &amp; levers'!$C$14="Off",('Activity data'!AW22*EF!$H53*EF!$H71)*NtoN2O*kgtoGg,IF('Net zero activities &amp; levers'!$C$14="On",('Net zero Activity data'!AW22*EF!$H53*EF!$H71)*NtoN2O*kgtoGg,"ERROR"))</f>
        <v>8.9359777574657032E-2</v>
      </c>
      <c r="AE1116" s="93">
        <f>IF('Net zero activities &amp; levers'!$C$14="Off",('Activity data'!AX22*EF!$H53*EF!$H71)*NtoN2O*kgtoGg,IF('Net zero activities &amp; levers'!$C$14="On",('Net zero Activity data'!AX22*EF!$H53*EF!$H71)*NtoN2O*kgtoGg,"ERROR"))</f>
        <v>9.3809609829134971E-2</v>
      </c>
      <c r="AF1116" s="93">
        <f>IF('Net zero activities &amp; levers'!$C$14="Off",('Activity data'!AY22*EF!$H53*EF!$H71)*NtoN2O*kgtoGg,IF('Net zero activities &amp; levers'!$C$14="On",('Net zero Activity data'!AY22*EF!$H53*EF!$H71)*NtoN2O*kgtoGg,"ERROR"))</f>
        <v>9.8503350140624904E-2</v>
      </c>
      <c r="AG1116" s="93">
        <f>IF('Net zero activities &amp; levers'!$C$14="Off",('Activity data'!AZ22*EF!$H53*EF!$H71)*NtoN2O*kgtoGg,IF('Net zero activities &amp; levers'!$C$14="On",('Net zero Activity data'!AZ22*EF!$H53*EF!$H71)*NtoN2O*kgtoGg,"ERROR"))</f>
        <v>0.10350380888713978</v>
      </c>
      <c r="AH1116" s="93">
        <f>IF('Net zero activities &amp; levers'!$C$14="Off",('Activity data'!BA22*EF!$H53*EF!$H71)*NtoN2O*kgtoGg,IF('Net zero activities &amp; levers'!$C$14="On",('Net zero Activity data'!BA22*EF!$H53*EF!$H71)*NtoN2O*kgtoGg,"ERROR"))</f>
        <v>0.10874720814901513</v>
      </c>
      <c r="AI1116" s="93">
        <f>IF('Net zero activities &amp; levers'!$C$14="Off",('Activity data'!BB22*EF!$H53*EF!$H71)*NtoN2O*kgtoGg,IF('Net zero activities &amp; levers'!$C$14="On",('Net zero Activity data'!BB22*EF!$H53*EF!$H71)*NtoN2O*kgtoGg,"ERROR"))</f>
        <v>0.11399821500083657</v>
      </c>
      <c r="AJ1116" s="93">
        <f>IF('Net zero activities &amp; levers'!$C$14="Off",('Activity data'!BC22*EF!$H53*EF!$H71)*NtoN2O*kgtoGg,IF('Net zero activities &amp; levers'!$C$14="On",('Net zero Activity data'!BC22*EF!$H53*EF!$H71)*NtoN2O*kgtoGg,"ERROR"))</f>
        <v>0.11959647098629794</v>
      </c>
      <c r="AK1116" s="93">
        <f>IF('Net zero activities &amp; levers'!$C$14="Off",('Activity data'!BD22*EF!$H53*EF!$H71)*NtoN2O*kgtoGg,IF('Net zero activities &amp; levers'!$C$14="On",('Net zero Activity data'!BD22*EF!$H53*EF!$H71)*NtoN2O*kgtoGg,"ERROR"))</f>
        <v>0.12532679878762737</v>
      </c>
      <c r="AL1116" s="93">
        <f>IF('Net zero activities &amp; levers'!$C$14="Off",('Activity data'!BE22*EF!$H53*EF!$H71)*NtoN2O*kgtoGg,IF('Net zero activities &amp; levers'!$C$14="On",('Net zero Activity data'!BE22*EF!$H53*EF!$H71)*NtoN2O*kgtoGg,"ERROR"))</f>
        <v>0.13117220333481747</v>
      </c>
      <c r="AM1116" s="93">
        <f>IF('Net zero activities &amp; levers'!$C$14="Off",('Activity data'!BF22*EF!$H53*EF!$H71)*NtoN2O*kgtoGg,IF('Net zero activities &amp; levers'!$C$14="On",('Net zero Activity data'!BF22*EF!$H53*EF!$H71)*NtoN2O*kgtoGg,"ERROR"))</f>
        <v>0.13723577855179306</v>
      </c>
      <c r="AN1116" s="93">
        <f>IF('Net zero activities &amp; levers'!$C$14="Off",('Activity data'!BG22*EF!$H53*EF!$H71)*NtoN2O*kgtoGg,IF('Net zero activities &amp; levers'!$C$14="On",('Net zero Activity data'!BG22*EF!$H53*EF!$H71)*NtoN2O*kgtoGg,"ERROR"))</f>
        <v>0.1432629475308588</v>
      </c>
      <c r="AO1116" s="93">
        <f>IF('Net zero activities &amp; levers'!$C$14="Off",('Activity data'!BH22*EF!$H53*EF!$H71)*NtoN2O*kgtoGg,IF('Net zero activities &amp; levers'!$C$14="On",('Net zero Activity data'!BH22*EF!$H53*EF!$H71)*NtoN2O*kgtoGg,"ERROR"))</f>
        <v>0.14960705637354962</v>
      </c>
      <c r="AP1116" s="93">
        <f>IF('Net zero activities &amp; levers'!$C$14="Off",('Activity data'!BI22*EF!$H53*EF!$H71)*NtoN2O*kgtoGg,IF('Net zero activities &amp; levers'!$C$14="On",('Net zero Activity data'!BI22*EF!$H53*EF!$H71)*NtoN2O*kgtoGg,"ERROR"))</f>
        <v>0.15639871914131342</v>
      </c>
      <c r="AQ1116" s="93">
        <f>IF('Net zero activities &amp; levers'!$C$14="Off",('Activity data'!BJ22*EF!$H53*EF!$H71)*NtoN2O*kgtoGg,IF('Net zero activities &amp; levers'!$C$14="On",('Net zero Activity data'!BJ22*EF!$H53*EF!$H71)*NtoN2O*kgtoGg,"ERROR"))</f>
        <v>0.16342482559718283</v>
      </c>
      <c r="AR1116" s="93">
        <f>IF('Net zero activities &amp; levers'!$C$14="Off",('Activity data'!BK22*EF!$H53*EF!$H71)*NtoN2O*kgtoGg,IF('Net zero activities &amp; levers'!$C$14="On",('Net zero Activity data'!BK22*EF!$H53*EF!$H71)*NtoN2O*kgtoGg,"ERROR"))</f>
        <v>0.1707017826412458</v>
      </c>
      <c r="AS1116" s="93">
        <f>IF('Net zero activities &amp; levers'!$C$14="Off",('Activity data'!BL22*EF!$H53*EF!$H71)*NtoN2O*kgtoGg,IF('Net zero activities &amp; levers'!$C$14="On",('Net zero Activity data'!BL22*EF!$H53*EF!$H71)*NtoN2O*kgtoGg,"ERROR"))</f>
        <v>0.17847497943187501</v>
      </c>
      <c r="AT1116" s="93">
        <f>IF('Net zero activities &amp; levers'!$C$14="Off",('Activity data'!BM22*EF!$H53*EF!$H71)*NtoN2O*kgtoGg,IF('Net zero activities &amp; levers'!$C$14="On",('Net zero Activity data'!BM22*EF!$H53*EF!$H71)*NtoN2O*kgtoGg,"ERROR"))</f>
        <v>0.18667144743193501</v>
      </c>
      <c r="AU1116" s="93">
        <f>IF('Net zero activities &amp; levers'!$C$14="Off",('Activity data'!BN22*EF!$H53*EF!$H71)*NtoN2O*kgtoGg,IF('Net zero activities &amp; levers'!$C$14="On",('Net zero Activity data'!BN22*EF!$H53*EF!$H71)*NtoN2O*kgtoGg,"ERROR"))</f>
        <v>0.19524271738860685</v>
      </c>
      <c r="AV1116" s="93">
        <f>IF('Net zero activities &amp; levers'!$C$14="Off",('Activity data'!BO22*EF!$H53*EF!$H71)*NtoN2O*kgtoGg,IF('Net zero activities &amp; levers'!$C$14="On",('Net zero Activity data'!BO22*EF!$H53*EF!$H71)*NtoN2O*kgtoGg,"ERROR"))</f>
        <v>0.20435030552422884</v>
      </c>
      <c r="AW1116" s="93">
        <f>IF('Net zero activities &amp; levers'!$C$14="Off",('Activity data'!BP22*EF!$H53*EF!$H71)*NtoN2O*kgtoGg,IF('Net zero activities &amp; levers'!$C$14="On",('Net zero Activity data'!BP22*EF!$H53*EF!$H71)*NtoN2O*kgtoGg,"ERROR"))</f>
        <v>0.21309265298835234</v>
      </c>
      <c r="AY1116" s="79"/>
    </row>
    <row r="1117" spans="1:51" x14ac:dyDescent="0.25">
      <c r="A1117" s="95" t="str">
        <f t="shared" si="374"/>
        <v>CM Synthetic</v>
      </c>
      <c r="B1117" s="95" t="s">
        <v>1321</v>
      </c>
      <c r="C1117" s="95" t="s">
        <v>1125</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6.603634243590573</v>
      </c>
      <c r="U1117" s="22">
        <f t="shared" si="375"/>
        <v>6.6004971859529533</v>
      </c>
      <c r="V1117" s="22">
        <f t="shared" si="375"/>
        <v>6.5987679285209158</v>
      </c>
      <c r="W1117" s="22">
        <f t="shared" si="375"/>
        <v>6.5980968039636112</v>
      </c>
      <c r="X1117" s="22">
        <f t="shared" si="375"/>
        <v>6.5973729403354264</v>
      </c>
      <c r="Y1117" s="22">
        <f t="shared" si="375"/>
        <v>6.5963716735135058</v>
      </c>
      <c r="Z1117" s="22">
        <f t="shared" si="375"/>
        <v>6.5951092743964939</v>
      </c>
      <c r="AA1117" s="22">
        <f t="shared" si="375"/>
        <v>6.5937292152761398</v>
      </c>
      <c r="AB1117" s="22">
        <f t="shared" si="375"/>
        <v>6.5921980493186423</v>
      </c>
      <c r="AC1117" s="22">
        <f t="shared" si="375"/>
        <v>6.5904099002136718</v>
      </c>
      <c r="AD1117" s="22">
        <f t="shared" si="375"/>
        <v>6.5883900774121225</v>
      </c>
      <c r="AE1117" s="22">
        <f t="shared" si="375"/>
        <v>6.5862502813307362</v>
      </c>
      <c r="AF1117" s="22">
        <f t="shared" si="375"/>
        <v>6.5840030111280692</v>
      </c>
      <c r="AG1117" s="22">
        <f t="shared" si="375"/>
        <v>6.5817083248767299</v>
      </c>
      <c r="AH1117" s="22">
        <f t="shared" si="375"/>
        <v>6.5793473576190653</v>
      </c>
      <c r="AI1117" s="22">
        <f t="shared" si="375"/>
        <v>6.5769490947439282</v>
      </c>
      <c r="AJ1117" s="22">
        <f t="shared" si="375"/>
        <v>6.5746015679174796</v>
      </c>
      <c r="AK1117" s="22">
        <f t="shared" si="375"/>
        <v>6.5721839556094164</v>
      </c>
      <c r="AL1117" s="22">
        <f t="shared" si="375"/>
        <v>6.5697772026100587</v>
      </c>
      <c r="AM1117" s="22">
        <f t="shared" si="375"/>
        <v>6.5673876647835385</v>
      </c>
      <c r="AN1117" s="22">
        <f t="shared" si="375"/>
        <v>6.5649818227366428</v>
      </c>
      <c r="AO1117" s="22">
        <f t="shared" si="375"/>
        <v>6.5626429517048157</v>
      </c>
      <c r="AP1117" s="22">
        <f t="shared" si="375"/>
        <v>6.5602587146144691</v>
      </c>
      <c r="AQ1117" s="22">
        <f t="shared" si="375"/>
        <v>6.557794751435325</v>
      </c>
      <c r="AR1117" s="22">
        <f t="shared" si="375"/>
        <v>6.5553213474499907</v>
      </c>
      <c r="AS1117" s="22">
        <f t="shared" si="375"/>
        <v>6.552836555002342</v>
      </c>
      <c r="AT1117" s="22">
        <f t="shared" si="375"/>
        <v>6.5502749591835583</v>
      </c>
      <c r="AU1117" s="22">
        <f t="shared" si="375"/>
        <v>6.5476643110027855</v>
      </c>
      <c r="AV1117" s="22">
        <f t="shared" si="375"/>
        <v>6.5450232737774749</v>
      </c>
      <c r="AW1117" s="22">
        <f t="shared" si="375"/>
        <v>6.5423151331477944</v>
      </c>
      <c r="AY1117" s="79"/>
    </row>
    <row r="1118" spans="1:51" x14ac:dyDescent="0.25">
      <c r="A1118" s="95" t="str">
        <f t="shared" si="374"/>
        <v>CM Organic</v>
      </c>
      <c r="B1118" s="95" t="s">
        <v>1321</v>
      </c>
      <c r="C1118" s="95" t="s">
        <v>1126</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4.3583986007697799E-2</v>
      </c>
      <c r="U1118" s="94">
        <f>IF('Net zero activities &amp; levers'!$C$14="Off",'Activity data'!AN48*ttokg*ONEF*NtoN2O*kgtoGg,IF('Net zero activities &amp; levers'!$C$14="On",'Net zero Activity data'!AN48*ttokg*ONEF*NtoN2O*kgtoGg,"ERROR"))</f>
        <v>4.3563281427289505E-2</v>
      </c>
      <c r="V1118" s="94">
        <f>IF('Net zero activities &amp; levers'!$C$14="Off",'Activity data'!AO48*ttokg*ONEF*NtoN2O*kgtoGg,IF('Net zero activities &amp; levers'!$C$14="On",'Net zero Activity data'!AO48*ttokg*ONEF*NtoN2O*kgtoGg,"ERROR"))</f>
        <v>4.3551868328238041E-2</v>
      </c>
      <c r="W1118" s="94">
        <f>IF('Net zero activities &amp; levers'!$C$14="Off",'Activity data'!AP48*ttokg*ONEF*NtoN2O*kgtoGg,IF('Net zero activities &amp; levers'!$C$14="On",'Net zero Activity data'!AP48*ttokg*ONEF*NtoN2O*kgtoGg,"ERROR"))</f>
        <v>4.3547438906159849E-2</v>
      </c>
      <c r="X1118" s="94">
        <f>IF('Net zero activities &amp; levers'!$C$14="Off",'Activity data'!AQ48*ttokg*ONEF*NtoN2O*kgtoGg,IF('Net zero activities &amp; levers'!$C$14="On",'Net zero Activity data'!AQ48*ttokg*ONEF*NtoN2O*kgtoGg,"ERROR"))</f>
        <v>4.3542661406213816E-2</v>
      </c>
      <c r="Y1118" s="94">
        <f>IF('Net zero activities &amp; levers'!$C$14="Off",'Activity data'!AR48*ttokg*ONEF*NtoN2O*kgtoGg,IF('Net zero activities &amp; levers'!$C$14="On",'Net zero Activity data'!AR48*ttokg*ONEF*NtoN2O*kgtoGg,"ERROR"))</f>
        <v>4.3536053045189142E-2</v>
      </c>
      <c r="Z1118" s="94">
        <f>IF('Net zero activities &amp; levers'!$C$14="Off",'Activity data'!AS48*ttokg*ONEF*NtoN2O*kgtoGg,IF('Net zero activities &amp; levers'!$C$14="On",'Net zero Activity data'!AS48*ttokg*ONEF*NtoN2O*kgtoGg,"ERROR"))</f>
        <v>4.3527721211016876E-2</v>
      </c>
      <c r="AA1118" s="94">
        <f>IF('Net zero activities &amp; levers'!$C$14="Off",'Activity data'!AT48*ttokg*ONEF*NtoN2O*kgtoGg,IF('Net zero activities &amp; levers'!$C$14="On",'Net zero Activity data'!AT48*ttokg*ONEF*NtoN2O*kgtoGg,"ERROR"))</f>
        <v>4.3518612820822526E-2</v>
      </c>
      <c r="AB1118" s="94">
        <f>IF('Net zero activities &amp; levers'!$C$14="Off",'Activity data'!AU48*ttokg*ONEF*NtoN2O*kgtoGg,IF('Net zero activities &amp; levers'!$C$14="On",'Net zero Activity data'!AU48*ttokg*ONEF*NtoN2O*kgtoGg,"ERROR"))</f>
        <v>4.3508507125503047E-2</v>
      </c>
      <c r="AC1118" s="94">
        <f>IF('Net zero activities &amp; levers'!$C$14="Off",'Activity data'!AV48*ttokg*ONEF*NtoN2O*kgtoGg,IF('Net zero activities &amp; levers'!$C$14="On",'Net zero Activity data'!AV48*ttokg*ONEF*NtoN2O*kgtoGg,"ERROR"))</f>
        <v>4.349670534141023E-2</v>
      </c>
      <c r="AD1118" s="94">
        <f>IF('Net zero activities &amp; levers'!$C$14="Off",'Activity data'!AW48*ttokg*ONEF*NtoN2O*kgtoGg,IF('Net zero activities &amp; levers'!$C$14="On",'Net zero Activity data'!AW48*ttokg*ONEF*NtoN2O*kgtoGg,"ERROR"))</f>
        <v>4.3483374510920013E-2</v>
      </c>
      <c r="AE1118" s="94">
        <f>IF('Net zero activities &amp; levers'!$C$14="Off",'Activity data'!AX48*ttokg*ONEF*NtoN2O*kgtoGg,IF('Net zero activities &amp; levers'!$C$14="On",'Net zero Activity data'!AX48*ttokg*ONEF*NtoN2O*kgtoGg,"ERROR"))</f>
        <v>4.3469251856782874E-2</v>
      </c>
      <c r="AF1118" s="94">
        <f>IF('Net zero activities &amp; levers'!$C$14="Off",'Activity data'!AY48*ttokg*ONEF*NtoN2O*kgtoGg,IF('Net zero activities &amp; levers'!$C$14="On",'Net zero Activity data'!AY48*ttokg*ONEF*NtoN2O*kgtoGg,"ERROR"))</f>
        <v>4.3454419873445269E-2</v>
      </c>
      <c r="AG1118" s="94">
        <f>IF('Net zero activities &amp; levers'!$C$14="Off",'Activity data'!AZ48*ttokg*ONEF*NtoN2O*kgtoGg,IF('Net zero activities &amp; levers'!$C$14="On",'Net zero Activity data'!AZ48*ttokg*ONEF*NtoN2O*kgtoGg,"ERROR"))</f>
        <v>4.3439274944186416E-2</v>
      </c>
      <c r="AH1118" s="94">
        <f>IF('Net zero activities &amp; levers'!$C$14="Off",'Activity data'!BA48*ttokg*ONEF*NtoN2O*kgtoGg,IF('Net zero activities &amp; levers'!$C$14="On",'Net zero Activity data'!BA48*ttokg*ONEF*NtoN2O*kgtoGg,"ERROR"))</f>
        <v>4.3423692560285852E-2</v>
      </c>
      <c r="AI1118" s="94">
        <f>IF('Net zero activities &amp; levers'!$C$14="Off",'Activity data'!BB48*ttokg*ONEF*NtoN2O*kgtoGg,IF('Net zero activities &amp; levers'!$C$14="On",'Net zero Activity data'!BB48*ttokg*ONEF*NtoN2O*kgtoGg,"ERROR"))</f>
        <v>4.3407864025309932E-2</v>
      </c>
      <c r="AJ1118" s="94">
        <f>IF('Net zero activities &amp; levers'!$C$14="Off",'Activity data'!BC48*ttokg*ONEF*NtoN2O*kgtoGg,IF('Net zero activities &amp; levers'!$C$14="On",'Net zero Activity data'!BC48*ttokg*ONEF*NtoN2O*kgtoGg,"ERROR"))</f>
        <v>4.3392370348255375E-2</v>
      </c>
      <c r="AK1118" s="94">
        <f>IF('Net zero activities &amp; levers'!$C$14="Off",'Activity data'!BD48*ttokg*ONEF*NtoN2O*kgtoGg,IF('Net zero activities &amp; levers'!$C$14="On",'Net zero Activity data'!BD48*ttokg*ONEF*NtoN2O*kgtoGg,"ERROR"))</f>
        <v>4.3376414107022157E-2</v>
      </c>
      <c r="AL1118" s="94">
        <f>IF('Net zero activities &amp; levers'!$C$14="Off",'Activity data'!BE48*ttokg*ONEF*NtoN2O*kgtoGg,IF('Net zero activities &amp; levers'!$C$14="On",'Net zero Activity data'!BE48*ttokg*ONEF*NtoN2O*kgtoGg,"ERROR"))</f>
        <v>4.336052953722639E-2</v>
      </c>
      <c r="AM1118" s="94">
        <f>IF('Net zero activities &amp; levers'!$C$14="Off",'Activity data'!BF48*ttokg*ONEF*NtoN2O*kgtoGg,IF('Net zero activities &amp; levers'!$C$14="On",'Net zero Activity data'!BF48*ttokg*ONEF*NtoN2O*kgtoGg,"ERROR"))</f>
        <v>4.3344758587571364E-2</v>
      </c>
      <c r="AN1118" s="94">
        <f>IF('Net zero activities &amp; levers'!$C$14="Off",'Activity data'!BG48*ttokg*ONEF*NtoN2O*kgtoGg,IF('Net zero activities &amp; levers'!$C$14="On",'Net zero Activity data'!BG48*ttokg*ONEF*NtoN2O*kgtoGg,"ERROR"))</f>
        <v>4.3328880030061849E-2</v>
      </c>
      <c r="AO1118" s="94">
        <f>IF('Net zero activities &amp; levers'!$C$14="Off",'Activity data'!BH48*ttokg*ONEF*NtoN2O*kgtoGg,IF('Net zero activities &amp; levers'!$C$14="On",'Net zero Activity data'!BH48*ttokg*ONEF*NtoN2O*kgtoGg,"ERROR"))</f>
        <v>4.3313443481251802E-2</v>
      </c>
      <c r="AP1118" s="94">
        <f>IF('Net zero activities &amp; levers'!$C$14="Off",'Activity data'!BI48*ttokg*ONEF*NtoN2O*kgtoGg,IF('Net zero activities &amp; levers'!$C$14="On",'Net zero Activity data'!BI48*ttokg*ONEF*NtoN2O*kgtoGg,"ERROR"))</f>
        <v>4.3297707516455515E-2</v>
      </c>
      <c r="AQ1118" s="94">
        <f>IF('Net zero activities &amp; levers'!$C$14="Off",'Activity data'!BJ48*ttokg*ONEF*NtoN2O*kgtoGg,IF('Net zero activities &amp; levers'!$C$14="On",'Net zero Activity data'!BJ48*ttokg*ONEF*NtoN2O*kgtoGg,"ERROR"))</f>
        <v>4.3281445359473161E-2</v>
      </c>
      <c r="AR1118" s="94">
        <f>IF('Net zero activities &amp; levers'!$C$14="Off",'Activity data'!BK48*ttokg*ONEF*NtoN2O*kgtoGg,IF('Net zero activities &amp; levers'!$C$14="On",'Net zero Activity data'!BK48*ttokg*ONEF*NtoN2O*kgtoGg,"ERROR"))</f>
        <v>4.3265120893169952E-2</v>
      </c>
      <c r="AS1118" s="94">
        <f>IF('Net zero activities &amp; levers'!$C$14="Off",'Activity data'!BL48*ttokg*ONEF*NtoN2O*kgtoGg,IF('Net zero activities &amp; levers'!$C$14="On",'Net zero Activity data'!BL48*ttokg*ONEF*NtoN2O*kgtoGg,"ERROR"))</f>
        <v>4.324872126301546E-2</v>
      </c>
      <c r="AT1118" s="94">
        <f>IF('Net zero activities &amp; levers'!$C$14="Off",'Activity data'!BM48*ttokg*ONEF*NtoN2O*kgtoGg,IF('Net zero activities &amp; levers'!$C$14="On",'Net zero Activity data'!BM48*ttokg*ONEF*NtoN2O*kgtoGg,"ERROR"))</f>
        <v>4.3231814730611481E-2</v>
      </c>
      <c r="AU1118" s="94">
        <f>IF('Net zero activities &amp; levers'!$C$14="Off",'Activity data'!BN48*ttokg*ONEF*NtoN2O*kgtoGg,IF('Net zero activities &amp; levers'!$C$14="On",'Net zero Activity data'!BN48*ttokg*ONEF*NtoN2O*kgtoGg,"ERROR"))</f>
        <v>4.3214584452618394E-2</v>
      </c>
      <c r="AV1118" s="94">
        <f>IF('Net zero activities &amp; levers'!$C$14="Off",'Activity data'!BO48*ttokg*ONEF*NtoN2O*kgtoGg,IF('Net zero activities &amp; levers'!$C$14="On",'Net zero Activity data'!BO48*ttokg*ONEF*NtoN2O*kgtoGg,"ERROR"))</f>
        <v>4.3197153606931347E-2</v>
      </c>
      <c r="AW1118" s="94">
        <f>IF('Net zero activities &amp; levers'!$C$14="Off",'Activity data'!BP48*ttokg*ONEF*NtoN2O*kgtoGg,IF('Net zero activities &amp; levers'!$C$14="On",'Net zero Activity data'!BP48*ttokg*ONEF*NtoN2O*kgtoGg,"ERROR"))</f>
        <v>4.3179279878775449E-2</v>
      </c>
      <c r="AY1118" s="79"/>
    </row>
    <row r="1119" spans="1:51" x14ac:dyDescent="0.25">
      <c r="A1119" s="95" t="str">
        <f t="shared" si="374"/>
        <v>CM Crop residues</v>
      </c>
      <c r="B1119" s="95" t="s">
        <v>1321</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2.9705633438591348</v>
      </c>
      <c r="U1119" s="22">
        <f t="shared" si="376"/>
        <v>2.9939833213378622</v>
      </c>
      <c r="V1119" s="22">
        <f t="shared" si="376"/>
        <v>3.0068932435616724</v>
      </c>
      <c r="W1119" s="22">
        <f t="shared" si="376"/>
        <v>3.0119035824948748</v>
      </c>
      <c r="X1119" s="22">
        <f t="shared" si="376"/>
        <v>3.0173076495628459</v>
      </c>
      <c r="Y1119" s="22">
        <f t="shared" si="376"/>
        <v>3.0247826943750078</v>
      </c>
      <c r="Z1119" s="22">
        <f t="shared" si="376"/>
        <v>3.0342072451180488</v>
      </c>
      <c r="AA1119" s="22">
        <f t="shared" si="376"/>
        <v>3.0445101968810144</v>
      </c>
      <c r="AB1119" s="22">
        <f t="shared" si="376"/>
        <v>3.0559412499196137</v>
      </c>
      <c r="AC1119" s="22">
        <f t="shared" si="376"/>
        <v>3.0692908330655531</v>
      </c>
      <c r="AD1119" s="22">
        <f t="shared" si="376"/>
        <v>3.0843699964051159</v>
      </c>
      <c r="AE1119" s="22">
        <f t="shared" si="376"/>
        <v>3.1003448307320856</v>
      </c>
      <c r="AF1119" s="22">
        <f t="shared" si="376"/>
        <v>3.1171220224878007</v>
      </c>
      <c r="AG1119" s="22">
        <f t="shared" si="376"/>
        <v>3.1342532028915815</v>
      </c>
      <c r="AH1119" s="22">
        <f t="shared" si="376"/>
        <v>3.1518792099305966</v>
      </c>
      <c r="AI1119" s="22">
        <f t="shared" si="376"/>
        <v>3.1697836506556398</v>
      </c>
      <c r="AJ1119" s="22">
        <f t="shared" si="376"/>
        <v>3.1873093169828417</v>
      </c>
      <c r="AK1119" s="22">
        <f t="shared" si="376"/>
        <v>3.2053582125874849</v>
      </c>
      <c r="AL1119" s="22">
        <f t="shared" si="376"/>
        <v>3.2233260370755845</v>
      </c>
      <c r="AM1119" s="22">
        <f t="shared" si="376"/>
        <v>3.2411653401889731</v>
      </c>
      <c r="AN1119" s="22">
        <f t="shared" si="376"/>
        <v>3.2591263638820034</v>
      </c>
      <c r="AO1119" s="22">
        <f t="shared" si="376"/>
        <v>3.2765874096193026</v>
      </c>
      <c r="AP1119" s="22">
        <f t="shared" si="376"/>
        <v>3.294387139624336</v>
      </c>
      <c r="AQ1119" s="22">
        <f t="shared" si="376"/>
        <v>3.3127820717007999</v>
      </c>
      <c r="AR1119" s="22">
        <f t="shared" si="376"/>
        <v>3.3312474849395168</v>
      </c>
      <c r="AS1119" s="22">
        <f t="shared" si="376"/>
        <v>3.3497979197372052</v>
      </c>
      <c r="AT1119" s="22">
        <f t="shared" si="376"/>
        <v>3.3689217368026219</v>
      </c>
      <c r="AU1119" s="22">
        <f t="shared" si="376"/>
        <v>3.3884117585559377</v>
      </c>
      <c r="AV1119" s="22">
        <f t="shared" si="376"/>
        <v>3.4081286523724397</v>
      </c>
      <c r="AW1119" s="22">
        <f t="shared" si="376"/>
        <v>3.4283465125085661</v>
      </c>
      <c r="AY1119" s="79"/>
    </row>
    <row r="1120" spans="1:51" x14ac:dyDescent="0.25">
      <c r="A1120" s="95" t="str">
        <f t="shared" si="374"/>
        <v>CM Organic</v>
      </c>
      <c r="B1120" s="95" t="s">
        <v>1321</v>
      </c>
      <c r="C1120" s="95" t="s">
        <v>1126</v>
      </c>
      <c r="D1120" t="s">
        <v>369</v>
      </c>
      <c r="E1120" t="s">
        <v>55</v>
      </c>
      <c r="F1120" t="s">
        <v>421</v>
      </c>
      <c r="G1120" t="s">
        <v>1151</v>
      </c>
      <c r="H1120" t="s">
        <v>1152</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0.31930900968296799</v>
      </c>
      <c r="T1120" s="94">
        <f>IF('Net zero activities &amp; levers'!$C$14="Off",'Activity data'!AM50*ManureNEF*NtoN2O*kgtoGg,IF('Net zero activities &amp; levers'!$C$14="On",'Net zero Activity data'!AM50*ManureNEF*NtoN2O*kgtoGg,"ERROR"))</f>
        <v>0.32574821213897459</v>
      </c>
      <c r="U1120" s="94">
        <f>IF('Net zero activities &amp; levers'!$C$14="Off",'Activity data'!AN50*ManureNEF*NtoN2O*kgtoGg,IF('Net zero activities &amp; levers'!$C$14="On",'Net zero Activity data'!AN50*ManureNEF*NtoN2O*kgtoGg,"ERROR"))</f>
        <v>0.32894469179548952</v>
      </c>
      <c r="V1120" s="94">
        <f>IF('Net zero activities &amp; levers'!$C$14="Off",'Activity data'!AO50*ManureNEF*NtoN2O*kgtoGg,IF('Net zero activities &amp; levers'!$C$14="On",'Net zero Activity data'!AO50*ManureNEF*NtoN2O*kgtoGg,"ERROR"))</f>
        <v>0.32977948253414807</v>
      </c>
      <c r="W1120" s="94">
        <f>IF('Net zero activities &amp; levers'!$C$14="Off",'Activity data'!AP50*ManureNEF*NtoN2O*kgtoGg,IF('Net zero activities &amp; levers'!$C$14="On",'Net zero Activity data'!AP50*ManureNEF*NtoN2O*kgtoGg,"ERROR"))</f>
        <v>0.3309664569188206</v>
      </c>
      <c r="X1120" s="94">
        <f>IF('Net zero activities &amp; levers'!$C$14="Off",'Activity data'!AQ50*ManureNEF*NtoN2O*kgtoGg,IF('Net zero activities &amp; levers'!$C$14="On",'Net zero Activity data'!AQ50*ManureNEF*NtoN2O*kgtoGg,"ERROR"))</f>
        <v>0.33295820888491823</v>
      </c>
      <c r="Y1120" s="94">
        <f>IF('Net zero activities &amp; levers'!$C$14="Off",'Activity data'!AR50*ManureNEF*NtoN2O*kgtoGg,IF('Net zero activities &amp; levers'!$C$14="On",'Net zero Activity data'!AR50*ManureNEF*NtoN2O*kgtoGg,"ERROR"))</f>
        <v>0.33558938332727861</v>
      </c>
      <c r="Z1120" s="94">
        <f>IF('Net zero activities &amp; levers'!$C$14="Off",'Activity data'!AS50*ManureNEF*NtoN2O*kgtoGg,IF('Net zero activities &amp; levers'!$C$14="On",'Net zero Activity data'!AS50*ManureNEF*NtoN2O*kgtoGg,"ERROR"))</f>
        <v>0.33853527641770959</v>
      </c>
      <c r="AA1120" s="94">
        <f>IF('Net zero activities &amp; levers'!$C$14="Off",'Activity data'!AT50*ManureNEF*NtoN2O*kgtoGg,IF('Net zero activities &amp; levers'!$C$14="On",'Net zero Activity data'!AT50*ManureNEF*NtoN2O*kgtoGg,"ERROR"))</f>
        <v>0.34188866727508727</v>
      </c>
      <c r="AB1120" s="94">
        <f>IF('Net zero activities &amp; levers'!$C$14="Off",'Activity data'!AU50*ManureNEF*NtoN2O*kgtoGg,IF('Net zero activities &amp; levers'!$C$14="On",'Net zero Activity data'!AU50*ManureNEF*NtoN2O*kgtoGg,"ERROR"))</f>
        <v>0.34593707625098935</v>
      </c>
      <c r="AC1120" s="94">
        <f>IF('Net zero activities &amp; levers'!$C$14="Off",'Activity data'!AV50*ManureNEF*NtoN2O*kgtoGg,IF('Net zero activities &amp; levers'!$C$14="On",'Net zero Activity data'!AV50*ManureNEF*NtoN2O*kgtoGg,"ERROR"))</f>
        <v>0.35065698551445434</v>
      </c>
      <c r="AD1120" s="94">
        <f>IF('Net zero activities &amp; levers'!$C$14="Off",'Activity data'!AW50*ManureNEF*NtoN2O*kgtoGg,IF('Net zero activities &amp; levers'!$C$14="On",'Net zero Activity data'!AW50*ManureNEF*NtoN2O*kgtoGg,"ERROR"))</f>
        <v>0.35579420133815998</v>
      </c>
      <c r="AE1120" s="94">
        <f>IF('Net zero activities &amp; levers'!$C$14="Off",'Activity data'!AX50*ManureNEF*NtoN2O*kgtoGg,IF('Net zero activities &amp; levers'!$C$14="On",'Net zero Activity data'!AX50*ManureNEF*NtoN2O*kgtoGg,"ERROR"))</f>
        <v>0.36134408078222452</v>
      </c>
      <c r="AF1120" s="94">
        <f>IF('Net zero activities &amp; levers'!$C$14="Off",'Activity data'!AY50*ManureNEF*NtoN2O*kgtoGg,IF('Net zero activities &amp; levers'!$C$14="On",'Net zero Activity data'!AY50*ManureNEF*NtoN2O*kgtoGg,"ERROR"))</f>
        <v>0.36716578992310794</v>
      </c>
      <c r="AG1120" s="94">
        <f>IF('Net zero activities &amp; levers'!$C$14="Off",'Activity data'!AZ50*ManureNEF*NtoN2O*kgtoGg,IF('Net zero activities &amp; levers'!$C$14="On",'Net zero Activity data'!AZ50*ManureNEF*NtoN2O*kgtoGg,"ERROR"))</f>
        <v>0.37332444348551658</v>
      </c>
      <c r="AH1120" s="94">
        <f>IF('Net zero activities &amp; levers'!$C$14="Off",'Activity data'!BA50*ManureNEF*NtoN2O*kgtoGg,IF('Net zero activities &amp; levers'!$C$14="On",'Net zero Activity data'!BA50*ManureNEF*NtoN2O*kgtoGg,"ERROR"))</f>
        <v>0.37975671698066876</v>
      </c>
      <c r="AI1120" s="94">
        <f>IF('Net zero activities &amp; levers'!$C$14="Off",'Activity data'!BB50*ManureNEF*NtoN2O*kgtoGg,IF('Net zero activities &amp; levers'!$C$14="On",'Net zero Activity data'!BB50*ManureNEF*NtoN2O*kgtoGg,"ERROR"))</f>
        <v>0.38621474793846927</v>
      </c>
      <c r="AJ1120" s="94">
        <f>IF('Net zero activities &amp; levers'!$C$14="Off",'Activity data'!BC50*ManureNEF*NtoN2O*kgtoGg,IF('Net zero activities &amp; levers'!$C$14="On",'Net zero Activity data'!BC50*ManureNEF*NtoN2O*kgtoGg,"ERROR"))</f>
        <v>0.39306178454441848</v>
      </c>
      <c r="AK1120" s="94">
        <f>IF('Net zero activities &amp; levers'!$C$14="Off",'Activity data'!BD50*ManureNEF*NtoN2O*kgtoGg,IF('Net zero activities &amp; levers'!$C$14="On",'Net zero Activity data'!BD50*ManureNEF*NtoN2O*kgtoGg,"ERROR"))</f>
        <v>0.40005847527747412</v>
      </c>
      <c r="AL1120" s="94">
        <f>IF('Net zero activities &amp; levers'!$C$14="Off",'Activity data'!BE50*ManureNEF*NtoN2O*kgtoGg,IF('Net zero activities &amp; levers'!$C$14="On",'Net zero Activity data'!BE50*ManureNEF*NtoN2O*kgtoGg,"ERROR"))</f>
        <v>0.4071870252950287</v>
      </c>
      <c r="AM1120" s="94">
        <f>IF('Net zero activities &amp; levers'!$C$14="Off",'Activity data'!BF50*ManureNEF*NtoN2O*kgtoGg,IF('Net zero activities &amp; levers'!$C$14="On",'Net zero Activity data'!BF50*ManureNEF*NtoN2O*kgtoGg,"ERROR"))</f>
        <v>0.41456228412939544</v>
      </c>
      <c r="AN1120" s="94">
        <f>IF('Net zero activities &amp; levers'!$C$14="Off",'Activity data'!BG50*ManureNEF*NtoN2O*kgtoGg,IF('Net zero activities &amp; levers'!$C$14="On",'Net zero Activity data'!BG50*ManureNEF*NtoN2O*kgtoGg,"ERROR"))</f>
        <v>0.42190892307820843</v>
      </c>
      <c r="AO1120" s="94">
        <f>IF('Net zero activities &amp; levers'!$C$14="Off",'Activity data'!BH50*ManureNEF*NtoN2O*kgtoGg,IF('Net zero activities &amp; levers'!$C$14="On",'Net zero Activity data'!BH50*ManureNEF*NtoN2O*kgtoGg,"ERROR"))</f>
        <v>0.42960845898713129</v>
      </c>
      <c r="AP1120" s="94">
        <f>IF('Net zero activities &amp; levers'!$C$14="Off",'Activity data'!BI50*ManureNEF*NtoN2O*kgtoGg,IF('Net zero activities &amp; levers'!$C$14="On",'Net zero Activity data'!BI50*ManureNEF*NtoN2O*kgtoGg,"ERROR"))</f>
        <v>0.43780304574358431</v>
      </c>
      <c r="AQ1120" s="94">
        <f>IF('Net zero activities &amp; levers'!$C$14="Off",'Activity data'!BJ50*ManureNEF*NtoN2O*kgtoGg,IF('Net zero activities &amp; levers'!$C$14="On",'Net zero Activity data'!BJ50*ManureNEF*NtoN2O*kgtoGg,"ERROR"))</f>
        <v>0.44626036327894386</v>
      </c>
      <c r="AR1120" s="94">
        <f>IF('Net zero activities &amp; levers'!$C$14="Off",'Activity data'!BK50*ManureNEF*NtoN2O*kgtoGg,IF('Net zero activities &amp; levers'!$C$14="On",'Net zero Activity data'!BK50*ManureNEF*NtoN2O*kgtoGg,"ERROR"))</f>
        <v>0.45499571223112473</v>
      </c>
      <c r="AS1120" s="94">
        <f>IF('Net zero activities &amp; levers'!$C$14="Off",'Activity data'!BL50*ManureNEF*NtoN2O*kgtoGg,IF('Net zero activities &amp; levers'!$C$14="On",'Net zero Activity data'!BL50*ManureNEF*NtoN2O*kgtoGg,"ERROR"))</f>
        <v>0.46427790014777842</v>
      </c>
      <c r="AT1120" s="94">
        <f>IF('Net zero activities &amp; levers'!$C$14="Off",'Activity data'!BM50*ManureNEF*NtoN2O*kgtoGg,IF('Net zero activities &amp; levers'!$C$14="On",'Net zero Activity data'!BM50*ManureNEF*NtoN2O*kgtoGg,"ERROR"))</f>
        <v>0.4740288633200766</v>
      </c>
      <c r="AU1120" s="94">
        <f>IF('Net zero activities &amp; levers'!$C$14="Off",'Activity data'!BN50*ManureNEF*NtoN2O*kgtoGg,IF('Net zero activities &amp; levers'!$C$14="On",'Net zero Activity data'!BN50*ManureNEF*NtoN2O*kgtoGg,"ERROR"))</f>
        <v>0.48419829350388255</v>
      </c>
      <c r="AV1120" s="94">
        <f>IF('Net zero activities &amp; levers'!$C$14="Off",'Activity data'!BO50*ManureNEF*NtoN2O*kgtoGg,IF('Net zero activities &amp; levers'!$C$14="On",'Net zero Activity data'!BO50*ManureNEF*NtoN2O*kgtoGg,"ERROR"))</f>
        <v>0.49496943616318984</v>
      </c>
      <c r="AW1120" s="94">
        <f>IF('Net zero activities &amp; levers'!$C$14="Off",'Activity data'!BP50*ManureNEF*NtoN2O*kgtoGg,IF('Net zero activities &amp; levers'!$C$14="On",'Net zero Activity data'!BP50*ManureNEF*NtoN2O*kgtoGg,"ERROR"))</f>
        <v>0.50533326104983312</v>
      </c>
      <c r="AY1120" s="79"/>
    </row>
    <row r="1121" spans="1:51" x14ac:dyDescent="0.25">
      <c r="A1121" s="95" t="str">
        <f t="shared" si="374"/>
        <v>CM Organic</v>
      </c>
      <c r="B1121" s="95" t="s">
        <v>1321</v>
      </c>
      <c r="C1121" s="95" t="s">
        <v>1126</v>
      </c>
      <c r="D1121" t="s">
        <v>369</v>
      </c>
      <c r="E1121" t="s">
        <v>55</v>
      </c>
      <c r="F1121" t="s">
        <v>421</v>
      </c>
      <c r="G1121" t="s">
        <v>1153</v>
      </c>
      <c r="H1121" t="s">
        <v>1154</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0.93365020902993845</v>
      </c>
      <c r="T1121" s="94">
        <f>IF('Net zero activities &amp; levers'!$C$14="Off",'Activity data'!AM51*ManureNEF*NtoN2O*kgtoGg,IF('Net zero activities &amp; levers'!$C$14="On",'Net zero Activity data'!AM51*ManureNEF*NtoN2O*kgtoGg,"ERROR"))</f>
        <v>0.95247824875548714</v>
      </c>
      <c r="U1121" s="94">
        <f>IF('Net zero activities &amp; levers'!$C$14="Off",'Activity data'!AN51*ManureNEF*NtoN2O*kgtoGg,IF('Net zero activities &amp; levers'!$C$14="On",'Net zero Activity data'!AN51*ManureNEF*NtoN2O*kgtoGg,"ERROR"))</f>
        <v>0.96182466181920945</v>
      </c>
      <c r="V1121" s="94">
        <f>IF('Net zero activities &amp; levers'!$C$14="Off",'Activity data'!AO51*ManureNEF*NtoN2O*kgtoGg,IF('Net zero activities &amp; levers'!$C$14="On",'Net zero Activity data'!AO51*ManureNEF*NtoN2O*kgtoGg,"ERROR"))</f>
        <v>0.96426556553319687</v>
      </c>
      <c r="W1121" s="94">
        <f>IF('Net zero activities &amp; levers'!$C$14="Off",'Activity data'!AP51*ManureNEF*NtoN2O*kgtoGg,IF('Net zero activities &amp; levers'!$C$14="On",'Net zero Activity data'!AP51*ManureNEF*NtoN2O*kgtoGg,"ERROR"))</f>
        <v>0.96773624393172708</v>
      </c>
      <c r="X1121" s="94">
        <f>IF('Net zero activities &amp; levers'!$C$14="Off",'Activity data'!AQ51*ManureNEF*NtoN2O*kgtoGg,IF('Net zero activities &amp; levers'!$C$14="On",'Net zero Activity data'!AQ51*ManureNEF*NtoN2O*kgtoGg,"ERROR"))</f>
        <v>0.97356006844995502</v>
      </c>
      <c r="Y1121" s="94">
        <f>IF('Net zero activities &amp; levers'!$C$14="Off",'Activity data'!AR51*ManureNEF*NtoN2O*kgtoGg,IF('Net zero activities &amp; levers'!$C$14="On",'Net zero Activity data'!AR51*ManureNEF*NtoN2O*kgtoGg,"ERROR"))</f>
        <v>0.98125354559469047</v>
      </c>
      <c r="Z1121" s="94">
        <f>IF('Net zero activities &amp; levers'!$C$14="Off",'Activity data'!AS51*ManureNEF*NtoN2O*kgtoGg,IF('Net zero activities &amp; levers'!$C$14="On",'Net zero Activity data'!AS51*ManureNEF*NtoN2O*kgtoGg,"ERROR"))</f>
        <v>0.9898672508653048</v>
      </c>
      <c r="AA1121" s="94">
        <f>IF('Net zero activities &amp; levers'!$C$14="Off",'Activity data'!AT51*ManureNEF*NtoN2O*kgtoGg,IF('Net zero activities &amp; levers'!$C$14="On",'Net zero Activity data'!AT51*ManureNEF*NtoN2O*kgtoGg,"ERROR"))</f>
        <v>0.99967246769291085</v>
      </c>
      <c r="AB1121" s="94">
        <f>IF('Net zero activities &amp; levers'!$C$14="Off",'Activity data'!AU51*ManureNEF*NtoN2O*kgtoGg,IF('Net zero activities &amp; levers'!$C$14="On",'Net zero Activity data'!AU51*ManureNEF*NtoN2O*kgtoGg,"ERROR"))</f>
        <v>1.0115098971796095</v>
      </c>
      <c r="AC1121" s="94">
        <f>IF('Net zero activities &amp; levers'!$C$14="Off",'Activity data'!AV51*ManureNEF*NtoN2O*kgtoGg,IF('Net zero activities &amp; levers'!$C$14="On",'Net zero Activity data'!AV51*ManureNEF*NtoN2O*kgtoGg,"ERROR"))</f>
        <v>1.0253107738752334</v>
      </c>
      <c r="AD1121" s="94">
        <f>IF('Net zero activities &amp; levers'!$C$14="Off",'Activity data'!AW51*ManureNEF*NtoN2O*kgtoGg,IF('Net zero activities &amp; levers'!$C$14="On",'Net zero Activity data'!AW51*ManureNEF*NtoN2O*kgtoGg,"ERROR"))</f>
        <v>1.0403318427526722</v>
      </c>
      <c r="AE1121" s="94">
        <f>IF('Net zero activities &amp; levers'!$C$14="Off",'Activity data'!AX51*ManureNEF*NtoN2O*kgtoGg,IF('Net zero activities &amp; levers'!$C$14="On",'Net zero Activity data'!AX51*ManureNEF*NtoN2O*kgtoGg,"ERROR"))</f>
        <v>1.0565595279914524</v>
      </c>
      <c r="AF1121" s="94">
        <f>IF('Net zero activities &amp; levers'!$C$14="Off",'Activity data'!AY51*ManureNEF*NtoN2O*kgtoGg,IF('Net zero activities &amp; levers'!$C$14="On",'Net zero Activity data'!AY51*ManureNEF*NtoN2O*kgtoGg,"ERROR"))</f>
        <v>1.0735820353165477</v>
      </c>
      <c r="AG1121" s="94">
        <f>IF('Net zero activities &amp; levers'!$C$14="Off",'Activity data'!AZ51*ManureNEF*NtoN2O*kgtoGg,IF('Net zero activities &amp; levers'!$C$14="On",'Net zero Activity data'!AZ51*ManureNEF*NtoN2O*kgtoGg,"ERROR"))</f>
        <v>1.0915897582793135</v>
      </c>
      <c r="AH1121" s="94">
        <f>IF('Net zero activities &amp; levers'!$C$14="Off",'Activity data'!BA51*ManureNEF*NtoN2O*kgtoGg,IF('Net zero activities &amp; levers'!$C$14="On",'Net zero Activity data'!BA51*ManureNEF*NtoN2O*kgtoGg,"ERROR"))</f>
        <v>1.1103975379258981</v>
      </c>
      <c r="AI1121" s="94">
        <f>IF('Net zero activities &amp; levers'!$C$14="Off",'Activity data'!BB51*ManureNEF*NtoN2O*kgtoGg,IF('Net zero activities &amp; levers'!$C$14="On",'Net zero Activity data'!BB51*ManureNEF*NtoN2O*kgtoGg,"ERROR"))</f>
        <v>1.1292806316402249</v>
      </c>
      <c r="AJ1121" s="94">
        <f>IF('Net zero activities &amp; levers'!$C$14="Off",'Activity data'!BC51*ManureNEF*NtoN2O*kgtoGg,IF('Net zero activities &amp; levers'!$C$14="On",'Net zero Activity data'!BC51*ManureNEF*NtoN2O*kgtoGg,"ERROR"))</f>
        <v>1.1493011664968118</v>
      </c>
      <c r="AK1121" s="94">
        <f>IF('Net zero activities &amp; levers'!$C$14="Off",'Activity data'!BD51*ManureNEF*NtoN2O*kgtoGg,IF('Net zero activities &amp; levers'!$C$14="On",'Net zero Activity data'!BD51*ManureNEF*NtoN2O*kgtoGg,"ERROR"))</f>
        <v>1.1697592856457866</v>
      </c>
      <c r="AL1121" s="94">
        <f>IF('Net zero activities &amp; levers'!$C$14="Off",'Activity data'!BE51*ManureNEF*NtoN2O*kgtoGg,IF('Net zero activities &amp; levers'!$C$14="On",'Net zero Activity data'!BE51*ManureNEF*NtoN2O*kgtoGg,"ERROR"))</f>
        <v>1.190602957487612</v>
      </c>
      <c r="AM1121" s="94">
        <f>IF('Net zero activities &amp; levers'!$C$14="Off",'Activity data'!BF51*ManureNEF*NtoN2O*kgtoGg,IF('Net zero activities &amp; levers'!$C$14="On",'Net zero Activity data'!BF51*ManureNEF*NtoN2O*kgtoGg,"ERROR"))</f>
        <v>1.2121679986970451</v>
      </c>
      <c r="AN1121" s="94">
        <f>IF('Net zero activities &amp; levers'!$C$14="Off",'Activity data'!BG51*ManureNEF*NtoN2O*kgtoGg,IF('Net zero activities &amp; levers'!$C$14="On",'Net zero Activity data'!BG51*ManureNEF*NtoN2O*kgtoGg,"ERROR"))</f>
        <v>1.2336493561978465</v>
      </c>
      <c r="AO1121" s="94">
        <f>IF('Net zero activities &amp; levers'!$C$14="Off",'Activity data'!BH51*ManureNEF*NtoN2O*kgtoGg,IF('Net zero activities &amp; levers'!$C$14="On",'Net zero Activity data'!BH51*ManureNEF*NtoN2O*kgtoGg,"ERROR"))</f>
        <v>1.2561625740927527</v>
      </c>
      <c r="AP1121" s="94">
        <f>IF('Net zero activities &amp; levers'!$C$14="Off",'Activity data'!BI51*ManureNEF*NtoN2O*kgtoGg,IF('Net zero activities &amp; levers'!$C$14="On",'Net zero Activity data'!BI51*ManureNEF*NtoN2O*kgtoGg,"ERROR"))</f>
        <v>1.2801233061925847</v>
      </c>
      <c r="AQ1121" s="94">
        <f>IF('Net zero activities &amp; levers'!$C$14="Off",'Activity data'!BJ51*ManureNEF*NtoN2O*kgtoGg,IF('Net zero activities &amp; levers'!$C$14="On",'Net zero Activity data'!BJ51*ManureNEF*NtoN2O*kgtoGg,"ERROR"))</f>
        <v>1.3048522554087716</v>
      </c>
      <c r="AR1121" s="94">
        <f>IF('Net zero activities &amp; levers'!$C$14="Off",'Activity data'!BK51*ManureNEF*NtoN2O*kgtoGg,IF('Net zero activities &amp; levers'!$C$14="On",'Net zero Activity data'!BK51*ManureNEF*NtoN2O*kgtoGg,"ERROR"))</f>
        <v>1.3303941603592482</v>
      </c>
      <c r="AS1121" s="94">
        <f>IF('Net zero activities &amp; levers'!$C$14="Off",'Activity data'!BL51*ManureNEF*NtoN2O*kgtoGg,IF('Net zero activities &amp; levers'!$C$14="On",'Net zero Activity data'!BL51*ManureNEF*NtoN2O*kgtoGg,"ERROR"))</f>
        <v>1.3575350064545193</v>
      </c>
      <c r="AT1121" s="94">
        <f>IF('Net zero activities &amp; levers'!$C$14="Off",'Activity data'!BM51*ManureNEF*NtoN2O*kgtoGg,IF('Net zero activities &amp; levers'!$C$14="On",'Net zero Activity data'!BM51*ManureNEF*NtoN2O*kgtoGg,"ERROR"))</f>
        <v>1.3860465376922328</v>
      </c>
      <c r="AU1121" s="94">
        <f>IF('Net zero activities &amp; levers'!$C$14="Off",'Activity data'!BN51*ManureNEF*NtoN2O*kgtoGg,IF('Net zero activities &amp; levers'!$C$14="On",'Net zero Activity data'!BN51*ManureNEF*NtoN2O*kgtoGg,"ERROR"))</f>
        <v>1.4157816542373405</v>
      </c>
      <c r="AV1121" s="94">
        <f>IF('Net zero activities &amp; levers'!$C$14="Off",'Activity data'!BO51*ManureNEF*NtoN2O*kgtoGg,IF('Net zero activities &amp; levers'!$C$14="On",'Net zero Activity data'!BO51*ManureNEF*NtoN2O*kgtoGg,"ERROR"))</f>
        <v>1.4472761604692133</v>
      </c>
      <c r="AW1121" s="94">
        <f>IF('Net zero activities &amp; levers'!$C$14="Off",'Activity data'!BP51*ManureNEF*NtoN2O*kgtoGg,IF('Net zero activities &amp; levers'!$C$14="On",'Net zero Activity data'!BP51*ManureNEF*NtoN2O*kgtoGg,"ERROR"))</f>
        <v>1.4775796814421152</v>
      </c>
      <c r="AY1121" s="79"/>
    </row>
    <row r="1122" spans="1:51" x14ac:dyDescent="0.25">
      <c r="A1122" s="95" t="str">
        <f t="shared" si="374"/>
        <v>CM Organic</v>
      </c>
      <c r="B1122" s="95" t="s">
        <v>1321</v>
      </c>
      <c r="C1122" s="95" t="s">
        <v>1126</v>
      </c>
      <c r="D1122" t="s">
        <v>369</v>
      </c>
      <c r="E1122" t="s">
        <v>55</v>
      </c>
      <c r="F1122" t="s">
        <v>421</v>
      </c>
      <c r="G1122" t="s">
        <v>1155</v>
      </c>
      <c r="H1122" t="s">
        <v>1156</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4.9945021903357263E-2</v>
      </c>
      <c r="T1122" s="94">
        <f>IF('Net zero activities &amp; levers'!$C$14="Off",'Activity data'!AM52*ManureNEF*NtoN2O*kgtoGg,IF('Net zero activities &amp; levers'!$C$14="On",'Net zero Activity data'!AM52*ManureNEF*NtoN2O*kgtoGg,"ERROR"))</f>
        <v>5.0952215868929084E-2</v>
      </c>
      <c r="U1122" s="94">
        <f>IF('Net zero activities &amp; levers'!$C$14="Off",'Activity data'!AN52*ManureNEF*NtoN2O*kgtoGg,IF('Net zero activities &amp; levers'!$C$14="On",'Net zero Activity data'!AN52*ManureNEF*NtoN2O*kgtoGg,"ERROR"))</f>
        <v>5.1452196269158888E-2</v>
      </c>
      <c r="V1122" s="94">
        <f>IF('Net zero activities &amp; levers'!$C$14="Off",'Activity data'!AO52*ManureNEF*NtoN2O*kgtoGg,IF('Net zero activities &amp; levers'!$C$14="On",'Net zero Activity data'!AO52*ManureNEF*NtoN2O*kgtoGg,"ERROR"))</f>
        <v>5.1582770855101254E-2</v>
      </c>
      <c r="W1122" s="94">
        <f>IF('Net zero activities &amp; levers'!$C$14="Off",'Activity data'!AP52*ManureNEF*NtoN2O*kgtoGg,IF('Net zero activities &amp; levers'!$C$14="On",'Net zero Activity data'!AP52*ManureNEF*NtoN2O*kgtoGg,"ERROR"))</f>
        <v>5.1768432580400064E-2</v>
      </c>
      <c r="X1122" s="94">
        <f>IF('Net zero activities &amp; levers'!$C$14="Off",'Activity data'!AQ52*ManureNEF*NtoN2O*kgtoGg,IF('Net zero activities &amp; levers'!$C$14="On",'Net zero Activity data'!AQ52*ManureNEF*NtoN2O*kgtoGg,"ERROR"))</f>
        <v>5.2079974355157911E-2</v>
      </c>
      <c r="Y1122" s="94">
        <f>IF('Net zero activities &amp; levers'!$C$14="Off",'Activity data'!AR52*ManureNEF*NtoN2O*kgtoGg,IF('Net zero activities &amp; levers'!$C$14="On",'Net zero Activity data'!AR52*ManureNEF*NtoN2O*kgtoGg,"ERROR"))</f>
        <v>5.2491532003611736E-2</v>
      </c>
      <c r="Z1122" s="94">
        <f>IF('Net zero activities &amp; levers'!$C$14="Off",'Activity data'!AS52*ManureNEF*NtoN2O*kgtoGg,IF('Net zero activities &amp; levers'!$C$14="On",'Net zero Activity data'!AS52*ManureNEF*NtoN2O*kgtoGg,"ERROR"))</f>
        <v>5.2952316668199217E-2</v>
      </c>
      <c r="AA1122" s="94">
        <f>IF('Net zero activities &amp; levers'!$C$14="Off",'Activity data'!AT52*ManureNEF*NtoN2O*kgtoGg,IF('Net zero activities &amp; levers'!$C$14="On",'Net zero Activity data'!AT52*ManureNEF*NtoN2O*kgtoGg,"ERROR"))</f>
        <v>5.3476840482884362E-2</v>
      </c>
      <c r="AB1122" s="94">
        <f>IF('Net zero activities &amp; levers'!$C$14="Off",'Activity data'!AU52*ManureNEF*NtoN2O*kgtoGg,IF('Net zero activities &amp; levers'!$C$14="On",'Net zero Activity data'!AU52*ManureNEF*NtoN2O*kgtoGg,"ERROR"))</f>
        <v>5.4110076216432663E-2</v>
      </c>
      <c r="AC1122" s="94">
        <f>IF('Net zero activities &amp; levers'!$C$14="Off",'Activity data'!AV52*ManureNEF*NtoN2O*kgtoGg,IF('Net zero activities &amp; levers'!$C$14="On",'Net zero Activity data'!AV52*ManureNEF*NtoN2O*kgtoGg,"ERROR"))</f>
        <v>5.4848345304986328E-2</v>
      </c>
      <c r="AD1122" s="94">
        <f>IF('Net zero activities &amp; levers'!$C$14="Off",'Activity data'!AW52*ManureNEF*NtoN2O*kgtoGg,IF('Net zero activities &amp; levers'!$C$14="On",'Net zero Activity data'!AW52*ManureNEF*NtoN2O*kgtoGg,"ERROR"))</f>
        <v>5.5651887795353253E-2</v>
      </c>
      <c r="AE1122" s="94">
        <f>IF('Net zero activities &amp; levers'!$C$14="Off",'Activity data'!AX52*ManureNEF*NtoN2O*kgtoGg,IF('Net zero activities &amp; levers'!$C$14="On",'Net zero Activity data'!AX52*ManureNEF*NtoN2O*kgtoGg,"ERROR"))</f>
        <v>5.651997745768382E-2</v>
      </c>
      <c r="AF1122" s="94">
        <f>IF('Net zero activities &amp; levers'!$C$14="Off",'Activity data'!AY52*ManureNEF*NtoN2O*kgtoGg,IF('Net zero activities &amp; levers'!$C$14="On",'Net zero Activity data'!AY52*ManureNEF*NtoN2O*kgtoGg,"ERROR"))</f>
        <v>5.7430585620118969E-2</v>
      </c>
      <c r="AG1122" s="94">
        <f>IF('Net zero activities &amp; levers'!$C$14="Off",'Activity data'!AZ52*ManureNEF*NtoN2O*kgtoGg,IF('Net zero activities &amp; levers'!$C$14="On",'Net zero Activity data'!AZ52*ManureNEF*NtoN2O*kgtoGg,"ERROR"))</f>
        <v>5.8393897264143985E-2</v>
      </c>
      <c r="AH1122" s="94">
        <f>IF('Net zero activities &amp; levers'!$C$14="Off",'Activity data'!BA52*ManureNEF*NtoN2O*kgtoGg,IF('Net zero activities &amp; levers'!$C$14="On",'Net zero Activity data'!BA52*ManureNEF*NtoN2O*kgtoGg,"ERROR"))</f>
        <v>5.9400007429725336E-2</v>
      </c>
      <c r="AI1122" s="94">
        <f>IF('Net zero activities &amp; levers'!$C$14="Off",'Activity data'!BB52*ManureNEF*NtoN2O*kgtoGg,IF('Net zero activities &amp; levers'!$C$14="On",'Net zero Activity data'!BB52*ManureNEF*NtoN2O*kgtoGg,"ERROR"))</f>
        <v>6.0410146473281176E-2</v>
      </c>
      <c r="AJ1122" s="94">
        <f>IF('Net zero activities &amp; levers'!$C$14="Off",'Activity data'!BC52*ManureNEF*NtoN2O*kgtoGg,IF('Net zero activities &amp; levers'!$C$14="On",'Net zero Activity data'!BC52*ManureNEF*NtoN2O*kgtoGg,"ERROR"))</f>
        <v>6.1481132204616346E-2</v>
      </c>
      <c r="AK1122" s="94">
        <f>IF('Net zero activities &amp; levers'!$C$14="Off",'Activity data'!BD52*ManureNEF*NtoN2O*kgtoGg,IF('Net zero activities &amp; levers'!$C$14="On",'Net zero Activity data'!BD52*ManureNEF*NtoN2O*kgtoGg,"ERROR"))</f>
        <v>6.2575526228325351E-2</v>
      </c>
      <c r="AL1122" s="94">
        <f>IF('Net zero activities &amp; levers'!$C$14="Off",'Activity data'!BE52*ManureNEF*NtoN2O*kgtoGg,IF('Net zero activities &amp; levers'!$C$14="On",'Net zero Activity data'!BE52*ManureNEF*NtoN2O*kgtoGg,"ERROR"))</f>
        <v>6.3690545147207192E-2</v>
      </c>
      <c r="AM1122" s="94">
        <f>IF('Net zero activities &amp; levers'!$C$14="Off",'Activity data'!BF52*ManureNEF*NtoN2O*kgtoGg,IF('Net zero activities &amp; levers'!$C$14="On",'Net zero Activity data'!BF52*ManureNEF*NtoN2O*kgtoGg,"ERROR"))</f>
        <v>6.4844153259897494E-2</v>
      </c>
      <c r="AN1122" s="94">
        <f>IF('Net zero activities &amp; levers'!$C$14="Off",'Activity data'!BG52*ManureNEF*NtoN2O*kgtoGg,IF('Net zero activities &amp; levers'!$C$14="On",'Net zero Activity data'!BG52*ManureNEF*NtoN2O*kgtoGg,"ERROR"))</f>
        <v>6.5993284766017041E-2</v>
      </c>
      <c r="AO1122" s="94">
        <f>IF('Net zero activities &amp; levers'!$C$14="Off",'Activity data'!BH52*ManureNEF*NtoN2O*kgtoGg,IF('Net zero activities &amp; levers'!$C$14="On",'Net zero Activity data'!BH52*ManureNEF*NtoN2O*kgtoGg,"ERROR"))</f>
        <v>6.7197614985194512E-2</v>
      </c>
      <c r="AP1122" s="94">
        <f>IF('Net zero activities &amp; levers'!$C$14="Off",'Activity data'!BI52*ManureNEF*NtoN2O*kgtoGg,IF('Net zero activities &amp; levers'!$C$14="On",'Net zero Activity data'!BI52*ManureNEF*NtoN2O*kgtoGg,"ERROR"))</f>
        <v>6.8479379052692538E-2</v>
      </c>
      <c r="AQ1122" s="94">
        <f>IF('Net zero activities &amp; levers'!$C$14="Off",'Activity data'!BJ52*ManureNEF*NtoN2O*kgtoGg,IF('Net zero activities &amp; levers'!$C$14="On",'Net zero Activity data'!BJ52*ManureNEF*NtoN2O*kgtoGg,"ERROR"))</f>
        <v>6.9802238404411326E-2</v>
      </c>
      <c r="AR1122" s="94">
        <f>IF('Net zero activities &amp; levers'!$C$14="Off",'Activity data'!BK52*ManureNEF*NtoN2O*kgtoGg,IF('Net zero activities &amp; levers'!$C$14="On",'Net zero Activity data'!BK52*ManureNEF*NtoN2O*kgtoGg,"ERROR"))</f>
        <v>7.1168586304156845E-2</v>
      </c>
      <c r="AS1122" s="94">
        <f>IF('Net zero activities &amp; levers'!$C$14="Off",'Activity data'!BL52*ManureNEF*NtoN2O*kgtoGg,IF('Net zero activities &amp; levers'!$C$14="On",'Net zero Activity data'!BL52*ManureNEF*NtoN2O*kgtoGg,"ERROR"))</f>
        <v>7.2620468539702415E-2</v>
      </c>
      <c r="AT1122" s="94">
        <f>IF('Net zero activities &amp; levers'!$C$14="Off",'Activity data'!BM52*ManureNEF*NtoN2O*kgtoGg,IF('Net zero activities &amp; levers'!$C$14="On",'Net zero Activity data'!BM52*ManureNEF*NtoN2O*kgtoGg,"ERROR"))</f>
        <v>7.4145674701917505E-2</v>
      </c>
      <c r="AU1122" s="94">
        <f>IF('Net zero activities &amp; levers'!$C$14="Off",'Activity data'!BN52*ManureNEF*NtoN2O*kgtoGg,IF('Net zero activities &amp; levers'!$C$14="On",'Net zero Activity data'!BN52*ManureNEF*NtoN2O*kgtoGg,"ERROR"))</f>
        <v>7.5736335779032549E-2</v>
      </c>
      <c r="AV1122" s="94">
        <f>IF('Net zero activities &amp; levers'!$C$14="Off",'Activity data'!BO52*ManureNEF*NtoN2O*kgtoGg,IF('Net zero activities &amp; levers'!$C$14="On",'Net zero Activity data'!BO52*ManureNEF*NtoN2O*kgtoGg,"ERROR"))</f>
        <v>7.742111428427241E-2</v>
      </c>
      <c r="AW1122" s="94">
        <f>IF('Net zero activities &amp; levers'!$C$14="Off",'Activity data'!BP52*ManureNEF*NtoN2O*kgtoGg,IF('Net zero activities &amp; levers'!$C$14="On",'Net zero Activity data'!BP52*ManureNEF*NtoN2O*kgtoGg,"ERROR"))</f>
        <v>7.9042181793391189E-2</v>
      </c>
      <c r="AY1122" s="79"/>
    </row>
    <row r="1123" spans="1:51" x14ac:dyDescent="0.25">
      <c r="A1123" s="95" t="str">
        <f t="shared" si="374"/>
        <v>CM Organic</v>
      </c>
      <c r="B1123" s="95" t="s">
        <v>1321</v>
      </c>
      <c r="C1123" s="95" t="s">
        <v>1126</v>
      </c>
      <c r="D1123" t="s">
        <v>369</v>
      </c>
      <c r="E1123" t="s">
        <v>55</v>
      </c>
      <c r="F1123" t="s">
        <v>421</v>
      </c>
      <c r="G1123" t="s">
        <v>1157</v>
      </c>
      <c r="H1123" t="s">
        <v>1158</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0.39521014945095007</v>
      </c>
      <c r="N1123" s="94">
        <f>IF('Net zero activities &amp; levers'!$C$14="Off",'Activity data'!AG53*ManureNEF*NtoN2O*kgtoGg,IF('Net zero activities &amp; levers'!$C$14="On",'Net zero Activity data'!AG53*ManureNEF*NtoN2O*kgtoGg,"ERROR"))</f>
        <v>0.38993263522397309</v>
      </c>
      <c r="O1123" s="94">
        <f>IF('Net zero activities &amp; levers'!$C$14="Off",'Activity data'!AH53*ManureNEF*NtoN2O*kgtoGg,IF('Net zero activities &amp; levers'!$C$14="On",'Net zero Activity data'!AH53*ManureNEF*NtoN2O*kgtoGg,"ERROR"))</f>
        <v>0.38227219443770077</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0.31897606543396184</v>
      </c>
      <c r="T1123" s="94">
        <f>IF('Net zero activities &amp; levers'!$C$14="Off",'Activity data'!AM53*ManureNEF*NtoN2O*kgtoGg,IF('Net zero activities &amp; levers'!$C$14="On",'Net zero Activity data'!AM53*ManureNEF*NtoN2O*kgtoGg,"ERROR"))</f>
        <v>0.33422640738749132</v>
      </c>
      <c r="U1123" s="94">
        <f>IF('Net zero activities &amp; levers'!$C$14="Off",'Activity data'!AN53*ManureNEF*NtoN2O*kgtoGg,IF('Net zero activities &amp; levers'!$C$14="On",'Net zero Activity data'!AN53*ManureNEF*NtoN2O*kgtoGg,"ERROR"))</f>
        <v>0.3395060787066792</v>
      </c>
      <c r="V1123" s="94">
        <f>IF('Net zero activities &amp; levers'!$C$14="Off",'Activity data'!AO53*ManureNEF*NtoN2O*kgtoGg,IF('Net zero activities &amp; levers'!$C$14="On",'Net zero Activity data'!AO53*ManureNEF*NtoN2O*kgtoGg,"ERROR"))</f>
        <v>0.33721330134407257</v>
      </c>
      <c r="W1123" s="94">
        <f>IF('Net zero activities &amp; levers'!$C$14="Off",'Activity data'!AP53*ManureNEF*NtoN2O*kgtoGg,IF('Net zero activities &amp; levers'!$C$14="On",'Net zero Activity data'!AP53*ManureNEF*NtoN2O*kgtoGg,"ERROR"))</f>
        <v>0.33534828840095249</v>
      </c>
      <c r="X1123" s="94">
        <f>IF('Net zero activities &amp; levers'!$C$14="Off",'Activity data'!AQ53*ManureNEF*NtoN2O*kgtoGg,IF('Net zero activities &amp; levers'!$C$14="On",'Net zero Activity data'!AQ53*ManureNEF*NtoN2O*kgtoGg,"ERROR"))</f>
        <v>0.33547079917503503</v>
      </c>
      <c r="Y1123" s="94">
        <f>IF('Net zero activities &amp; levers'!$C$14="Off",'Activity data'!AR53*ManureNEF*NtoN2O*kgtoGg,IF('Net zero activities &amp; levers'!$C$14="On",'Net zero Activity data'!AR53*ManureNEF*NtoN2O*kgtoGg,"ERROR"))</f>
        <v>0.33744070936588777</v>
      </c>
      <c r="Z1123" s="94">
        <f>IF('Net zero activities &amp; levers'!$C$14="Off",'Activity data'!AS53*ManureNEF*NtoN2O*kgtoGg,IF('Net zero activities &amp; levers'!$C$14="On",'Net zero Activity data'!AS53*ManureNEF*NtoN2O*kgtoGg,"ERROR"))</f>
        <v>0.34023587672815686</v>
      </c>
      <c r="AA1123" s="94">
        <f>IF('Net zero activities &amp; levers'!$C$14="Off",'Activity data'!AT53*ManureNEF*NtoN2O*kgtoGg,IF('Net zero activities &amp; levers'!$C$14="On",'Net zero Activity data'!AT53*ManureNEF*NtoN2O*kgtoGg,"ERROR"))</f>
        <v>0.34408144868680218</v>
      </c>
      <c r="AB1123" s="94">
        <f>IF('Net zero activities &amp; levers'!$C$14="Off",'Activity data'!AU53*ManureNEF*NtoN2O*kgtoGg,IF('Net zero activities &amp; levers'!$C$14="On",'Net zero Activity data'!AU53*ManureNEF*NtoN2O*kgtoGg,"ERROR"))</f>
        <v>0.34971445697084458</v>
      </c>
      <c r="AC1123" s="94">
        <f>IF('Net zero activities &amp; levers'!$C$14="Off",'Activity data'!AV53*ManureNEF*NtoN2O*kgtoGg,IF('Net zero activities &amp; levers'!$C$14="On",'Net zero Activity data'!AV53*ManureNEF*NtoN2O*kgtoGg,"ERROR"))</f>
        <v>0.35697581238959336</v>
      </c>
      <c r="AD1123" s="94">
        <f>IF('Net zero activities &amp; levers'!$C$14="Off",'Activity data'!AW53*ManureNEF*NtoN2O*kgtoGg,IF('Net zero activities &amp; levers'!$C$14="On",'Net zero Activity data'!AW53*ManureNEF*NtoN2O*kgtoGg,"ERROR"))</f>
        <v>0.36203839361176637</v>
      </c>
      <c r="AE1123" s="94">
        <f>IF('Net zero activities &amp; levers'!$C$14="Off",'Activity data'!AX53*ManureNEF*NtoN2O*kgtoGg,IF('Net zero activities &amp; levers'!$C$14="On",'Net zero Activity data'!AX53*ManureNEF*NtoN2O*kgtoGg,"ERROR"))</f>
        <v>0.36769900977315834</v>
      </c>
      <c r="AF1123" s="94">
        <f>IF('Net zero activities &amp; levers'!$C$14="Off",'Activity data'!AY53*ManureNEF*NtoN2O*kgtoGg,IF('Net zero activities &amp; levers'!$C$14="On",'Net zero Activity data'!AY53*ManureNEF*NtoN2O*kgtoGg,"ERROR"))</f>
        <v>0.37353106948354631</v>
      </c>
      <c r="AG1123" s="94">
        <f>IF('Net zero activities &amp; levers'!$C$14="Off",'Activity data'!AZ53*ManureNEF*NtoN2O*kgtoGg,IF('Net zero activities &amp; levers'!$C$14="On",'Net zero Activity data'!AZ53*ManureNEF*NtoN2O*kgtoGg,"ERROR"))</f>
        <v>0.37966412521229187</v>
      </c>
      <c r="AH1123" s="94">
        <f>IF('Net zero activities &amp; levers'!$C$14="Off",'Activity data'!BA53*ManureNEF*NtoN2O*kgtoGg,IF('Net zero activities &amp; levers'!$C$14="On",'Net zero Activity data'!BA53*ManureNEF*NtoN2O*kgtoGg,"ERROR"))</f>
        <v>0.38588904144354591</v>
      </c>
      <c r="AI1123" s="94">
        <f>IF('Net zero activities &amp; levers'!$C$14="Off",'Activity data'!BB53*ManureNEF*NtoN2O*kgtoGg,IF('Net zero activities &amp; levers'!$C$14="On",'Net zero Activity data'!BB53*ManureNEF*NtoN2O*kgtoGg,"ERROR"))</f>
        <v>0.39157349610813613</v>
      </c>
      <c r="AJ1123" s="94">
        <f>IF('Net zero activities &amp; levers'!$C$14="Off",'Activity data'!BC53*ManureNEF*NtoN2O*kgtoGg,IF('Net zero activities &amp; levers'!$C$14="On",'Net zero Activity data'!BC53*ManureNEF*NtoN2O*kgtoGg,"ERROR"))</f>
        <v>0.39756955250590403</v>
      </c>
      <c r="AK1123" s="94">
        <f>IF('Net zero activities &amp; levers'!$C$14="Off",'Activity data'!BD53*ManureNEF*NtoN2O*kgtoGg,IF('Net zero activities &amp; levers'!$C$14="On",'Net zero Activity data'!BD53*ManureNEF*NtoN2O*kgtoGg,"ERROR"))</f>
        <v>0.40329410820183131</v>
      </c>
      <c r="AL1123" s="94">
        <f>IF('Net zero activities &amp; levers'!$C$14="Off",'Activity data'!BE53*ManureNEF*NtoN2O*kgtoGg,IF('Net zero activities &amp; levers'!$C$14="On",'Net zero Activity data'!BE53*ManureNEF*NtoN2O*kgtoGg,"ERROR"))</f>
        <v>0.4086920134239358</v>
      </c>
      <c r="AM1123" s="94">
        <f>IF('Net zero activities &amp; levers'!$C$14="Off",'Activity data'!BF53*ManureNEF*NtoN2O*kgtoGg,IF('Net zero activities &amp; levers'!$C$14="On",'Net zero Activity data'!BF53*ManureNEF*NtoN2O*kgtoGg,"ERROR"))</f>
        <v>0.41399400883192944</v>
      </c>
      <c r="AN1123" s="94">
        <f>IF('Net zero activities &amp; levers'!$C$14="Off",'Activity data'!BG53*ManureNEF*NtoN2O*kgtoGg,IF('Net zero activities &amp; levers'!$C$14="On",'Net zero Activity data'!BG53*ManureNEF*NtoN2O*kgtoGg,"ERROR"))</f>
        <v>0.42072674060954357</v>
      </c>
      <c r="AO1123" s="94">
        <f>IF('Net zero activities &amp; levers'!$C$14="Off",'Activity data'!BH53*ManureNEF*NtoN2O*kgtoGg,IF('Net zero activities &amp; levers'!$C$14="On",'Net zero Activity data'!BH53*ManureNEF*NtoN2O*kgtoGg,"ERROR"))</f>
        <v>0.42769047193917231</v>
      </c>
      <c r="AP1123" s="94">
        <f>IF('Net zero activities &amp; levers'!$C$14="Off",'Activity data'!BI53*ManureNEF*NtoN2O*kgtoGg,IF('Net zero activities &amp; levers'!$C$14="On",'Net zero Activity data'!BI53*ManureNEF*NtoN2O*kgtoGg,"ERROR"))</f>
        <v>0.43513827260891708</v>
      </c>
      <c r="AQ1123" s="94">
        <f>IF('Net zero activities &amp; levers'!$C$14="Off",'Activity data'!BJ53*ManureNEF*NtoN2O*kgtoGg,IF('Net zero activities &amp; levers'!$C$14="On",'Net zero Activity data'!BJ53*ManureNEF*NtoN2O*kgtoGg,"ERROR"))</f>
        <v>0.44255709633783841</v>
      </c>
      <c r="AR1123" s="94">
        <f>IF('Net zero activities &amp; levers'!$C$14="Off",'Activity data'!BK53*ManureNEF*NtoN2O*kgtoGg,IF('Net zero activities &amp; levers'!$C$14="On",'Net zero Activity data'!BK53*ManureNEF*NtoN2O*kgtoGg,"ERROR"))</f>
        <v>0.44995657231615971</v>
      </c>
      <c r="AS1123" s="94">
        <f>IF('Net zero activities &amp; levers'!$C$14="Off",'Activity data'!BL53*ManureNEF*NtoN2O*kgtoGg,IF('Net zero activities &amp; levers'!$C$14="On",'Net zero Activity data'!BL53*ManureNEF*NtoN2O*kgtoGg,"ERROR"))</f>
        <v>0.45782299471336541</v>
      </c>
      <c r="AT1123" s="94">
        <f>IF('Net zero activities &amp; levers'!$C$14="Off",'Activity data'!BM53*ManureNEF*NtoN2O*kgtoGg,IF('Net zero activities &amp; levers'!$C$14="On",'Net zero Activity data'!BM53*ManureNEF*NtoN2O*kgtoGg,"ERROR"))</f>
        <v>0.46595268200970025</v>
      </c>
      <c r="AU1123" s="94">
        <f>IF('Net zero activities &amp; levers'!$C$14="Off",'Activity data'!BN53*ManureNEF*NtoN2O*kgtoGg,IF('Net zero activities &amp; levers'!$C$14="On",'Net zero Activity data'!BN53*ManureNEF*NtoN2O*kgtoGg,"ERROR"))</f>
        <v>0.47420429180526752</v>
      </c>
      <c r="AV1123" s="94">
        <f>IF('Net zero activities &amp; levers'!$C$14="Off",'Activity data'!BO53*ManureNEF*NtoN2O*kgtoGg,IF('Net zero activities &amp; levers'!$C$14="On",'Net zero Activity data'!BO53*ManureNEF*NtoN2O*kgtoGg,"ERROR"))</f>
        <v>0.48285863154123199</v>
      </c>
      <c r="AW1123" s="94">
        <f>IF('Net zero activities &amp; levers'!$C$14="Off",'Activity data'!BP53*ManureNEF*NtoN2O*kgtoGg,IF('Net zero activities &amp; levers'!$C$14="On",'Net zero Activity data'!BP53*ManureNEF*NtoN2O*kgtoGg,"ERROR"))</f>
        <v>0.4901142188549843</v>
      </c>
      <c r="AY1123" s="79"/>
    </row>
    <row r="1124" spans="1:51" x14ac:dyDescent="0.25">
      <c r="A1124" s="95" t="str">
        <f t="shared" si="374"/>
        <v>CM Organic</v>
      </c>
      <c r="B1124" s="95" t="s">
        <v>1321</v>
      </c>
      <c r="C1124" s="95" t="s">
        <v>1126</v>
      </c>
      <c r="D1124" t="s">
        <v>369</v>
      </c>
      <c r="E1124" t="s">
        <v>55</v>
      </c>
      <c r="F1124" t="s">
        <v>421</v>
      </c>
      <c r="G1124" t="s">
        <v>1159</v>
      </c>
      <c r="H1124" t="s">
        <v>1160</v>
      </c>
      <c r="I1124" t="s">
        <v>139</v>
      </c>
      <c r="J1124" t="s">
        <v>287</v>
      </c>
      <c r="K1124" s="94">
        <f>IF('Net zero activities &amp; levers'!$C$14="Off",'Activity data'!AD54*ManureNEF*NtoN2O*kgtoGg,IF('Net zero activities &amp; levers'!$C$14="On",'Net zero Activity data'!AD54*ManureNEF*NtoN2O*kgtoGg,"ERROR"))</f>
        <v>2.6602988559851233</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2.5933447201068058</v>
      </c>
      <c r="O1124" s="94">
        <f>IF('Net zero activities &amp; levers'!$C$14="Off",'Activity data'!AH54*ManureNEF*NtoN2O*kgtoGg,IF('Net zero activities &amp; levers'!$C$14="On",'Net zero Activity data'!AH54*ManureNEF*NtoN2O*kgtoGg,"ERROR"))</f>
        <v>2.5423970387070192</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2.1214302687397906</v>
      </c>
      <c r="T1124" s="94">
        <f>IF('Net zero activities &amp; levers'!$C$14="Off",'Activity data'!AM54*ManureNEF*NtoN2O*kgtoGg,IF('Net zero activities &amp; levers'!$C$14="On",'Net zero Activity data'!AM54*ManureNEF*NtoN2O*kgtoGg,"ERROR"))</f>
        <v>2.2228564901236254</v>
      </c>
      <c r="U1124" s="94">
        <f>IF('Net zero activities &amp; levers'!$C$14="Off",'Activity data'!AN54*ManureNEF*NtoN2O*kgtoGg,IF('Net zero activities &amp; levers'!$C$14="On",'Net zero Activity data'!AN54*ManureNEF*NtoN2O*kgtoGg,"ERROR"))</f>
        <v>2.2579702674858382</v>
      </c>
      <c r="V1124" s="94">
        <f>IF('Net zero activities &amp; levers'!$C$14="Off",'Activity data'!AO54*ManureNEF*NtoN2O*kgtoGg,IF('Net zero activities &amp; levers'!$C$14="On",'Net zero Activity data'!AO54*ManureNEF*NtoN2O*kgtoGg,"ERROR"))</f>
        <v>2.2427215769927198</v>
      </c>
      <c r="W1124" s="94">
        <f>IF('Net zero activities &amp; levers'!$C$14="Off",'Activity data'!AP54*ManureNEF*NtoN2O*kgtoGg,IF('Net zero activities &amp; levers'!$C$14="On",'Net zero Activity data'!AP54*ManureNEF*NtoN2O*kgtoGg,"ERROR"))</f>
        <v>2.230317840982798</v>
      </c>
      <c r="X1124" s="94">
        <f>IF('Net zero activities &amp; levers'!$C$14="Off",'Activity data'!AQ54*ManureNEF*NtoN2O*kgtoGg,IF('Net zero activities &amp; levers'!$C$14="On",'Net zero Activity data'!AQ54*ManureNEF*NtoN2O*kgtoGg,"ERROR"))</f>
        <v>2.2311326295909391</v>
      </c>
      <c r="Y1124" s="94">
        <f>IF('Net zero activities &amp; levers'!$C$14="Off",'Activity data'!AR54*ManureNEF*NtoN2O*kgtoGg,IF('Net zero activities &amp; levers'!$C$14="On",'Net zero Activity data'!AR54*ManureNEF*NtoN2O*kgtoGg,"ERROR"))</f>
        <v>2.2442340110375012</v>
      </c>
      <c r="Z1124" s="94">
        <f>IF('Net zero activities &amp; levers'!$C$14="Off",'Activity data'!AS54*ManureNEF*NtoN2O*kgtoGg,IF('Net zero activities &amp; levers'!$C$14="On",'Net zero Activity data'!AS54*ManureNEF*NtoN2O*kgtoGg,"ERROR"))</f>
        <v>2.2628239721383245</v>
      </c>
      <c r="AA1124" s="94">
        <f>IF('Net zero activities &amp; levers'!$C$14="Off",'Activity data'!AT54*ManureNEF*NtoN2O*kgtoGg,IF('Net zero activities &amp; levers'!$C$14="On",'Net zero Activity data'!AT54*ManureNEF*NtoN2O*kgtoGg,"ERROR"))</f>
        <v>2.2883999122722289</v>
      </c>
      <c r="AB1124" s="94">
        <f>IF('Net zero activities &amp; levers'!$C$14="Off",'Activity data'!AU54*ManureNEF*NtoN2O*kgtoGg,IF('Net zero activities &amp; levers'!$C$14="On",'Net zero Activity data'!AU54*ManureNEF*NtoN2O*kgtoGg,"ERROR"))</f>
        <v>2.3258636456767143</v>
      </c>
      <c r="AC1124" s="94">
        <f>IF('Net zero activities &amp; levers'!$C$14="Off",'Activity data'!AV54*ManureNEF*NtoN2O*kgtoGg,IF('Net zero activities &amp; levers'!$C$14="On",'Net zero Activity data'!AV54*ManureNEF*NtoN2O*kgtoGg,"ERROR"))</f>
        <v>2.3741571098162688</v>
      </c>
      <c r="AD1124" s="94">
        <f>IF('Net zero activities &amp; levers'!$C$14="Off",'Activity data'!AW54*ManureNEF*NtoN2O*kgtoGg,IF('Net zero activities &amp; levers'!$C$14="On",'Net zero Activity data'!AW54*ManureNEF*NtoN2O*kgtoGg,"ERROR"))</f>
        <v>2.4078270750785844</v>
      </c>
      <c r="AE1124" s="94">
        <f>IF('Net zero activities &amp; levers'!$C$14="Off",'Activity data'!AX54*ManureNEF*NtoN2O*kgtoGg,IF('Net zero activities &amp; levers'!$C$14="On",'Net zero Activity data'!AX54*ManureNEF*NtoN2O*kgtoGg,"ERROR"))</f>
        <v>2.4454744215907969</v>
      </c>
      <c r="AF1124" s="94">
        <f>IF('Net zero activities &amp; levers'!$C$14="Off",'Activity data'!AY54*ManureNEF*NtoN2O*kgtoGg,IF('Net zero activities &amp; levers'!$C$14="On",'Net zero Activity data'!AY54*ManureNEF*NtoN2O*kgtoGg,"ERROR"))</f>
        <v>2.4842619963948258</v>
      </c>
      <c r="AG1124" s="94">
        <f>IF('Net zero activities &amp; levers'!$C$14="Off",'Activity data'!AZ54*ManureNEF*NtoN2O*kgtoGg,IF('Net zero activities &amp; levers'!$C$14="On",'Net zero Activity data'!AZ54*ManureNEF*NtoN2O*kgtoGg,"ERROR"))</f>
        <v>2.5250514206581411</v>
      </c>
      <c r="AH1124" s="94">
        <f>IF('Net zero activities &amp; levers'!$C$14="Off",'Activity data'!BA54*ManureNEF*NtoN2O*kgtoGg,IF('Net zero activities &amp; levers'!$C$14="On",'Net zero Activity data'!BA54*ManureNEF*NtoN2O*kgtoGg,"ERROR"))</f>
        <v>2.5664517862165597</v>
      </c>
      <c r="AI1124" s="94">
        <f>IF('Net zero activities &amp; levers'!$C$14="Off",'Activity data'!BB54*ManureNEF*NtoN2O*kgtoGg,IF('Net zero activities &amp; levers'!$C$14="On",'Net zero Activity data'!BB54*ManureNEF*NtoN2O*kgtoGg,"ERROR"))</f>
        <v>2.6042576766689809</v>
      </c>
      <c r="AJ1124" s="94">
        <f>IF('Net zero activities &amp; levers'!$C$14="Off",'Activity data'!BC54*ManureNEF*NtoN2O*kgtoGg,IF('Net zero activities &amp; levers'!$C$14="On",'Net zero Activity data'!BC54*ManureNEF*NtoN2O*kgtoGg,"ERROR"))</f>
        <v>2.6441359525452293</v>
      </c>
      <c r="AK1124" s="94">
        <f>IF('Net zero activities &amp; levers'!$C$14="Off",'Activity data'!BD54*ManureNEF*NtoN2O*kgtoGg,IF('Net zero activities &amp; levers'!$C$14="On",'Net zero Activity data'!BD54*ManureNEF*NtoN2O*kgtoGg,"ERROR"))</f>
        <v>2.6822085449571547</v>
      </c>
      <c r="AL1124" s="94">
        <f>IF('Net zero activities &amp; levers'!$C$14="Off",'Activity data'!BE54*ManureNEF*NtoN2O*kgtoGg,IF('Net zero activities &amp; levers'!$C$14="On",'Net zero Activity data'!BE54*ManureNEF*NtoN2O*kgtoGg,"ERROR"))</f>
        <v>2.7181086665238992</v>
      </c>
      <c r="AM1124" s="94">
        <f>IF('Net zero activities &amp; levers'!$C$14="Off",'Activity data'!BF54*ManureNEF*NtoN2O*kgtoGg,IF('Net zero activities &amp; levers'!$C$14="On",'Net zero Activity data'!BF54*ManureNEF*NtoN2O*kgtoGg,"ERROR"))</f>
        <v>2.7533709158338433</v>
      </c>
      <c r="AN1124" s="94">
        <f>IF('Net zero activities &amp; levers'!$C$14="Off",'Activity data'!BG54*ManureNEF*NtoN2O*kgtoGg,IF('Net zero activities &amp; levers'!$C$14="On",'Net zero Activity data'!BG54*ManureNEF*NtoN2O*kgtoGg,"ERROR"))</f>
        <v>2.7981486359580932</v>
      </c>
      <c r="AO1124" s="94">
        <f>IF('Net zero activities &amp; levers'!$C$14="Off",'Activity data'!BH54*ManureNEF*NtoN2O*kgtoGg,IF('Net zero activities &amp; levers'!$C$14="On",'Net zero Activity data'!BH54*ManureNEF*NtoN2O*kgtoGg,"ERROR"))</f>
        <v>2.8444626764988703</v>
      </c>
      <c r="AP1124" s="94">
        <f>IF('Net zero activities &amp; levers'!$C$14="Off",'Activity data'!BI54*ManureNEF*NtoN2O*kgtoGg,IF('Net zero activities &amp; levers'!$C$14="On",'Net zero Activity data'!BI54*ManureNEF*NtoN2O*kgtoGg,"ERROR"))</f>
        <v>2.8939961415092981</v>
      </c>
      <c r="AQ1124" s="94">
        <f>IF('Net zero activities &amp; levers'!$C$14="Off",'Activity data'!BJ54*ManureNEF*NtoN2O*kgtoGg,IF('Net zero activities &amp; levers'!$C$14="On",'Net zero Activity data'!BJ54*ManureNEF*NtoN2O*kgtoGg,"ERROR"))</f>
        <v>2.9433368881122353</v>
      </c>
      <c r="AR1124" s="94">
        <f>IF('Net zero activities &amp; levers'!$C$14="Off",'Activity data'!BK54*ManureNEF*NtoN2O*kgtoGg,IF('Net zero activities &amp; levers'!$C$14="On",'Net zero Activity data'!BK54*ManureNEF*NtoN2O*kgtoGg,"ERROR"))</f>
        <v>2.9925489576506421</v>
      </c>
      <c r="AS1124" s="94">
        <f>IF('Net zero activities &amp; levers'!$C$14="Off",'Activity data'!BL54*ManureNEF*NtoN2O*kgtoGg,IF('Net zero activities &amp; levers'!$C$14="On",'Net zero Activity data'!BL54*ManureNEF*NtoN2O*kgtoGg,"ERROR"))</f>
        <v>3.0448665713794991</v>
      </c>
      <c r="AT1124" s="94">
        <f>IF('Net zero activities &amp; levers'!$C$14="Off",'Activity data'!BM54*ManureNEF*NtoN2O*kgtoGg,IF('Net zero activities &amp; levers'!$C$14="On",'Net zero Activity data'!BM54*ManureNEF*NtoN2O*kgtoGg,"ERROR"))</f>
        <v>3.0989350943025911</v>
      </c>
      <c r="AU1124" s="94">
        <f>IF('Net zero activities &amp; levers'!$C$14="Off",'Activity data'!BN54*ManureNEF*NtoN2O*kgtoGg,IF('Net zero activities &amp; levers'!$C$14="On",'Net zero Activity data'!BN54*ManureNEF*NtoN2O*kgtoGg,"ERROR"))</f>
        <v>3.1538144933644965</v>
      </c>
      <c r="AV1124" s="94">
        <f>IF('Net zero activities &amp; levers'!$C$14="Off",'Activity data'!BO54*ManureNEF*NtoN2O*kgtoGg,IF('Net zero activities &amp; levers'!$C$14="On",'Net zero Activity data'!BO54*ManureNEF*NtoN2O*kgtoGg,"ERROR"))</f>
        <v>3.211372348831973</v>
      </c>
      <c r="AW1124" s="94">
        <f>IF('Net zero activities &amp; levers'!$C$14="Off",'Activity data'!BP54*ManureNEF*NtoN2O*kgtoGg,IF('Net zero activities &amp; levers'!$C$14="On",'Net zero Activity data'!BP54*ManureNEF*NtoN2O*kgtoGg,"ERROR"))</f>
        <v>3.2596274507435776</v>
      </c>
      <c r="AY1124" s="79"/>
    </row>
    <row r="1125" spans="1:51" x14ac:dyDescent="0.25">
      <c r="A1125" s="95" t="str">
        <f t="shared" si="374"/>
        <v>CM Organic</v>
      </c>
      <c r="B1125" s="95" t="s">
        <v>1321</v>
      </c>
      <c r="C1125" s="95" t="s">
        <v>1126</v>
      </c>
      <c r="D1125" t="s">
        <v>369</v>
      </c>
      <c r="E1125" t="s">
        <v>55</v>
      </c>
      <c r="F1125" t="s">
        <v>421</v>
      </c>
      <c r="G1125" t="s">
        <v>1161</v>
      </c>
      <c r="H1125" t="s">
        <v>1162</v>
      </c>
      <c r="I1125" t="s">
        <v>139</v>
      </c>
      <c r="J1125" t="s">
        <v>287</v>
      </c>
      <c r="K1125" s="94">
        <f>IF('Net zero activities &amp; levers'!$C$14="Off",'Activity data'!AD55*ManureNEF*NtoN2O*kgtoGg,IF('Net zero activities &amp; levers'!$C$14="On",'Net zero Activity data'!AD55*ManureNEF*NtoN2O*kgtoGg,"ERROR"))</f>
        <v>0.34358078636628725</v>
      </c>
      <c r="L1125" s="94">
        <f>IF('Net zero activities &amp; levers'!$C$14="Off",'Activity data'!AE55*ManureNEF*NtoN2O*kgtoGg,IF('Net zero activities &amp; levers'!$C$14="On",'Net zero Activity data'!AE55*ManureNEF*NtoN2O*kgtoGg,"ERROR"))</f>
        <v>0.35516571939691488</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0.37917034791782084</v>
      </c>
      <c r="O1125" s="94">
        <f>IF('Net zero activities &amp; levers'!$C$14="Off",'Activity data'!AH55*ManureNEF*NtoN2O*kgtoGg,IF('Net zero activities &amp; levers'!$C$14="On",'Net zero Activity data'!AH55*ManureNEF*NtoN2O*kgtoGg,"ERROR"))</f>
        <v>0.3870785095581884</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0.37883271565803223</v>
      </c>
      <c r="T1125" s="94">
        <f>IF('Net zero activities &amp; levers'!$C$14="Off",'Activity data'!AM55*ManureNEF*NtoN2O*kgtoGg,IF('Net zero activities &amp; levers'!$C$14="On",'Net zero Activity data'!AM55*ManureNEF*NtoN2O*kgtoGg,"ERROR"))</f>
        <v>0.40650829214497081</v>
      </c>
      <c r="U1125" s="94">
        <f>IF('Net zero activities &amp; levers'!$C$14="Off",'Activity data'!AN55*ManureNEF*NtoN2O*kgtoGg,IF('Net zero activities &amp; levers'!$C$14="On",'Net zero Activity data'!AN55*ManureNEF*NtoN2O*kgtoGg,"ERROR"))</f>
        <v>0.42274175542300491</v>
      </c>
      <c r="V1125" s="94">
        <f>IF('Net zero activities &amp; levers'!$C$14="Off",'Activity data'!AO55*ManureNEF*NtoN2O*kgtoGg,IF('Net zero activities &amp; levers'!$C$14="On",'Net zero Activity data'!AO55*ManureNEF*NtoN2O*kgtoGg,"ERROR"))</f>
        <v>0.42973734716787138</v>
      </c>
      <c r="W1125" s="94">
        <f>IF('Net zero activities &amp; levers'!$C$14="Off",'Activity data'!AP55*ManureNEF*NtoN2O*kgtoGg,IF('Net zero activities &amp; levers'!$C$14="On",'Net zero Activity data'!AP55*ManureNEF*NtoN2O*kgtoGg,"ERROR"))</f>
        <v>0.43726842004421129</v>
      </c>
      <c r="X1125" s="94">
        <f>IF('Net zero activities &amp; levers'!$C$14="Off",'Activity data'!AQ55*ManureNEF*NtoN2O*kgtoGg,IF('Net zero activities &amp; levers'!$C$14="On",'Net zero Activity data'!AQ55*ManureNEF*NtoN2O*kgtoGg,"ERROR"))</f>
        <v>0.44745878466388073</v>
      </c>
      <c r="Y1125" s="94">
        <f>IF('Net zero activities &amp; levers'!$C$14="Off",'Activity data'!AR55*ManureNEF*NtoN2O*kgtoGg,IF('Net zero activities &amp; levers'!$C$14="On",'Net zero Activity data'!AR55*ManureNEF*NtoN2O*kgtoGg,"ERROR"))</f>
        <v>0.46030289933226931</v>
      </c>
      <c r="Z1125" s="94">
        <f>IF('Net zero activities &amp; levers'!$C$14="Off",'Activity data'!AS55*ManureNEF*NtoN2O*kgtoGg,IF('Net zero activities &amp; levers'!$C$14="On",'Net zero Activity data'!AS55*ManureNEF*NtoN2O*kgtoGg,"ERROR"))</f>
        <v>0.47455223837766919</v>
      </c>
      <c r="AA1125" s="94">
        <f>IF('Net zero activities &amp; levers'!$C$14="Off",'Activity data'!AT55*ManureNEF*NtoN2O*kgtoGg,IF('Net zero activities &amp; levers'!$C$14="On",'Net zero Activity data'!AT55*ManureNEF*NtoN2O*kgtoGg,"ERROR"))</f>
        <v>0.4906141484694207</v>
      </c>
      <c r="AB1125" s="94">
        <f>IF('Net zero activities &amp; levers'!$C$14="Off",'Activity data'!AU55*ManureNEF*NtoN2O*kgtoGg,IF('Net zero activities &amp; levers'!$C$14="On",'Net zero Activity data'!AU55*ManureNEF*NtoN2O*kgtoGg,"ERROR"))</f>
        <v>0.50967264018855052</v>
      </c>
      <c r="AC1125" s="94">
        <f>IF('Net zero activities &amp; levers'!$C$14="Off",'Activity data'!AV55*ManureNEF*NtoN2O*kgtoGg,IF('Net zero activities &amp; levers'!$C$14="On",'Net zero Activity data'!AV55*ManureNEF*NtoN2O*kgtoGg,"ERROR"))</f>
        <v>0.53167442702617229</v>
      </c>
      <c r="AD1125" s="94">
        <f>IF('Net zero activities &amp; levers'!$C$14="Off",'Activity data'!AW55*ManureNEF*NtoN2O*kgtoGg,IF('Net zero activities &amp; levers'!$C$14="On",'Net zero Activity data'!AW55*ManureNEF*NtoN2O*kgtoGg,"ERROR"))</f>
        <v>0.55709637533943834</v>
      </c>
      <c r="AE1125" s="94">
        <f>IF('Net zero activities &amp; levers'!$C$14="Off",'Activity data'!AX55*ManureNEF*NtoN2O*kgtoGg,IF('Net zero activities &amp; levers'!$C$14="On",'Net zero Activity data'!AX55*ManureNEF*NtoN2O*kgtoGg,"ERROR"))</f>
        <v>0.58460645913698228</v>
      </c>
      <c r="AF1125" s="94">
        <f>IF('Net zero activities &amp; levers'!$C$14="Off",'Activity data'!AY55*ManureNEF*NtoN2O*kgtoGg,IF('Net zero activities &amp; levers'!$C$14="On",'Net zero Activity data'!AY55*ManureNEF*NtoN2O*kgtoGg,"ERROR"))</f>
        <v>0.61366166383859366</v>
      </c>
      <c r="AG1125" s="94">
        <f>IF('Net zero activities &amp; levers'!$C$14="Off",'Activity data'!AZ55*ManureNEF*NtoN2O*kgtoGg,IF('Net zero activities &amp; levers'!$C$14="On",'Net zero Activity data'!AZ55*ManureNEF*NtoN2O*kgtoGg,"ERROR"))</f>
        <v>0.64458089754098746</v>
      </c>
      <c r="AH1125" s="94">
        <f>IF('Net zero activities &amp; levers'!$C$14="Off",'Activity data'!BA55*ManureNEF*NtoN2O*kgtoGg,IF('Net zero activities &amp; levers'!$C$14="On",'Net zero Activity data'!BA55*ManureNEF*NtoN2O*kgtoGg,"ERROR"))</f>
        <v>0.67712551028517698</v>
      </c>
      <c r="AI1125" s="94">
        <f>IF('Net zero activities &amp; levers'!$C$14="Off",'Activity data'!BB55*ManureNEF*NtoN2O*kgtoGg,IF('Net zero activities &amp; levers'!$C$14="On",'Net zero Activity data'!BB55*ManureNEF*NtoN2O*kgtoGg,"ERROR"))</f>
        <v>0.71024940806884818</v>
      </c>
      <c r="AJ1125" s="94">
        <f>IF('Net zero activities &amp; levers'!$C$14="Off",'Activity data'!BC55*ManureNEF*NtoN2O*kgtoGg,IF('Net zero activities &amp; levers'!$C$14="On",'Net zero Activity data'!BC55*ManureNEF*NtoN2O*kgtoGg,"ERROR"))</f>
        <v>0.74554239669460731</v>
      </c>
      <c r="AK1125" s="94">
        <f>IF('Net zero activities &amp; levers'!$C$14="Off",'Activity data'!BD55*ManureNEF*NtoN2O*kgtoGg,IF('Net zero activities &amp; levers'!$C$14="On",'Net zero Activity data'!BD55*ManureNEF*NtoN2O*kgtoGg,"ERROR"))</f>
        <v>0.78202811985737553</v>
      </c>
      <c r="AL1125" s="94">
        <f>IF('Net zero activities &amp; levers'!$C$14="Off",'Activity data'!BE55*ManureNEF*NtoN2O*kgtoGg,IF('Net zero activities &amp; levers'!$C$14="On",'Net zero Activity data'!BE55*ManureNEF*NtoN2O*kgtoGg,"ERROR"))</f>
        <v>0.81964634511188172</v>
      </c>
      <c r="AM1125" s="94">
        <f>IF('Net zero activities &amp; levers'!$C$14="Off",'Activity data'!BF55*ManureNEF*NtoN2O*kgtoGg,IF('Net zero activities &amp; levers'!$C$14="On",'Net zero Activity data'!BF55*ManureNEF*NtoN2O*kgtoGg,"ERROR"))</f>
        <v>0.85891861421537574</v>
      </c>
      <c r="AN1125" s="94">
        <f>IF('Net zero activities &amp; levers'!$C$14="Off",'Activity data'!BG55*ManureNEF*NtoN2O*kgtoGg,IF('Net zero activities &amp; levers'!$C$14="On",'Net zero Activity data'!BG55*ManureNEF*NtoN2O*kgtoGg,"ERROR"))</f>
        <v>0.89751581296509064</v>
      </c>
      <c r="AO1125" s="94">
        <f>IF('Net zero activities &amp; levers'!$C$14="Off",'Activity data'!BH55*ManureNEF*NtoN2O*kgtoGg,IF('Net zero activities &amp; levers'!$C$14="On",'Net zero Activity data'!BH55*ManureNEF*NtoN2O*kgtoGg,"ERROR"))</f>
        <v>0.93820295986961577</v>
      </c>
      <c r="AP1125" s="94">
        <f>IF('Net zero activities &amp; levers'!$C$14="Off",'Activity data'!BI55*ManureNEF*NtoN2O*kgtoGg,IF('Net zero activities &amp; levers'!$C$14="On",'Net zero Activity data'!BI55*ManureNEF*NtoN2O*kgtoGg,"ERROR"))</f>
        <v>0.98167178661912335</v>
      </c>
      <c r="AQ1125" s="94">
        <f>IF('Net zero activities &amp; levers'!$C$14="Off",'Activity data'!BJ55*ManureNEF*NtoN2O*kgtoGg,IF('Net zero activities &amp; levers'!$C$14="On",'Net zero Activity data'!BJ55*ManureNEF*NtoN2O*kgtoGg,"ERROR"))</f>
        <v>1.0269093365438573</v>
      </c>
      <c r="AR1125" s="94">
        <f>IF('Net zero activities &amp; levers'!$C$14="Off",'Activity data'!BK55*ManureNEF*NtoN2O*kgtoGg,IF('Net zero activities &amp; levers'!$C$14="On",'Net zero Activity data'!BK55*ManureNEF*NtoN2O*kgtoGg,"ERROR"))</f>
        <v>1.0740254053264544</v>
      </c>
      <c r="AS1125" s="94">
        <f>IF('Net zero activities &amp; levers'!$C$14="Off",'Activity data'!BL55*ManureNEF*NtoN2O*kgtoGg,IF('Net zero activities &amp; levers'!$C$14="On",'Net zero Activity data'!BL55*ManureNEF*NtoN2O*kgtoGg,"ERROR"))</f>
        <v>1.1243087675322185</v>
      </c>
      <c r="AT1125" s="94">
        <f>IF('Net zero activities &amp; levers'!$C$14="Off",'Activity data'!BM55*ManureNEF*NtoN2O*kgtoGg,IF('Net zero activities &amp; levers'!$C$14="On",'Net zero Activity data'!BM55*ManureNEF*NtoN2O*kgtoGg,"ERROR"))</f>
        <v>1.1774495119019792</v>
      </c>
      <c r="AU1125" s="94">
        <f>IF('Net zero activities &amp; levers'!$C$14="Off",'Activity data'!BN55*ManureNEF*NtoN2O*kgtoGg,IF('Net zero activities &amp; levers'!$C$14="On",'Net zero Activity data'!BN55*ManureNEF*NtoN2O*kgtoGg,"ERROR"))</f>
        <v>1.2332540246283563</v>
      </c>
      <c r="AV1125" s="94">
        <f>IF('Net zero activities &amp; levers'!$C$14="Off",'Activity data'!BO55*ManureNEF*NtoN2O*kgtoGg,IF('Net zero activities &amp; levers'!$C$14="On",'Net zero Activity data'!BO55*ManureNEF*NtoN2O*kgtoGg,"ERROR"))</f>
        <v>1.2926278816392183</v>
      </c>
      <c r="AW1125" s="94">
        <f>IF('Net zero activities &amp; levers'!$C$14="Off",'Activity data'!BP55*ManureNEF*NtoN2O*kgtoGg,IF('Net zero activities &amp; levers'!$C$14="On",'Net zero Activity data'!BP55*ManureNEF*NtoN2O*kgtoGg,"ERROR"))</f>
        <v>1.3508373812373191</v>
      </c>
      <c r="AY1125" s="79"/>
    </row>
    <row r="1126" spans="1:51" x14ac:dyDescent="0.25">
      <c r="A1126" s="95" t="str">
        <f t="shared" si="374"/>
        <v>CM Organic</v>
      </c>
      <c r="B1126" s="95" t="s">
        <v>1321</v>
      </c>
      <c r="C1126" s="95" t="s">
        <v>1126</v>
      </c>
      <c r="D1126" t="s">
        <v>369</v>
      </c>
      <c r="E1126" t="s">
        <v>55</v>
      </c>
      <c r="F1126" t="s">
        <v>421</v>
      </c>
      <c r="G1126" t="s">
        <v>1163</v>
      </c>
      <c r="H1126" t="s">
        <v>1164</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5.9206646241484272E-2</v>
      </c>
      <c r="T1126" s="94">
        <f>IF('Net zero activities &amp; levers'!$C$14="Off",'Activity data'!AM56*ManureNEF*NtoN2O*kgtoGg,IF('Net zero activities &amp; levers'!$C$14="On",'Net zero Activity data'!AM56*ManureNEF*NtoN2O*kgtoGg,"ERROR"))</f>
        <v>5.9249261961011081E-2</v>
      </c>
      <c r="U1126" s="94">
        <f>IF('Net zero activities &amp; levers'!$C$14="Off",'Activity data'!AN56*ManureNEF*NtoN2O*kgtoGg,IF('Net zero activities &amp; levers'!$C$14="On",'Net zero Activity data'!AN56*ManureNEF*NtoN2O*kgtoGg,"ERROR"))</f>
        <v>5.9234279181673045E-2</v>
      </c>
      <c r="V1126" s="94">
        <f>IF('Net zero activities &amp; levers'!$C$14="Off",'Activity data'!AO56*ManureNEF*NtoN2O*kgtoGg,IF('Net zero activities &amp; levers'!$C$14="On",'Net zero Activity data'!AO56*ManureNEF*NtoN2O*kgtoGg,"ERROR"))</f>
        <v>5.9233200541063784E-2</v>
      </c>
      <c r="W1126" s="94">
        <f>IF('Net zero activities &amp; levers'!$C$14="Off",'Activity data'!AP56*ManureNEF*NtoN2O*kgtoGg,IF('Net zero activities &amp; levers'!$C$14="On",'Net zero Activity data'!AP56*ManureNEF*NtoN2O*kgtoGg,"ERROR"))</f>
        <v>5.9296029757579687E-2</v>
      </c>
      <c r="X1126" s="94">
        <f>IF('Net zero activities &amp; levers'!$C$14="Off",'Activity data'!AQ56*ManureNEF*NtoN2O*kgtoGg,IF('Net zero activities &amp; levers'!$C$14="On",'Net zero Activity data'!AQ56*ManureNEF*NtoN2O*kgtoGg,"ERROR"))</f>
        <v>5.9398855559527265E-2</v>
      </c>
      <c r="Y1126" s="94">
        <f>IF('Net zero activities &amp; levers'!$C$14="Off",'Activity data'!AR56*ManureNEF*NtoN2O*kgtoGg,IF('Net zero activities &amp; levers'!$C$14="On",'Net zero Activity data'!AR56*ManureNEF*NtoN2O*kgtoGg,"ERROR"))</f>
        <v>5.9497518057295966E-2</v>
      </c>
      <c r="Z1126" s="94">
        <f>IF('Net zero activities &amp; levers'!$C$14="Off",'Activity data'!AS56*ManureNEF*NtoN2O*kgtoGg,IF('Net zero activities &amp; levers'!$C$14="On",'Net zero Activity data'!AS56*ManureNEF*NtoN2O*kgtoGg,"ERROR"))</f>
        <v>5.9592335556578689E-2</v>
      </c>
      <c r="AA1126" s="94">
        <f>IF('Net zero activities &amp; levers'!$C$14="Off",'Activity data'!AT56*ManureNEF*NtoN2O*kgtoGg,IF('Net zero activities &amp; levers'!$C$14="On",'Net zero Activity data'!AT56*ManureNEF*NtoN2O*kgtoGg,"ERROR"))</f>
        <v>5.9683178655916949E-2</v>
      </c>
      <c r="AB1126" s="94">
        <f>IF('Net zero activities &amp; levers'!$C$14="Off",'Activity data'!AU56*ManureNEF*NtoN2O*kgtoGg,IF('Net zero activities &amp; levers'!$C$14="On",'Net zero Activity data'!AU56*ManureNEF*NtoN2O*kgtoGg,"ERROR"))</f>
        <v>5.9771940504679918E-2</v>
      </c>
      <c r="AC1126" s="94">
        <f>IF('Net zero activities &amp; levers'!$C$14="Off",'Activity data'!AV56*ManureNEF*NtoN2O*kgtoGg,IF('Net zero activities &amp; levers'!$C$14="On",'Net zero Activity data'!AV56*ManureNEF*NtoN2O*kgtoGg,"ERROR"))</f>
        <v>5.9859917680633305E-2</v>
      </c>
      <c r="AD1126" s="94">
        <f>IF('Net zero activities &amp; levers'!$C$14="Off",'Activity data'!AW56*ManureNEF*NtoN2O*kgtoGg,IF('Net zero activities &amp; levers'!$C$14="On",'Net zero Activity data'!AW56*ManureNEF*NtoN2O*kgtoGg,"ERROR"))</f>
        <v>5.994622744604354E-2</v>
      </c>
      <c r="AE1126" s="94">
        <f>IF('Net zero activities &amp; levers'!$C$14="Off",'Activity data'!AX56*ManureNEF*NtoN2O*kgtoGg,IF('Net zero activities &amp; levers'!$C$14="On",'Net zero Activity data'!AX56*ManureNEF*NtoN2O*kgtoGg,"ERROR"))</f>
        <v>6.0032110794538678E-2</v>
      </c>
      <c r="AF1126" s="94">
        <f>IF('Net zero activities &amp; levers'!$C$14="Off",'Activity data'!AY56*ManureNEF*NtoN2O*kgtoGg,IF('Net zero activities &amp; levers'!$C$14="On",'Net zero Activity data'!AY56*ManureNEF*NtoN2O*kgtoGg,"ERROR"))</f>
        <v>6.0117297176971563E-2</v>
      </c>
      <c r="AG1126" s="94">
        <f>IF('Net zero activities &amp; levers'!$C$14="Off",'Activity data'!AZ56*ManureNEF*NtoN2O*kgtoGg,IF('Net zero activities &amp; levers'!$C$14="On",'Net zero Activity data'!AZ56*ManureNEF*NtoN2O*kgtoGg,"ERROR"))</f>
        <v>6.0201104026504609E-2</v>
      </c>
      <c r="AH1126" s="94">
        <f>IF('Net zero activities &amp; levers'!$C$14="Off",'Activity data'!BA56*ManureNEF*NtoN2O*kgtoGg,IF('Net zero activities &amp; levers'!$C$14="On",'Net zero Activity data'!BA56*ManureNEF*NtoN2O*kgtoGg,"ERROR"))</f>
        <v>6.0283900321551377E-2</v>
      </c>
      <c r="AI1126" s="94">
        <f>IF('Net zero activities &amp; levers'!$C$14="Off",'Activity data'!BB56*ManureNEF*NtoN2O*kgtoGg,IF('Net zero activities &amp; levers'!$C$14="On",'Net zero Activity data'!BB56*ManureNEF*NtoN2O*kgtoGg,"ERROR"))</f>
        <v>6.0365774417580641E-2</v>
      </c>
      <c r="AJ1126" s="94">
        <f>IF('Net zero activities &amp; levers'!$C$14="Off",'Activity data'!BC56*ManureNEF*NtoN2O*kgtoGg,IF('Net zero activities &amp; levers'!$C$14="On",'Net zero Activity data'!BC56*ManureNEF*NtoN2O*kgtoGg,"ERROR"))</f>
        <v>6.0447004272429113E-2</v>
      </c>
      <c r="AK1126" s="94">
        <f>IF('Net zero activities &amp; levers'!$C$14="Off",'Activity data'!BD56*ManureNEF*NtoN2O*kgtoGg,IF('Net zero activities &amp; levers'!$C$14="On",'Net zero Activity data'!BD56*ManureNEF*NtoN2O*kgtoGg,"ERROR"))</f>
        <v>6.0525104414191039E-2</v>
      </c>
      <c r="AL1126" s="94">
        <f>IF('Net zero activities &amp; levers'!$C$14="Off",'Activity data'!BE56*ManureNEF*NtoN2O*kgtoGg,IF('Net zero activities &amp; levers'!$C$14="On",'Net zero Activity data'!BE56*ManureNEF*NtoN2O*kgtoGg,"ERROR"))</f>
        <v>6.0599983467265146E-2</v>
      </c>
      <c r="AM1126" s="94">
        <f>IF('Net zero activities &amp; levers'!$C$14="Off",'Activity data'!BF56*ManureNEF*NtoN2O*kgtoGg,IF('Net zero activities &amp; levers'!$C$14="On",'Net zero Activity data'!BF56*ManureNEF*NtoN2O*kgtoGg,"ERROR"))</f>
        <v>6.0672341257529266E-2</v>
      </c>
      <c r="AN1126" s="94">
        <f>IF('Net zero activities &amp; levers'!$C$14="Off",'Activity data'!BG56*ManureNEF*NtoN2O*kgtoGg,IF('Net zero activities &amp; levers'!$C$14="On",'Net zero Activity data'!BG56*ManureNEF*NtoN2O*kgtoGg,"ERROR"))</f>
        <v>6.0741620622323307E-2</v>
      </c>
      <c r="AO1126" s="94">
        <f>IF('Net zero activities &amp; levers'!$C$14="Off",'Activity data'!BH56*ManureNEF*NtoN2O*kgtoGg,IF('Net zero activities &amp; levers'!$C$14="On",'Net zero Activity data'!BH56*ManureNEF*NtoN2O*kgtoGg,"ERROR"))</f>
        <v>6.0807947239837602E-2</v>
      </c>
      <c r="AP1126" s="94">
        <f>IF('Net zero activities &amp; levers'!$C$14="Off",'Activity data'!BI56*ManureNEF*NtoN2O*kgtoGg,IF('Net zero activities &amp; levers'!$C$14="On",'Net zero Activity data'!BI56*ManureNEF*NtoN2O*kgtoGg,"ERROR"))</f>
        <v>6.0871022373773183E-2</v>
      </c>
      <c r="AQ1126" s="94">
        <f>IF('Net zero activities &amp; levers'!$C$14="Off",'Activity data'!BJ56*ManureNEF*NtoN2O*kgtoGg,IF('Net zero activities &amp; levers'!$C$14="On",'Net zero Activity data'!BJ56*ManureNEF*NtoN2O*kgtoGg,"ERROR"))</f>
        <v>6.0929943414023247E-2</v>
      </c>
      <c r="AR1126" s="94">
        <f>IF('Net zero activities &amp; levers'!$C$14="Off",'Activity data'!BK56*ManureNEF*NtoN2O*kgtoGg,IF('Net zero activities &amp; levers'!$C$14="On",'Net zero Activity data'!BK56*ManureNEF*NtoN2O*kgtoGg,"ERROR"))</f>
        <v>6.098387393162142E-2</v>
      </c>
      <c r="AS1126" s="94">
        <f>IF('Net zero activities &amp; levers'!$C$14="Off",'Activity data'!BL56*ManureNEF*NtoN2O*kgtoGg,IF('Net zero activities &amp; levers'!$C$14="On",'Net zero Activity data'!BL56*ManureNEF*NtoN2O*kgtoGg,"ERROR"))</f>
        <v>6.1032759441621343E-2</v>
      </c>
      <c r="AT1126" s="94">
        <f>IF('Net zero activities &amp; levers'!$C$14="Off",'Activity data'!BM56*ManureNEF*NtoN2O*kgtoGg,IF('Net zero activities &amp; levers'!$C$14="On",'Net zero Activity data'!BM56*ManureNEF*NtoN2O*kgtoGg,"ERROR"))</f>
        <v>6.1076225850700765E-2</v>
      </c>
      <c r="AU1126" s="94">
        <f>IF('Net zero activities &amp; levers'!$C$14="Off",'Activity data'!BN56*ManureNEF*NtoN2O*kgtoGg,IF('Net zero activities &amp; levers'!$C$14="On",'Net zero Activity data'!BN56*ManureNEF*NtoN2O*kgtoGg,"ERROR"))</f>
        <v>6.1114252195612971E-2</v>
      </c>
      <c r="AV1126" s="94">
        <f>IF('Net zero activities &amp; levers'!$C$14="Off",'Activity data'!BO56*ManureNEF*NtoN2O*kgtoGg,IF('Net zero activities &amp; levers'!$C$14="On",'Net zero Activity data'!BO56*ManureNEF*NtoN2O*kgtoGg,"ERROR"))</f>
        <v>6.1147566184616489E-2</v>
      </c>
      <c r="AW1126" s="94">
        <f>IF('Net zero activities &amp; levers'!$C$14="Off",'Activity data'!BP56*ManureNEF*NtoN2O*kgtoGg,IF('Net zero activities &amp; levers'!$C$14="On",'Net zero Activity data'!BP56*ManureNEF*NtoN2O*kgtoGg,"ERROR"))</f>
        <v>6.1171840771151238E-2</v>
      </c>
      <c r="AY1126" s="79"/>
    </row>
    <row r="1127" spans="1:51" x14ac:dyDescent="0.25">
      <c r="A1127" s="95" t="str">
        <f t="shared" si="374"/>
        <v>CM Organic</v>
      </c>
      <c r="B1127" s="95" t="s">
        <v>1321</v>
      </c>
      <c r="C1127" s="95" t="s">
        <v>1126</v>
      </c>
      <c r="D1127" t="s">
        <v>369</v>
      </c>
      <c r="E1127" t="s">
        <v>55</v>
      </c>
      <c r="F1127" t="s">
        <v>421</v>
      </c>
      <c r="G1127" t="s">
        <v>1165</v>
      </c>
      <c r="H1127" t="s">
        <v>1166</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4.8186162011392024E-2</v>
      </c>
      <c r="T1127" s="94">
        <f>IF('Net zero activities &amp; levers'!$C$14="Off",'Activity data'!AM57*ManureNEF*NtoN2O*kgtoGg,IF('Net zero activities &amp; levers'!$C$14="On",'Net zero Activity data'!AM57*ManureNEF*NtoN2O*kgtoGg,"ERROR"))</f>
        <v>4.8220845414281899E-2</v>
      </c>
      <c r="U1127" s="94">
        <f>IF('Net zero activities &amp; levers'!$C$14="Off",'Activity data'!AN57*ManureNEF*NtoN2O*kgtoGg,IF('Net zero activities &amp; levers'!$C$14="On",'Net zero Activity data'!AN57*ManureNEF*NtoN2O*kgtoGg,"ERROR"))</f>
        <v>4.8208651468527576E-2</v>
      </c>
      <c r="V1127" s="94">
        <f>IF('Net zero activities &amp; levers'!$C$14="Off",'Activity data'!AO57*ManureNEF*NtoN2O*kgtoGg,IF('Net zero activities &amp; levers'!$C$14="On",'Net zero Activity data'!AO57*ManureNEF*NtoN2O*kgtoGg,"ERROR"))</f>
        <v>4.8207773601692518E-2</v>
      </c>
      <c r="W1127" s="94">
        <f>IF('Net zero activities &amp; levers'!$C$14="Off",'Activity data'!AP57*ManureNEF*NtoN2O*kgtoGg,IF('Net zero activities &amp; levers'!$C$14="On",'Net zero Activity data'!AP57*ManureNEF*NtoN2O*kgtoGg,"ERROR"))</f>
        <v>4.8258908043487037E-2</v>
      </c>
      <c r="X1127" s="94">
        <f>IF('Net zero activities &amp; levers'!$C$14="Off",'Activity data'!AQ57*ManureNEF*NtoN2O*kgtoGg,IF('Net zero activities &amp; levers'!$C$14="On",'Net zero Activity data'!AQ57*ManureNEF*NtoN2O*kgtoGg,"ERROR"))</f>
        <v>4.8342594269039987E-2</v>
      </c>
      <c r="Y1127" s="94">
        <f>IF('Net zero activities &amp; levers'!$C$14="Off",'Activity data'!AR57*ManureNEF*NtoN2O*kgtoGg,IF('Net zero activities &amp; levers'!$C$14="On",'Net zero Activity data'!AR57*ManureNEF*NtoN2O*kgtoGg,"ERROR"))</f>
        <v>4.8422892130914143E-2</v>
      </c>
      <c r="Z1127" s="94">
        <f>IF('Net zero activities &amp; levers'!$C$14="Off",'Activity data'!AS57*ManureNEF*NtoN2O*kgtoGg,IF('Net zero activities &amp; levers'!$C$14="On",'Net zero Activity data'!AS57*ManureNEF*NtoN2O*kgtoGg,"ERROR"))</f>
        <v>4.8500060686675887E-2</v>
      </c>
      <c r="AA1127" s="94">
        <f>IF('Net zero activities &amp; levers'!$C$14="Off",'Activity data'!AT57*ManureNEF*NtoN2O*kgtoGg,IF('Net zero activities &amp; levers'!$C$14="On",'Net zero Activity data'!AT57*ManureNEF*NtoN2O*kgtoGg,"ERROR"))</f>
        <v>4.8573994621127721E-2</v>
      </c>
      <c r="AB1127" s="94">
        <f>IF('Net zero activities &amp; levers'!$C$14="Off",'Activity data'!AU57*ManureNEF*NtoN2O*kgtoGg,IF('Net zero activities &amp; levers'!$C$14="On",'Net zero Activity data'!AU57*ManureNEF*NtoN2O*kgtoGg,"ERROR"))</f>
        <v>4.8646234700518105E-2</v>
      </c>
      <c r="AC1127" s="94">
        <f>IF('Net zero activities &amp; levers'!$C$14="Off",'Activity data'!AV57*ManureNEF*NtoN2O*kgtoGg,IF('Net zero activities &amp; levers'!$C$14="On",'Net zero Activity data'!AV57*ManureNEF*NtoN2O*kgtoGg,"ERROR"))</f>
        <v>4.8717836162902997E-2</v>
      </c>
      <c r="AD1127" s="94">
        <f>IF('Net zero activities &amp; levers'!$C$14="Off",'Activity data'!AW57*ManureNEF*NtoN2O*kgtoGg,IF('Net zero activities &amp; levers'!$C$14="On",'Net zero Activity data'!AW57*ManureNEF*NtoN2O*kgtoGg,"ERROR"))</f>
        <v>4.8788080579758822E-2</v>
      </c>
      <c r="AE1127" s="94">
        <f>IF('Net zero activities &amp; levers'!$C$14="Off",'Activity data'!AX57*ManureNEF*NtoN2O*kgtoGg,IF('Net zero activities &amp; levers'!$C$14="On",'Net zero Activity data'!AX57*ManureNEF*NtoN2O*kgtoGg,"ERROR"))</f>
        <v>4.8857977951209122E-2</v>
      </c>
      <c r="AF1127" s="94">
        <f>IF('Net zero activities &amp; levers'!$C$14="Off",'Activity data'!AY57*ManureNEF*NtoN2O*kgtoGg,IF('Net zero activities &amp; levers'!$C$14="On",'Net zero Activity data'!AY57*ManureNEF*NtoN2O*kgtoGg,"ERROR"))</f>
        <v>4.8927308087024161E-2</v>
      </c>
      <c r="AG1127" s="94">
        <f>IF('Net zero activities &amp; levers'!$C$14="Off",'Activity data'!AZ57*ManureNEF*NtoN2O*kgtoGg,IF('Net zero activities &amp; levers'!$C$14="On",'Net zero Activity data'!AZ57*ManureNEF*NtoN2O*kgtoGg,"ERROR"))</f>
        <v>4.8995515470580273E-2</v>
      </c>
      <c r="AH1127" s="94">
        <f>IF('Net zero activities &amp; levers'!$C$14="Off",'Activity data'!BA57*ManureNEF*NtoN2O*kgtoGg,IF('Net zero activities &amp; levers'!$C$14="On",'Net zero Activity data'!BA57*ManureNEF*NtoN2O*kgtoGg,"ERROR"))</f>
        <v>4.9062900400150392E-2</v>
      </c>
      <c r="AI1127" s="94">
        <f>IF('Net zero activities &amp; levers'!$C$14="Off",'Activity data'!BB57*ManureNEF*NtoN2O*kgtoGg,IF('Net zero activities &amp; levers'!$C$14="On",'Net zero Activity data'!BB57*ManureNEF*NtoN2O*kgtoGg,"ERROR"))</f>
        <v>4.9129534785075896E-2</v>
      </c>
      <c r="AJ1127" s="94">
        <f>IF('Net zero activities &amp; levers'!$C$14="Off",'Activity data'!BC57*ManureNEF*NtoN2O*kgtoGg,IF('Net zero activities &amp; levers'!$C$14="On",'Net zero Activity data'!BC57*ManureNEF*NtoN2O*kgtoGg,"ERROR"))</f>
        <v>4.9195644845252684E-2</v>
      </c>
      <c r="AK1127" s="94">
        <f>IF('Net zero activities &amp; levers'!$C$14="Off",'Activity data'!BD57*ManureNEF*NtoN2O*kgtoGg,IF('Net zero activities &amp; levers'!$C$14="On",'Net zero Activity data'!BD57*ManureNEF*NtoN2O*kgtoGg,"ERROR"))</f>
        <v>4.9259207744402629E-2</v>
      </c>
      <c r="AL1127" s="94">
        <f>IF('Net zero activities &amp; levers'!$C$14="Off",'Activity data'!BE57*ManureNEF*NtoN2O*kgtoGg,IF('Net zero activities &amp; levers'!$C$14="On",'Net zero Activity data'!BE57*ManureNEF*NtoN2O*kgtoGg,"ERROR"))</f>
        <v>4.9320149115207046E-2</v>
      </c>
      <c r="AM1127" s="94">
        <f>IF('Net zero activities &amp; levers'!$C$14="Off",'Activity data'!BF57*ManureNEF*NtoN2O*kgtoGg,IF('Net zero activities &amp; levers'!$C$14="On",'Net zero Activity data'!BF57*ManureNEF*NtoN2O*kgtoGg,"ERROR"))</f>
        <v>4.9379038520802346E-2</v>
      </c>
      <c r="AN1127" s="94">
        <f>IF('Net zero activities &amp; levers'!$C$14="Off",'Activity data'!BG57*ManureNEF*NtoN2O*kgtoGg,IF('Net zero activities &amp; levers'!$C$14="On",'Net zero Activity data'!BG57*ManureNEF*NtoN2O*kgtoGg,"ERROR"))</f>
        <v>4.9435422506519014E-2</v>
      </c>
      <c r="AO1127" s="94">
        <f>IF('Net zero activities &amp; levers'!$C$14="Off",'Activity data'!BH57*ManureNEF*NtoN2O*kgtoGg,IF('Net zero activities &amp; levers'!$C$14="On",'Net zero Activity data'!BH57*ManureNEF*NtoN2O*kgtoGg,"ERROR"))</f>
        <v>4.9489403357320404E-2</v>
      </c>
      <c r="AP1127" s="94">
        <f>IF('Net zero activities &amp; levers'!$C$14="Off",'Activity data'!BI57*ManureNEF*NtoN2O*kgtoGg,IF('Net zero activities &amp; levers'!$C$14="On",'Net zero Activity data'!BI57*ManureNEF*NtoN2O*kgtoGg,"ERROR"))</f>
        <v>4.9540737942466703E-2</v>
      </c>
      <c r="AQ1127" s="94">
        <f>IF('Net zero activities &amp; levers'!$C$14="Off",'Activity data'!BJ57*ManureNEF*NtoN2O*kgtoGg,IF('Net zero activities &amp; levers'!$C$14="On",'Net zero Activity data'!BJ57*ManureNEF*NtoN2O*kgtoGg,"ERROR"))</f>
        <v>4.9588691660023831E-2</v>
      </c>
      <c r="AR1127" s="94">
        <f>IF('Net zero activities &amp; levers'!$C$14="Off",'Activity data'!BK57*ManureNEF*NtoN2O*kgtoGg,IF('Net zero activities &amp; levers'!$C$14="On",'Net zero Activity data'!BK57*ManureNEF*NtoN2O*kgtoGg,"ERROR"))</f>
        <v>4.9632583770509955E-2</v>
      </c>
      <c r="AS1127" s="94">
        <f>IF('Net zero activities &amp; levers'!$C$14="Off",'Activity data'!BL57*ManureNEF*NtoN2O*kgtoGg,IF('Net zero activities &amp; levers'!$C$14="On",'Net zero Activity data'!BL57*ManureNEF*NtoN2O*kgtoGg,"ERROR"))</f>
        <v>4.9672369930584929E-2</v>
      </c>
      <c r="AT1127" s="94">
        <f>IF('Net zero activities &amp; levers'!$C$14="Off",'Activity data'!BM57*ManureNEF*NtoN2O*kgtoGg,IF('Net zero activities &amp; levers'!$C$14="On",'Net zero Activity data'!BM57*ManureNEF*NtoN2O*kgtoGg,"ERROR"))</f>
        <v>4.9707745679135391E-2</v>
      </c>
      <c r="AU1127" s="94">
        <f>IF('Net zero activities &amp; levers'!$C$14="Off",'Activity data'!BN57*ManureNEF*NtoN2O*kgtoGg,IF('Net zero activities &amp; levers'!$C$14="On",'Net zero Activity data'!BN57*ManureNEF*NtoN2O*kgtoGg,"ERROR"))</f>
        <v>4.9738693954928054E-2</v>
      </c>
      <c r="AV1127" s="94">
        <f>IF('Net zero activities &amp; levers'!$C$14="Off",'Activity data'!BO57*ManureNEF*NtoN2O*kgtoGg,IF('Net zero activities &amp; levers'!$C$14="On",'Net zero Activity data'!BO57*ManureNEF*NtoN2O*kgtoGg,"ERROR"))</f>
        <v>4.9765807013567136E-2</v>
      </c>
      <c r="AW1127" s="94">
        <f>IF('Net zero activities &amp; levers'!$C$14="Off",'Activity data'!BP57*ManureNEF*NtoN2O*kgtoGg,IF('Net zero activities &amp; levers'!$C$14="On",'Net zero Activity data'!BP57*ManureNEF*NtoN2O*kgtoGg,"ERROR"))</f>
        <v>4.9785563227333289E-2</v>
      </c>
      <c r="AY1127" s="79"/>
    </row>
    <row r="1128" spans="1:51" x14ac:dyDescent="0.25">
      <c r="A1128" s="95" t="str">
        <f t="shared" si="374"/>
        <v>CM Organic</v>
      </c>
      <c r="B1128" s="95" t="s">
        <v>1321</v>
      </c>
      <c r="C1128" s="95" t="s">
        <v>1126</v>
      </c>
      <c r="D1128" t="s">
        <v>369</v>
      </c>
      <c r="E1128" t="s">
        <v>55</v>
      </c>
      <c r="F1128" t="s">
        <v>421</v>
      </c>
      <c r="G1128" t="s">
        <v>1167</v>
      </c>
      <c r="H1128" t="s">
        <v>1168</v>
      </c>
      <c r="I1128" t="s">
        <v>139</v>
      </c>
      <c r="J1128" t="s">
        <v>287</v>
      </c>
      <c r="K1128" s="94">
        <f>IF('Net zero activities &amp; levers'!$C$14="Off",'Activity data'!AD58*ManureNEF*NtoN2O*kgtoGg,IF('Net zero activities &amp; levers'!$C$14="On",'Net zero Activity data'!AD58*ManureNEF*NtoN2O*kgtoGg,"ERROR"))</f>
        <v>7.2140927380493743E-3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7.4155715935563127E-3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7.446057759840319E-3</v>
      </c>
      <c r="T1128" s="94">
        <f>IF('Net zero activities &amp; levers'!$C$14="Off",'Activity data'!AM58*ManureNEF*NtoN2O*kgtoGg,IF('Net zero activities &amp; levers'!$C$14="On",'Net zero Activity data'!AM58*ManureNEF*NtoN2O*kgtoGg,"ERROR"))</f>
        <v>7.4588575402652147E-3</v>
      </c>
      <c r="U1128" s="94">
        <f>IF('Net zero activities &amp; levers'!$C$14="Off",'Activity data'!AN58*ManureNEF*NtoN2O*kgtoGg,IF('Net zero activities &amp; levers'!$C$14="On",'Net zero Activity data'!AN58*ManureNEF*NtoN2O*kgtoGg,"ERROR"))</f>
        <v>7.4600996121267065E-3</v>
      </c>
      <c r="V1128" s="94">
        <f>IF('Net zero activities &amp; levers'!$C$14="Off",'Activity data'!AO58*ManureNEF*NtoN2O*kgtoGg,IF('Net zero activities &amp; levers'!$C$14="On",'Net zero Activity data'!AO58*ManureNEF*NtoN2O*kgtoGg,"ERROR"))</f>
        <v>7.4635145174609509E-3</v>
      </c>
      <c r="W1128" s="94">
        <f>IF('Net zero activities &amp; levers'!$C$14="Off",'Activity data'!AP58*ManureNEF*NtoN2O*kgtoGg,IF('Net zero activities &amp; levers'!$C$14="On",'Net zero Activity data'!AP58*ManureNEF*NtoN2O*kgtoGg,"ERROR"))</f>
        <v>7.478612742540797E-3</v>
      </c>
      <c r="X1128" s="94">
        <f>IF('Net zero activities &amp; levers'!$C$14="Off",'Activity data'!AQ58*ManureNEF*NtoN2O*kgtoGg,IF('Net zero activities &amp; levers'!$C$14="On",'Net zero Activity data'!AQ58*ManureNEF*NtoN2O*kgtoGg,"ERROR"))</f>
        <v>7.5008213874242727E-3</v>
      </c>
      <c r="Y1128" s="94">
        <f>IF('Net zero activities &amp; levers'!$C$14="Off",'Activity data'!AR58*ManureNEF*NtoN2O*kgtoGg,IF('Net zero activities &amp; levers'!$C$14="On",'Net zero Activity data'!AR58*ManureNEF*NtoN2O*kgtoGg,"ERROR"))</f>
        <v>7.521785176202795E-3</v>
      </c>
      <c r="Z1128" s="94">
        <f>IF('Net zero activities &amp; levers'!$C$14="Off",'Activity data'!AS58*ManureNEF*NtoN2O*kgtoGg,IF('Net zero activities &amp; levers'!$C$14="On",'Net zero Activity data'!AS58*ManureNEF*NtoN2O*kgtoGg,"ERROR"))</f>
        <v>7.5416026776079998E-3</v>
      </c>
      <c r="AA1128" s="94">
        <f>IF('Net zero activities &amp; levers'!$C$14="Off",'Activity data'!AT58*ManureNEF*NtoN2O*kgtoGg,IF('Net zero activities &amp; levers'!$C$14="On",'Net zero Activity data'!AT58*ManureNEF*NtoN2O*kgtoGg,"ERROR"))</f>
        <v>7.5602840353540396E-3</v>
      </c>
      <c r="AB1128" s="94">
        <f>IF('Net zero activities &amp; levers'!$C$14="Off",'Activity data'!AU58*ManureNEF*NtoN2O*kgtoGg,IF('Net zero activities &amp; levers'!$C$14="On",'Net zero Activity data'!AU58*ManureNEF*NtoN2O*kgtoGg,"ERROR"))</f>
        <v>7.5782158017585468E-3</v>
      </c>
      <c r="AC1128" s="94">
        <f>IF('Net zero activities &amp; levers'!$C$14="Off",'Activity data'!AV58*ManureNEF*NtoN2O*kgtoGg,IF('Net zero activities &amp; levers'!$C$14="On",'Net zero Activity data'!AV58*ManureNEF*NtoN2O*kgtoGg,"ERROR"))</f>
        <v>7.5956670242534503E-3</v>
      </c>
      <c r="AD1128" s="94">
        <f>IF('Net zero activities &amp; levers'!$C$14="Off",'Activity data'!AW58*ManureNEF*NtoN2O*kgtoGg,IF('Net zero activities &amp; levers'!$C$14="On",'Net zero Activity data'!AW58*ManureNEF*NtoN2O*kgtoGg,"ERROR"))</f>
        <v>7.6124952267758277E-3</v>
      </c>
      <c r="AE1128" s="94">
        <f>IF('Net zero activities &amp; levers'!$C$14="Off",'Activity data'!AX58*ManureNEF*NtoN2O*kgtoGg,IF('Net zero activities &amp; levers'!$C$14="On",'Net zero Activity data'!AX58*ManureNEF*NtoN2O*kgtoGg,"ERROR"))</f>
        <v>7.6289531687582885E-3</v>
      </c>
      <c r="AF1128" s="94">
        <f>IF('Net zero activities &amp; levers'!$C$14="Off",'Activity data'!AY58*ManureNEF*NtoN2O*kgtoGg,IF('Net zero activities &amp; levers'!$C$14="On",'Net zero Activity data'!AY58*ManureNEF*NtoN2O*kgtoGg,"ERROR"))</f>
        <v>7.6450086817527159E-3</v>
      </c>
      <c r="AG1128" s="94">
        <f>IF('Net zero activities &amp; levers'!$C$14="Off",'Activity data'!AZ58*ManureNEF*NtoN2O*kgtoGg,IF('Net zero activities &amp; levers'!$C$14="On",'Net zero Activity data'!AZ58*ManureNEF*NtoN2O*kgtoGg,"ERROR"))</f>
        <v>7.6605519051480614E-3</v>
      </c>
      <c r="AH1128" s="94">
        <f>IF('Net zero activities &amp; levers'!$C$14="Off",'Activity data'!BA58*ManureNEF*NtoN2O*kgtoGg,IF('Net zero activities &amp; levers'!$C$14="On",'Net zero Activity data'!BA58*ManureNEF*NtoN2O*kgtoGg,"ERROR"))</f>
        <v>7.6756674337729895E-3</v>
      </c>
      <c r="AI1128" s="94">
        <f>IF('Net zero activities &amp; levers'!$C$14="Off",'Activity data'!BB58*ManureNEF*NtoN2O*kgtoGg,IF('Net zero activities &amp; levers'!$C$14="On",'Net zero Activity data'!BB58*ManureNEF*NtoN2O*kgtoGg,"ERROR"))</f>
        <v>7.6903861453690046E-3</v>
      </c>
      <c r="AJ1128" s="94">
        <f>IF('Net zero activities &amp; levers'!$C$14="Off",'Activity data'!BC58*ManureNEF*NtoN2O*kgtoGg,IF('Net zero activities &amp; levers'!$C$14="On",'Net zero Activity data'!BC58*ManureNEF*NtoN2O*kgtoGg,"ERROR"))</f>
        <v>7.7047726653034906E-3</v>
      </c>
      <c r="AK1128" s="94">
        <f>IF('Net zero activities &amp; levers'!$C$14="Off",'Activity data'!BD58*ManureNEF*NtoN2O*kgtoGg,IF('Net zero activities &amp; levers'!$C$14="On",'Net zero Activity data'!BD58*ManureNEF*NtoN2O*kgtoGg,"ERROR"))</f>
        <v>7.7183809322326768E-3</v>
      </c>
      <c r="AL1128" s="94">
        <f>IF('Net zero activities &amp; levers'!$C$14="Off",'Activity data'!BE58*ManureNEF*NtoN2O*kgtoGg,IF('Net zero activities &amp; levers'!$C$14="On",'Net zero Activity data'!BE58*ManureNEF*NtoN2O*kgtoGg,"ERROR"))</f>
        <v>7.7312077295111602E-3</v>
      </c>
      <c r="AM1128" s="94">
        <f>IF('Net zero activities &amp; levers'!$C$14="Off",'Activity data'!BF58*ManureNEF*NtoN2O*kgtoGg,IF('Net zero activities &amp; levers'!$C$14="On",'Net zero Activity data'!BF58*ManureNEF*NtoN2O*kgtoGg,"ERROR"))</f>
        <v>7.7433943538670266E-3</v>
      </c>
      <c r="AN1128" s="94">
        <f>IF('Net zero activities &amp; levers'!$C$14="Off",'Activity data'!BG58*ManureNEF*NtoN2O*kgtoGg,IF('Net zero activities &amp; levers'!$C$14="On",'Net zero Activity data'!BG58*ManureNEF*NtoN2O*kgtoGg,"ERROR"))</f>
        <v>7.7548499619508725E-3</v>
      </c>
      <c r="AO1128" s="94">
        <f>IF('Net zero activities &amp; levers'!$C$14="Off",'Activity data'!BH58*ManureNEF*NtoN2O*kgtoGg,IF('Net zero activities &amp; levers'!$C$14="On",'Net zero Activity data'!BH58*ManureNEF*NtoN2O*kgtoGg,"ERROR"))</f>
        <v>7.7656086534531824E-3</v>
      </c>
      <c r="AP1128" s="94">
        <f>IF('Net zero activities &amp; levers'!$C$14="Off",'Activity data'!BI58*ManureNEF*NtoN2O*kgtoGg,IF('Net zero activities &amp; levers'!$C$14="On",'Net zero Activity data'!BI58*ManureNEF*NtoN2O*kgtoGg,"ERROR"))</f>
        <v>7.7756261682697366E-3</v>
      </c>
      <c r="AQ1128" s="94">
        <f>IF('Net zero activities &amp; levers'!$C$14="Off",'Activity data'!BJ58*ManureNEF*NtoN2O*kgtoGg,IF('Net zero activities &amp; levers'!$C$14="On",'Net zero Activity data'!BJ58*ManureNEF*NtoN2O*kgtoGg,"ERROR"))</f>
        <v>7.7847478814032966E-3</v>
      </c>
      <c r="AR1128" s="94">
        <f>IF('Net zero activities &amp; levers'!$C$14="Off",'Activity data'!BK58*ManureNEF*NtoN2O*kgtoGg,IF('Net zero activities &amp; levers'!$C$14="On",'Net zero Activity data'!BK58*ManureNEF*NtoN2O*kgtoGg,"ERROR"))</f>
        <v>7.7928317537802119E-3</v>
      </c>
      <c r="AS1128" s="94">
        <f>IF('Net zero activities &amp; levers'!$C$14="Off",'Activity data'!BL58*ManureNEF*NtoN2O*kgtoGg,IF('Net zero activities &amp; levers'!$C$14="On",'Net zero Activity data'!BL58*ManureNEF*NtoN2O*kgtoGg,"ERROR"))</f>
        <v>7.7998783369461555E-3</v>
      </c>
      <c r="AT1128" s="94">
        <f>IF('Net zero activities &amp; levers'!$C$14="Off",'Activity data'!BM58*ManureNEF*NtoN2O*kgtoGg,IF('Net zero activities &amp; levers'!$C$14="On",'Net zero Activity data'!BM58*ManureNEF*NtoN2O*kgtoGg,"ERROR"))</f>
        <v>7.8058297320024528E-3</v>
      </c>
      <c r="AU1128" s="94">
        <f>IF('Net zero activities &amp; levers'!$C$14="Off",'Activity data'!BN58*ManureNEF*NtoN2O*kgtoGg,IF('Net zero activities &amp; levers'!$C$14="On",'Net zero Activity data'!BN58*ManureNEF*NtoN2O*kgtoGg,"ERROR"))</f>
        <v>7.8106919749548918E-3</v>
      </c>
      <c r="AV1128" s="94">
        <f>IF('Net zero activities &amp; levers'!$C$14="Off",'Activity data'!BO58*ManureNEF*NtoN2O*kgtoGg,IF('Net zero activities &amp; levers'!$C$14="On",'Net zero Activity data'!BO58*ManureNEF*NtoN2O*kgtoGg,"ERROR"))</f>
        <v>7.8146060933627498E-3</v>
      </c>
      <c r="AW1128" s="94">
        <f>IF('Net zero activities &amp; levers'!$C$14="Off",'Activity data'!BP58*ManureNEF*NtoN2O*kgtoGg,IF('Net zero activities &amp; levers'!$C$14="On",'Net zero Activity data'!BP58*ManureNEF*NtoN2O*kgtoGg,"ERROR"))</f>
        <v>7.8167990100407609E-3</v>
      </c>
      <c r="AY1128" s="79"/>
    </row>
    <row r="1129" spans="1:51" x14ac:dyDescent="0.25">
      <c r="A1129" s="95" t="str">
        <f t="shared" si="374"/>
        <v>CM Organic</v>
      </c>
      <c r="B1129" s="95" t="s">
        <v>1321</v>
      </c>
      <c r="C1129" s="95" t="s">
        <v>1126</v>
      </c>
      <c r="D1129" t="s">
        <v>369</v>
      </c>
      <c r="E1129" t="s">
        <v>55</v>
      </c>
      <c r="F1129" t="s">
        <v>421</v>
      </c>
      <c r="G1129" t="s">
        <v>1169</v>
      </c>
      <c r="H1129" t="s">
        <v>1170</v>
      </c>
      <c r="I1129" t="s">
        <v>139</v>
      </c>
      <c r="J1129" t="s">
        <v>287</v>
      </c>
      <c r="K1129" s="94">
        <f>IF('Net zero activities &amp; levers'!$C$14="Off",'Activity data'!AD59*ManureNEF*NtoN2O*kgtoGg,IF('Net zero activities &amp; levers'!$C$14="On",'Net zero Activity data'!AD59*ManureNEF*NtoN2O*kgtoGg,"ERROR"))</f>
        <v>8.7045671471293523E-2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8.9476727309038565E-2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8.9844575202202001E-2</v>
      </c>
      <c r="T1129" s="94">
        <f>IF('Net zero activities &amp; levers'!$C$14="Off",'Activity data'!AM59*ManureNEF*NtoN2O*kgtoGg,IF('Net zero activities &amp; levers'!$C$14="On",'Net zero Activity data'!AM59*ManureNEF*NtoN2O*kgtoGg,"ERROR"))</f>
        <v>8.9999018113074689E-2</v>
      </c>
      <c r="U1129" s="94">
        <f>IF('Net zero activities &amp; levers'!$C$14="Off",'Activity data'!AN59*ManureNEF*NtoN2O*kgtoGg,IF('Net zero activities &amp; levers'!$C$14="On",'Net zero Activity data'!AN59*ManureNEF*NtoN2O*kgtoGg,"ERROR"))</f>
        <v>9.0014005025930557E-2</v>
      </c>
      <c r="V1129" s="94">
        <f>IF('Net zero activities &amp; levers'!$C$14="Off",'Activity data'!AO59*ManureNEF*NtoN2O*kgtoGg,IF('Net zero activities &amp; levers'!$C$14="On",'Net zero Activity data'!AO59*ManureNEF*NtoN2O*kgtoGg,"ERROR"))</f>
        <v>9.0055209476527981E-2</v>
      </c>
      <c r="W1129" s="94">
        <f>IF('Net zero activities &amp; levers'!$C$14="Off",'Activity data'!AP59*ManureNEF*NtoN2O*kgtoGg,IF('Net zero activities &amp; levers'!$C$14="On",'Net zero Activity data'!AP59*ManureNEF*NtoN2O*kgtoGg,"ERROR"))</f>
        <v>9.0237385557127583E-2</v>
      </c>
      <c r="X1129" s="94">
        <f>IF('Net zero activities &amp; levers'!$C$14="Off",'Activity data'!AQ59*ManureNEF*NtoN2O*kgtoGg,IF('Net zero activities &amp; levers'!$C$14="On",'Net zero Activity data'!AQ59*ManureNEF*NtoN2O*kgtoGg,"ERROR"))</f>
        <v>9.0505356385413932E-2</v>
      </c>
      <c r="Y1129" s="94">
        <f>IF('Net zero activities &amp; levers'!$C$14="Off",'Activity data'!AR59*ManureNEF*NtoN2O*kgtoGg,IF('Net zero activities &amp; levers'!$C$14="On",'Net zero Activity data'!AR59*ManureNEF*NtoN2O*kgtoGg,"ERROR"))</f>
        <v>9.0758306705997438E-2</v>
      </c>
      <c r="Z1129" s="94">
        <f>IF('Net zero activities &amp; levers'!$C$14="Off",'Activity data'!AS59*ManureNEF*NtoN2O*kgtoGg,IF('Net zero activities &amp; levers'!$C$14="On",'Net zero Activity data'!AS59*ManureNEF*NtoN2O*kgtoGg,"ERROR"))</f>
        <v>9.0997425855048733E-2</v>
      </c>
      <c r="AA1129" s="94">
        <f>IF('Net zero activities &amp; levers'!$C$14="Off",'Activity data'!AT59*ManureNEF*NtoN2O*kgtoGg,IF('Net zero activities &amp; levers'!$C$14="On",'Net zero Activity data'!AT59*ManureNEF*NtoN2O*kgtoGg,"ERROR"))</f>
        <v>9.122283622722524E-2</v>
      </c>
      <c r="AB1129" s="94">
        <f>IF('Net zero activities &amp; levers'!$C$14="Off",'Activity data'!AU59*ManureNEF*NtoN2O*kgtoGg,IF('Net zero activities &amp; levers'!$C$14="On",'Net zero Activity data'!AU59*ManureNEF*NtoN2O*kgtoGg,"ERROR"))</f>
        <v>9.1439201985751464E-2</v>
      </c>
      <c r="AC1129" s="94">
        <f>IF('Net zero activities &amp; levers'!$C$14="Off",'Activity data'!AV59*ManureNEF*NtoN2O*kgtoGg,IF('Net zero activities &amp; levers'!$C$14="On",'Net zero Activity data'!AV59*ManureNEF*NtoN2O*kgtoGg,"ERROR"))</f>
        <v>9.1649769472921652E-2</v>
      </c>
      <c r="AD1129" s="94">
        <f>IF('Net zero activities &amp; levers'!$C$14="Off",'Activity data'!AW59*ManureNEF*NtoN2O*kgtoGg,IF('Net zero activities &amp; levers'!$C$14="On",'Net zero Activity data'!AW59*ManureNEF*NtoN2O*kgtoGg,"ERROR"))</f>
        <v>9.1852819564097965E-2</v>
      </c>
      <c r="AE1129" s="94">
        <f>IF('Net zero activities &amp; levers'!$C$14="Off",'Activity data'!AX59*ManureNEF*NtoN2O*kgtoGg,IF('Net zero activities &amp; levers'!$C$14="On",'Net zero Activity data'!AX59*ManureNEF*NtoN2O*kgtoGg,"ERROR"))</f>
        <v>9.2051402069607366E-2</v>
      </c>
      <c r="AF1129" s="94">
        <f>IF('Net zero activities &amp; levers'!$C$14="Off",'Activity data'!AY59*ManureNEF*NtoN2O*kgtoGg,IF('Net zero activities &amp; levers'!$C$14="On",'Net zero Activity data'!AY59*ManureNEF*NtoN2O*kgtoGg,"ERROR"))</f>
        <v>9.224512884304413E-2</v>
      </c>
      <c r="AG1129" s="94">
        <f>IF('Net zero activities &amp; levers'!$C$14="Off",'Activity data'!AZ59*ManureNEF*NtoN2O*kgtoGg,IF('Net zero activities &amp; levers'!$C$14="On",'Net zero Activity data'!AZ59*ManureNEF*NtoN2O*kgtoGg,"ERROR"))</f>
        <v>9.2432674299750023E-2</v>
      </c>
      <c r="AH1129" s="94">
        <f>IF('Net zero activities &amp; levers'!$C$14="Off",'Activity data'!BA59*ManureNEF*NtoN2O*kgtoGg,IF('Net zero activities &amp; levers'!$C$14="On",'Net zero Activity data'!BA59*ManureNEF*NtoN2O*kgtoGg,"ERROR"))</f>
        <v>9.261505916595239E-2</v>
      </c>
      <c r="AI1129" s="94">
        <f>IF('Net zero activities &amp; levers'!$C$14="Off",'Activity data'!BB59*ManureNEF*NtoN2O*kgtoGg,IF('Net zero activities &amp; levers'!$C$14="On",'Net zero Activity data'!BB59*ManureNEF*NtoN2O*kgtoGg,"ERROR"))</f>
        <v>9.2792656014314204E-2</v>
      </c>
      <c r="AJ1129" s="94">
        <f>IF('Net zero activities &amp; levers'!$C$14="Off",'Activity data'!BC59*ManureNEF*NtoN2O*kgtoGg,IF('Net zero activities &amp; levers'!$C$14="On",'Net zero Activity data'!BC59*ManureNEF*NtoN2O*kgtoGg,"ERROR"))</f>
        <v>9.2966244618356883E-2</v>
      </c>
      <c r="AK1129" s="94">
        <f>IF('Net zero activities &amp; levers'!$C$14="Off",'Activity data'!BD59*ManureNEF*NtoN2O*kgtoGg,IF('Net zero activities &amp; levers'!$C$14="On",'Net zero Activity data'!BD59*ManureNEF*NtoN2O*kgtoGg,"ERROR"))</f>
        <v>9.3130442775411881E-2</v>
      </c>
      <c r="AL1129" s="94">
        <f>IF('Net zero activities &amp; levers'!$C$14="Off",'Activity data'!BE59*ManureNEF*NtoN2O*kgtoGg,IF('Net zero activities &amp; levers'!$C$14="On",'Net zero Activity data'!BE59*ManureNEF*NtoN2O*kgtoGg,"ERROR"))</f>
        <v>9.3285211673244717E-2</v>
      </c>
      <c r="AM1129" s="94">
        <f>IF('Net zero activities &amp; levers'!$C$14="Off",'Activity data'!BF59*ManureNEF*NtoN2O*kgtoGg,IF('Net zero activities &amp; levers'!$C$14="On",'Net zero Activity data'!BF59*ManureNEF*NtoN2O*kgtoGg,"ERROR"))</f>
        <v>9.3432256206569059E-2</v>
      </c>
      <c r="AN1129" s="94">
        <f>IF('Net zero activities &amp; levers'!$C$14="Off",'Activity data'!BG59*ManureNEF*NtoN2O*kgtoGg,IF('Net zero activities &amp; levers'!$C$14="On",'Net zero Activity data'!BG59*ManureNEF*NtoN2O*kgtoGg,"ERROR"))</f>
        <v>9.3570480254135169E-2</v>
      </c>
      <c r="AO1129" s="94">
        <f>IF('Net zero activities &amp; levers'!$C$14="Off",'Activity data'!BH59*ManureNEF*NtoN2O*kgtoGg,IF('Net zero activities &amp; levers'!$C$14="On",'Net zero Activity data'!BH59*ManureNEF*NtoN2O*kgtoGg,"ERROR"))</f>
        <v>9.3700295264833783E-2</v>
      </c>
      <c r="AP1129" s="94">
        <f>IF('Net zero activities &amp; levers'!$C$14="Off",'Activity data'!BI59*ManureNEF*NtoN2O*kgtoGg,IF('Net zero activities &amp; levers'!$C$14="On",'Net zero Activity data'!BI59*ManureNEF*NtoN2O*kgtoGg,"ERROR"))</f>
        <v>9.3821167193618646E-2</v>
      </c>
      <c r="AQ1129" s="94">
        <f>IF('Net zero activities &amp; levers'!$C$14="Off",'Activity data'!BJ59*ManureNEF*NtoN2O*kgtoGg,IF('Net zero activities &amp; levers'!$C$14="On",'Net zero Activity data'!BJ59*ManureNEF*NtoN2O*kgtoGg,"ERROR"))</f>
        <v>9.3931230326088647E-2</v>
      </c>
      <c r="AR1129" s="94">
        <f>IF('Net zero activities &amp; levers'!$C$14="Off",'Activity data'!BK59*ManureNEF*NtoN2O*kgtoGg,IF('Net zero activities &amp; levers'!$C$14="On",'Net zero Activity data'!BK59*ManureNEF*NtoN2O*kgtoGg,"ERROR"))</f>
        <v>9.4028770810344664E-2</v>
      </c>
      <c r="AS1129" s="94">
        <f>IF('Net zero activities &amp; levers'!$C$14="Off",'Activity data'!BL59*ManureNEF*NtoN2O*kgtoGg,IF('Net zero activities &amp; levers'!$C$14="On",'Net zero Activity data'!BL59*ManureNEF*NtoN2O*kgtoGg,"ERROR"))</f>
        <v>9.4113795301369402E-2</v>
      </c>
      <c r="AT1129" s="94">
        <f>IF('Net zero activities &amp; levers'!$C$14="Off",'Activity data'!BM59*ManureNEF*NtoN2O*kgtoGg,IF('Net zero activities &amp; levers'!$C$14="On",'Net zero Activity data'!BM59*ManureNEF*NtoN2O*kgtoGg,"ERROR"))</f>
        <v>9.4185605187612459E-2</v>
      </c>
      <c r="AU1129" s="94">
        <f>IF('Net zero activities &amp; levers'!$C$14="Off",'Activity data'!BN59*ManureNEF*NtoN2O*kgtoGg,IF('Net zero activities &amp; levers'!$C$14="On",'Net zero Activity data'!BN59*ManureNEF*NtoN2O*kgtoGg,"ERROR"))</f>
        <v>9.4244273299878237E-2</v>
      </c>
      <c r="AV1129" s="94">
        <f>IF('Net zero activities &amp; levers'!$C$14="Off",'Activity data'!BO59*ManureNEF*NtoN2O*kgtoGg,IF('Net zero activities &amp; levers'!$C$14="On",'Net zero Activity data'!BO59*ManureNEF*NtoN2O*kgtoGg,"ERROR"))</f>
        <v>9.429150128507352E-2</v>
      </c>
      <c r="AW1129" s="94">
        <f>IF('Net zero activities &amp; levers'!$C$14="Off",'Activity data'!BP59*ManureNEF*NtoN2O*kgtoGg,IF('Net zero activities &amp; levers'!$C$14="On",'Net zero Activity data'!BP59*ManureNEF*NtoN2O*kgtoGg,"ERROR"))</f>
        <v>9.4317961147962676E-2</v>
      </c>
      <c r="AY1129" s="79"/>
    </row>
    <row r="1130" spans="1:51" x14ac:dyDescent="0.25">
      <c r="A1130" s="95" t="str">
        <f t="shared" si="374"/>
        <v>CM Organic</v>
      </c>
      <c r="B1130" s="95" t="s">
        <v>1321</v>
      </c>
      <c r="C1130" s="95" t="s">
        <v>1126</v>
      </c>
      <c r="D1130" t="s">
        <v>369</v>
      </c>
      <c r="E1130" t="s">
        <v>55</v>
      </c>
      <c r="F1130" t="s">
        <v>421</v>
      </c>
      <c r="G1130" t="s">
        <v>1171</v>
      </c>
      <c r="H1130" t="s">
        <v>1172</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5">
      <c r="A1131" s="95" t="str">
        <f t="shared" si="374"/>
        <v>CM Organic</v>
      </c>
      <c r="B1131" s="95" t="s">
        <v>1321</v>
      </c>
      <c r="C1131" s="95" t="s">
        <v>1126</v>
      </c>
      <c r="D1131" t="s">
        <v>369</v>
      </c>
      <c r="E1131" t="s">
        <v>55</v>
      </c>
      <c r="F1131" t="s">
        <v>421</v>
      </c>
      <c r="G1131" t="s">
        <v>1173</v>
      </c>
      <c r="H1131" t="s">
        <v>1174</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5">
      <c r="A1132" s="95" t="str">
        <f t="shared" si="374"/>
        <v>CM Organic</v>
      </c>
      <c r="B1132" s="95" t="s">
        <v>1321</v>
      </c>
      <c r="C1132" s="95" t="s">
        <v>1126</v>
      </c>
      <c r="D1132" t="s">
        <v>369</v>
      </c>
      <c r="E1132" t="s">
        <v>55</v>
      </c>
      <c r="F1132" t="s">
        <v>421</v>
      </c>
      <c r="G1132" t="s">
        <v>1175</v>
      </c>
      <c r="H1132" t="s">
        <v>1176</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0.12395129293471774</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0.12286841678965583</v>
      </c>
      <c r="O1132" s="94">
        <f>IF('Net zero activities &amp; levers'!$C$14="Off",'Activity data'!AH62*ManureNEF*NtoN2O*kgtoGg,IF('Net zero activities &amp; levers'!$C$14="On",'Net zero Activity data'!AH62*ManureNEF*NtoN2O*kgtoGg,"ERROR"))</f>
        <v>0.12100901910044995</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0.11491827863139022</v>
      </c>
      <c r="S1132" s="94">
        <f>IF('Net zero activities &amp; levers'!$C$14="Off",'Activity data'!AL62*ManureNEF*NtoN2O*kgtoGg,IF('Net zero activities &amp; levers'!$C$14="On",'Net zero Activity data'!AL62*ManureNEF*NtoN2O*kgtoGg,"ERROR"))</f>
        <v>0.10323336206469676</v>
      </c>
      <c r="T1132" s="94">
        <f>IF('Net zero activities &amp; levers'!$C$14="Off",'Activity data'!AM62*ManureNEF*NtoN2O*kgtoGg,IF('Net zero activities &amp; levers'!$C$14="On",'Net zero Activity data'!AM62*ManureNEF*NtoN2O*kgtoGg,"ERROR"))</f>
        <v>0.10789835358112609</v>
      </c>
      <c r="U1132" s="94">
        <f>IF('Net zero activities &amp; levers'!$C$14="Off",'Activity data'!AN62*ManureNEF*NtoN2O*kgtoGg,IF('Net zero activities &amp; levers'!$C$14="On",'Net zero Activity data'!AN62*ManureNEF*NtoN2O*kgtoGg,"ERROR"))</f>
        <v>0.10930872077776907</v>
      </c>
      <c r="V1132" s="94">
        <f>IF('Net zero activities &amp; levers'!$C$14="Off",'Activity data'!AO62*ManureNEF*NtoN2O*kgtoGg,IF('Net zero activities &amp; levers'!$C$14="On",'Net zero Activity data'!AO62*ManureNEF*NtoN2O*kgtoGg,"ERROR"))</f>
        <v>0.10822994982335406</v>
      </c>
      <c r="W1132" s="94">
        <f>IF('Net zero activities &amp; levers'!$C$14="Off",'Activity data'!AP62*ManureNEF*NtoN2O*kgtoGg,IF('Net zero activities &amp; levers'!$C$14="On",'Net zero Activity data'!AP62*ManureNEF*NtoN2O*kgtoGg,"ERROR"))</f>
        <v>0.10728117650505167</v>
      </c>
      <c r="X1132" s="94">
        <f>IF('Net zero activities &amp; levers'!$C$14="Off",'Activity data'!AQ62*ManureNEF*NtoN2O*kgtoGg,IF('Net zero activities &amp; levers'!$C$14="On",'Net zero Activity data'!AQ62*ManureNEF*NtoN2O*kgtoGg,"ERROR"))</f>
        <v>0.10698795772109922</v>
      </c>
      <c r="Y1132" s="94">
        <f>IF('Net zero activities &amp; levers'!$C$14="Off",'Activity data'!AR62*ManureNEF*NtoN2O*kgtoGg,IF('Net zero activities &amp; levers'!$C$14="On",'Net zero Activity data'!AR62*ManureNEF*NtoN2O*kgtoGg,"ERROR"))</f>
        <v>0.10732481606756347</v>
      </c>
      <c r="Z1132" s="94">
        <f>IF('Net zero activities &amp; levers'!$C$14="Off",'Activity data'!AS62*ManureNEF*NtoN2O*kgtoGg,IF('Net zero activities &amp; levers'!$C$14="On",'Net zero Activity data'!AS62*ManureNEF*NtoN2O*kgtoGg,"ERROR"))</f>
        <v>0.10795224800227457</v>
      </c>
      <c r="AA1132" s="94">
        <f>IF('Net zero activities &amp; levers'!$C$14="Off",'Activity data'!AT62*ManureNEF*NtoN2O*kgtoGg,IF('Net zero activities &amp; levers'!$C$14="On",'Net zero Activity data'!AT62*ManureNEF*NtoN2O*kgtoGg,"ERROR"))</f>
        <v>0.10894183514251574</v>
      </c>
      <c r="AB1132" s="94">
        <f>IF('Net zero activities &amp; levers'!$C$14="Off",'Activity data'!AU62*ManureNEF*NtoN2O*kgtoGg,IF('Net zero activities &amp; levers'!$C$14="On",'Net zero Activity data'!AU62*ManureNEF*NtoN2O*kgtoGg,"ERROR"))</f>
        <v>0.11053150962299221</v>
      </c>
      <c r="AC1132" s="94">
        <f>IF('Net zero activities &amp; levers'!$C$14="Off",'Activity data'!AV62*ManureNEF*NtoN2O*kgtoGg,IF('Net zero activities &amp; levers'!$C$14="On",'Net zero Activity data'!AV62*ManureNEF*NtoN2O*kgtoGg,"ERROR"))</f>
        <v>0.1126657694800189</v>
      </c>
      <c r="AD1132" s="94">
        <f>IF('Net zero activities &amp; levers'!$C$14="Off",'Activity data'!AW62*ManureNEF*NtoN2O*kgtoGg,IF('Net zero activities &amp; levers'!$C$14="On",'Net zero Activity data'!AW62*ManureNEF*NtoN2O*kgtoGg,"ERROR"))</f>
        <v>0.11509487827502032</v>
      </c>
      <c r="AE1132" s="94">
        <f>IF('Net zero activities &amp; levers'!$C$14="Off",'Activity data'!AX62*ManureNEF*NtoN2O*kgtoGg,IF('Net zero activities &amp; levers'!$C$14="On",'Net zero Activity data'!AX62*ManureNEF*NtoN2O*kgtoGg,"ERROR"))</f>
        <v>0.11779472217084282</v>
      </c>
      <c r="AF1132" s="94">
        <f>IF('Net zero activities &amp; levers'!$C$14="Off",'Activity data'!AY62*ManureNEF*NtoN2O*kgtoGg,IF('Net zero activities &amp; levers'!$C$14="On",'Net zero Activity data'!AY62*ManureNEF*NtoN2O*kgtoGg,"ERROR"))</f>
        <v>0.12063025387721567</v>
      </c>
      <c r="AG1132" s="94">
        <f>IF('Net zero activities &amp; levers'!$C$14="Off",'Activity data'!AZ62*ManureNEF*NtoN2O*kgtoGg,IF('Net zero activities &amp; levers'!$C$14="On",'Net zero Activity data'!AZ62*ManureNEF*NtoN2O*kgtoGg,"ERROR"))</f>
        <v>0.12365017099946446</v>
      </c>
      <c r="AH1132" s="94">
        <f>IF('Net zero activities &amp; levers'!$C$14="Off",'Activity data'!BA62*ManureNEF*NtoN2O*kgtoGg,IF('Net zero activities &amp; levers'!$C$14="On",'Net zero Activity data'!BA62*ManureNEF*NtoN2O*kgtoGg,"ERROR"))</f>
        <v>0.12678938256448105</v>
      </c>
      <c r="AI1132" s="94">
        <f>IF('Net zero activities &amp; levers'!$C$14="Off",'Activity data'!BB62*ManureNEF*NtoN2O*kgtoGg,IF('Net zero activities &amp; levers'!$C$14="On",'Net zero Activity data'!BB62*ManureNEF*NtoN2O*kgtoGg,"ERROR"))</f>
        <v>0.1298357658486077</v>
      </c>
      <c r="AJ1132" s="94">
        <f>IF('Net zero activities &amp; levers'!$C$14="Off",'Activity data'!BC62*ManureNEF*NtoN2O*kgtoGg,IF('Net zero activities &amp; levers'!$C$14="On",'Net zero Activity data'!BC62*ManureNEF*NtoN2O*kgtoGg,"ERROR"))</f>
        <v>0.13308363006040799</v>
      </c>
      <c r="AK1132" s="94">
        <f>IF('Net zero activities &amp; levers'!$C$14="Off",'Activity data'!BD62*ManureNEF*NtoN2O*kgtoGg,IF('Net zero activities &amp; levers'!$C$14="On",'Net zero Activity data'!BD62*ManureNEF*NtoN2O*kgtoGg,"ERROR"))</f>
        <v>0.13633797236037076</v>
      </c>
      <c r="AL1132" s="94">
        <f>IF('Net zero activities &amp; levers'!$C$14="Off",'Activity data'!BE62*ManureNEF*NtoN2O*kgtoGg,IF('Net zero activities &amp; levers'!$C$14="On",'Net zero Activity data'!BE62*ManureNEF*NtoN2O*kgtoGg,"ERROR"))</f>
        <v>0.1395817064491762</v>
      </c>
      <c r="AM1132" s="94">
        <f>IF('Net zero activities &amp; levers'!$C$14="Off",'Activity data'!BF62*ManureNEF*NtoN2O*kgtoGg,IF('Net zero activities &amp; levers'!$C$14="On",'Net zero Activity data'!BF62*ManureNEF*NtoN2O*kgtoGg,"ERROR"))</f>
        <v>0.1428987646619678</v>
      </c>
      <c r="AN1132" s="94">
        <f>IF('Net zero activities &amp; levers'!$C$14="Off",'Activity data'!BG62*ManureNEF*NtoN2O*kgtoGg,IF('Net zero activities &amp; levers'!$C$14="On",'Net zero Activity data'!BG62*ManureNEF*NtoN2O*kgtoGg,"ERROR"))</f>
        <v>0.14607463913609417</v>
      </c>
      <c r="AO1132" s="94">
        <f>IF('Net zero activities &amp; levers'!$C$14="Off",'Activity data'!BH62*ManureNEF*NtoN2O*kgtoGg,IF('Net zero activities &amp; levers'!$C$14="On",'Net zero Activity data'!BH62*ManureNEF*NtoN2O*kgtoGg,"ERROR"))</f>
        <v>0.14939800642693096</v>
      </c>
      <c r="AP1132" s="94">
        <f>IF('Net zero activities &amp; levers'!$C$14="Off",'Activity data'!BI62*ManureNEF*NtoN2O*kgtoGg,IF('Net zero activities &amp; levers'!$C$14="On",'Net zero Activity data'!BI62*ManureNEF*NtoN2O*kgtoGg,"ERROR"))</f>
        <v>0.15296466961282101</v>
      </c>
      <c r="AQ1132" s="94">
        <f>IF('Net zero activities &amp; levers'!$C$14="Off",'Activity data'!BJ62*ManureNEF*NtoN2O*kgtoGg,IF('Net zero activities &amp; levers'!$C$14="On",'Net zero Activity data'!BJ62*ManureNEF*NtoN2O*kgtoGg,"ERROR"))</f>
        <v>0.1565936649117094</v>
      </c>
      <c r="AR1132" s="94">
        <f>IF('Net zero activities &amp; levers'!$C$14="Off",'Activity data'!BK62*ManureNEF*NtoN2O*kgtoGg,IF('Net zero activities &amp; levers'!$C$14="On",'Net zero Activity data'!BK62*ManureNEF*NtoN2O*kgtoGg,"ERROR"))</f>
        <v>0.16029166396054106</v>
      </c>
      <c r="AS1132" s="94">
        <f>IF('Net zero activities &amp; levers'!$C$14="Off",'Activity data'!BL62*ManureNEF*NtoN2O*kgtoGg,IF('Net zero activities &amp; levers'!$C$14="On",'Net zero Activity data'!BL62*ManureNEF*NtoN2O*kgtoGg,"ERROR"))</f>
        <v>0.16424139864286944</v>
      </c>
      <c r="AT1132" s="94">
        <f>IF('Net zero activities &amp; levers'!$C$14="Off",'Activity data'!BM62*ManureNEF*NtoN2O*kgtoGg,IF('Net zero activities &amp; levers'!$C$14="On",'Net zero Activity data'!BM62*ManureNEF*NtoN2O*kgtoGg,"ERROR"))</f>
        <v>0.1683741087759702</v>
      </c>
      <c r="AU1132" s="94">
        <f>IF('Net zero activities &amp; levers'!$C$14="Off",'Activity data'!BN62*ManureNEF*NtoN2O*kgtoGg,IF('Net zero activities &amp; levers'!$C$14="On",'Net zero Activity data'!BN62*ManureNEF*NtoN2O*kgtoGg,"ERROR"))</f>
        <v>0.17264268700084681</v>
      </c>
      <c r="AV1132" s="94">
        <f>IF('Net zero activities &amp; levers'!$C$14="Off",'Activity data'!BO62*ManureNEF*NtoN2O*kgtoGg,IF('Net zero activities &amp; levers'!$C$14="On",'Net zero Activity data'!BO62*ManureNEF*NtoN2O*kgtoGg,"ERROR"))</f>
        <v>0.17715786251954191</v>
      </c>
      <c r="AW1132" s="94">
        <f>IF('Net zero activities &amp; levers'!$C$14="Off",'Activity data'!BP62*ManureNEF*NtoN2O*kgtoGg,IF('Net zero activities &amp; levers'!$C$14="On",'Net zero Activity data'!BP62*ManureNEF*NtoN2O*kgtoGg,"ERROR"))</f>
        <v>0.1812449136918291</v>
      </c>
      <c r="AY1132" s="79"/>
    </row>
    <row r="1133" spans="1:51" x14ac:dyDescent="0.25">
      <c r="A1133" s="95" t="str">
        <f t="shared" si="374"/>
        <v>CM Organic</v>
      </c>
      <c r="B1133" s="95" t="s">
        <v>1321</v>
      </c>
      <c r="C1133" s="95" t="s">
        <v>1126</v>
      </c>
      <c r="D1133" t="s">
        <v>369</v>
      </c>
      <c r="E1133" t="s">
        <v>55</v>
      </c>
      <c r="F1133" t="s">
        <v>421</v>
      </c>
      <c r="G1133" t="s">
        <v>1177</v>
      </c>
      <c r="H1133" t="s">
        <v>1178</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3.1446916354757493E-2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3.1172186541537569E-2</v>
      </c>
      <c r="O1133" s="94">
        <f>IF('Net zero activities &amp; levers'!$C$14="Off",'Activity data'!AH63*ManureNEF*NtoN2O*kgtoGg,IF('Net zero activities &amp; levers'!$C$14="On",'Net zero Activity data'!AH63*ManureNEF*NtoN2O*kgtoGg,"ERROR"))</f>
        <v>3.0700450247237818E-2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2.9583492368545926E-2</v>
      </c>
      <c r="R1133" s="94">
        <f>IF('Net zero activities &amp; levers'!$C$14="Off",'Activity data'!AK63*ManureNEF*NtoN2O*kgtoGg,IF('Net zero activities &amp; levers'!$C$14="On",'Net zero Activity data'!AK63*ManureNEF*NtoN2O*kgtoGg,"ERROR"))</f>
        <v>2.9155206131309685E-2</v>
      </c>
      <c r="S1133" s="94">
        <f>IF('Net zero activities &amp; levers'!$C$14="Off",'Activity data'!AL63*ManureNEF*NtoN2O*kgtoGg,IF('Net zero activities &amp; levers'!$C$14="On",'Net zero Activity data'!AL63*ManureNEF*NtoN2O*kgtoGg,"ERROR"))</f>
        <v>2.6190698176732228E-2</v>
      </c>
      <c r="T1133" s="94">
        <f>IF('Net zero activities &amp; levers'!$C$14="Off",'Activity data'!AM63*ManureNEF*NtoN2O*kgtoGg,IF('Net zero activities &amp; levers'!$C$14="On",'Net zero Activity data'!AM63*ManureNEF*NtoN2O*kgtoGg,"ERROR"))</f>
        <v>2.7374224338819714E-2</v>
      </c>
      <c r="U1133" s="94">
        <f>IF('Net zero activities &amp; levers'!$C$14="Off",'Activity data'!AN63*ManureNEF*NtoN2O*kgtoGg,IF('Net zero activities &amp; levers'!$C$14="On",'Net zero Activity data'!AN63*ManureNEF*NtoN2O*kgtoGg,"ERROR"))</f>
        <v>2.773203988242751E-2</v>
      </c>
      <c r="V1133" s="94">
        <f>IF('Net zero activities &amp; levers'!$C$14="Off",'Activity data'!AO63*ManureNEF*NtoN2O*kgtoGg,IF('Net zero activities &amp; levers'!$C$14="On",'Net zero Activity data'!AO63*ManureNEF*NtoN2O*kgtoGg,"ERROR"))</f>
        <v>2.7458351571751329E-2</v>
      </c>
      <c r="W1133" s="94">
        <f>IF('Net zero activities &amp; levers'!$C$14="Off",'Activity data'!AP63*ManureNEF*NtoN2O*kgtoGg,IF('Net zero activities &amp; levers'!$C$14="On",'Net zero Activity data'!AP63*ManureNEF*NtoN2O*kgtoGg,"ERROR"))</f>
        <v>2.7217644157783535E-2</v>
      </c>
      <c r="X1133" s="94">
        <f>IF('Net zero activities &amp; levers'!$C$14="Off",'Activity data'!AQ63*ManureNEF*NtoN2O*kgtoGg,IF('Net zero activities &amp; levers'!$C$14="On",'Net zero Activity data'!AQ63*ManureNEF*NtoN2O*kgtoGg,"ERROR"))</f>
        <v>2.7143253432569785E-2</v>
      </c>
      <c r="Y1133" s="94">
        <f>IF('Net zero activities &amp; levers'!$C$14="Off",'Activity data'!AR63*ManureNEF*NtoN2O*kgtoGg,IF('Net zero activities &amp; levers'!$C$14="On",'Net zero Activity data'!AR63*ManureNEF*NtoN2O*kgtoGg,"ERROR"))</f>
        <v>2.7228715681440727E-2</v>
      </c>
      <c r="Z1133" s="94">
        <f>IF('Net zero activities &amp; levers'!$C$14="Off",'Activity data'!AS63*ManureNEF*NtoN2O*kgtoGg,IF('Net zero activities &amp; levers'!$C$14="On",'Net zero Activity data'!AS63*ManureNEF*NtoN2O*kgtoGg,"ERROR"))</f>
        <v>2.7387897559273622E-2</v>
      </c>
      <c r="AA1133" s="94">
        <f>IF('Net zero activities &amp; levers'!$C$14="Off",'Activity data'!AT63*ManureNEF*NtoN2O*kgtoGg,IF('Net zero activities &amp; levers'!$C$14="On",'Net zero Activity data'!AT63*ManureNEF*NtoN2O*kgtoGg,"ERROR"))</f>
        <v>2.7638959595724485E-2</v>
      </c>
      <c r="AB1133" s="94">
        <f>IF('Net zero activities &amp; levers'!$C$14="Off",'Activity data'!AU63*ManureNEF*NtoN2O*kgtoGg,IF('Net zero activities &amp; levers'!$C$14="On",'Net zero Activity data'!AU63*ManureNEF*NtoN2O*kgtoGg,"ERROR"))</f>
        <v>2.8042266081967953E-2</v>
      </c>
      <c r="AC1133" s="94">
        <f>IF('Net zero activities &amp; levers'!$C$14="Off",'Activity data'!AV63*ManureNEF*NtoN2O*kgtoGg,IF('Net zero activities &amp; levers'!$C$14="On",'Net zero Activity data'!AV63*ManureNEF*NtoN2O*kgtoGg,"ERROR"))</f>
        <v>2.8583735957869796E-2</v>
      </c>
      <c r="AD1133" s="94">
        <f>IF('Net zero activities &amp; levers'!$C$14="Off",'Activity data'!AW63*ManureNEF*NtoN2O*kgtoGg,IF('Net zero activities &amp; levers'!$C$14="On",'Net zero Activity data'!AW63*ManureNEF*NtoN2O*kgtoGg,"ERROR"))</f>
        <v>2.9200010135285986E-2</v>
      </c>
      <c r="AE1133" s="94">
        <f>IF('Net zero activities &amp; levers'!$C$14="Off",'Activity data'!AX63*ManureNEF*NtoN2O*kgtoGg,IF('Net zero activities &amp; levers'!$C$14="On",'Net zero Activity data'!AX63*ManureNEF*NtoN2O*kgtoGg,"ERROR"))</f>
        <v>2.988497084164626E-2</v>
      </c>
      <c r="AF1133" s="94">
        <f>IF('Net zero activities &amp; levers'!$C$14="Off",'Activity data'!AY63*ManureNEF*NtoN2O*kgtoGg,IF('Net zero activities &amp; levers'!$C$14="On",'Net zero Activity data'!AY63*ManureNEF*NtoN2O*kgtoGg,"ERROR"))</f>
        <v>3.0604356063699028E-2</v>
      </c>
      <c r="AG1133" s="94">
        <f>IF('Net zero activities &amp; levers'!$C$14="Off",'Activity data'!AZ63*ManureNEF*NtoN2O*kgtoGg,IF('Net zero activities &amp; levers'!$C$14="On",'Net zero Activity data'!AZ63*ManureNEF*NtoN2O*kgtoGg,"ERROR"))</f>
        <v>3.1370520569878685E-2</v>
      </c>
      <c r="AH1133" s="94">
        <f>IF('Net zero activities &amp; levers'!$C$14="Off",'Activity data'!BA63*ManureNEF*NtoN2O*kgtoGg,IF('Net zero activities &amp; levers'!$C$14="On",'Net zero Activity data'!BA63*ManureNEF*NtoN2O*kgtoGg,"ERROR"))</f>
        <v>3.2166950531742462E-2</v>
      </c>
      <c r="AI1133" s="94">
        <f>IF('Net zero activities &amp; levers'!$C$14="Off",'Activity data'!BB63*ManureNEF*NtoN2O*kgtoGg,IF('Net zero activities &amp; levers'!$C$14="On",'Net zero Activity data'!BB63*ManureNEF*NtoN2O*kgtoGg,"ERROR"))</f>
        <v>3.2939829604257814E-2</v>
      </c>
      <c r="AJ1133" s="94">
        <f>IF('Net zero activities &amp; levers'!$C$14="Off",'Activity data'!BC63*ManureNEF*NtoN2O*kgtoGg,IF('Net zero activities &amp; levers'!$C$14="On",'Net zero Activity data'!BC63*ManureNEF*NtoN2O*kgtoGg,"ERROR"))</f>
        <v>3.376382515752635E-2</v>
      </c>
      <c r="AK1133" s="94">
        <f>IF('Net zero activities &amp; levers'!$C$14="Off",'Activity data'!BD63*ManureNEF*NtoN2O*kgtoGg,IF('Net zero activities &amp; levers'!$C$14="On",'Net zero Activity data'!BD63*ManureNEF*NtoN2O*kgtoGg,"ERROR"))</f>
        <v>3.4589464226499819E-2</v>
      </c>
      <c r="AL1133" s="94">
        <f>IF('Net zero activities &amp; levers'!$C$14="Off",'Activity data'!BE63*ManureNEF*NtoN2O*kgtoGg,IF('Net zero activities &amp; levers'!$C$14="On",'Net zero Activity data'!BE63*ManureNEF*NtoN2O*kgtoGg,"ERROR"))</f>
        <v>3.5412411951792733E-2</v>
      </c>
      <c r="AM1133" s="94">
        <f>IF('Net zero activities &amp; levers'!$C$14="Off",'Activity data'!BF63*ManureNEF*NtoN2O*kgtoGg,IF('Net zero activities &amp; levers'!$C$14="On",'Net zero Activity data'!BF63*ManureNEF*NtoN2O*kgtoGg,"ERROR"))</f>
        <v>3.625396228734637E-2</v>
      </c>
      <c r="AN1133" s="94">
        <f>IF('Net zero activities &amp; levers'!$C$14="Off",'Activity data'!BG63*ManureNEF*NtoN2O*kgtoGg,IF('Net zero activities &amp; levers'!$C$14="On",'Net zero Activity data'!BG63*ManureNEF*NtoN2O*kgtoGg,"ERROR"))</f>
        <v>3.705969376925726E-2</v>
      </c>
      <c r="AO1133" s="94">
        <f>IF('Net zero activities &amp; levers'!$C$14="Off",'Activity data'!BH63*ManureNEF*NtoN2O*kgtoGg,IF('Net zero activities &amp; levers'!$C$14="On",'Net zero Activity data'!BH63*ManureNEF*NtoN2O*kgtoGg,"ERROR"))</f>
        <v>3.7902844742003665E-2</v>
      </c>
      <c r="AP1133" s="94">
        <f>IF('Net zero activities &amp; levers'!$C$14="Off",'Activity data'!BI63*ManureNEF*NtoN2O*kgtoGg,IF('Net zero activities &amp; levers'!$C$14="On",'Net zero Activity data'!BI63*ManureNEF*NtoN2O*kgtoGg,"ERROR"))</f>
        <v>3.8807720812407763E-2</v>
      </c>
      <c r="AQ1133" s="94">
        <f>IF('Net zero activities &amp; levers'!$C$14="Off",'Activity data'!BJ63*ManureNEF*NtoN2O*kgtoGg,IF('Net zero activities &amp; levers'!$C$14="On",'Net zero Activity data'!BJ63*ManureNEF*NtoN2O*kgtoGg,"ERROR"))</f>
        <v>3.9728410777909444E-2</v>
      </c>
      <c r="AR1133" s="94">
        <f>IF('Net zero activities &amp; levers'!$C$14="Off",'Activity data'!BK63*ManureNEF*NtoN2O*kgtoGg,IF('Net zero activities &amp; levers'!$C$14="On",'Net zero Activity data'!BK63*ManureNEF*NtoN2O*kgtoGg,"ERROR"))</f>
        <v>4.0666607258278795E-2</v>
      </c>
      <c r="AS1133" s="94">
        <f>IF('Net zero activities &amp; levers'!$C$14="Off",'Activity data'!BL63*ManureNEF*NtoN2O*kgtoGg,IF('Net zero activities &amp; levers'!$C$14="On",'Net zero Activity data'!BL63*ManureNEF*NtoN2O*kgtoGg,"ERROR"))</f>
        <v>4.1668670030178073E-2</v>
      </c>
      <c r="AT1133" s="94">
        <f>IF('Net zero activities &amp; levers'!$C$14="Off",'Activity data'!BM63*ManureNEF*NtoN2O*kgtoGg,IF('Net zero activities &amp; levers'!$C$14="On",'Net zero Activity data'!BM63*ManureNEF*NtoN2O*kgtoGg,"ERROR"))</f>
        <v>4.2717154372673226E-2</v>
      </c>
      <c r="AU1133" s="94">
        <f>IF('Net zero activities &amp; levers'!$C$14="Off",'Activity data'!BN63*ManureNEF*NtoN2O*kgtoGg,IF('Net zero activities &amp; levers'!$C$14="On",'Net zero Activity data'!BN63*ManureNEF*NtoN2O*kgtoGg,"ERROR"))</f>
        <v>4.380010896889619E-2</v>
      </c>
      <c r="AV1133" s="94">
        <f>IF('Net zero activities &amp; levers'!$C$14="Off",'Activity data'!BO63*ManureNEF*NtoN2O*kgtoGg,IF('Net zero activities &amp; levers'!$C$14="On",'Net zero Activity data'!BO63*ManureNEF*NtoN2O*kgtoGg,"ERROR"))</f>
        <v>4.4945626240250815E-2</v>
      </c>
      <c r="AW1133" s="94">
        <f>IF('Net zero activities &amp; levers'!$C$14="Off",'Activity data'!BP63*ManureNEF*NtoN2O*kgtoGg,IF('Net zero activities &amp; levers'!$C$14="On",'Net zero Activity data'!BP63*ManureNEF*NtoN2O*kgtoGg,"ERROR"))</f>
        <v>4.5982526730028013E-2</v>
      </c>
      <c r="AY1133" s="79"/>
    </row>
    <row r="1134" spans="1:51" x14ac:dyDescent="0.25">
      <c r="A1134" s="95" t="str">
        <f t="shared" si="374"/>
        <v>CM Organic</v>
      </c>
      <c r="B1134" s="95" t="s">
        <v>1321</v>
      </c>
      <c r="C1134" s="95" t="s">
        <v>1126</v>
      </c>
      <c r="D1134" t="s">
        <v>369</v>
      </c>
      <c r="E1134" t="s">
        <v>55</v>
      </c>
      <c r="F1134" t="s">
        <v>421</v>
      </c>
      <c r="G1134" t="s">
        <v>1179</v>
      </c>
      <c r="H1134" t="s">
        <v>1180</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0.16826815584544114</v>
      </c>
      <c r="T1134" s="94">
        <f>IF('Net zero activities &amp; levers'!$C$14="Off",'Activity data'!AM64*ManureNEF*NtoN2O*kgtoGg,IF('Net zero activities &amp; levers'!$C$14="On",'Net zero Activity data'!AM64*ManureNEF*NtoN2O*kgtoGg,"ERROR"))</f>
        <v>0.17529364111541346</v>
      </c>
      <c r="U1134" s="94">
        <f>IF('Net zero activities &amp; levers'!$C$14="Off",'Activity data'!AN64*ManureNEF*NtoN2O*kgtoGg,IF('Net zero activities &amp; levers'!$C$14="On",'Net zero Activity data'!AN64*ManureNEF*NtoN2O*kgtoGg,"ERROR"))</f>
        <v>0.179468936116296</v>
      </c>
      <c r="V1134" s="94">
        <f>IF('Net zero activities &amp; levers'!$C$14="Off",'Activity data'!AO64*ManureNEF*NtoN2O*kgtoGg,IF('Net zero activities &amp; levers'!$C$14="On",'Net zero Activity data'!AO64*ManureNEF*NtoN2O*kgtoGg,"ERROR"))</f>
        <v>0.18146185289572461</v>
      </c>
      <c r="W1134" s="94">
        <f>IF('Net zero activities &amp; levers'!$C$14="Off",'Activity data'!AP64*ManureNEF*NtoN2O*kgtoGg,IF('Net zero activities &amp; levers'!$C$14="On",'Net zero Activity data'!AP64*ManureNEF*NtoN2O*kgtoGg,"ERROR"))</f>
        <v>0.18367206757119967</v>
      </c>
      <c r="X1134" s="94">
        <f>IF('Net zero activities &amp; levers'!$C$14="Off",'Activity data'!AQ64*ManureNEF*NtoN2O*kgtoGg,IF('Net zero activities &amp; levers'!$C$14="On",'Net zero Activity data'!AQ64*ManureNEF*NtoN2O*kgtoGg,"ERROR"))</f>
        <v>0.18655442341123246</v>
      </c>
      <c r="Y1134" s="94">
        <f>IF('Net zero activities &amp; levers'!$C$14="Off",'Activity data'!AR64*ManureNEF*NtoN2O*kgtoGg,IF('Net zero activities &amp; levers'!$C$14="On",'Net zero Activity data'!AR64*ManureNEF*NtoN2O*kgtoGg,"ERROR"))</f>
        <v>0.19002403855752484</v>
      </c>
      <c r="Z1134" s="94">
        <f>IF('Net zero activities &amp; levers'!$C$14="Off",'Activity data'!AS64*ManureNEF*NtoN2O*kgtoGg,IF('Net zero activities &amp; levers'!$C$14="On",'Net zero Activity data'!AS64*ManureNEF*NtoN2O*kgtoGg,"ERROR"))</f>
        <v>0.19378713542621159</v>
      </c>
      <c r="AA1134" s="94">
        <f>IF('Net zero activities &amp; levers'!$C$14="Off",'Activity data'!AT64*ManureNEF*NtoN2O*kgtoGg,IF('Net zero activities &amp; levers'!$C$14="On",'Net zero Activity data'!AT64*ManureNEF*NtoN2O*kgtoGg,"ERROR"))</f>
        <v>0.19793608752558689</v>
      </c>
      <c r="AB1134" s="94">
        <f>IF('Net zero activities &amp; levers'!$C$14="Off",'Activity data'!AU64*ManureNEF*NtoN2O*kgtoGg,IF('Net zero activities &amp; levers'!$C$14="On",'Net zero Activity data'!AU64*ManureNEF*NtoN2O*kgtoGg,"ERROR"))</f>
        <v>0.20274560727871463</v>
      </c>
      <c r="AC1134" s="94">
        <f>IF('Net zero activities &amp; levers'!$C$14="Off",'Activity data'!AV64*ManureNEF*NtoN2O*kgtoGg,IF('Net zero activities &amp; levers'!$C$14="On",'Net zero Activity data'!AV64*ManureNEF*NtoN2O*kgtoGg,"ERROR"))</f>
        <v>0.2082010892393113</v>
      </c>
      <c r="AD1134" s="94">
        <f>IF('Net zero activities &amp; levers'!$C$14="Off",'Activity data'!AW64*ManureNEF*NtoN2O*kgtoGg,IF('Net zero activities &amp; levers'!$C$14="On",'Net zero Activity data'!AW64*ManureNEF*NtoN2O*kgtoGg,"ERROR"))</f>
        <v>0.21407047800501874</v>
      </c>
      <c r="AE1134" s="94">
        <f>IF('Net zero activities &amp; levers'!$C$14="Off",'Activity data'!AX64*ManureNEF*NtoN2O*kgtoGg,IF('Net zero activities &amp; levers'!$C$14="On",'Net zero Activity data'!AX64*ManureNEF*NtoN2O*kgtoGg,"ERROR"))</f>
        <v>0.22035285326760637</v>
      </c>
      <c r="AF1134" s="94">
        <f>IF('Net zero activities &amp; levers'!$C$14="Off",'Activity data'!AY64*ManureNEF*NtoN2O*kgtoGg,IF('Net zero activities &amp; levers'!$C$14="On",'Net zero Activity data'!AY64*ManureNEF*NtoN2O*kgtoGg,"ERROR"))</f>
        <v>0.22691830683757538</v>
      </c>
      <c r="AG1134" s="94">
        <f>IF('Net zero activities &amp; levers'!$C$14="Off",'Activity data'!AZ64*ManureNEF*NtoN2O*kgtoGg,IF('Net zero activities &amp; levers'!$C$14="On",'Net zero Activity data'!AZ64*ManureNEF*NtoN2O*kgtoGg,"ERROR"))</f>
        <v>0.23383349407065357</v>
      </c>
      <c r="AH1134" s="94">
        <f>IF('Net zero activities &amp; levers'!$C$14="Off",'Activity data'!BA64*ManureNEF*NtoN2O*kgtoGg,IF('Net zero activities &amp; levers'!$C$14="On",'Net zero Activity data'!BA64*ManureNEF*NtoN2O*kgtoGg,"ERROR"))</f>
        <v>0.24104032281254165</v>
      </c>
      <c r="AI1134" s="94">
        <f>IF('Net zero activities &amp; levers'!$C$14="Off",'Activity data'!BB64*ManureNEF*NtoN2O*kgtoGg,IF('Net zero activities &amp; levers'!$C$14="On",'Net zero Activity data'!BB64*ManureNEF*NtoN2O*kgtoGg,"ERROR"))</f>
        <v>0.24830078825991211</v>
      </c>
      <c r="AJ1134" s="94">
        <f>IF('Net zero activities &amp; levers'!$C$14="Off",'Activity data'!BC64*ManureNEF*NtoN2O*kgtoGg,IF('Net zero activities &amp; levers'!$C$14="On",'Net zero Activity data'!BC64*ManureNEF*NtoN2O*kgtoGg,"ERROR"))</f>
        <v>0.25596851329364728</v>
      </c>
      <c r="AK1134" s="94">
        <f>IF('Net zero activities &amp; levers'!$C$14="Off",'Activity data'!BD64*ManureNEF*NtoN2O*kgtoGg,IF('Net zero activities &amp; levers'!$C$14="On",'Net zero Activity data'!BD64*ManureNEF*NtoN2O*kgtoGg,"ERROR"))</f>
        <v>0.26381659798331969</v>
      </c>
      <c r="AL1134" s="94">
        <f>IF('Net zero activities &amp; levers'!$C$14="Off",'Activity data'!BE64*ManureNEF*NtoN2O*kgtoGg,IF('Net zero activities &amp; levers'!$C$14="On",'Net zero Activity data'!BE64*ManureNEF*NtoN2O*kgtoGg,"ERROR"))</f>
        <v>0.27182892851236273</v>
      </c>
      <c r="AM1134" s="94">
        <f>IF('Net zero activities &amp; levers'!$C$14="Off",'Activity data'!BF64*ManureNEF*NtoN2O*kgtoGg,IF('Net zero activities &amp; levers'!$C$14="On",'Net zero Activity data'!BF64*ManureNEF*NtoN2O*kgtoGg,"ERROR"))</f>
        <v>0.28011873521820613</v>
      </c>
      <c r="AN1134" s="94">
        <f>IF('Net zero activities &amp; levers'!$C$14="Off",'Activity data'!BG64*ManureNEF*NtoN2O*kgtoGg,IF('Net zero activities &amp; levers'!$C$14="On",'Net zero Activity data'!BG64*ManureNEF*NtoN2O*kgtoGg,"ERROR"))</f>
        <v>0.28841666797515925</v>
      </c>
      <c r="AO1134" s="94">
        <f>IF('Net zero activities &amp; levers'!$C$14="Off",'Activity data'!BH64*ManureNEF*NtoN2O*kgtoGg,IF('Net zero activities &amp; levers'!$C$14="On",'Net zero Activity data'!BH64*ManureNEF*NtoN2O*kgtoGg,"ERROR"))</f>
        <v>0.29710042873684378</v>
      </c>
      <c r="AP1134" s="94">
        <f>IF('Net zero activities &amp; levers'!$C$14="Off",'Activity data'!BI64*ManureNEF*NtoN2O*kgtoGg,IF('Net zero activities &amp; levers'!$C$14="On",'Net zero Activity data'!BI64*ManureNEF*NtoN2O*kgtoGg,"ERROR"))</f>
        <v>0.30631512135319056</v>
      </c>
      <c r="AQ1134" s="94">
        <f>IF('Net zero activities &amp; levers'!$C$14="Off",'Activity data'!BJ64*ManureNEF*NtoN2O*kgtoGg,IF('Net zero activities &amp; levers'!$C$14="On",'Net zero Activity data'!BJ64*ManureNEF*NtoN2O*kgtoGg,"ERROR"))</f>
        <v>0.31583438977210859</v>
      </c>
      <c r="AR1134" s="94">
        <f>IF('Net zero activities &amp; levers'!$C$14="Off",'Activity data'!BK64*ManureNEF*NtoN2O*kgtoGg,IF('Net zero activities &amp; levers'!$C$14="On",'Net zero Activity data'!BK64*ManureNEF*NtoN2O*kgtoGg,"ERROR"))</f>
        <v>0.32567682367490652</v>
      </c>
      <c r="AS1134" s="94">
        <f>IF('Net zero activities &amp; levers'!$C$14="Off",'Activity data'!BL64*ManureNEF*NtoN2O*kgtoGg,IF('Net zero activities &amp; levers'!$C$14="On",'Net zero Activity data'!BL64*ManureNEF*NtoN2O*kgtoGg,"ERROR"))</f>
        <v>0.33611496479516756</v>
      </c>
      <c r="AT1134" s="94">
        <f>IF('Net zero activities &amp; levers'!$C$14="Off",'Activity data'!BM64*ManureNEF*NtoN2O*kgtoGg,IF('Net zero activities &amp; levers'!$C$14="On",'Net zero Activity data'!BM64*ManureNEF*NtoN2O*kgtoGg,"ERROR"))</f>
        <v>0.34707529344515536</v>
      </c>
      <c r="AU1134" s="94">
        <f>IF('Net zero activities &amp; levers'!$C$14="Off",'Activity data'!BN64*ManureNEF*NtoN2O*kgtoGg,IF('Net zero activities &amp; levers'!$C$14="On",'Net zero Activity data'!BN64*ManureNEF*NtoN2O*kgtoGg,"ERROR"))</f>
        <v>0.35851078392222901</v>
      </c>
      <c r="AV1134" s="94">
        <f>IF('Net zero activities &amp; levers'!$C$14="Off",'Activity data'!BO64*ManureNEF*NtoN2O*kgtoGg,IF('Net zero activities &amp; levers'!$C$14="On",'Net zero Activity data'!BO64*ManureNEF*NtoN2O*kgtoGg,"ERROR"))</f>
        <v>0.37060965152650638</v>
      </c>
      <c r="AW1134" s="94">
        <f>IF('Net zero activities &amp; levers'!$C$14="Off",'Activity data'!BP64*ManureNEF*NtoN2O*kgtoGg,IF('Net zero activities &amp; levers'!$C$14="On",'Net zero Activity data'!BP64*ManureNEF*NtoN2O*kgtoGg,"ERROR"))</f>
        <v>0.38235584366830411</v>
      </c>
      <c r="AY1134" s="79"/>
    </row>
    <row r="1135" spans="1:51" x14ac:dyDescent="0.25">
      <c r="A1135" s="95" t="str">
        <f t="shared" si="374"/>
        <v>CM Organic</v>
      </c>
      <c r="B1135" s="95" t="s">
        <v>1321</v>
      </c>
      <c r="C1135" s="95" t="s">
        <v>1126</v>
      </c>
      <c r="D1135" t="s">
        <v>369</v>
      </c>
      <c r="E1135" t="s">
        <v>55</v>
      </c>
      <c r="F1135" t="s">
        <v>421</v>
      </c>
      <c r="G1135" t="s">
        <v>1181</v>
      </c>
      <c r="H1135" t="s">
        <v>1182</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0.81318534024672107</v>
      </c>
      <c r="N1135" s="94">
        <f>IF('Net zero activities &amp; levers'!$C$14="Off",'Activity data'!AG65*ManureNEF*NtoN2O*kgtoGg,IF('Net zero activities &amp; levers'!$C$14="On",'Net zero Activity data'!AG65*ManureNEF*NtoN2O*kgtoGg,"ERROR"))</f>
        <v>0.81796021384654038</v>
      </c>
      <c r="O1135" s="94">
        <f>IF('Net zero activities &amp; levers'!$C$14="Off",'Activity data'!AH65*ManureNEF*NtoN2O*kgtoGg,IF('Net zero activities &amp; levers'!$C$14="On",'Net zero Activity data'!AH65*ManureNEF*NtoN2O*kgtoGg,"ERROR"))</f>
        <v>0.81503229757580586</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0.79997057217510736</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0.6929945167812448</v>
      </c>
      <c r="T1135" s="94">
        <f>IF('Net zero activities &amp; levers'!$C$14="Off",'Activity data'!AM65*ManureNEF*NtoN2O*kgtoGg,IF('Net zero activities &amp; levers'!$C$14="On",'Net zero Activity data'!AM65*ManureNEF*NtoN2O*kgtoGg,"ERROR"))</f>
        <v>0.75569325830504319</v>
      </c>
      <c r="U1135" s="94">
        <f>IF('Net zero activities &amp; levers'!$C$14="Off",'Activity data'!AN65*ManureNEF*NtoN2O*kgtoGg,IF('Net zero activities &amp; levers'!$C$14="On",'Net zero Activity data'!AN65*ManureNEF*NtoN2O*kgtoGg,"ERROR"))</f>
        <v>0.78586192008020839</v>
      </c>
      <c r="V1135" s="94">
        <f>IF('Net zero activities &amp; levers'!$C$14="Off",'Activity data'!AO65*ManureNEF*NtoN2O*kgtoGg,IF('Net zero activities &amp; levers'!$C$14="On",'Net zero Activity data'!AO65*ManureNEF*NtoN2O*kgtoGg,"ERROR"))</f>
        <v>0.78963673487778696</v>
      </c>
      <c r="W1135" s="94">
        <f>IF('Net zero activities &amp; levers'!$C$14="Off",'Activity data'!AP65*ManureNEF*NtoN2O*kgtoGg,IF('Net zero activities &amp; levers'!$C$14="On",'Net zero Activity data'!AP65*ManureNEF*NtoN2O*kgtoGg,"ERROR"))</f>
        <v>0.79398832301737687</v>
      </c>
      <c r="X1135" s="94">
        <f>IF('Net zero activities &amp; levers'!$C$14="Off",'Activity data'!AQ65*ManureNEF*NtoN2O*kgtoGg,IF('Net zero activities &amp; levers'!$C$14="On",'Net zero Activity data'!AQ65*ManureNEF*NtoN2O*kgtoGg,"ERROR"))</f>
        <v>0.80502399258159163</v>
      </c>
      <c r="Y1135" s="94">
        <f>IF('Net zero activities &amp; levers'!$C$14="Off",'Activity data'!AR65*ManureNEF*NtoN2O*kgtoGg,IF('Net zero activities &amp; levers'!$C$14="On",'Net zero Activity data'!AR65*ManureNEF*NtoN2O*kgtoGg,"ERROR"))</f>
        <v>0.82319477266803398</v>
      </c>
      <c r="Z1135" s="94">
        <f>IF('Net zero activities &amp; levers'!$C$14="Off",'Activity data'!AS65*ManureNEF*NtoN2O*kgtoGg,IF('Net zero activities &amp; levers'!$C$14="On",'Net zero Activity data'!AS65*ManureNEF*NtoN2O*kgtoGg,"ERROR"))</f>
        <v>0.84493550271536799</v>
      </c>
      <c r="AA1135" s="94">
        <f>IF('Net zero activities &amp; levers'!$C$14="Off",'Activity data'!AT65*ManureNEF*NtoN2O*kgtoGg,IF('Net zero activities &amp; levers'!$C$14="On",'Net zero Activity data'!AT65*ManureNEF*NtoN2O*kgtoGg,"ERROR"))</f>
        <v>0.87120575605676209</v>
      </c>
      <c r="AB1135" s="94">
        <f>IF('Net zero activities &amp; levers'!$C$14="Off",'Activity data'!AU65*ManureNEF*NtoN2O*kgtoGg,IF('Net zero activities &amp; levers'!$C$14="On",'Net zero Activity data'!AU65*ManureNEF*NtoN2O*kgtoGg,"ERROR"))</f>
        <v>0.90492220164986781</v>
      </c>
      <c r="AC1135" s="94">
        <f>IF('Net zero activities &amp; levers'!$C$14="Off",'Activity data'!AV65*ManureNEF*NtoN2O*kgtoGg,IF('Net zero activities &amp; levers'!$C$14="On",'Net zero Activity data'!AV65*ManureNEF*NtoN2O*kgtoGg,"ERROR"))</f>
        <v>0.94570019320131005</v>
      </c>
      <c r="AD1135" s="94">
        <f>IF('Net zero activities &amp; levers'!$C$14="Off",'Activity data'!AW65*ManureNEF*NtoN2O*kgtoGg,IF('Net zero activities &amp; levers'!$C$14="On",'Net zero Activity data'!AW65*ManureNEF*NtoN2O*kgtoGg,"ERROR"))</f>
        <v>0.9908342510405731</v>
      </c>
      <c r="AE1135" s="94">
        <f>IF('Net zero activities &amp; levers'!$C$14="Off",'Activity data'!AX65*ManureNEF*NtoN2O*kgtoGg,IF('Net zero activities &amp; levers'!$C$14="On",'Net zero Activity data'!AX65*ManureNEF*NtoN2O*kgtoGg,"ERROR"))</f>
        <v>1.0401746402938727</v>
      </c>
      <c r="AF1135" s="94">
        <f>IF('Net zero activities &amp; levers'!$C$14="Off",'Activity data'!AY65*ManureNEF*NtoN2O*kgtoGg,IF('Net zero activities &amp; levers'!$C$14="On",'Net zero Activity data'!AY65*ManureNEF*NtoN2O*kgtoGg,"ERROR"))</f>
        <v>1.0922195176686915</v>
      </c>
      <c r="AG1135" s="94">
        <f>IF('Net zero activities &amp; levers'!$C$14="Off",'Activity data'!AZ65*ManureNEF*NtoN2O*kgtoGg,IF('Net zero activities &amp; levers'!$C$14="On",'Net zero Activity data'!AZ65*ManureNEF*NtoN2O*kgtoGg,"ERROR"))</f>
        <v>1.1476653338002605</v>
      </c>
      <c r="AH1135" s="94">
        <f>IF('Net zero activities &amp; levers'!$C$14="Off",'Activity data'!BA65*ManureNEF*NtoN2O*kgtoGg,IF('Net zero activities &amp; levers'!$C$14="On",'Net zero Activity data'!BA65*ManureNEF*NtoN2O*kgtoGg,"ERROR"))</f>
        <v>1.2058049098103554</v>
      </c>
      <c r="AI1135" s="94">
        <f>IF('Net zero activities &amp; levers'!$C$14="Off",'Activity data'!BB65*ManureNEF*NtoN2O*kgtoGg,IF('Net zero activities &amp; levers'!$C$14="On",'Net zero Activity data'!BB65*ManureNEF*NtoN2O*kgtoGg,"ERROR"))</f>
        <v>1.2640288398876942</v>
      </c>
      <c r="AJ1135" s="94">
        <f>IF('Net zero activities &amp; levers'!$C$14="Off",'Activity data'!BC65*ManureNEF*NtoN2O*kgtoGg,IF('Net zero activities &amp; levers'!$C$14="On",'Net zero Activity data'!BC65*ManureNEF*NtoN2O*kgtoGg,"ERROR"))</f>
        <v>1.3261031190213208</v>
      </c>
      <c r="AK1135" s="94">
        <f>IF('Net zero activities &amp; levers'!$C$14="Off",'Activity data'!BD65*ManureNEF*NtoN2O*kgtoGg,IF('Net zero activities &amp; levers'!$C$14="On",'Net zero Activity data'!BD65*ManureNEF*NtoN2O*kgtoGg,"ERROR"))</f>
        <v>1.3896418297181288</v>
      </c>
      <c r="AL1135" s="94">
        <f>IF('Net zero activities &amp; levers'!$C$14="Off",'Activity data'!BE65*ManureNEF*NtoN2O*kgtoGg,IF('Net zero activities &amp; levers'!$C$14="On",'Net zero Activity data'!BE65*ManureNEF*NtoN2O*kgtoGg,"ERROR"))</f>
        <v>1.4544565281623518</v>
      </c>
      <c r="AM1135" s="94">
        <f>IF('Net zero activities &amp; levers'!$C$14="Off",'Activity data'!BF65*ManureNEF*NtoN2O*kgtoGg,IF('Net zero activities &amp; levers'!$C$14="On",'Net zero Activity data'!BF65*ManureNEF*NtoN2O*kgtoGg,"ERROR"))</f>
        <v>1.521690334823528</v>
      </c>
      <c r="AN1135" s="94">
        <f>IF('Net zero activities &amp; levers'!$C$14="Off",'Activity data'!BG65*ManureNEF*NtoN2O*kgtoGg,IF('Net zero activities &amp; levers'!$C$14="On",'Net zero Activity data'!BG65*ManureNEF*NtoN2O*kgtoGg,"ERROR"))</f>
        <v>1.5885204638072115</v>
      </c>
      <c r="AO1135" s="94">
        <f>IF('Net zero activities &amp; levers'!$C$14="Off",'Activity data'!BH65*ManureNEF*NtoN2O*kgtoGg,IF('Net zero activities &amp; levers'!$C$14="On",'Net zero Activity data'!BH65*ManureNEF*NtoN2O*kgtoGg,"ERROR"))</f>
        <v>1.6588648682392355</v>
      </c>
      <c r="AP1135" s="94">
        <f>IF('Net zero activities &amp; levers'!$C$14="Off",'Activity data'!BI65*ManureNEF*NtoN2O*kgtoGg,IF('Net zero activities &amp; levers'!$C$14="On",'Net zero Activity data'!BI65*ManureNEF*NtoN2O*kgtoGg,"ERROR"))</f>
        <v>1.7341718158890906</v>
      </c>
      <c r="AQ1135" s="94">
        <f>IF('Net zero activities &amp; levers'!$C$14="Off",'Activity data'!BJ65*ManureNEF*NtoN2O*kgtoGg,IF('Net zero activities &amp; levers'!$C$14="On",'Net zero Activity data'!BJ65*ManureNEF*NtoN2O*kgtoGg,"ERROR"))</f>
        <v>1.812078309357211</v>
      </c>
      <c r="AR1135" s="94">
        <f>IF('Net zero activities &amp; levers'!$C$14="Off",'Activity data'!BK65*ManureNEF*NtoN2O*kgtoGg,IF('Net zero activities &amp; levers'!$C$14="On",'Net zero Activity data'!BK65*ManureNEF*NtoN2O*kgtoGg,"ERROR"))</f>
        <v>1.8927662707454833</v>
      </c>
      <c r="AS1135" s="94">
        <f>IF('Net zero activities &amp; levers'!$C$14="Off",'Activity data'!BL65*ManureNEF*NtoN2O*kgtoGg,IF('Net zero activities &amp; levers'!$C$14="On",'Net zero Activity data'!BL65*ManureNEF*NtoN2O*kgtoGg,"ERROR"))</f>
        <v>1.9789566108434027</v>
      </c>
      <c r="AT1135" s="94">
        <f>IF('Net zero activities &amp; levers'!$C$14="Off",'Activity data'!BM65*ManureNEF*NtoN2O*kgtoGg,IF('Net zero activities &amp; levers'!$C$14="On",'Net zero Activity data'!BM65*ManureNEF*NtoN2O*kgtoGg,"ERROR"))</f>
        <v>2.0698402438653445</v>
      </c>
      <c r="AU1135" s="94">
        <f>IF('Net zero activities &amp; levers'!$C$14="Off",'Activity data'!BN65*ManureNEF*NtoN2O*kgtoGg,IF('Net zero activities &amp; levers'!$C$14="On",'Net zero Activity data'!BN65*ManureNEF*NtoN2O*kgtoGg,"ERROR"))</f>
        <v>2.1648797356645511</v>
      </c>
      <c r="AV1135" s="94">
        <f>IF('Net zero activities &amp; levers'!$C$14="Off",'Activity data'!BO65*ManureNEF*NtoN2O*kgtoGg,IF('Net zero activities &amp; levers'!$C$14="On",'Net zero Activity data'!BO65*ManureNEF*NtoN2O*kgtoGg,"ERROR"))</f>
        <v>2.2658660016789853</v>
      </c>
      <c r="AW1135" s="94">
        <f>IF('Net zero activities &amp; levers'!$C$14="Off",'Activity data'!BP65*ManureNEF*NtoN2O*kgtoGg,IF('Net zero activities &amp; levers'!$C$14="On",'Net zero Activity data'!BP65*ManureNEF*NtoN2O*kgtoGg,"ERROR"))</f>
        <v>2.3628024258404521</v>
      </c>
      <c r="AY1135" s="79"/>
    </row>
    <row r="1136" spans="1:51" x14ac:dyDescent="0.25">
      <c r="A1136" s="95" t="str">
        <f t="shared" si="374"/>
        <v>CM U&amp;D</v>
      </c>
      <c r="B1136" s="95" t="s">
        <v>1321</v>
      </c>
      <c r="C1136" s="95" t="s">
        <v>1335</v>
      </c>
      <c r="D1136" t="s">
        <v>369</v>
      </c>
      <c r="E1136" t="s">
        <v>55</v>
      </c>
      <c r="F1136" t="s">
        <v>422</v>
      </c>
      <c r="G1136" t="s">
        <v>1151</v>
      </c>
      <c r="H1136" t="s">
        <v>1239</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5">
      <c r="A1137" s="95" t="str">
        <f t="shared" si="374"/>
        <v>CM U&amp;D</v>
      </c>
      <c r="B1137" s="95" t="s">
        <v>1321</v>
      </c>
      <c r="C1137" s="95" t="s">
        <v>1335</v>
      </c>
      <c r="D1137" t="s">
        <v>369</v>
      </c>
      <c r="E1137" t="s">
        <v>55</v>
      </c>
      <c r="F1137" t="s">
        <v>422</v>
      </c>
      <c r="G1137" t="s">
        <v>1153</v>
      </c>
      <c r="H1137" t="s">
        <v>1240</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1.0793644035028189</v>
      </c>
      <c r="T1137" s="94">
        <f>IF('Net zero activities &amp; levers'!$C$14="Off",'Activity data'!AM67*UDCPPEF*NtoN2O*kgtoGg,IF('Net zero activities &amp; levers'!$C$14="On",'Net zero Activity data'!AM67*UDCPPEF*NtoN2O*kgtoGg,"ERROR"))</f>
        <v>1.1011309234167481</v>
      </c>
      <c r="U1137" s="94">
        <f>IF('Net zero activities &amp; levers'!$C$14="Off",'Activity data'!AN67*UDCPPEF*NtoN2O*kgtoGg,IF('Net zero activities &amp; levers'!$C$14="On",'Net zero Activity data'!AN67*UDCPPEF*NtoN2O*kgtoGg,"ERROR"))</f>
        <v>1.1119360252245196</v>
      </c>
      <c r="V1137" s="94">
        <f>IF('Net zero activities &amp; levers'!$C$14="Off",'Activity data'!AO67*UDCPPEF*NtoN2O*kgtoGg,IF('Net zero activities &amp; levers'!$C$14="On",'Net zero Activity data'!AO67*UDCPPEF*NtoN2O*kgtoGg,"ERROR"))</f>
        <v>1.1147578792291293</v>
      </c>
      <c r="W1137" s="94">
        <f>IF('Net zero activities &amp; levers'!$C$14="Off",'Activity data'!AP67*UDCPPEF*NtoN2O*kgtoGg,IF('Net zero activities &amp; levers'!$C$14="On",'Net zero Activity data'!AP67*UDCPPEF*NtoN2O*kgtoGg,"ERROR"))</f>
        <v>1.1187702241985282</v>
      </c>
      <c r="X1137" s="94">
        <f>IF('Net zero activities &amp; levers'!$C$14="Off",'Activity data'!AQ67*UDCPPEF*NtoN2O*kgtoGg,IF('Net zero activities &amp; levers'!$C$14="On",'Net zero Activity data'!AQ67*UDCPPEF*NtoN2O*kgtoGg,"ERROR"))</f>
        <v>1.1255029693063063</v>
      </c>
      <c r="Y1137" s="94">
        <f>IF('Net zero activities &amp; levers'!$C$14="Off",'Activity data'!AR67*UDCPPEF*NtoN2O*kgtoGg,IF('Net zero activities &amp; levers'!$C$14="On",'Net zero Activity data'!AR67*UDCPPEF*NtoN2O*kgtoGg,"ERROR"))</f>
        <v>1.1343971625372145</v>
      </c>
      <c r="Z1137" s="94">
        <f>IF('Net zero activities &amp; levers'!$C$14="Off",'Activity data'!AS67*UDCPPEF*NtoN2O*kgtoGg,IF('Net zero activities &amp; levers'!$C$14="On",'Net zero Activity data'!AS67*UDCPPEF*NtoN2O*kgtoGg,"ERROR"))</f>
        <v>1.1443552033124911</v>
      </c>
      <c r="AA1137" s="94">
        <f>IF('Net zero activities &amp; levers'!$C$14="Off",'Activity data'!AT67*UDCPPEF*NtoN2O*kgtoGg,IF('Net zero activities &amp; levers'!$C$14="On",'Net zero Activity data'!AT67*UDCPPEF*NtoN2O*kgtoGg,"ERROR"))</f>
        <v>1.1556907140958508</v>
      </c>
      <c r="AB1137" s="94">
        <f>IF('Net zero activities &amp; levers'!$C$14="Off",'Activity data'!AU67*UDCPPEF*NtoN2O*kgtoGg,IF('Net zero activities &amp; levers'!$C$14="On",'Net zero Activity data'!AU67*UDCPPEF*NtoN2O*kgtoGg,"ERROR"))</f>
        <v>1.1693756036758489</v>
      </c>
      <c r="AC1137" s="94">
        <f>IF('Net zero activities &amp; levers'!$C$14="Off",'Activity data'!AV67*UDCPPEF*NtoN2O*kgtoGg,IF('Net zero activities &amp; levers'!$C$14="On",'Net zero Activity data'!AV67*UDCPPEF*NtoN2O*kgtoGg,"ERROR"))</f>
        <v>1.1853303744222352</v>
      </c>
      <c r="AD1137" s="94">
        <f>IF('Net zero activities &amp; levers'!$C$14="Off",'Activity data'!AW67*UDCPPEF*NtoN2O*kgtoGg,IF('Net zero activities &amp; levers'!$C$14="On",'Net zero Activity data'!AW67*UDCPPEF*NtoN2O*kgtoGg,"ERROR"))</f>
        <v>1.202695771968407</v>
      </c>
      <c r="AE1137" s="94">
        <f>IF('Net zero activities &amp; levers'!$C$14="Off",'Activity data'!AX67*UDCPPEF*NtoN2O*kgtoGg,IF('Net zero activities &amp; levers'!$C$14="On",'Net zero Activity data'!AX67*UDCPPEF*NtoN2O*kgtoGg,"ERROR"))</f>
        <v>1.2214561017242225</v>
      </c>
      <c r="AF1137" s="94">
        <f>IF('Net zero activities &amp; levers'!$C$14="Off",'Activity data'!AY67*UDCPPEF*NtoN2O*kgtoGg,IF('Net zero activities &amp; levers'!$C$14="On",'Net zero Activity data'!AY67*UDCPPEF*NtoN2O*kgtoGg,"ERROR"))</f>
        <v>1.2411353009439861</v>
      </c>
      <c r="AG1137" s="94">
        <f>IF('Net zero activities &amp; levers'!$C$14="Off",'Activity data'!AZ67*UDCPPEF*NtoN2O*kgtoGg,IF('Net zero activities &amp; levers'!$C$14="On",'Net zero Activity data'!AZ67*UDCPPEF*NtoN2O*kgtoGg,"ERROR"))</f>
        <v>1.2619534777795529</v>
      </c>
      <c r="AH1137" s="94">
        <f>IF('Net zero activities &amp; levers'!$C$14="Off",'Activity data'!BA67*UDCPPEF*NtoN2O*kgtoGg,IF('Net zero activities &amp; levers'!$C$14="On",'Net zero Activity data'!BA67*UDCPPEF*NtoN2O*kgtoGg,"ERROR"))</f>
        <v>1.2836965756368759</v>
      </c>
      <c r="AI1137" s="94">
        <f>IF('Net zero activities &amp; levers'!$C$14="Off",'Activity data'!BB67*UDCPPEF*NtoN2O*kgtoGg,IF('Net zero activities &amp; levers'!$C$14="On",'Net zero Activity data'!BB67*UDCPPEF*NtoN2O*kgtoGg,"ERROR"))</f>
        <v>1.3055267417806069</v>
      </c>
      <c r="AJ1137" s="94">
        <f>IF('Net zero activities &amp; levers'!$C$14="Off",'Activity data'!BC67*UDCPPEF*NtoN2O*kgtoGg,IF('Net zero activities &amp; levers'!$C$14="On",'Net zero Activity data'!BC67*UDCPPEF*NtoN2O*kgtoGg,"ERROR"))</f>
        <v>1.3286718687824415</v>
      </c>
      <c r="AK1137" s="94">
        <f>IF('Net zero activities &amp; levers'!$C$14="Off",'Activity data'!BD67*UDCPPEF*NtoN2O*kgtoGg,IF('Net zero activities &amp; levers'!$C$14="On",'Net zero Activity data'!BD67*UDCPPEF*NtoN2O*kgtoGg,"ERROR"))</f>
        <v>1.3523228735789439</v>
      </c>
      <c r="AL1137" s="94">
        <f>IF('Net zero activities &amp; levers'!$C$14="Off",'Activity data'!BE67*UDCPPEF*NtoN2O*kgtoGg,IF('Net zero activities &amp; levers'!$C$14="On",'Net zero Activity data'!BE67*UDCPPEF*NtoN2O*kgtoGg,"ERROR"))</f>
        <v>1.3764196040319214</v>
      </c>
      <c r="AM1137" s="94">
        <f>IF('Net zero activities &amp; levers'!$C$14="Off",'Activity data'!BF67*UDCPPEF*NtoN2O*kgtoGg,IF('Net zero activities &amp; levers'!$C$14="On",'Net zero Activity data'!BF67*UDCPPEF*NtoN2O*kgtoGg,"ERROR"))</f>
        <v>1.4013502875110349</v>
      </c>
      <c r="AN1137" s="94">
        <f>IF('Net zero activities &amp; levers'!$C$14="Off",'Activity data'!BG67*UDCPPEF*NtoN2O*kgtoGg,IF('Net zero activities &amp; levers'!$C$14="On",'Net zero Activity data'!BG67*UDCPPEF*NtoN2O*kgtoGg,"ERROR"))</f>
        <v>1.4261842268183196</v>
      </c>
      <c r="AO1137" s="94">
        <f>IF('Net zero activities &amp; levers'!$C$14="Off",'Activity data'!BH67*UDCPPEF*NtoN2O*kgtoGg,IF('Net zero activities &amp; levers'!$C$14="On",'Net zero Activity data'!BH67*UDCPPEF*NtoN2O*kgtoGg,"ERROR"))</f>
        <v>1.4522110683153209</v>
      </c>
      <c r="AP1137" s="94">
        <f>IF('Net zero activities &amp; levers'!$C$14="Off",'Activity data'!BI67*UDCPPEF*NtoN2O*kgtoGg,IF('Net zero activities &amp; levers'!$C$14="On",'Net zero Activity data'!BI67*UDCPPEF*NtoN2O*kgtoGg,"ERROR"))</f>
        <v>1.4799113366388263</v>
      </c>
      <c r="AQ1137" s="94">
        <f>IF('Net zero activities &amp; levers'!$C$14="Off",'Activity data'!BJ67*UDCPPEF*NtoN2O*kgtoGg,IF('Net zero activities &amp; levers'!$C$14="On",'Net zero Activity data'!BJ67*UDCPPEF*NtoN2O*kgtoGg,"ERROR"))</f>
        <v>1.5084997172355739</v>
      </c>
      <c r="AR1137" s="94">
        <f>IF('Net zero activities &amp; levers'!$C$14="Off",'Activity data'!BK67*UDCPPEF*NtoN2O*kgtoGg,IF('Net zero activities &amp; levers'!$C$14="On",'Net zero Activity data'!BK67*UDCPPEF*NtoN2O*kgtoGg,"ERROR"))</f>
        <v>1.538027931051154</v>
      </c>
      <c r="AS1137" s="94">
        <f>IF('Net zero activities &amp; levers'!$C$14="Off",'Activity data'!BL67*UDCPPEF*NtoN2O*kgtoGg,IF('Net zero activities &amp; levers'!$C$14="On",'Net zero Activity data'!BL67*UDCPPEF*NtoN2O*kgtoGg,"ERROR"))</f>
        <v>1.5694046317393286</v>
      </c>
      <c r="AT1137" s="94">
        <f>IF('Net zero activities &amp; levers'!$C$14="Off",'Activity data'!BM67*UDCPPEF*NtoN2O*kgtoGg,IF('Net zero activities &amp; levers'!$C$14="On",'Net zero Activity data'!BM67*UDCPPEF*NtoN2O*kgtoGg,"ERROR"))</f>
        <v>1.602365939528593</v>
      </c>
      <c r="AU1137" s="94">
        <f>IF('Net zero activities &amp; levers'!$C$14="Off",'Activity data'!BN67*UDCPPEF*NtoN2O*kgtoGg,IF('Net zero activities &amp; levers'!$C$14="On",'Net zero Activity data'!BN67*UDCPPEF*NtoN2O*kgtoGg,"ERROR"))</f>
        <v>1.6367417968061735</v>
      </c>
      <c r="AV1137" s="94">
        <f>IF('Net zero activities &amp; levers'!$C$14="Off",'Activity data'!BO67*UDCPPEF*NtoN2O*kgtoGg,IF('Net zero activities &amp; levers'!$C$14="On",'Net zero Activity data'!BO67*UDCPPEF*NtoN2O*kgtoGg,"ERROR"))</f>
        <v>1.673151630600247</v>
      </c>
      <c r="AW1137" s="94">
        <f>IF('Net zero activities &amp; levers'!$C$14="Off",'Activity data'!BP67*UDCPPEF*NtoN2O*kgtoGg,IF('Net zero activities &amp; levers'!$C$14="On",'Net zero Activity data'!BP67*UDCPPEF*NtoN2O*kgtoGg,"ERROR"))</f>
        <v>1.7081846028232541</v>
      </c>
      <c r="AY1137" s="79"/>
    </row>
    <row r="1138" spans="1:51" x14ac:dyDescent="0.25">
      <c r="A1138" s="95" t="str">
        <f t="shared" si="374"/>
        <v>CM U&amp;D</v>
      </c>
      <c r="B1138" s="95" t="s">
        <v>1321</v>
      </c>
      <c r="C1138" s="95" t="s">
        <v>1335</v>
      </c>
      <c r="D1138" t="s">
        <v>369</v>
      </c>
      <c r="E1138" t="s">
        <v>55</v>
      </c>
      <c r="F1138" t="s">
        <v>422</v>
      </c>
      <c r="G1138" t="s">
        <v>1155</v>
      </c>
      <c r="H1138" t="s">
        <v>1241</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0.73505454389139269</v>
      </c>
      <c r="T1138" s="94">
        <f>IF('Net zero activities &amp; levers'!$C$14="Off",'Activity data'!AM68*UDCPPEF*NtoN2O*kgtoGg,IF('Net zero activities &amp; levers'!$C$14="On",'Net zero Activity data'!AM68*UDCPPEF*NtoN2O*kgtoGg,"ERROR"))</f>
        <v>0.74987769288121808</v>
      </c>
      <c r="U1138" s="94">
        <f>IF('Net zero activities &amp; levers'!$C$14="Off",'Activity data'!AN68*UDCPPEF*NtoN2O*kgtoGg,IF('Net zero activities &amp; levers'!$C$14="On",'Net zero Activity data'!AN68*UDCPPEF*NtoN2O*kgtoGg,"ERROR"))</f>
        <v>0.75723604114176524</v>
      </c>
      <c r="V1138" s="94">
        <f>IF('Net zero activities &amp; levers'!$C$14="Off",'Activity data'!AO68*UDCPPEF*NtoN2O*kgtoGg,IF('Net zero activities &amp; levers'!$C$14="On",'Net zero Activity data'!AO68*UDCPPEF*NtoN2O*kgtoGg,"ERROR"))</f>
        <v>0.75915774302627725</v>
      </c>
      <c r="W1138" s="94">
        <f>IF('Net zero activities &amp; levers'!$C$14="Off",'Activity data'!AP68*UDCPPEF*NtoN2O*kgtoGg,IF('Net zero activities &amp; levers'!$C$14="On",'Net zero Activity data'!AP68*UDCPPEF*NtoN2O*kgtoGg,"ERROR"))</f>
        <v>0.76189017740325427</v>
      </c>
      <c r="X1138" s="94">
        <f>IF('Net zero activities &amp; levers'!$C$14="Off",'Activity data'!AQ68*UDCPPEF*NtoN2O*kgtoGg,IF('Net zero activities &amp; levers'!$C$14="On",'Net zero Activity data'!AQ68*UDCPPEF*NtoN2O*kgtoGg,"ERROR"))</f>
        <v>0.7664752228876841</v>
      </c>
      <c r="Y1138" s="94">
        <f>IF('Net zero activities &amp; levers'!$C$14="Off",'Activity data'!AR68*UDCPPEF*NtoN2O*kgtoGg,IF('Net zero activities &amp; levers'!$C$14="On",'Net zero Activity data'!AR68*UDCPPEF*NtoN2O*kgtoGg,"ERROR"))</f>
        <v>0.77253222933278298</v>
      </c>
      <c r="Z1138" s="94">
        <f>IF('Net zero activities &amp; levers'!$C$14="Off",'Activity data'!AS68*UDCPPEF*NtoN2O*kgtoGg,IF('Net zero activities &amp; levers'!$C$14="On",'Net zero Activity data'!AS68*UDCPPEF*NtoN2O*kgtoGg,"ERROR"))</f>
        <v>0.77931372323453529</v>
      </c>
      <c r="AA1138" s="94">
        <f>IF('Net zero activities &amp; levers'!$C$14="Off",'Activity data'!AT68*UDCPPEF*NtoN2O*kgtoGg,IF('Net zero activities &amp; levers'!$C$14="On",'Net zero Activity data'!AT68*UDCPPEF*NtoN2O*kgtoGg,"ERROR"))</f>
        <v>0.78703328363656277</v>
      </c>
      <c r="AB1138" s="94">
        <f>IF('Net zero activities &amp; levers'!$C$14="Off",'Activity data'!AU68*UDCPPEF*NtoN2O*kgtoGg,IF('Net zero activities &amp; levers'!$C$14="On",'Net zero Activity data'!AU68*UDCPPEF*NtoN2O*kgtoGg,"ERROR"))</f>
        <v>0.79635278707375712</v>
      </c>
      <c r="AC1138" s="94">
        <f>IF('Net zero activities &amp; levers'!$C$14="Off",'Activity data'!AV68*UDCPPEF*NtoN2O*kgtoGg,IF('Net zero activities &amp; levers'!$C$14="On",'Net zero Activity data'!AV68*UDCPPEF*NtoN2O*kgtoGg,"ERROR"))</f>
        <v>0.80721809511598763</v>
      </c>
      <c r="AD1138" s="94">
        <f>IF('Net zero activities &amp; levers'!$C$14="Off",'Activity data'!AW68*UDCPPEF*NtoN2O*kgtoGg,IF('Net zero activities &amp; levers'!$C$14="On",'Net zero Activity data'!AW68*UDCPPEF*NtoN2O*kgtoGg,"ERROR"))</f>
        <v>0.81904404966050492</v>
      </c>
      <c r="AE1138" s="94">
        <f>IF('Net zero activities &amp; levers'!$C$14="Off",'Activity data'!AX68*UDCPPEF*NtoN2O*kgtoGg,IF('Net zero activities &amp; levers'!$C$14="On",'Net zero Activity data'!AX68*UDCPPEF*NtoN2O*kgtoGg,"ERROR"))</f>
        <v>0.83181996258403779</v>
      </c>
      <c r="AF1138" s="94">
        <f>IF('Net zero activities &amp; levers'!$C$14="Off",'Activity data'!AY68*UDCPPEF*NtoN2O*kgtoGg,IF('Net zero activities &amp; levers'!$C$14="On",'Net zero Activity data'!AY68*UDCPPEF*NtoN2O*kgtoGg,"ERROR"))</f>
        <v>0.8452216318995045</v>
      </c>
      <c r="AG1138" s="94">
        <f>IF('Net zero activities &amp; levers'!$C$14="Off",'Activity data'!AZ68*UDCPPEF*NtoN2O*kgtoGg,IF('Net zero activities &amp; levers'!$C$14="On",'Net zero Activity data'!AZ68*UDCPPEF*NtoN2O*kgtoGg,"ERROR"))</f>
        <v>0.85939895276431877</v>
      </c>
      <c r="AH1138" s="94">
        <f>IF('Net zero activities &amp; levers'!$C$14="Off",'Activity data'!BA68*UDCPPEF*NtoN2O*kgtoGg,IF('Net zero activities &amp; levers'!$C$14="On",'Net zero Activity data'!BA68*UDCPPEF*NtoN2O*kgtoGg,"ERROR"))</f>
        <v>0.87420615117333955</v>
      </c>
      <c r="AI1138" s="94">
        <f>IF('Net zero activities &amp; levers'!$C$14="Off",'Activity data'!BB68*UDCPPEF*NtoN2O*kgtoGg,IF('Net zero activities &amp; levers'!$C$14="On",'Net zero Activity data'!BB68*UDCPPEF*NtoN2O*kgtoGg,"ERROR"))</f>
        <v>0.88907264368113259</v>
      </c>
      <c r="AJ1138" s="94">
        <f>IF('Net zero activities &amp; levers'!$C$14="Off",'Activity data'!BC68*UDCPPEF*NtoN2O*kgtoGg,IF('Net zero activities &amp; levers'!$C$14="On",'Net zero Activity data'!BC68*UDCPPEF*NtoN2O*kgtoGg,"ERROR"))</f>
        <v>0.90483463353037208</v>
      </c>
      <c r="AK1138" s="94">
        <f>IF('Net zero activities &amp; levers'!$C$14="Off",'Activity data'!BD68*UDCPPEF*NtoN2O*kgtoGg,IF('Net zero activities &amp; levers'!$C$14="On",'Net zero Activity data'!BD68*UDCPPEF*NtoN2O*kgtoGg,"ERROR"))</f>
        <v>0.92094112961904073</v>
      </c>
      <c r="AL1138" s="94">
        <f>IF('Net zero activities &amp; levers'!$C$14="Off",'Activity data'!BE68*UDCPPEF*NtoN2O*kgtoGg,IF('Net zero activities &amp; levers'!$C$14="On",'Net zero Activity data'!BE68*UDCPPEF*NtoN2O*kgtoGg,"ERROR"))</f>
        <v>0.93735116792946294</v>
      </c>
      <c r="AM1138" s="94">
        <f>IF('Net zero activities &amp; levers'!$C$14="Off",'Activity data'!BF68*UDCPPEF*NtoN2O*kgtoGg,IF('Net zero activities &amp; levers'!$C$14="On",'Net zero Activity data'!BF68*UDCPPEF*NtoN2O*kgtoGg,"ERROR"))</f>
        <v>0.9543291339566633</v>
      </c>
      <c r="AN1138" s="94">
        <f>IF('Net zero activities &amp; levers'!$C$14="Off",'Activity data'!BG68*UDCPPEF*NtoN2O*kgtoGg,IF('Net zero activities &amp; levers'!$C$14="On",'Net zero Activity data'!BG68*UDCPPEF*NtoN2O*kgtoGg,"ERROR"))</f>
        <v>0.97124121654091655</v>
      </c>
      <c r="AO1138" s="94">
        <f>IF('Net zero activities &amp; levers'!$C$14="Off",'Activity data'!BH68*UDCPPEF*NtoN2O*kgtoGg,IF('Net zero activities &amp; levers'!$C$14="On",'Net zero Activity data'!BH68*UDCPPEF*NtoN2O*kgtoGg,"ERROR"))</f>
        <v>0.98896567367830823</v>
      </c>
      <c r="AP1138" s="94">
        <f>IF('Net zero activities &amp; levers'!$C$14="Off",'Activity data'!BI68*UDCPPEF*NtoN2O*kgtoGg,IF('Net zero activities &amp; levers'!$C$14="On",'Net zero Activity data'!BI68*UDCPPEF*NtoN2O*kgtoGg,"ERROR"))</f>
        <v>1.0078297459342822</v>
      </c>
      <c r="AQ1138" s="94">
        <f>IF('Net zero activities &amp; levers'!$C$14="Off",'Activity data'!BJ68*UDCPPEF*NtoN2O*kgtoGg,IF('Net zero activities &amp; levers'!$C$14="On",'Net zero Activity data'!BJ68*UDCPPEF*NtoN2O*kgtoGg,"ERROR"))</f>
        <v>1.0272986287248762</v>
      </c>
      <c r="AR1138" s="94">
        <f>IF('Net zero activities &amp; levers'!$C$14="Off",'Activity data'!BK68*UDCPPEF*NtoN2O*kgtoGg,IF('Net zero activities &amp; levers'!$C$14="On",'Net zero Activity data'!BK68*UDCPPEF*NtoN2O*kgtoGg,"ERROR"))</f>
        <v>1.0474075443679165</v>
      </c>
      <c r="AS1138" s="94">
        <f>IF('Net zero activities &amp; levers'!$C$14="Off",'Activity data'!BL68*UDCPPEF*NtoN2O*kgtoGg,IF('Net zero activities &amp; levers'!$C$14="On",'Net zero Activity data'!BL68*UDCPPEF*NtoN2O*kgtoGg,"ERROR"))</f>
        <v>1.068775292218703</v>
      </c>
      <c r="AT1138" s="94">
        <f>IF('Net zero activities &amp; levers'!$C$14="Off",'Activity data'!BM68*UDCPPEF*NtoN2O*kgtoGg,IF('Net zero activities &amp; levers'!$C$14="On",'Net zero Activity data'!BM68*UDCPPEF*NtoN2O*kgtoGg,"ERROR"))</f>
        <v>1.0912221683473529</v>
      </c>
      <c r="AU1138" s="94">
        <f>IF('Net zero activities &amp; levers'!$C$14="Off",'Activity data'!BN68*UDCPPEF*NtoN2O*kgtoGg,IF('Net zero activities &amp; levers'!$C$14="On",'Net zero Activity data'!BN68*UDCPPEF*NtoN2O*kgtoGg,"ERROR"))</f>
        <v>1.1146323623560173</v>
      </c>
      <c r="AV1138" s="94">
        <f>IF('Net zero activities &amp; levers'!$C$14="Off",'Activity data'!BO68*UDCPPEF*NtoN2O*kgtoGg,IF('Net zero activities &amp; levers'!$C$14="On",'Net zero Activity data'!BO68*UDCPPEF*NtoN2O*kgtoGg,"ERROR"))</f>
        <v>1.1394277082890591</v>
      </c>
      <c r="AW1138" s="94">
        <f>IF('Net zero activities &amp; levers'!$C$14="Off",'Activity data'!BP68*UDCPPEF*NtoN2O*kgtoGg,IF('Net zero activities &amp; levers'!$C$14="On",'Net zero Activity data'!BP68*UDCPPEF*NtoN2O*kgtoGg,"ERROR"))</f>
        <v>1.1632854020715975</v>
      </c>
      <c r="AY1138" s="79"/>
    </row>
    <row r="1139" spans="1:51" x14ac:dyDescent="0.25">
      <c r="A1139" s="95" t="str">
        <f t="shared" si="374"/>
        <v>CM U&amp;D</v>
      </c>
      <c r="B1139" s="95" t="s">
        <v>1321</v>
      </c>
      <c r="C1139" s="95" t="s">
        <v>1335</v>
      </c>
      <c r="D1139" t="s">
        <v>369</v>
      </c>
      <c r="E1139" t="s">
        <v>55</v>
      </c>
      <c r="F1139" t="s">
        <v>422</v>
      </c>
      <c r="G1139" t="s">
        <v>1157</v>
      </c>
      <c r="H1139" t="s">
        <v>1242</v>
      </c>
      <c r="I1139" t="s">
        <v>139</v>
      </c>
      <c r="J1139" t="s">
        <v>287</v>
      </c>
      <c r="K1139" s="94">
        <f>IF('Net zero activities &amp; levers'!$C$14="Off",'Activity data'!AD69*UDCPPEF*NtoN2O*kgtoGg,IF('Net zero activities &amp; levers'!$C$14="On",'Net zero Activity data'!AD69*UDCPPEF*NtoN2O*kgtoGg,"ERROR"))</f>
        <v>15.353527292296837</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15.169682504177882</v>
      </c>
      <c r="N1139" s="94">
        <f>IF('Net zero activities &amp; levers'!$C$14="Off",'Activity data'!AG69*UDCPPEF*NtoN2O*kgtoGg,IF('Net zero activities &amp; levers'!$C$14="On",'Net zero Activity data'!AG69*UDCPPEF*NtoN2O*kgtoGg,"ERROR"))</f>
        <v>14.967111251021189</v>
      </c>
      <c r="O1139" s="94">
        <f>IF('Net zero activities &amp; levers'!$C$14="Off",'Activity data'!AH69*UDCPPEF*NtoN2O*kgtoGg,IF('Net zero activities &amp; levers'!$C$14="On",'Net zero Activity data'!AH69*UDCPPEF*NtoN2O*kgtoGg,"ERROR"))</f>
        <v>14.673074129931946</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12.243525743929849</v>
      </c>
      <c r="T1139" s="94">
        <f>IF('Net zero activities &amp; levers'!$C$14="Off",'Activity data'!AM69*UDCPPEF*NtoN2O*kgtoGg,IF('Net zero activities &amp; levers'!$C$14="On",'Net zero Activity data'!AM69*UDCPPEF*NtoN2O*kgtoGg,"ERROR"))</f>
        <v>12.828892404772391</v>
      </c>
      <c r="U1139" s="94">
        <f>IF('Net zero activities &amp; levers'!$C$14="Off",'Activity data'!AN69*UDCPPEF*NtoN2O*kgtoGg,IF('Net zero activities &amp; levers'!$C$14="On",'Net zero Activity data'!AN69*UDCPPEF*NtoN2O*kgtoGg,"ERROR"))</f>
        <v>13.031546455407888</v>
      </c>
      <c r="V1139" s="94">
        <f>IF('Net zero activities &amp; levers'!$C$14="Off",'Activity data'!AO69*UDCPPEF*NtoN2O*kgtoGg,IF('Net zero activities &amp; levers'!$C$14="On",'Net zero Activity data'!AO69*UDCPPEF*NtoN2O*kgtoGg,"ERROR"))</f>
        <v>12.943540859671467</v>
      </c>
      <c r="W1139" s="94">
        <f>IF('Net zero activities &amp; levers'!$C$14="Off",'Activity data'!AP69*UDCPPEF*NtoN2O*kgtoGg,IF('Net zero activities &amp; levers'!$C$14="On",'Net zero Activity data'!AP69*UDCPPEF*NtoN2O*kgtoGg,"ERROR"))</f>
        <v>12.871954504278984</v>
      </c>
      <c r="X1139" s="94">
        <f>IF('Net zero activities &amp; levers'!$C$14="Off",'Activity data'!AQ69*UDCPPEF*NtoN2O*kgtoGg,IF('Net zero activities &amp; levers'!$C$14="On",'Net zero Activity data'!AQ69*UDCPPEF*NtoN2O*kgtoGg,"ERROR"))</f>
        <v>12.876656938031642</v>
      </c>
      <c r="Y1139" s="94">
        <f>IF('Net zero activities &amp; levers'!$C$14="Off",'Activity data'!AR69*UDCPPEF*NtoN2O*kgtoGg,IF('Net zero activities &amp; levers'!$C$14="On",'Net zero Activity data'!AR69*UDCPPEF*NtoN2O*kgtoGg,"ERROR"))</f>
        <v>12.952269652428015</v>
      </c>
      <c r="Z1139" s="94">
        <f>IF('Net zero activities &amp; levers'!$C$14="Off",'Activity data'!AS69*UDCPPEF*NtoN2O*kgtoGg,IF('Net zero activities &amp; levers'!$C$14="On",'Net zero Activity data'!AS69*UDCPPEF*NtoN2O*kgtoGg,"ERROR"))</f>
        <v>13.059558904717129</v>
      </c>
      <c r="AA1139" s="94">
        <f>IF('Net zero activities &amp; levers'!$C$14="Off",'Activity data'!AT69*UDCPPEF*NtoN2O*kgtoGg,IF('Net zero activities &amp; levers'!$C$14="On",'Net zero Activity data'!AT69*UDCPPEF*NtoN2O*kgtoGg,"ERROR"))</f>
        <v>13.207166717271191</v>
      </c>
      <c r="AB1139" s="94">
        <f>IF('Net zero activities &amp; levers'!$C$14="Off",'Activity data'!AU69*UDCPPEF*NtoN2O*kgtoGg,IF('Net zero activities &amp; levers'!$C$14="On",'Net zero Activity data'!AU69*UDCPPEF*NtoN2O*kgtoGg,"ERROR"))</f>
        <v>13.423383196860698</v>
      </c>
      <c r="AC1139" s="94">
        <f>IF('Net zero activities &amp; levers'!$C$14="Off",'Activity data'!AV69*UDCPPEF*NtoN2O*kgtoGg,IF('Net zero activities &amp; levers'!$C$14="On",'Net zero Activity data'!AV69*UDCPPEF*NtoN2O*kgtoGg,"ERROR"))</f>
        <v>13.702101889701561</v>
      </c>
      <c r="AD1139" s="94">
        <f>IF('Net zero activities &amp; levers'!$C$14="Off",'Activity data'!AW69*UDCPPEF*NtoN2O*kgtoGg,IF('Net zero activities &amp; levers'!$C$14="On",'Net zero Activity data'!AW69*UDCPPEF*NtoN2O*kgtoGg,"ERROR"))</f>
        <v>13.896423189138504</v>
      </c>
      <c r="AE1139" s="94">
        <f>IF('Net zero activities &amp; levers'!$C$14="Off",'Activity data'!AX69*UDCPPEF*NtoN2O*kgtoGg,IF('Net zero activities &amp; levers'!$C$14="On",'Net zero Activity data'!AX69*UDCPPEF*NtoN2O*kgtoGg,"ERROR"))</f>
        <v>14.113699365030318</v>
      </c>
      <c r="AF1139" s="94">
        <f>IF('Net zero activities &amp; levers'!$C$14="Off",'Activity data'!AY69*UDCPPEF*NtoN2O*kgtoGg,IF('Net zero activities &amp; levers'!$C$14="On",'Net zero Activity data'!AY69*UDCPPEF*NtoN2O*kgtoGg,"ERROR"))</f>
        <v>14.337556202398742</v>
      </c>
      <c r="AG1139" s="94">
        <f>IF('Net zero activities &amp; levers'!$C$14="Off",'Activity data'!AZ69*UDCPPEF*NtoN2O*kgtoGg,IF('Net zero activities &amp; levers'!$C$14="On",'Net zero Activity data'!AZ69*UDCPPEF*NtoN2O*kgtoGg,"ERROR"))</f>
        <v>14.572966422289987</v>
      </c>
      <c r="AH1139" s="94">
        <f>IF('Net zero activities &amp; levers'!$C$14="Off",'Activity data'!BA69*UDCPPEF*NtoN2O*kgtoGg,IF('Net zero activities &amp; levers'!$C$14="On",'Net zero Activity data'!BA69*UDCPPEF*NtoN2O*kgtoGg,"ERROR"))</f>
        <v>14.811902600863377</v>
      </c>
      <c r="AI1139" s="94">
        <f>IF('Net zero activities &amp; levers'!$C$14="Off",'Activity data'!BB69*UDCPPEF*NtoN2O*kgtoGg,IF('Net zero activities &amp; levers'!$C$14="On",'Net zero Activity data'!BB69*UDCPPEF*NtoN2O*kgtoGg,"ERROR"))</f>
        <v>15.030093790009266</v>
      </c>
      <c r="AJ1139" s="94">
        <f>IF('Net zero activities &amp; levers'!$C$14="Off",'Activity data'!BC69*UDCPPEF*NtoN2O*kgtoGg,IF('Net zero activities &amp; levers'!$C$14="On",'Net zero Activity data'!BC69*UDCPPEF*NtoN2O*kgtoGg,"ERROR"))</f>
        <v>15.260245449721568</v>
      </c>
      <c r="AK1139" s="94">
        <f>IF('Net zero activities &amp; levers'!$C$14="Off",'Activity data'!BD69*UDCPPEF*NtoN2O*kgtoGg,IF('Net zero activities &amp; levers'!$C$14="On",'Net zero Activity data'!BD69*UDCPPEF*NtoN2O*kgtoGg,"ERROR"))</f>
        <v>15.479975870373321</v>
      </c>
      <c r="AL1139" s="94">
        <f>IF('Net zero activities &amp; levers'!$C$14="Off",'Activity data'!BE69*UDCPPEF*NtoN2O*kgtoGg,IF('Net zero activities &amp; levers'!$C$14="On",'Net zero Activity data'!BE69*UDCPPEF*NtoN2O*kgtoGg,"ERROR"))</f>
        <v>15.687168192029855</v>
      </c>
      <c r="AM1139" s="94">
        <f>IF('Net zero activities &amp; levers'!$C$14="Off",'Activity data'!BF69*UDCPPEF*NtoN2O*kgtoGg,IF('Net zero activities &amp; levers'!$C$14="On",'Net zero Activity data'!BF69*UDCPPEF*NtoN2O*kgtoGg,"ERROR"))</f>
        <v>15.890679126882141</v>
      </c>
      <c r="AN1139" s="94">
        <f>IF('Net zero activities &amp; levers'!$C$14="Off",'Activity data'!BG69*UDCPPEF*NtoN2O*kgtoGg,IF('Net zero activities &amp; levers'!$C$14="On",'Net zero Activity data'!BG69*UDCPPEF*NtoN2O*kgtoGg,"ERROR"))</f>
        <v>16.149107215315812</v>
      </c>
      <c r="AO1139" s="94">
        <f>IF('Net zero activities &amp; levers'!$C$14="Off",'Activity data'!BH69*UDCPPEF*NtoN2O*kgtoGg,IF('Net zero activities &amp; levers'!$C$14="On",'Net zero Activity data'!BH69*UDCPPEF*NtoN2O*kgtoGg,"ERROR"))</f>
        <v>16.416401953220753</v>
      </c>
      <c r="AP1139" s="94">
        <f>IF('Net zero activities &amp; levers'!$C$14="Off",'Activity data'!BI69*UDCPPEF*NtoN2O*kgtoGg,IF('Net zero activities &amp; levers'!$C$14="On",'Net zero Activity data'!BI69*UDCPPEF*NtoN2O*kgtoGg,"ERROR"))</f>
        <v>16.702277130443278</v>
      </c>
      <c r="AQ1139" s="94">
        <f>IF('Net zero activities &amp; levers'!$C$14="Off",'Activity data'!BJ69*UDCPPEF*NtoN2O*kgtoGg,IF('Net zero activities &amp; levers'!$C$14="On",'Net zero Activity data'!BJ69*UDCPPEF*NtoN2O*kgtoGg,"ERROR"))</f>
        <v>16.98704006145238</v>
      </c>
      <c r="AR1139" s="94">
        <f>IF('Net zero activities &amp; levers'!$C$14="Off",'Activity data'!BK69*UDCPPEF*NtoN2O*kgtoGg,IF('Net zero activities &amp; levers'!$C$14="On",'Net zero Activity data'!BK69*UDCPPEF*NtoN2O*kgtoGg,"ERROR"))</f>
        <v>17.271060351529361</v>
      </c>
      <c r="AS1139" s="94">
        <f>IF('Net zero activities &amp; levers'!$C$14="Off",'Activity data'!BL69*UDCPPEF*NtoN2O*kgtoGg,IF('Net zero activities &amp; levers'!$C$14="On",'Net zero Activity data'!BL69*UDCPPEF*NtoN2O*kgtoGg,"ERROR"))</f>
        <v>17.573003837482712</v>
      </c>
      <c r="AT1139" s="94">
        <f>IF('Net zero activities &amp; levers'!$C$14="Off",'Activity data'!BM69*UDCPPEF*NtoN2O*kgtoGg,IF('Net zero activities &amp; levers'!$C$14="On",'Net zero Activity data'!BM69*UDCPPEF*NtoN2O*kgtoGg,"ERROR"))</f>
        <v>17.88505244077637</v>
      </c>
      <c r="AU1139" s="94">
        <f>IF('Net zero activities &amp; levers'!$C$14="Off",'Activity data'!BN69*UDCPPEF*NtoN2O*kgtoGg,IF('Net zero activities &amp; levers'!$C$14="On",'Net zero Activity data'!BN69*UDCPPEF*NtoN2O*kgtoGg,"ERROR"))</f>
        <v>18.201780897575926</v>
      </c>
      <c r="AV1139" s="94">
        <f>IF('Net zero activities &amp; levers'!$C$14="Off",'Activity data'!BO69*UDCPPEF*NtoN2O*kgtoGg,IF('Net zero activities &amp; levers'!$C$14="On",'Net zero Activity data'!BO69*UDCPPEF*NtoN2O*kgtoGg,"ERROR"))</f>
        <v>18.533967675320017</v>
      </c>
      <c r="AW1139" s="94">
        <f>IF('Net zero activities &amp; levers'!$C$14="Off",'Activity data'!BP69*UDCPPEF*NtoN2O*kgtoGg,IF('Net zero activities &amp; levers'!$C$14="On",'Net zero Activity data'!BP69*UDCPPEF*NtoN2O*kgtoGg,"ERROR"))</f>
        <v>18.812464966150909</v>
      </c>
      <c r="AY1139" s="79"/>
    </row>
    <row r="1140" spans="1:51" x14ac:dyDescent="0.25">
      <c r="A1140" s="95" t="str">
        <f t="shared" si="374"/>
        <v>CM U&amp;D</v>
      </c>
      <c r="B1140" s="95" t="s">
        <v>1321</v>
      </c>
      <c r="C1140" s="95" t="s">
        <v>1335</v>
      </c>
      <c r="D1140" t="s">
        <v>369</v>
      </c>
      <c r="E1140" t="s">
        <v>55</v>
      </c>
      <c r="F1140" t="s">
        <v>422</v>
      </c>
      <c r="G1140" t="s">
        <v>1159</v>
      </c>
      <c r="H1140" t="s">
        <v>1243</v>
      </c>
      <c r="I1140" t="s">
        <v>139</v>
      </c>
      <c r="J1140" t="s">
        <v>287</v>
      </c>
      <c r="K1140" s="94">
        <f>IF('Net zero activities &amp; levers'!$C$14="Off",'Activity data'!AD70*UDCPPEF*NtoN2O*kgtoGg,IF('Net zero activities &amp; levers'!$C$14="On",'Net zero Activity data'!AD70*UDCPPEF*NtoN2O*kgtoGg,"ERROR"))</f>
        <v>9.6543103644621411</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9.2264408662754729</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7.6987388784911763</v>
      </c>
      <c r="T1140" s="94">
        <f>IF('Net zero activities &amp; levers'!$C$14="Off",'Activity data'!AM70*UDCPPEF*NtoN2O*kgtoGg,IF('Net zero activities &amp; levers'!$C$14="On",'Net zero Activity data'!AM70*UDCPPEF*NtoN2O*kgtoGg,"ERROR"))</f>
        <v>8.0668179077067048</v>
      </c>
      <c r="U1140" s="94">
        <f>IF('Net zero activities &amp; levers'!$C$14="Off",'Activity data'!AN70*UDCPPEF*NtoN2O*kgtoGg,IF('Net zero activities &amp; levers'!$C$14="On",'Net zero Activity data'!AN70*UDCPPEF*NtoN2O*kgtoGg,"ERROR"))</f>
        <v>8.1942469384566685</v>
      </c>
      <c r="V1140" s="94">
        <f>IF('Net zero activities &amp; levers'!$C$14="Off",'Activity data'!AO70*UDCPPEF*NtoN2O*kgtoGg,IF('Net zero activities &amp; levers'!$C$14="On",'Net zero Activity data'!AO70*UDCPPEF*NtoN2O*kgtoGg,"ERROR"))</f>
        <v>8.1389089487638984</v>
      </c>
      <c r="W1140" s="94">
        <f>IF('Net zero activities &amp; levers'!$C$14="Off",'Activity data'!AP70*UDCPPEF*NtoN2O*kgtoGg,IF('Net zero activities &amp; levers'!$C$14="On",'Net zero Activity data'!AP70*UDCPPEF*NtoN2O*kgtoGg,"ERROR"))</f>
        <v>8.0938953906633806</v>
      </c>
      <c r="X1140" s="94">
        <f>IF('Net zero activities &amp; levers'!$C$14="Off",'Activity data'!AQ70*UDCPPEF*NtoN2O*kgtoGg,IF('Net zero activities &amp; levers'!$C$14="On",'Net zero Activity data'!AQ70*UDCPPEF*NtoN2O*kgtoGg,"ERROR"))</f>
        <v>8.0968522848058253</v>
      </c>
      <c r="Y1140" s="94">
        <f>IF('Net zero activities &amp; levers'!$C$14="Off",'Activity data'!AR70*UDCPPEF*NtoN2O*kgtoGg,IF('Net zero activities &amp; levers'!$C$14="On",'Net zero Activity data'!AR70*UDCPPEF*NtoN2O*kgtoGg,"ERROR"))</f>
        <v>8.1443976207006106</v>
      </c>
      <c r="Z1140" s="94">
        <f>IF('Net zero activities &amp; levers'!$C$14="Off",'Activity data'!AS70*UDCPPEF*NtoN2O*kgtoGg,IF('Net zero activities &amp; levers'!$C$14="On",'Net zero Activity data'!AS70*UDCPPEF*NtoN2O*kgtoGg,"ERROR"))</f>
        <v>8.2118611892116604</v>
      </c>
      <c r="AA1140" s="94">
        <f>IF('Net zero activities &amp; levers'!$C$14="Off",'Activity data'!AT70*UDCPPEF*NtoN2O*kgtoGg,IF('Net zero activities &amp; levers'!$C$14="On",'Net zero Activity data'!AT70*UDCPPEF*NtoN2O*kgtoGg,"ERROR"))</f>
        <v>8.304677100987929</v>
      </c>
      <c r="AB1140" s="94">
        <f>IF('Net zero activities &amp; levers'!$C$14="Off",'Activity data'!AU70*UDCPPEF*NtoN2O*kgtoGg,IF('Net zero activities &amp; levers'!$C$14="On",'Net zero Activity data'!AU70*UDCPPEF*NtoN2O*kgtoGg,"ERROR"))</f>
        <v>8.4406341980203354</v>
      </c>
      <c r="AC1140" s="94">
        <f>IF('Net zero activities &amp; levers'!$C$14="Off",'Activity data'!AV70*UDCPPEF*NtoN2O*kgtoGg,IF('Net zero activities &amp; levers'!$C$14="On",'Net zero Activity data'!AV70*UDCPPEF*NtoN2O*kgtoGg,"ERROR"))</f>
        <v>8.6158927372364591</v>
      </c>
      <c r="AD1140" s="94">
        <f>IF('Net zero activities &amp; levers'!$C$14="Off",'Activity data'!AW70*UDCPPEF*NtoN2O*kgtoGg,IF('Net zero activities &amp; levers'!$C$14="On",'Net zero Activity data'!AW70*UDCPPEF*NtoN2O*kgtoGg,"ERROR"))</f>
        <v>8.738082127301313</v>
      </c>
      <c r="AE1140" s="94">
        <f>IF('Net zero activities &amp; levers'!$C$14="Off",'Activity data'!AX70*UDCPPEF*NtoN2O*kgtoGg,IF('Net zero activities &amp; levers'!$C$14="On",'Net zero Activity data'!AX70*UDCPPEF*NtoN2O*kgtoGg,"ERROR"))</f>
        <v>8.8747055622246656</v>
      </c>
      <c r="AF1140" s="94">
        <f>IF('Net zero activities &amp; levers'!$C$14="Off",'Activity data'!AY70*UDCPPEF*NtoN2O*kgtoGg,IF('Net zero activities &amp; levers'!$C$14="On",'Net zero Activity data'!AY70*UDCPPEF*NtoN2O*kgtoGg,"ERROR"))</f>
        <v>9.015466922400579</v>
      </c>
      <c r="AG1140" s="94">
        <f>IF('Net zero activities &amp; levers'!$C$14="Off",'Activity data'!AZ70*UDCPPEF*NtoN2O*kgtoGg,IF('Net zero activities &amp; levers'!$C$14="On",'Net zero Activity data'!AZ70*UDCPPEF*NtoN2O*kgtoGg,"ERROR"))</f>
        <v>9.1634930588400287</v>
      </c>
      <c r="AH1140" s="94">
        <f>IF('Net zero activities &amp; levers'!$C$14="Off",'Activity data'!BA70*UDCPPEF*NtoN2O*kgtoGg,IF('Net zero activities &amp; levers'!$C$14="On",'Net zero Activity data'!BA70*UDCPPEF*NtoN2O*kgtoGg,"ERROR"))</f>
        <v>9.3137363209471946</v>
      </c>
      <c r="AI1140" s="94">
        <f>IF('Net zero activities &amp; levers'!$C$14="Off",'Activity data'!BB70*UDCPPEF*NtoN2O*kgtoGg,IF('Net zero activities &amp; levers'!$C$14="On",'Net zero Activity data'!BB70*UDCPPEF*NtoN2O*kgtoGg,"ERROR"))</f>
        <v>9.4509351169438833</v>
      </c>
      <c r="AJ1140" s="94">
        <f>IF('Net zero activities &amp; levers'!$C$14="Off",'Activity data'!BC70*UDCPPEF*NtoN2O*kgtoGg,IF('Net zero activities &amp; levers'!$C$14="On",'Net zero Activity data'!BC70*UDCPPEF*NtoN2O*kgtoGg,"ERROR"))</f>
        <v>9.5956546664947826</v>
      </c>
      <c r="AK1140" s="94">
        <f>IF('Net zero activities &amp; levers'!$C$14="Off",'Activity data'!BD70*UDCPPEF*NtoN2O*kgtoGg,IF('Net zero activities &amp; levers'!$C$14="On",'Net zero Activity data'!BD70*UDCPPEF*NtoN2O*kgtoGg,"ERROR"))</f>
        <v>9.7338213325058032</v>
      </c>
      <c r="AL1140" s="94">
        <f>IF('Net zero activities &amp; levers'!$C$14="Off",'Activity data'!BE70*UDCPPEF*NtoN2O*kgtoGg,IF('Net zero activities &amp; levers'!$C$14="On",'Net zero Activity data'!BE70*UDCPPEF*NtoN2O*kgtoGg,"ERROR"))</f>
        <v>9.8641040317399575</v>
      </c>
      <c r="AM1140" s="94">
        <f>IF('Net zero activities &amp; levers'!$C$14="Off",'Activity data'!BF70*UDCPPEF*NtoN2O*kgtoGg,IF('Net zero activities &amp; levers'!$C$14="On",'Net zero Activity data'!BF70*UDCPPEF*NtoN2O*kgtoGg,"ERROR"))</f>
        <v>9.9920718719776573</v>
      </c>
      <c r="AN1140" s="94">
        <f>IF('Net zero activities &amp; levers'!$C$14="Off",'Activity data'!BG70*UDCPPEF*NtoN2O*kgtoGg,IF('Net zero activities &amp; levers'!$C$14="On",'Net zero Activity data'!BG70*UDCPPEF*NtoN2O*kgtoGg,"ERROR"))</f>
        <v>10.154571662751145</v>
      </c>
      <c r="AO1140" s="94">
        <f>IF('Net zero activities &amp; levers'!$C$14="Off",'Activity data'!BH70*UDCPPEF*NtoN2O*kgtoGg,IF('Net zero activities &amp; levers'!$C$14="On",'Net zero Activity data'!BH70*UDCPPEF*NtoN2O*kgtoGg,"ERROR"))</f>
        <v>10.322646809874932</v>
      </c>
      <c r="AP1140" s="94">
        <f>IF('Net zero activities &amp; levers'!$C$14="Off",'Activity data'!BI70*UDCPPEF*NtoN2O*kgtoGg,IF('Net zero activities &amp; levers'!$C$14="On",'Net zero Activity data'!BI70*UDCPPEF*NtoN2O*kgtoGg,"ERROR"))</f>
        <v>10.502405352251484</v>
      </c>
      <c r="AQ1140" s="94">
        <f>IF('Net zero activities &amp; levers'!$C$14="Off",'Activity data'!BJ70*UDCPPEF*NtoN2O*kgtoGg,IF('Net zero activities &amp; levers'!$C$14="On",'Net zero Activity data'!BJ70*UDCPPEF*NtoN2O*kgtoGg,"ERROR"))</f>
        <v>10.681464513310528</v>
      </c>
      <c r="AR1140" s="94">
        <f>IF('Net zero activities &amp; levers'!$C$14="Off",'Activity data'!BK70*UDCPPEF*NtoN2O*kgtoGg,IF('Net zero activities &amp; levers'!$C$14="On",'Net zero Activity data'!BK70*UDCPPEF*NtoN2O*kgtoGg,"ERROR"))</f>
        <v>10.860056701151523</v>
      </c>
      <c r="AS1140" s="94">
        <f>IF('Net zero activities &amp; levers'!$C$14="Off",'Activity data'!BL70*UDCPPEF*NtoN2O*kgtoGg,IF('Net zero activities &amp; levers'!$C$14="On",'Net zero Activity data'!BL70*UDCPPEF*NtoN2O*kgtoGg,"ERROR"))</f>
        <v>11.049919009038504</v>
      </c>
      <c r="AT1140" s="94">
        <f>IF('Net zero activities &amp; levers'!$C$14="Off",'Activity data'!BM70*UDCPPEF*NtoN2O*kgtoGg,IF('Net zero activities &amp; levers'!$C$14="On",'Net zero Activity data'!BM70*UDCPPEF*NtoN2O*kgtoGg,"ERROR"))</f>
        <v>11.246135422872308</v>
      </c>
      <c r="AU1140" s="94">
        <f>IF('Net zero activities &amp; levers'!$C$14="Off",'Activity data'!BN70*UDCPPEF*NtoN2O*kgtoGg,IF('Net zero activities &amp; levers'!$C$14="On",'Net zero Activity data'!BN70*UDCPPEF*NtoN2O*kgtoGg,"ERROR"))</f>
        <v>11.445294532371156</v>
      </c>
      <c r="AV1140" s="94">
        <f>IF('Net zero activities &amp; levers'!$C$14="Off",'Activity data'!BO70*UDCPPEF*NtoN2O*kgtoGg,IF('Net zero activities &amp; levers'!$C$14="On",'Net zero Activity data'!BO70*UDCPPEF*NtoN2O*kgtoGg,"ERROR"))</f>
        <v>11.654173846567643</v>
      </c>
      <c r="AW1140" s="94">
        <f>IF('Net zero activities &amp; levers'!$C$14="Off",'Activity data'!BP70*UDCPPEF*NtoN2O*kgtoGg,IF('Net zero activities &amp; levers'!$C$14="On",'Net zero Activity data'!BP70*UDCPPEF*NtoN2O*kgtoGg,"ERROR"))</f>
        <v>11.829293168021046</v>
      </c>
      <c r="AY1140" s="79"/>
    </row>
    <row r="1141" spans="1:51" x14ac:dyDescent="0.25">
      <c r="A1141" s="95" t="str">
        <f t="shared" si="374"/>
        <v>CM U&amp;D</v>
      </c>
      <c r="B1141" s="95" t="s">
        <v>1321</v>
      </c>
      <c r="C1141" s="95" t="s">
        <v>1335</v>
      </c>
      <c r="D1141" t="s">
        <v>369</v>
      </c>
      <c r="E1141" t="s">
        <v>55</v>
      </c>
      <c r="F1141" t="s">
        <v>422</v>
      </c>
      <c r="G1141" t="s">
        <v>1161</v>
      </c>
      <c r="H1141" t="s">
        <v>1244</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5">
      <c r="A1142" s="95" t="str">
        <f t="shared" si="374"/>
        <v>CM U&amp;D</v>
      </c>
      <c r="B1142" s="95" t="s">
        <v>1321</v>
      </c>
      <c r="C1142" s="95" t="s">
        <v>1335</v>
      </c>
      <c r="D1142" t="s">
        <v>369</v>
      </c>
      <c r="E1142" t="s">
        <v>55</v>
      </c>
      <c r="F1142" t="s">
        <v>422</v>
      </c>
      <c r="G1142" t="s">
        <v>1163</v>
      </c>
      <c r="H1142" t="s">
        <v>1245</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5.8849979697860864</v>
      </c>
      <c r="T1142" s="94">
        <f>IF('Net zero activities &amp; levers'!$C$14="Off",'Activity data'!AM72*UDSOEF*NtoN2O*kgtoGg,IF('Net zero activities &amp; levers'!$C$14="On",'Net zero Activity data'!AM72*UDSOEF*NtoN2O*kgtoGg,"ERROR"))</f>
        <v>5.8892338696185709</v>
      </c>
      <c r="U1142" s="94">
        <f>IF('Net zero activities &amp; levers'!$C$14="Off",'Activity data'!AN72*UDSOEF*NtoN2O*kgtoGg,IF('Net zero activities &amp; levers'!$C$14="On",'Net zero Activity data'!AN72*UDSOEF*NtoN2O*kgtoGg,"ERROR"))</f>
        <v>5.8877446174554535</v>
      </c>
      <c r="V1142" s="94">
        <f>IF('Net zero activities &amp; levers'!$C$14="Off",'Activity data'!AO72*UDSOEF*NtoN2O*kgtoGg,IF('Net zero activities &amp; levers'!$C$14="On",'Net zero Activity data'!AO72*UDSOEF*NtoN2O*kgtoGg,"ERROR"))</f>
        <v>5.8876374031780276</v>
      </c>
      <c r="W1142" s="94">
        <f>IF('Net zero activities &amp; levers'!$C$14="Off",'Activity data'!AP72*UDSOEF*NtoN2O*kgtoGg,IF('Net zero activities &amp; levers'!$C$14="On",'Net zero Activity data'!AP72*UDSOEF*NtoN2O*kgtoGg,"ERROR"))</f>
        <v>5.8938824759040038</v>
      </c>
      <c r="X1142" s="94">
        <f>IF('Net zero activities &amp; levers'!$C$14="Off",'Activity data'!AQ72*UDSOEF*NtoN2O*kgtoGg,IF('Net zero activities &amp; levers'!$C$14="On",'Net zero Activity data'!AQ72*UDSOEF*NtoN2O*kgtoGg,"ERROR"))</f>
        <v>5.9041031128445773</v>
      </c>
      <c r="Y1142" s="94">
        <f>IF('Net zero activities &amp; levers'!$C$14="Off",'Activity data'!AR72*UDSOEF*NtoN2O*kgtoGg,IF('Net zero activities &amp; levers'!$C$14="On",'Net zero Activity data'!AR72*UDSOEF*NtoN2O*kgtoGg,"ERROR"))</f>
        <v>5.9139099273818276</v>
      </c>
      <c r="Z1142" s="94">
        <f>IF('Net zero activities &amp; levers'!$C$14="Off",'Activity data'!AS72*UDSOEF*NtoN2O*kgtoGg,IF('Net zero activities &amp; levers'!$C$14="On",'Net zero Activity data'!AS72*UDSOEF*NtoN2O*kgtoGg,"ERROR"))</f>
        <v>5.9233345583346297</v>
      </c>
      <c r="AA1142" s="94">
        <f>IF('Net zero activities &amp; levers'!$C$14="Off",'Activity data'!AT72*UDSOEF*NtoN2O*kgtoGg,IF('Net zero activities &amp; levers'!$C$14="On",'Net zero Activity data'!AT72*UDSOEF*NtoN2O*kgtoGg,"ERROR"))</f>
        <v>5.9323641435098171</v>
      </c>
      <c r="AB1142" s="94">
        <f>IF('Net zero activities &amp; levers'!$C$14="Off",'Activity data'!AU72*UDSOEF*NtoN2O*kgtoGg,IF('Net zero activities &amp; levers'!$C$14="On",'Net zero Activity data'!AU72*UDSOEF*NtoN2O*kgtoGg,"ERROR"))</f>
        <v>5.9411868573928839</v>
      </c>
      <c r="AC1142" s="94">
        <f>IF('Net zero activities &amp; levers'!$C$14="Off",'Activity data'!AV72*UDSOEF*NtoN2O*kgtoGg,IF('Net zero activities &amp; levers'!$C$14="On",'Net zero Activity data'!AV72*UDSOEF*NtoN2O*kgtoGg,"ERROR"))</f>
        <v>5.9499315766894556</v>
      </c>
      <c r="AD1142" s="94">
        <f>IF('Net zero activities &amp; levers'!$C$14="Off",'Activity data'!AW72*UDSOEF*NtoN2O*kgtoGg,IF('Net zero activities &amp; levers'!$C$14="On",'Net zero Activity data'!AW72*UDSOEF*NtoN2O*kgtoGg,"ERROR"))</f>
        <v>5.9585105593958936</v>
      </c>
      <c r="AE1142" s="94">
        <f>IF('Net zero activities &amp; levers'!$C$14="Off",'Activity data'!AX72*UDSOEF*NtoN2O*kgtoGg,IF('Net zero activities &amp; levers'!$C$14="On",'Net zero Activity data'!AX72*UDSOEF*NtoN2O*kgtoGg,"ERROR"))</f>
        <v>5.9670471572884827</v>
      </c>
      <c r="AF1142" s="94">
        <f>IF('Net zero activities &amp; levers'!$C$14="Off",'Activity data'!AY72*UDSOEF*NtoN2O*kgtoGg,IF('Net zero activities &amp; levers'!$C$14="On",'Net zero Activity data'!AY72*UDSOEF*NtoN2O*kgtoGg,"ERROR"))</f>
        <v>5.9755144784339187</v>
      </c>
      <c r="AG1142" s="94">
        <f>IF('Net zero activities &amp; levers'!$C$14="Off",'Activity data'!AZ72*UDSOEF*NtoN2O*kgtoGg,IF('Net zero activities &amp; levers'!$C$14="On",'Net zero Activity data'!AZ72*UDSOEF*NtoN2O*kgtoGg,"ERROR"))</f>
        <v>5.9838446773332894</v>
      </c>
      <c r="AH1142" s="94">
        <f>IF('Net zero activities &amp; levers'!$C$14="Off",'Activity data'!BA72*UDSOEF*NtoN2O*kgtoGg,IF('Net zero activities &amp; levers'!$C$14="On",'Net zero Activity data'!BA72*UDSOEF*NtoN2O*kgtoGg,"ERROR"))</f>
        <v>5.992074429551792</v>
      </c>
      <c r="AI1142" s="94">
        <f>IF('Net zero activities &amp; levers'!$C$14="Off",'Activity data'!BB72*UDSOEF*NtoN2O*kgtoGg,IF('Net zero activities &amp; levers'!$C$14="On",'Net zero Activity data'!BB72*UDSOEF*NtoN2O*kgtoGg,"ERROR"))</f>
        <v>6.0002125174101231</v>
      </c>
      <c r="AJ1142" s="94">
        <f>IF('Net zero activities &amp; levers'!$C$14="Off",'Activity data'!BC72*UDSOEF*NtoN2O*kgtoGg,IF('Net zero activities &amp; levers'!$C$14="On",'Net zero Activity data'!BC72*UDSOEF*NtoN2O*kgtoGg,"ERROR"))</f>
        <v>6.0082865692474714</v>
      </c>
      <c r="AK1142" s="94">
        <f>IF('Net zero activities &amp; levers'!$C$14="Off",'Activity data'!BD72*UDSOEF*NtoN2O*kgtoGg,IF('Net zero activities &amp; levers'!$C$14="On",'Net zero Activity data'!BD72*UDSOEF*NtoN2O*kgtoGg,"ERROR"))</f>
        <v>6.0160495351454939</v>
      </c>
      <c r="AL1142" s="94">
        <f>IF('Net zero activities &amp; levers'!$C$14="Off",'Activity data'!BE72*UDSOEF*NtoN2O*kgtoGg,IF('Net zero activities &amp; levers'!$C$14="On",'Net zero Activity data'!BE72*UDSOEF*NtoN2O*kgtoGg,"ERROR"))</f>
        <v>6.0234923325896075</v>
      </c>
      <c r="AM1142" s="94">
        <f>IF('Net zero activities &amp; levers'!$C$14="Off",'Activity data'!BF72*UDSOEF*NtoN2O*kgtoGg,IF('Net zero activities &amp; levers'!$C$14="On",'Net zero Activity data'!BF72*UDSOEF*NtoN2O*kgtoGg,"ERROR"))</f>
        <v>6.0306845225857399</v>
      </c>
      <c r="AN1142" s="94">
        <f>IF('Net zero activities &amp; levers'!$C$14="Off",'Activity data'!BG72*UDSOEF*NtoN2O*kgtoGg,IF('Net zero activities &amp; levers'!$C$14="On",'Net zero Activity data'!BG72*UDSOEF*NtoN2O*kgtoGg,"ERROR"))</f>
        <v>6.0375707245080381</v>
      </c>
      <c r="AO1142" s="94">
        <f>IF('Net zero activities &amp; levers'!$C$14="Off",'Activity data'!BH72*UDSOEF*NtoN2O*kgtoGg,IF('Net zero activities &amp; levers'!$C$14="On",'Net zero Activity data'!BH72*UDSOEF*NtoN2O*kgtoGg,"ERROR"))</f>
        <v>6.0441634304657859</v>
      </c>
      <c r="AP1142" s="94">
        <f>IF('Net zero activities &amp; levers'!$C$14="Off",'Activity data'!BI72*UDSOEF*NtoN2O*kgtoGg,IF('Net zero activities &amp; levers'!$C$14="On",'Net zero Activity data'!BI72*UDSOEF*NtoN2O*kgtoGg,"ERROR"))</f>
        <v>6.0504329467907079</v>
      </c>
      <c r="AQ1142" s="94">
        <f>IF('Net zero activities &amp; levers'!$C$14="Off",'Activity data'!BJ72*UDSOEF*NtoN2O*kgtoGg,IF('Net zero activities &amp; levers'!$C$14="On",'Net zero Activity data'!BJ72*UDSOEF*NtoN2O*kgtoGg,"ERROR"))</f>
        <v>6.0562895562131533</v>
      </c>
      <c r="AR1142" s="94">
        <f>IF('Net zero activities &amp; levers'!$C$14="Off",'Activity data'!BK72*UDSOEF*NtoN2O*kgtoGg,IF('Net zero activities &amp; levers'!$C$14="On",'Net zero Activity data'!BK72*UDSOEF*NtoN2O*kgtoGg,"ERROR"))</f>
        <v>6.0616501197093573</v>
      </c>
      <c r="AS1142" s="94">
        <f>IF('Net zero activities &amp; levers'!$C$14="Off",'Activity data'!BL72*UDSOEF*NtoN2O*kgtoGg,IF('Net zero activities &amp; levers'!$C$14="On",'Net zero Activity data'!BL72*UDSOEF*NtoN2O*kgtoGg,"ERROR"))</f>
        <v>6.0665092216069407</v>
      </c>
      <c r="AT1142" s="94">
        <f>IF('Net zero activities &amp; levers'!$C$14="Off",'Activity data'!BM72*UDSOEF*NtoN2O*kgtoGg,IF('Net zero activities &amp; levers'!$C$14="On",'Net zero Activity data'!BM72*UDSOEF*NtoN2O*kgtoGg,"ERROR"))</f>
        <v>6.0708296779310995</v>
      </c>
      <c r="AU1142" s="94">
        <f>IF('Net zero activities &amp; levers'!$C$14="Off",'Activity data'!BN72*UDSOEF*NtoN2O*kgtoGg,IF('Net zero activities &amp; levers'!$C$14="On",'Net zero Activity data'!BN72*UDSOEF*NtoN2O*kgtoGg,"ERROR"))</f>
        <v>6.0746094049856261</v>
      </c>
      <c r="AV1142" s="94">
        <f>IF('Net zero activities &amp; levers'!$C$14="Off",'Activity data'!BO72*UDSOEF*NtoN2O*kgtoGg,IF('Net zero activities &amp; levers'!$C$14="On",'Net zero Activity data'!BO72*UDSOEF*NtoN2O*kgtoGg,"ERROR"))</f>
        <v>6.0779207352179032</v>
      </c>
      <c r="AW1142" s="94">
        <f>IF('Net zero activities &amp; levers'!$C$14="Off",'Activity data'!BP72*UDSOEF*NtoN2O*kgtoGg,IF('Net zero activities &amp; levers'!$C$14="On",'Net zero Activity data'!BP72*UDSOEF*NtoN2O*kgtoGg,"ERROR"))</f>
        <v>6.0803335706264781</v>
      </c>
      <c r="AY1142" s="79"/>
    </row>
    <row r="1143" spans="1:51" x14ac:dyDescent="0.25">
      <c r="A1143" s="95" t="str">
        <f t="shared" si="374"/>
        <v>CM U&amp;D</v>
      </c>
      <c r="B1143" s="95" t="s">
        <v>1321</v>
      </c>
      <c r="C1143" s="95" t="s">
        <v>1335</v>
      </c>
      <c r="D1143" t="s">
        <v>369</v>
      </c>
      <c r="E1143" t="s">
        <v>55</v>
      </c>
      <c r="F1143" t="s">
        <v>422</v>
      </c>
      <c r="G1143" t="s">
        <v>1165</v>
      </c>
      <c r="H1143" t="s">
        <v>1246</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0.65693953925961401</v>
      </c>
      <c r="T1143" s="94">
        <f>IF('Net zero activities &amp; levers'!$C$14="Off",'Activity data'!AM73*UDSOEF*NtoN2O*kgtoGg,IF('Net zero activities &amp; levers'!$C$14="On",'Net zero Activity data'!AM73*UDSOEF*NtoN2O*kgtoGg,"ERROR"))</f>
        <v>0.65741239075397129</v>
      </c>
      <c r="U1143" s="94">
        <f>IF('Net zero activities &amp; levers'!$C$14="Off",'Activity data'!AN73*UDSOEF*NtoN2O*kgtoGg,IF('Net zero activities &amp; levers'!$C$14="On",'Net zero Activity data'!AN73*UDSOEF*NtoN2O*kgtoGg,"ERROR"))</f>
        <v>0.65724614623954603</v>
      </c>
      <c r="V1143" s="94">
        <f>IF('Net zero activities &amp; levers'!$C$14="Off",'Activity data'!AO73*UDSOEF*NtoN2O*kgtoGg,IF('Net zero activities &amp; levers'!$C$14="On",'Net zero Activity data'!AO73*UDSOEF*NtoN2O*kgtoGg,"ERROR"))</f>
        <v>0.65723417796047845</v>
      </c>
      <c r="W1143" s="94">
        <f>IF('Net zero activities &amp; levers'!$C$14="Off",'Activity data'!AP73*UDSOEF*NtoN2O*kgtoGg,IF('Net zero activities &amp; levers'!$C$14="On",'Net zero Activity data'!AP73*UDSOEF*NtoN2O*kgtoGg,"ERROR"))</f>
        <v>0.65793131247442549</v>
      </c>
      <c r="X1143" s="94">
        <f>IF('Net zero activities &amp; levers'!$C$14="Off",'Activity data'!AQ73*UDSOEF*NtoN2O*kgtoGg,IF('Net zero activities &amp; levers'!$C$14="On",'Net zero Activity data'!AQ73*UDSOEF*NtoN2O*kgtoGg,"ERROR"))</f>
        <v>0.65907223734086595</v>
      </c>
      <c r="Y1143" s="94">
        <f>IF('Net zero activities &amp; levers'!$C$14="Off",'Activity data'!AR73*UDSOEF*NtoN2O*kgtoGg,IF('Net zero activities &amp; levers'!$C$14="On",'Net zero Activity data'!AR73*UDSOEF*NtoN2O*kgtoGg,"ERROR"))</f>
        <v>0.66016696740819658</v>
      </c>
      <c r="Z1143" s="94">
        <f>IF('Net zero activities &amp; levers'!$C$14="Off",'Activity data'!AS73*UDSOEF*NtoN2O*kgtoGg,IF('Net zero activities &amp; levers'!$C$14="On",'Net zero Activity data'!AS73*UDSOEF*NtoN2O*kgtoGg,"ERROR"))</f>
        <v>0.66121903450280095</v>
      </c>
      <c r="AA1143" s="94">
        <f>IF('Net zero activities &amp; levers'!$C$14="Off",'Activity data'!AT73*UDSOEF*NtoN2O*kgtoGg,IF('Net zero activities &amp; levers'!$C$14="On",'Net zero Activity data'!AT73*UDSOEF*NtoN2O*kgtoGg,"ERROR"))</f>
        <v>0.66222700282414093</v>
      </c>
      <c r="AB1143" s="94">
        <f>IF('Net zero activities &amp; levers'!$C$14="Off",'Activity data'!AU73*UDSOEF*NtoN2O*kgtoGg,IF('Net zero activities &amp; levers'!$C$14="On",'Net zero Activity data'!AU73*UDSOEF*NtoN2O*kgtoGg,"ERROR"))</f>
        <v>0.66321187820100891</v>
      </c>
      <c r="AC1143" s="94">
        <f>IF('Net zero activities &amp; levers'!$C$14="Off",'Activity data'!AV73*UDSOEF*NtoN2O*kgtoGg,IF('Net zero activities &amp; levers'!$C$14="On",'Net zero Activity data'!AV73*UDSOEF*NtoN2O*kgtoGg,"ERROR"))</f>
        <v>0.66418804707908485</v>
      </c>
      <c r="AD1143" s="94">
        <f>IF('Net zero activities &amp; levers'!$C$14="Off",'Activity data'!AW73*UDSOEF*NtoN2O*kgtoGg,IF('Net zero activities &amp; levers'!$C$14="On",'Net zero Activity data'!AW73*UDSOEF*NtoN2O*kgtoGg,"ERROR"))</f>
        <v>0.66514571486001184</v>
      </c>
      <c r="AE1143" s="94">
        <f>IF('Net zero activities &amp; levers'!$C$14="Off",'Activity data'!AX73*UDSOEF*NtoN2O*kgtoGg,IF('Net zero activities &amp; levers'!$C$14="On",'Net zero Activity data'!AX73*UDSOEF*NtoN2O*kgtoGg,"ERROR"))</f>
        <v>0.66609865124422019</v>
      </c>
      <c r="AF1143" s="94">
        <f>IF('Net zero activities &amp; levers'!$C$14="Off",'Activity data'!AY73*UDSOEF*NtoN2O*kgtoGg,IF('Net zero activities &amp; levers'!$C$14="On",'Net zero Activity data'!AY73*UDSOEF*NtoN2O*kgtoGg,"ERROR"))</f>
        <v>0.6670438542979179</v>
      </c>
      <c r="AG1143" s="94">
        <f>IF('Net zero activities &amp; levers'!$C$14="Off",'Activity data'!AZ73*UDSOEF*NtoN2O*kgtoGg,IF('Net zero activities &amp; levers'!$C$14="On",'Net zero Activity data'!AZ73*UDSOEF*NtoN2O*kgtoGg,"ERROR"))</f>
        <v>0.6679737504601575</v>
      </c>
      <c r="AH1143" s="94">
        <f>IF('Net zero activities &amp; levers'!$C$14="Off",'Activity data'!BA73*UDSOEF*NtoN2O*kgtoGg,IF('Net zero activities &amp; levers'!$C$14="On",'Net zero Activity data'!BA73*UDSOEF*NtoN2O*kgtoGg,"ERROR"))</f>
        <v>0.66889243380693197</v>
      </c>
      <c r="AI1143" s="94">
        <f>IF('Net zero activities &amp; levers'!$C$14="Off",'Activity data'!BB73*UDSOEF*NtoN2O*kgtoGg,IF('Net zero activities &amp; levers'!$C$14="On",'Net zero Activity data'!BB73*UDSOEF*NtoN2O*kgtoGg,"ERROR"))</f>
        <v>0.66980088470454557</v>
      </c>
      <c r="AJ1143" s="94">
        <f>IF('Net zero activities &amp; levers'!$C$14="Off",'Activity data'!BC73*UDSOEF*NtoN2O*kgtoGg,IF('Net zero activities &amp; levers'!$C$14="On",'Net zero Activity data'!BC73*UDSOEF*NtoN2O*kgtoGg,"ERROR"))</f>
        <v>0.67070218729143127</v>
      </c>
      <c r="AK1143" s="94">
        <f>IF('Net zero activities &amp; levers'!$C$14="Off",'Activity data'!BD73*UDSOEF*NtoN2O*kgtoGg,IF('Net zero activities &amp; levers'!$C$14="On",'Net zero Activity data'!BD73*UDSOEF*NtoN2O*kgtoGg,"ERROR"))</f>
        <v>0.6715687635020805</v>
      </c>
      <c r="AL1143" s="94">
        <f>IF('Net zero activities &amp; levers'!$C$14="Off",'Activity data'!BE73*UDSOEF*NtoN2O*kgtoGg,IF('Net zero activities &amp; levers'!$C$14="On",'Net zero Activity data'!BE73*UDSOEF*NtoN2O*kgtoGg,"ERROR"))</f>
        <v>0.67239959945968686</v>
      </c>
      <c r="AM1143" s="94">
        <f>IF('Net zero activities &amp; levers'!$C$14="Off",'Activity data'!BF73*UDSOEF*NtoN2O*kgtoGg,IF('Net zero activities &amp; levers'!$C$14="On",'Net zero Activity data'!BF73*UDSOEF*NtoN2O*kgtoGg,"ERROR"))</f>
        <v>0.67320246022643382</v>
      </c>
      <c r="AN1143" s="94">
        <f>IF('Net zero activities &amp; levers'!$C$14="Off",'Activity data'!BG73*UDSOEF*NtoN2O*kgtoGg,IF('Net zero activities &amp; levers'!$C$14="On",'Net zero Activity data'!BG73*UDSOEF*NtoN2O*kgtoGg,"ERROR"))</f>
        <v>0.67397116368925725</v>
      </c>
      <c r="AO1143" s="94">
        <f>IF('Net zero activities &amp; levers'!$C$14="Off",'Activity data'!BH73*UDSOEF*NtoN2O*kgtoGg,IF('Net zero activities &amp; levers'!$C$14="On",'Net zero Activity data'!BH73*UDSOEF*NtoN2O*kgtoGg,"ERROR"))</f>
        <v>0.67470710433640646</v>
      </c>
      <c r="AP1143" s="94">
        <f>IF('Net zero activities &amp; levers'!$C$14="Off",'Activity data'!BI73*UDSOEF*NtoN2O*kgtoGg,IF('Net zero activities &amp; levers'!$C$14="On",'Net zero Activity data'!BI73*UDSOEF*NtoN2O*kgtoGg,"ERROR"))</f>
        <v>0.67540696747773998</v>
      </c>
      <c r="AQ1143" s="94">
        <f>IF('Net zero activities &amp; levers'!$C$14="Off",'Activity data'!BJ73*UDSOEF*NtoN2O*kgtoGg,IF('Net zero activities &amp; levers'!$C$14="On",'Net zero Activity data'!BJ73*UDSOEF*NtoN2O*kgtoGg,"ERROR"))</f>
        <v>0.67606073801688993</v>
      </c>
      <c r="AR1143" s="94">
        <f>IF('Net zero activities &amp; levers'!$C$14="Off",'Activity data'!BK73*UDSOEF*NtoN2O*kgtoGg,IF('Net zero activities &amp; levers'!$C$14="On",'Net zero Activity data'!BK73*UDSOEF*NtoN2O*kgtoGg,"ERROR"))</f>
        <v>0.67665913518396625</v>
      </c>
      <c r="AS1143" s="94">
        <f>IF('Net zero activities &amp; levers'!$C$14="Off",'Activity data'!BL73*UDSOEF*NtoN2O*kgtoGg,IF('Net zero activities &amp; levers'!$C$14="On",'Net zero Activity data'!BL73*UDSOEF*NtoN2O*kgtoGg,"ERROR"))</f>
        <v>0.67720155443002239</v>
      </c>
      <c r="AT1143" s="94">
        <f>IF('Net zero activities &amp; levers'!$C$14="Off",'Activity data'!BM73*UDSOEF*NtoN2O*kgtoGg,IF('Net zero activities &amp; levers'!$C$14="On",'Net zero Activity data'!BM73*UDSOEF*NtoN2O*kgtoGg,"ERROR"))</f>
        <v>0.67768384492554279</v>
      </c>
      <c r="AU1143" s="94">
        <f>IF('Net zero activities &amp; levers'!$C$14="Off",'Activity data'!BN73*UDSOEF*NtoN2O*kgtoGg,IF('Net zero activities &amp; levers'!$C$14="On",'Net zero Activity data'!BN73*UDSOEF*NtoN2O*kgtoGg,"ERROR"))</f>
        <v>0.67810577406850514</v>
      </c>
      <c r="AV1143" s="94">
        <f>IF('Net zero activities &amp; levers'!$C$14="Off",'Activity data'!BO73*UDSOEF*NtoN2O*kgtoGg,IF('Net zero activities &amp; levers'!$C$14="On",'Net zero Activity data'!BO73*UDSOEF*NtoN2O*kgtoGg,"ERROR"))</f>
        <v>0.67847541629579156</v>
      </c>
      <c r="AW1143" s="94">
        <f>IF('Net zero activities &amp; levers'!$C$14="Off",'Activity data'!BP73*UDSOEF*NtoN2O*kgtoGg,IF('Net zero activities &amp; levers'!$C$14="On",'Net zero Activity data'!BP73*UDSOEF*NtoN2O*kgtoGg,"ERROR"))</f>
        <v>0.67874475997097328</v>
      </c>
      <c r="AY1143" s="79"/>
    </row>
    <row r="1144" spans="1:51" x14ac:dyDescent="0.25">
      <c r="A1144" s="95" t="str">
        <f t="shared" si="374"/>
        <v>CM U&amp;D</v>
      </c>
      <c r="B1144" s="95" t="s">
        <v>1321</v>
      </c>
      <c r="C1144" s="95" t="s">
        <v>1335</v>
      </c>
      <c r="D1144" t="s">
        <v>369</v>
      </c>
      <c r="E1144" t="s">
        <v>55</v>
      </c>
      <c r="F1144" t="s">
        <v>422</v>
      </c>
      <c r="G1144" t="s">
        <v>1167</v>
      </c>
      <c r="H1144" t="s">
        <v>1247</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0.73708994755228407</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0.74012019902027282</v>
      </c>
      <c r="T1144" s="94">
        <f>IF('Net zero activities &amp; levers'!$C$14="Off",'Activity data'!AM74*UDSOEF*NtoN2O*kgtoGg,IF('Net zero activities &amp; levers'!$C$14="On",'Net zero Activity data'!AM74*UDSOEF*NtoN2O*kgtoGg,"ERROR"))</f>
        <v>0.74139246635166289</v>
      </c>
      <c r="U1144" s="94">
        <f>IF('Net zero activities &amp; levers'!$C$14="Off",'Activity data'!AN74*UDSOEF*NtoN2O*kgtoGg,IF('Net zero activities &amp; levers'!$C$14="On",'Net zero Activity data'!AN74*UDSOEF*NtoN2O*kgtoGg,"ERROR"))</f>
        <v>0.74151592530175092</v>
      </c>
      <c r="V1144" s="94">
        <f>IF('Net zero activities &amp; levers'!$C$14="Off",'Activity data'!AO74*UDSOEF*NtoN2O*kgtoGg,IF('Net zero activities &amp; levers'!$C$14="On",'Net zero Activity data'!AO74*UDSOEF*NtoN2O*kgtoGg,"ERROR"))</f>
        <v>0.74185535866328745</v>
      </c>
      <c r="W1144" s="94">
        <f>IF('Net zero activities &amp; levers'!$C$14="Off",'Activity data'!AP74*UDSOEF*NtoN2O*kgtoGg,IF('Net zero activities &amp; levers'!$C$14="On",'Net zero Activity data'!AP74*UDSOEF*NtoN2O*kgtoGg,"ERROR"))</f>
        <v>0.74335608585495871</v>
      </c>
      <c r="X1144" s="94">
        <f>IF('Net zero activities &amp; levers'!$C$14="Off",'Activity data'!AQ74*UDSOEF*NtoN2O*kgtoGg,IF('Net zero activities &amp; levers'!$C$14="On",'Net zero Activity data'!AQ74*UDSOEF*NtoN2O*kgtoGg,"ERROR"))</f>
        <v>0.74556357164156939</v>
      </c>
      <c r="Y1144" s="94">
        <f>IF('Net zero activities &amp; levers'!$C$14="Off",'Activity data'!AR74*UDSOEF*NtoN2O*kgtoGg,IF('Net zero activities &amp; levers'!$C$14="On",'Net zero Activity data'!AR74*UDSOEF*NtoN2O*kgtoGg,"ERROR"))</f>
        <v>0.74764732173100068</v>
      </c>
      <c r="Z1144" s="94">
        <f>IF('Net zero activities &amp; levers'!$C$14="Off",'Activity data'!AS74*UDSOEF*NtoN2O*kgtoGg,IF('Net zero activities &amp; levers'!$C$14="On",'Net zero Activity data'!AS74*UDSOEF*NtoN2O*kgtoGg,"ERROR"))</f>
        <v>0.74961713361766258</v>
      </c>
      <c r="AA1144" s="94">
        <f>IF('Net zero activities &amp; levers'!$C$14="Off",'Activity data'!AT74*UDSOEF*NtoN2O*kgtoGg,IF('Net zero activities &amp; levers'!$C$14="On",'Net zero Activity data'!AT74*UDSOEF*NtoN2O*kgtoGg,"ERROR"))</f>
        <v>0.75147401556229898</v>
      </c>
      <c r="AB1144" s="94">
        <f>IF('Net zero activities &amp; levers'!$C$14="Off",'Activity data'!AU74*UDSOEF*NtoN2O*kgtoGg,IF('Net zero activities &amp; levers'!$C$14="On",'Net zero Activity data'!AU74*UDSOEF*NtoN2O*kgtoGg,"ERROR"))</f>
        <v>0.75325638993383137</v>
      </c>
      <c r="AC1144" s="94">
        <f>IF('Net zero activities &amp; levers'!$C$14="Off",'Activity data'!AV74*UDSOEF*NtoN2O*kgtoGg,IF('Net zero activities &amp; levers'!$C$14="On",'Net zero Activity data'!AV74*UDSOEF*NtoN2O*kgtoGg,"ERROR"))</f>
        <v>0.75499099939868619</v>
      </c>
      <c r="AD1144" s="94">
        <f>IF('Net zero activities &amp; levers'!$C$14="Off",'Activity data'!AW74*UDSOEF*NtoN2O*kgtoGg,IF('Net zero activities &amp; levers'!$C$14="On",'Net zero Activity data'!AW74*UDSOEF*NtoN2O*kgtoGg,"ERROR"))</f>
        <v>0.75666368217952507</v>
      </c>
      <c r="AE1144" s="94">
        <f>IF('Net zero activities &amp; levers'!$C$14="Off",'Activity data'!AX74*UDSOEF*NtoN2O*kgtoGg,IF('Net zero activities &amp; levers'!$C$14="On",'Net zero Activity data'!AX74*UDSOEF*NtoN2O*kgtoGg,"ERROR"))</f>
        <v>0.75829956195489012</v>
      </c>
      <c r="AF1144" s="94">
        <f>IF('Net zero activities &amp; levers'!$C$14="Off",'Activity data'!AY74*UDSOEF*NtoN2O*kgtoGg,IF('Net zero activities &amp; levers'!$C$14="On",'Net zero Activity data'!AY74*UDSOEF*NtoN2O*kgtoGg,"ERROR"))</f>
        <v>0.75989544125855291</v>
      </c>
      <c r="AG1144" s="94">
        <f>IF('Net zero activities &amp; levers'!$C$14="Off",'Activity data'!AZ74*UDSOEF*NtoN2O*kgtoGg,IF('Net zero activities &amp; levers'!$C$14="On",'Net zero Activity data'!AZ74*UDSOEF*NtoN2O*kgtoGg,"ERROR"))</f>
        <v>0.76144040021050008</v>
      </c>
      <c r="AH1144" s="94">
        <f>IF('Net zero activities &amp; levers'!$C$14="Off",'Activity data'!BA74*UDSOEF*NtoN2O*kgtoGg,IF('Net zero activities &amp; levers'!$C$14="On",'Net zero Activity data'!BA74*UDSOEF*NtoN2O*kgtoGg,"ERROR"))</f>
        <v>0.76294284733285755</v>
      </c>
      <c r="AI1144" s="94">
        <f>IF('Net zero activities &amp; levers'!$C$14="Off",'Activity data'!BB74*UDSOEF*NtoN2O*kgtoGg,IF('Net zero activities &amp; levers'!$C$14="On",'Net zero Activity data'!BB74*UDSOEF*NtoN2O*kgtoGg,"ERROR"))</f>
        <v>0.76440585179872644</v>
      </c>
      <c r="AJ1144" s="94">
        <f>IF('Net zero activities &amp; levers'!$C$14="Off",'Activity data'!BC74*UDSOEF*NtoN2O*kgtoGg,IF('Net zero activities &amp; levers'!$C$14="On",'Net zero Activity data'!BC74*UDSOEF*NtoN2O*kgtoGg,"ERROR"))</f>
        <v>0.76583583721390103</v>
      </c>
      <c r="AK1144" s="94">
        <f>IF('Net zero activities &amp; levers'!$C$14="Off",'Activity data'!BD74*UDSOEF*NtoN2O*kgtoGg,IF('Net zero activities &amp; levers'!$C$14="On",'Net zero Activity data'!BD74*UDSOEF*NtoN2O*kgtoGg,"ERROR"))</f>
        <v>0.76718846615565761</v>
      </c>
      <c r="AL1144" s="94">
        <f>IF('Net zero activities &amp; levers'!$C$14="Off",'Activity data'!BE74*UDSOEF*NtoN2O*kgtoGg,IF('Net zero activities &amp; levers'!$C$14="On",'Net zero Activity data'!BE74*UDSOEF*NtoN2O*kgtoGg,"ERROR"))</f>
        <v>0.76846341889719361</v>
      </c>
      <c r="AM1144" s="94">
        <f>IF('Net zero activities &amp; levers'!$C$14="Off",'Activity data'!BF74*UDSOEF*NtoN2O*kgtoGg,IF('Net zero activities &amp; levers'!$C$14="On",'Net zero Activity data'!BF74*UDSOEF*NtoN2O*kgtoGg,"ERROR"))</f>
        <v>0.769674739992807</v>
      </c>
      <c r="AN1144" s="94">
        <f>IF('Net zero activities &amp; levers'!$C$14="Off",'Activity data'!BG74*UDSOEF*NtoN2O*kgtoGg,IF('Net zero activities &amp; levers'!$C$14="On",'Net zero Activity data'!BG74*UDSOEF*NtoN2O*kgtoGg,"ERROR"))</f>
        <v>0.77081339983246644</v>
      </c>
      <c r="AO1144" s="94">
        <f>IF('Net zero activities &amp; levers'!$C$14="Off",'Activity data'!BH74*UDSOEF*NtoN2O*kgtoGg,IF('Net zero activities &amp; levers'!$C$14="On",'Net zero Activity data'!BH74*UDSOEF*NtoN2O*kgtoGg,"ERROR"))</f>
        <v>0.77188278784323794</v>
      </c>
      <c r="AP1144" s="94">
        <f>IF('Net zero activities &amp; levers'!$C$14="Off",'Activity data'!BI74*UDSOEF*NtoN2O*kgtoGg,IF('Net zero activities &amp; levers'!$C$14="On",'Net zero Activity data'!BI74*UDSOEF*NtoN2O*kgtoGg,"ERROR"))</f>
        <v>0.77287850467741359</v>
      </c>
      <c r="AQ1144" s="94">
        <f>IF('Net zero activities &amp; levers'!$C$14="Off",'Activity data'!BJ74*UDSOEF*NtoN2O*kgtoGg,IF('Net zero activities &amp; levers'!$C$14="On",'Net zero Activity data'!BJ74*UDSOEF*NtoN2O*kgtoGg,"ERROR"))</f>
        <v>0.77378518098285765</v>
      </c>
      <c r="AR1144" s="94">
        <f>IF('Net zero activities &amp; levers'!$C$14="Off",'Activity data'!BK74*UDSOEF*NtoN2O*kgtoGg,IF('Net zero activities &amp; levers'!$C$14="On",'Net zero Activity data'!BK74*UDSOEF*NtoN2O*kgtoGg,"ERROR"))</f>
        <v>0.77458869841791256</v>
      </c>
      <c r="AS1144" s="94">
        <f>IF('Net zero activities &amp; levers'!$C$14="Off",'Activity data'!BL74*UDSOEF*NtoN2O*kgtoGg,IF('Net zero activities &amp; levers'!$C$14="On",'Net zero Activity data'!BL74*UDSOEF*NtoN2O*kgtoGg,"ERROR"))</f>
        <v>0.77528911180488913</v>
      </c>
      <c r="AT1144" s="94">
        <f>IF('Net zero activities &amp; levers'!$C$14="Off",'Activity data'!BM74*UDSOEF*NtoN2O*kgtoGg,IF('Net zero activities &amp; levers'!$C$14="On",'Net zero Activity data'!BM74*UDSOEF*NtoN2O*kgtoGg,"ERROR"))</f>
        <v>0.77588066613277407</v>
      </c>
      <c r="AU1144" s="94">
        <f>IF('Net zero activities &amp; levers'!$C$14="Off",'Activity data'!BN74*UDSOEF*NtoN2O*kgtoGg,IF('Net zero activities &amp; levers'!$C$14="On",'Net zero Activity data'!BN74*UDSOEF*NtoN2O*kgtoGg,"ERROR"))</f>
        <v>0.77636396136599817</v>
      </c>
      <c r="AV1144" s="94">
        <f>IF('Net zero activities &amp; levers'!$C$14="Off",'Activity data'!BO74*UDSOEF*NtoN2O*kgtoGg,IF('Net zero activities &amp; levers'!$C$14="On",'Net zero Activity data'!BO74*UDSOEF*NtoN2O*kgtoGg,"ERROR"))</f>
        <v>0.77675301530412866</v>
      </c>
      <c r="AW1144" s="94">
        <f>IF('Net zero activities &amp; levers'!$C$14="Off",'Activity data'!BP74*UDSOEF*NtoN2O*kgtoGg,IF('Net zero activities &amp; levers'!$C$14="On",'Net zero Activity data'!BP74*UDSOEF*NtoN2O*kgtoGg,"ERROR"))</f>
        <v>0.77697098593778646</v>
      </c>
      <c r="AY1144" s="79"/>
    </row>
    <row r="1145" spans="1:51" x14ac:dyDescent="0.25">
      <c r="A1145" s="95" t="str">
        <f t="shared" si="374"/>
        <v>CM U&amp;D</v>
      </c>
      <c r="B1145" s="95" t="s">
        <v>1321</v>
      </c>
      <c r="C1145" s="95" t="s">
        <v>1335</v>
      </c>
      <c r="D1145" t="s">
        <v>369</v>
      </c>
      <c r="E1145" t="s">
        <v>55</v>
      </c>
      <c r="F1145" t="s">
        <v>422</v>
      </c>
      <c r="G1145" t="s">
        <v>1169</v>
      </c>
      <c r="H1145" t="s">
        <v>1248</v>
      </c>
      <c r="I1145" t="s">
        <v>139</v>
      </c>
      <c r="J1145" t="s">
        <v>287</v>
      </c>
      <c r="K1145" s="94">
        <f>IF('Net zero activities &amp; levers'!$C$14="Off",'Activity data'!AD75*UDSOEF*NtoN2O*kgtoGg,IF('Net zero activities &amp; levers'!$C$14="On",'Net zero Activity data'!AD75*UDSOEF*NtoN2O*kgtoGg,"ERROR"))</f>
        <v>1.1867254191644501</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1.2198688909683482</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1.2248838955955119</v>
      </c>
      <c r="T1145" s="94">
        <f>IF('Net zero activities &amp; levers'!$C$14="Off",'Activity data'!AM75*UDSOEF*NtoN2O*kgtoGg,IF('Net zero activities &amp; levers'!$C$14="On",'Net zero Activity data'!AM75*UDSOEF*NtoN2O*kgtoGg,"ERROR"))</f>
        <v>1.2269894721858747</v>
      </c>
      <c r="U1145" s="94">
        <f>IF('Net zero activities &amp; levers'!$C$14="Off",'Activity data'!AN75*UDSOEF*NtoN2O*kgtoGg,IF('Net zero activities &amp; levers'!$C$14="On",'Net zero Activity data'!AN75*UDSOEF*NtoN2O*kgtoGg,"ERROR"))</f>
        <v>1.2271937942404954</v>
      </c>
      <c r="V1145" s="94">
        <f>IF('Net zero activities &amp; levers'!$C$14="Off",'Activity data'!AO75*UDSOEF*NtoN2O*kgtoGg,IF('Net zero activities &amp; levers'!$C$14="On",'Net zero Activity data'!AO75*UDSOEF*NtoN2O*kgtoGg,"ERROR"))</f>
        <v>1.2277555495590562</v>
      </c>
      <c r="W1145" s="94">
        <f>IF('Net zero activities &amp; levers'!$C$14="Off",'Activity data'!AP75*UDSOEF*NtoN2O*kgtoGg,IF('Net zero activities &amp; levers'!$C$14="On",'Net zero Activity data'!AP75*UDSOEF*NtoN2O*kgtoGg,"ERROR"))</f>
        <v>1.2302392225775656</v>
      </c>
      <c r="X1145" s="94">
        <f>IF('Net zero activities &amp; levers'!$C$14="Off",'Activity data'!AQ75*UDSOEF*NtoN2O*kgtoGg,IF('Net zero activities &amp; levers'!$C$14="On",'Net zero Activity data'!AQ75*UDSOEF*NtoN2O*kgtoGg,"ERROR"))</f>
        <v>1.2338925667145779</v>
      </c>
      <c r="Y1145" s="94">
        <f>IF('Net zero activities &amp; levers'!$C$14="Off",'Activity data'!AR75*UDSOEF*NtoN2O*kgtoGg,IF('Net zero activities &amp; levers'!$C$14="On",'Net zero Activity data'!AR75*UDSOEF*NtoN2O*kgtoGg,"ERROR"))</f>
        <v>1.2373411307861553</v>
      </c>
      <c r="Z1145" s="94">
        <f>IF('Net zero activities &amp; levers'!$C$14="Off",'Activity data'!AS75*UDSOEF*NtoN2O*kgtoGg,IF('Net zero activities &amp; levers'!$C$14="On",'Net zero Activity data'!AS75*UDSOEF*NtoN2O*kgtoGg,"ERROR"))</f>
        <v>1.2406011294465342</v>
      </c>
      <c r="AA1145" s="94">
        <f>IF('Net zero activities &amp; levers'!$C$14="Off",'Activity data'!AT75*UDSOEF*NtoN2O*kgtoGg,IF('Net zero activities &amp; levers'!$C$14="On",'Net zero Activity data'!AT75*UDSOEF*NtoN2O*kgtoGg,"ERROR"))</f>
        <v>1.2436742313467632</v>
      </c>
      <c r="AB1145" s="94">
        <f>IF('Net zero activities &amp; levers'!$C$14="Off",'Activity data'!AU75*UDSOEF*NtoN2O*kgtoGg,IF('Net zero activities &amp; levers'!$C$14="On",'Net zero Activity data'!AU75*UDSOEF*NtoN2O*kgtoGg,"ERROR"))</f>
        <v>1.2466240247269491</v>
      </c>
      <c r="AC1145" s="94">
        <f>IF('Net zero activities &amp; levers'!$C$14="Off",'Activity data'!AV75*UDSOEF*NtoN2O*kgtoGg,IF('Net zero activities &amp; levers'!$C$14="On",'Net zero Activity data'!AV75*UDSOEF*NtoN2O*kgtoGg,"ERROR"))</f>
        <v>1.2494947681568149</v>
      </c>
      <c r="AD1145" s="94">
        <f>IF('Net zero activities &amp; levers'!$C$14="Off",'Activity data'!AW75*UDSOEF*NtoN2O*kgtoGg,IF('Net zero activities &amp; levers'!$C$14="On",'Net zero Activity data'!AW75*UDSOEF*NtoN2O*kgtoGg,"ERROR"))</f>
        <v>1.2522630241825274</v>
      </c>
      <c r="AE1145" s="94">
        <f>IF('Net zero activities &amp; levers'!$C$14="Off",'Activity data'!AX75*UDSOEF*NtoN2O*kgtoGg,IF('Net zero activities &amp; levers'!$C$14="On",'Net zero Activity data'!AX75*UDSOEF*NtoN2O*kgtoGg,"ERROR"))</f>
        <v>1.2549703719817464</v>
      </c>
      <c r="AF1145" s="94">
        <f>IF('Net zero activities &amp; levers'!$C$14="Off",'Activity data'!AY75*UDSOEF*NtoN2O*kgtoGg,IF('Net zero activities &amp; levers'!$C$14="On",'Net zero Activity data'!AY75*UDSOEF*NtoN2O*kgtoGg,"ERROR"))</f>
        <v>1.2576115198128128</v>
      </c>
      <c r="AG1145" s="94">
        <f>IF('Net zero activities &amp; levers'!$C$14="Off",'Activity data'!AZ75*UDSOEF*NtoN2O*kgtoGg,IF('Net zero activities &amp; levers'!$C$14="On",'Net zero Activity data'!AZ75*UDSOEF*NtoN2O*kgtoGg,"ERROR"))</f>
        <v>1.2601683954961149</v>
      </c>
      <c r="AH1145" s="94">
        <f>IF('Net zero activities &amp; levers'!$C$14="Off",'Activity data'!BA75*UDSOEF*NtoN2O*kgtoGg,IF('Net zero activities &amp; levers'!$C$14="On",'Net zero Activity data'!BA75*UDSOEF*NtoN2O*kgtoGg,"ERROR"))</f>
        <v>1.2626549149649742</v>
      </c>
      <c r="AI1145" s="94">
        <f>IF('Net zero activities &amp; levers'!$C$14="Off",'Activity data'!BB75*UDSOEF*NtoN2O*kgtoGg,IF('Net zero activities &amp; levers'!$C$14="On",'Net zero Activity data'!BB75*UDSOEF*NtoN2O*kgtoGg,"ERROR"))</f>
        <v>1.2650761576385281</v>
      </c>
      <c r="AJ1145" s="94">
        <f>IF('Net zero activities &amp; levers'!$C$14="Off",'Activity data'!BC75*UDSOEF*NtoN2O*kgtoGg,IF('Net zero activities &amp; levers'!$C$14="On",'Net zero Activity data'!BC75*UDSOEF*NtoN2O*kgtoGg,"ERROR"))</f>
        <v>1.2674427544538867</v>
      </c>
      <c r="AK1145" s="94">
        <f>IF('Net zero activities &amp; levers'!$C$14="Off",'Activity data'!BD75*UDSOEF*NtoN2O*kgtoGg,IF('Net zero activities &amp; levers'!$C$14="On",'Net zero Activity data'!BD75*UDSOEF*NtoN2O*kgtoGg,"ERROR"))</f>
        <v>1.2696813278770511</v>
      </c>
      <c r="AL1145" s="94">
        <f>IF('Net zero activities &amp; levers'!$C$14="Off",'Activity data'!BE75*UDSOEF*NtoN2O*kgtoGg,IF('Net zero activities &amp; levers'!$C$14="On",'Net zero Activity data'!BE75*UDSOEF*NtoN2O*kgtoGg,"ERROR"))</f>
        <v>1.2717913487666579</v>
      </c>
      <c r="AM1145" s="94">
        <f>IF('Net zero activities &amp; levers'!$C$14="Off",'Activity data'!BF75*UDSOEF*NtoN2O*kgtoGg,IF('Net zero activities &amp; levers'!$C$14="On",'Net zero Activity data'!BF75*UDSOEF*NtoN2O*kgtoGg,"ERROR"))</f>
        <v>1.2737960605747884</v>
      </c>
      <c r="AN1145" s="94">
        <f>IF('Net zero activities &amp; levers'!$C$14="Off",'Activity data'!BG75*UDSOEF*NtoN2O*kgtoGg,IF('Net zero activities &amp; levers'!$C$14="On",'Net zero Activity data'!BG75*UDSOEF*NtoN2O*kgtoGg,"ERROR"))</f>
        <v>1.2756805194802561</v>
      </c>
      <c r="AO1145" s="94">
        <f>IF('Net zero activities &amp; levers'!$C$14="Off",'Activity data'!BH75*UDSOEF*NtoN2O*kgtoGg,IF('Net zero activities &amp; levers'!$C$14="On",'Net zero Activity data'!BH75*UDSOEF*NtoN2O*kgtoGg,"ERROR"))</f>
        <v>1.2774503349160069</v>
      </c>
      <c r="AP1145" s="94">
        <f>IF('Net zero activities &amp; levers'!$C$14="Off",'Activity data'!BI75*UDSOEF*NtoN2O*kgtoGg,IF('Net zero activities &amp; levers'!$C$14="On",'Net zero Activity data'!BI75*UDSOEF*NtoN2O*kgtoGg,"ERROR"))</f>
        <v>1.2790982260509465</v>
      </c>
      <c r="AQ1145" s="94">
        <f>IF('Net zero activities &amp; levers'!$C$14="Off",'Activity data'!BJ75*UDSOEF*NtoN2O*kgtoGg,IF('Net zero activities &amp; levers'!$C$14="On",'Net zero Activity data'!BJ75*UDSOEF*NtoN2O*kgtoGg,"ERROR"))</f>
        <v>1.2805987569194814</v>
      </c>
      <c r="AR1145" s="94">
        <f>IF('Net zero activities &amp; levers'!$C$14="Off",'Activity data'!BK75*UDSOEF*NtoN2O*kgtoGg,IF('Net zero activities &amp; levers'!$C$14="On",'Net zero Activity data'!BK75*UDSOEF*NtoN2O*kgtoGg,"ERROR"))</f>
        <v>1.2819285619529504</v>
      </c>
      <c r="AS1145" s="94">
        <f>IF('Net zero activities &amp; levers'!$C$14="Off",'Activity data'!BL75*UDSOEF*NtoN2O*kgtoGg,IF('Net zero activities &amp; levers'!$C$14="On",'Net zero Activity data'!BL75*UDSOEF*NtoN2O*kgtoGg,"ERROR"))</f>
        <v>1.2830877318811631</v>
      </c>
      <c r="AT1145" s="94">
        <f>IF('Net zero activities &amp; levers'!$C$14="Off",'Activity data'!BM75*UDSOEF*NtoN2O*kgtoGg,IF('Net zero activities &amp; levers'!$C$14="On",'Net zero Activity data'!BM75*UDSOEF*NtoN2O*kgtoGg,"ERROR"))</f>
        <v>1.2840667422777918</v>
      </c>
      <c r="AU1145" s="94">
        <f>IF('Net zero activities &amp; levers'!$C$14="Off",'Activity data'!BN75*UDSOEF*NtoN2O*kgtoGg,IF('Net zero activities &amp; levers'!$C$14="On",'Net zero Activity data'!BN75*UDSOEF*NtoN2O*kgtoGg,"ERROR"))</f>
        <v>1.2848665860717841</v>
      </c>
      <c r="AV1145" s="94">
        <f>IF('Net zero activities &amp; levers'!$C$14="Off",'Activity data'!BO75*UDSOEF*NtoN2O*kgtoGg,IF('Net zero activities &amp; levers'!$C$14="On",'Net zero Activity data'!BO75*UDSOEF*NtoN2O*kgtoGg,"ERROR"))</f>
        <v>1.2855104624366835</v>
      </c>
      <c r="AW1145" s="94">
        <f>IF('Net zero activities &amp; levers'!$C$14="Off",'Activity data'!BP75*UDSOEF*NtoN2O*kgtoGg,IF('Net zero activities &amp; levers'!$C$14="On",'Net zero Activity data'!BP75*UDSOEF*NtoN2O*kgtoGg,"ERROR"))</f>
        <v>1.2858711994078322</v>
      </c>
      <c r="AY1145" s="79"/>
    </row>
    <row r="1146" spans="1:51" x14ac:dyDescent="0.25">
      <c r="A1146" s="95" t="str">
        <f t="shared" si="374"/>
        <v>CM U&amp;D</v>
      </c>
      <c r="B1146" s="95" t="s">
        <v>1321</v>
      </c>
      <c r="C1146" s="95" t="s">
        <v>1335</v>
      </c>
      <c r="D1146" t="s">
        <v>369</v>
      </c>
      <c r="E1146" t="s">
        <v>55</v>
      </c>
      <c r="F1146" t="s">
        <v>422</v>
      </c>
      <c r="G1146" t="s">
        <v>1171</v>
      </c>
      <c r="H1146" t="s">
        <v>1249</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0.19381280191845884</v>
      </c>
      <c r="N1146" s="94">
        <f>IF('Net zero activities &amp; levers'!$C$14="Off",'Activity data'!AG76*UDSOEF*NtoN2O*kgtoGg,IF('Net zero activities &amp; levers'!$C$14="On",'Net zero Activity data'!AG76*UDSOEF*NtoN2O*kgtoGg,"ERROR"))</f>
        <v>0.19411375969056655</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0.19132863754616411</v>
      </c>
      <c r="S1146" s="94">
        <f>IF('Net zero activities &amp; levers'!$C$14="Off",'Activity data'!AL76*UDSOEF*NtoN2O*kgtoGg,IF('Net zero activities &amp; levers'!$C$14="On",'Net zero Activity data'!AL76*UDSOEF*NtoN2O*kgtoGg,"ERROR"))</f>
        <v>0.18266880885015579</v>
      </c>
      <c r="T1146" s="94">
        <f>IF('Net zero activities &amp; levers'!$C$14="Off",'Activity data'!AM76*UDSOEF*NtoN2O*kgtoGg,IF('Net zero activities &amp; levers'!$C$14="On",'Net zero Activity data'!AM76*UDSOEF*NtoN2O*kgtoGg,"ERROR"))</f>
        <v>0.18809378134692423</v>
      </c>
      <c r="U1146" s="94">
        <f>IF('Net zero activities &amp; levers'!$C$14="Off",'Activity data'!AN76*UDSOEF*NtoN2O*kgtoGg,IF('Net zero activities &amp; levers'!$C$14="On",'Net zero Activity data'!AN76*UDSOEF*NtoN2O*kgtoGg,"ERROR"))</f>
        <v>0.19079942650123977</v>
      </c>
      <c r="V1146" s="94">
        <f>IF('Net zero activities &amp; levers'!$C$14="Off",'Activity data'!AO76*UDSOEF*NtoN2O*kgtoGg,IF('Net zero activities &amp; levers'!$C$14="On",'Net zero Activity data'!AO76*UDSOEF*NtoN2O*kgtoGg,"ERROR"))</f>
        <v>0.19120805768125793</v>
      </c>
      <c r="W1146" s="94">
        <f>IF('Net zero activities &amp; levers'!$C$14="Off",'Activity data'!AP76*UDSOEF*NtoN2O*kgtoGg,IF('Net zero activities &amp; levers'!$C$14="On",'Net zero Activity data'!AP76*UDSOEF*NtoN2O*kgtoGg,"ERROR"))</f>
        <v>0.191567581973451</v>
      </c>
      <c r="X1146" s="94">
        <f>IF('Net zero activities &amp; levers'!$C$14="Off",'Activity data'!AQ76*UDSOEF*NtoN2O*kgtoGg,IF('Net zero activities &amp; levers'!$C$14="On",'Net zero Activity data'!AQ76*UDSOEF*NtoN2O*kgtoGg,"ERROR"))</f>
        <v>0.19243995083448096</v>
      </c>
      <c r="Y1146" s="94">
        <f>IF('Net zero activities &amp; levers'!$C$14="Off",'Activity data'!AR76*UDSOEF*NtoN2O*kgtoGg,IF('Net zero activities &amp; levers'!$C$14="On",'Net zero Activity data'!AR76*UDSOEF*NtoN2O*kgtoGg,"ERROR"))</f>
        <v>0.1939290152815269</v>
      </c>
      <c r="Z1146" s="94">
        <f>IF('Net zero activities &amp; levers'!$C$14="Off",'Activity data'!AS76*UDSOEF*NtoN2O*kgtoGg,IF('Net zero activities &amp; levers'!$C$14="On",'Net zero Activity data'!AS76*UDSOEF*NtoN2O*kgtoGg,"ERROR"))</f>
        <v>0.19572566733105584</v>
      </c>
      <c r="AA1146" s="94">
        <f>IF('Net zero activities &amp; levers'!$C$14="Off",'Activity data'!AT76*UDSOEF*NtoN2O*kgtoGg,IF('Net zero activities &amp; levers'!$C$14="On",'Net zero Activity data'!AT76*UDSOEF*NtoN2O*kgtoGg,"ERROR"))</f>
        <v>0.19791142753361757</v>
      </c>
      <c r="AB1146" s="94">
        <f>IF('Net zero activities &amp; levers'!$C$14="Off",'Activity data'!AU76*UDSOEF*NtoN2O*kgtoGg,IF('Net zero activities &amp; levers'!$C$14="On",'Net zero Activity data'!AU76*UDSOEF*NtoN2O*kgtoGg,"ERROR"))</f>
        <v>0.20073163120248141</v>
      </c>
      <c r="AC1146" s="94">
        <f>IF('Net zero activities &amp; levers'!$C$14="Off",'Activity data'!AV76*UDSOEF*NtoN2O*kgtoGg,IF('Net zero activities &amp; levers'!$C$14="On",'Net zero Activity data'!AV76*UDSOEF*NtoN2O*kgtoGg,"ERROR"))</f>
        <v>0.20414944143031946</v>
      </c>
      <c r="AD1146" s="94">
        <f>IF('Net zero activities &amp; levers'!$C$14="Off",'Activity data'!AW76*UDSOEF*NtoN2O*kgtoGg,IF('Net zero activities &amp; levers'!$C$14="On",'Net zero Activity data'!AW76*UDSOEF*NtoN2O*kgtoGg,"ERROR"))</f>
        <v>0.2079342142091529</v>
      </c>
      <c r="AE1146" s="94">
        <f>IF('Net zero activities &amp; levers'!$C$14="Off",'Activity data'!AX76*UDSOEF*NtoN2O*kgtoGg,IF('Net zero activities &amp; levers'!$C$14="On",'Net zero Activity data'!AX76*UDSOEF*NtoN2O*kgtoGg,"ERROR"))</f>
        <v>0.2120704701686861</v>
      </c>
      <c r="AF1146" s="94">
        <f>IF('Net zero activities &amp; levers'!$C$14="Off",'Activity data'!AY76*UDSOEF*NtoN2O*kgtoGg,IF('Net zero activities &amp; levers'!$C$14="On",'Net zero Activity data'!AY76*UDSOEF*NtoN2O*kgtoGg,"ERROR"))</f>
        <v>0.21643036681214611</v>
      </c>
      <c r="AG1146" s="94">
        <f>IF('Net zero activities &amp; levers'!$C$14="Off",'Activity data'!AZ76*UDSOEF*NtoN2O*kgtoGg,IF('Net zero activities &amp; levers'!$C$14="On",'Net zero Activity data'!AZ76*UDSOEF*NtoN2O*kgtoGg,"ERROR"))</f>
        <v>0.22107481526755876</v>
      </c>
      <c r="AH1146" s="94">
        <f>IF('Net zero activities &amp; levers'!$C$14="Off",'Activity data'!BA76*UDSOEF*NtoN2O*kgtoGg,IF('Net zero activities &amp; levers'!$C$14="On",'Net zero Activity data'!BA76*UDSOEF*NtoN2O*kgtoGg,"ERROR"))</f>
        <v>0.22594299924319575</v>
      </c>
      <c r="AI1146" s="94">
        <f>IF('Net zero activities &amp; levers'!$C$14="Off",'Activity data'!BB76*UDSOEF*NtoN2O*kgtoGg,IF('Net zero activities &amp; levers'!$C$14="On",'Net zero Activity data'!BB76*UDSOEF*NtoN2O*kgtoGg,"ERROR"))</f>
        <v>0.23081287404445633</v>
      </c>
      <c r="AJ1146" s="94">
        <f>IF('Net zero activities &amp; levers'!$C$14="Off",'Activity data'!BC76*UDSOEF*NtoN2O*kgtoGg,IF('Net zero activities &amp; levers'!$C$14="On",'Net zero Activity data'!BC76*UDSOEF*NtoN2O*kgtoGg,"ERROR"))</f>
        <v>0.23600481014510816</v>
      </c>
      <c r="AK1146" s="94">
        <f>IF('Net zero activities &amp; levers'!$C$14="Off",'Activity data'!BD76*UDSOEF*NtoN2O*kgtoGg,IF('Net zero activities &amp; levers'!$C$14="On",'Net zero Activity data'!BD76*UDSOEF*NtoN2O*kgtoGg,"ERROR"))</f>
        <v>0.24132262653826006</v>
      </c>
      <c r="AL1146" s="94">
        <f>IF('Net zero activities &amp; levers'!$C$14="Off",'Activity data'!BE76*UDSOEF*NtoN2O*kgtoGg,IF('Net zero activities &amp; levers'!$C$14="On",'Net zero Activity data'!BE76*UDSOEF*NtoN2O*kgtoGg,"ERROR"))</f>
        <v>0.24675186109010536</v>
      </c>
      <c r="AM1146" s="94">
        <f>IF('Net zero activities &amp; levers'!$C$14="Off",'Activity data'!BF76*UDSOEF*NtoN2O*kgtoGg,IF('Net zero activities &amp; levers'!$C$14="On",'Net zero Activity data'!BF76*UDSOEF*NtoN2O*kgtoGg,"ERROR"))</f>
        <v>0.25238913765935056</v>
      </c>
      <c r="AN1146" s="94">
        <f>IF('Net zero activities &amp; levers'!$C$14="Off",'Activity data'!BG76*UDSOEF*NtoN2O*kgtoGg,IF('Net zero activities &amp; levers'!$C$14="On",'Net zero Activity data'!BG76*UDSOEF*NtoN2O*kgtoGg,"ERROR"))</f>
        <v>0.25799715238539928</v>
      </c>
      <c r="AO1146" s="94">
        <f>IF('Net zero activities &amp; levers'!$C$14="Off",'Activity data'!BH76*UDSOEF*NtoN2O*kgtoGg,IF('Net zero activities &amp; levers'!$C$14="On",'Net zero Activity data'!BH76*UDSOEF*NtoN2O*kgtoGg,"ERROR"))</f>
        <v>0.26391035530015045</v>
      </c>
      <c r="AP1146" s="94">
        <f>IF('Net zero activities &amp; levers'!$C$14="Off",'Activity data'!BI76*UDSOEF*NtoN2O*kgtoGg,IF('Net zero activities &amp; levers'!$C$14="On",'Net zero Activity data'!BI76*UDSOEF*NtoN2O*kgtoGg,"ERROR"))</f>
        <v>0.27025468976471112</v>
      </c>
      <c r="AQ1146" s="94">
        <f>IF('Net zero activities &amp; levers'!$C$14="Off",'Activity data'!BJ76*UDSOEF*NtoN2O*kgtoGg,IF('Net zero activities &amp; levers'!$C$14="On",'Net zero Activity data'!BJ76*UDSOEF*NtoN2O*kgtoGg,"ERROR"))</f>
        <v>0.27683409216202315</v>
      </c>
      <c r="AR1146" s="94">
        <f>IF('Net zero activities &amp; levers'!$C$14="Off",'Activity data'!BK76*UDSOEF*NtoN2O*kgtoGg,IF('Net zero activities &amp; levers'!$C$14="On",'Net zero Activity data'!BK76*UDSOEF*NtoN2O*kgtoGg,"ERROR"))</f>
        <v>0.28366954305937575</v>
      </c>
      <c r="AS1146" s="94">
        <f>IF('Net zero activities &amp; levers'!$C$14="Off",'Activity data'!BL76*UDSOEF*NtoN2O*kgtoGg,IF('Net zero activities &amp; levers'!$C$14="On",'Net zero Activity data'!BL76*UDSOEF*NtoN2O*kgtoGg,"ERROR"))</f>
        <v>0.29099654328717883</v>
      </c>
      <c r="AT1146" s="94">
        <f>IF('Net zero activities &amp; levers'!$C$14="Off",'Activity data'!BM76*UDSOEF*NtoN2O*kgtoGg,IF('Net zero activities &amp; levers'!$C$14="On",'Net zero Activity data'!BM76*UDSOEF*NtoN2O*kgtoGg,"ERROR"))</f>
        <v>0.29875152246319292</v>
      </c>
      <c r="AU1146" s="94">
        <f>IF('Net zero activities &amp; levers'!$C$14="Off",'Activity data'!BN76*UDSOEF*NtoN2O*kgtoGg,IF('Net zero activities &amp; levers'!$C$14="On",'Net zero Activity data'!BN76*UDSOEF*NtoN2O*kgtoGg,"ERROR"))</f>
        <v>0.30689307002053717</v>
      </c>
      <c r="AV1146" s="94">
        <f>IF('Net zero activities &amp; levers'!$C$14="Off",'Activity data'!BO76*UDSOEF*NtoN2O*kgtoGg,IF('Net zero activities &amp; levers'!$C$14="On",'Net zero Activity data'!BO76*UDSOEF*NtoN2O*kgtoGg,"ERROR"))</f>
        <v>0.31557625829716562</v>
      </c>
      <c r="AW1146" s="94">
        <f>IF('Net zero activities &amp; levers'!$C$14="Off",'Activity data'!BP76*UDSOEF*NtoN2O*kgtoGg,IF('Net zero activities &amp; levers'!$C$14="On",'Net zero Activity data'!BP76*UDSOEF*NtoN2O*kgtoGg,"ERROR"))</f>
        <v>0.32396777623584005</v>
      </c>
      <c r="AY1146" s="79"/>
    </row>
    <row r="1147" spans="1:51" x14ac:dyDescent="0.25">
      <c r="A1147" s="95" t="str">
        <f t="shared" si="374"/>
        <v>CM U&amp;D</v>
      </c>
      <c r="B1147" s="95" t="s">
        <v>1321</v>
      </c>
      <c r="C1147" s="95" t="s">
        <v>1335</v>
      </c>
      <c r="D1147" t="s">
        <v>369</v>
      </c>
      <c r="E1147" t="s">
        <v>55</v>
      </c>
      <c r="F1147" t="s">
        <v>422</v>
      </c>
      <c r="G1147" t="s">
        <v>1173</v>
      </c>
      <c r="H1147" t="s">
        <v>1250</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5">
      <c r="A1148" s="95" t="str">
        <f t="shared" si="374"/>
        <v>CM U&amp;D</v>
      </c>
      <c r="B1148" s="95" t="s">
        <v>1321</v>
      </c>
      <c r="C1148" s="95" t="s">
        <v>1335</v>
      </c>
      <c r="D1148" t="s">
        <v>369</v>
      </c>
      <c r="E1148" t="s">
        <v>55</v>
      </c>
      <c r="F1148" t="s">
        <v>422</v>
      </c>
      <c r="G1148" t="s">
        <v>1175</v>
      </c>
      <c r="H1148" t="s">
        <v>1251</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5">
      <c r="A1149" s="95" t="str">
        <f t="shared" si="374"/>
        <v>CM U&amp;D</v>
      </c>
      <c r="B1149" s="95" t="s">
        <v>1321</v>
      </c>
      <c r="C1149" s="95" t="s">
        <v>1335</v>
      </c>
      <c r="D1149" t="s">
        <v>369</v>
      </c>
      <c r="E1149" t="s">
        <v>55</v>
      </c>
      <c r="F1149" t="s">
        <v>422</v>
      </c>
      <c r="G1149" t="s">
        <v>1177</v>
      </c>
      <c r="H1149" t="s">
        <v>1252</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5">
      <c r="A1150" s="95" t="str">
        <f t="shared" si="374"/>
        <v>CM U&amp;D</v>
      </c>
      <c r="B1150" s="95" t="s">
        <v>1321</v>
      </c>
      <c r="C1150" s="95" t="s">
        <v>1335</v>
      </c>
      <c r="D1150" t="s">
        <v>369</v>
      </c>
      <c r="E1150" t="s">
        <v>55</v>
      </c>
      <c r="F1150" t="s">
        <v>422</v>
      </c>
      <c r="G1150" t="s">
        <v>1179</v>
      </c>
      <c r="H1150" t="s">
        <v>1253</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5">
      <c r="A1151" s="95" t="str">
        <f t="shared" si="374"/>
        <v>CM U&amp;D</v>
      </c>
      <c r="B1151" s="95" t="s">
        <v>1321</v>
      </c>
      <c r="C1151" s="95" t="s">
        <v>1335</v>
      </c>
      <c r="D1151" t="s">
        <v>369</v>
      </c>
      <c r="E1151" t="s">
        <v>55</v>
      </c>
      <c r="F1151" t="s">
        <v>422</v>
      </c>
      <c r="G1151" t="s">
        <v>1181</v>
      </c>
      <c r="H1151" t="s">
        <v>1254</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5">
      <c r="A1152" s="95" t="str">
        <f t="shared" si="374"/>
        <v>CM FSOM</v>
      </c>
      <c r="B1152" s="95" t="s">
        <v>1321</v>
      </c>
      <c r="C1152" s="95" t="s">
        <v>60</v>
      </c>
      <c r="D1152" t="s">
        <v>369</v>
      </c>
      <c r="E1152" t="s">
        <v>55</v>
      </c>
      <c r="F1152" t="s">
        <v>60</v>
      </c>
      <c r="G1152" t="s">
        <v>1265</v>
      </c>
      <c r="H1152" t="s">
        <v>1266</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5">
      <c r="A1153" s="95" t="str">
        <f t="shared" si="374"/>
        <v>CM FSOM</v>
      </c>
      <c r="B1153" s="95" t="s">
        <v>1321</v>
      </c>
      <c r="C1153" s="95" t="s">
        <v>60</v>
      </c>
      <c r="D1153" t="s">
        <v>369</v>
      </c>
      <c r="E1153" t="s">
        <v>55</v>
      </c>
      <c r="F1153" t="s">
        <v>60</v>
      </c>
      <c r="G1153" t="s">
        <v>1267</v>
      </c>
      <c r="H1153" t="s">
        <v>1268</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5">
      <c r="A1154" s="95" t="str">
        <f t="shared" si="374"/>
        <v>CM FSOM</v>
      </c>
      <c r="B1154" s="95" t="s">
        <v>1321</v>
      </c>
      <c r="C1154" s="95" t="s">
        <v>60</v>
      </c>
      <c r="D1154" t="s">
        <v>369</v>
      </c>
      <c r="E1154" t="s">
        <v>55</v>
      </c>
      <c r="F1154" t="s">
        <v>60</v>
      </c>
      <c r="G1154" t="s">
        <v>1269</v>
      </c>
      <c r="H1154" t="s">
        <v>1270</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5">
      <c r="A1155" s="95" t="str">
        <f t="shared" si="374"/>
        <v>CM FSOM</v>
      </c>
      <c r="B1155" s="95" t="s">
        <v>1321</v>
      </c>
      <c r="C1155" s="95" t="s">
        <v>60</v>
      </c>
      <c r="D1155" t="s">
        <v>369</v>
      </c>
      <c r="E1155" t="s">
        <v>55</v>
      </c>
      <c r="F1155" t="s">
        <v>60</v>
      </c>
      <c r="G1155" t="s">
        <v>1271</v>
      </c>
      <c r="H1155" t="s">
        <v>1272</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5">
      <c r="A1156" s="95" t="str">
        <f t="shared" si="374"/>
        <v>CM FSOM</v>
      </c>
      <c r="B1156" s="95" t="s">
        <v>1321</v>
      </c>
      <c r="C1156" s="95" t="s">
        <v>60</v>
      </c>
      <c r="D1156" t="s">
        <v>369</v>
      </c>
      <c r="E1156" t="s">
        <v>55</v>
      </c>
      <c r="F1156" t="s">
        <v>60</v>
      </c>
      <c r="G1156" t="s">
        <v>1273</v>
      </c>
      <c r="H1156" t="s">
        <v>1274</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5">
      <c r="A1157" s="95" t="str">
        <f t="shared" si="374"/>
        <v>CM FSOM</v>
      </c>
      <c r="B1157" s="95" t="s">
        <v>1321</v>
      </c>
      <c r="C1157" s="95" t="s">
        <v>60</v>
      </c>
      <c r="D1157" t="s">
        <v>369</v>
      </c>
      <c r="E1157" t="s">
        <v>55</v>
      </c>
      <c r="F1157" t="s">
        <v>60</v>
      </c>
      <c r="G1157" t="s">
        <v>1275</v>
      </c>
      <c r="H1157" t="s">
        <v>1276</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5">
      <c r="A1158" s="95" t="str">
        <f t="shared" si="374"/>
        <v>CM FSOM</v>
      </c>
      <c r="B1158" s="95" t="s">
        <v>1321</v>
      </c>
      <c r="C1158" s="95" t="s">
        <v>60</v>
      </c>
      <c r="D1158" t="s">
        <v>369</v>
      </c>
      <c r="E1158" t="s">
        <v>55</v>
      </c>
      <c r="F1158" t="s">
        <v>60</v>
      </c>
      <c r="G1158" t="s">
        <v>1277</v>
      </c>
      <c r="H1158" t="s">
        <v>1278</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5">
      <c r="A1159" s="95" t="str">
        <f t="shared" si="374"/>
        <v>CM FSOM</v>
      </c>
      <c r="B1159" s="95" t="s">
        <v>1321</v>
      </c>
      <c r="C1159" s="95" t="s">
        <v>60</v>
      </c>
      <c r="D1159" t="s">
        <v>369</v>
      </c>
      <c r="E1159" t="s">
        <v>55</v>
      </c>
      <c r="F1159" t="s">
        <v>60</v>
      </c>
      <c r="G1159" t="s">
        <v>1279</v>
      </c>
      <c r="H1159" t="s">
        <v>1280</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5">
      <c r="A1160" s="95" t="str">
        <f t="shared" si="374"/>
        <v>CM FSOM</v>
      </c>
      <c r="B1160" s="95" t="s">
        <v>1321</v>
      </c>
      <c r="C1160" s="95" t="s">
        <v>60</v>
      </c>
      <c r="D1160" t="s">
        <v>369</v>
      </c>
      <c r="E1160" t="s">
        <v>55</v>
      </c>
      <c r="F1160" t="s">
        <v>60</v>
      </c>
      <c r="G1160" t="s">
        <v>1281</v>
      </c>
      <c r="H1160" t="s">
        <v>1282</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5">
      <c r="A1161" s="95" t="str">
        <f t="shared" si="374"/>
        <v>CM FSOM</v>
      </c>
      <c r="B1161" s="95" t="s">
        <v>1321</v>
      </c>
      <c r="C1161" s="95" t="s">
        <v>60</v>
      </c>
      <c r="D1161" t="s">
        <v>369</v>
      </c>
      <c r="E1161" t="s">
        <v>55</v>
      </c>
      <c r="F1161" t="s">
        <v>60</v>
      </c>
      <c r="G1161" t="s">
        <v>1283</v>
      </c>
      <c r="H1161" t="s">
        <v>1284</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5">
      <c r="A1162" s="95" t="str">
        <f t="shared" si="374"/>
        <v>CM FSOM</v>
      </c>
      <c r="B1162" s="95" t="s">
        <v>1321</v>
      </c>
      <c r="C1162" s="95" t="s">
        <v>60</v>
      </c>
      <c r="D1162" t="s">
        <v>369</v>
      </c>
      <c r="E1162" t="s">
        <v>55</v>
      </c>
      <c r="F1162" t="s">
        <v>60</v>
      </c>
      <c r="G1162" t="s">
        <v>1285</v>
      </c>
      <c r="H1162" t="s">
        <v>1286</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5">
      <c r="A1163" s="95" t="str">
        <f t="shared" si="374"/>
        <v>CM FSOM</v>
      </c>
      <c r="B1163" s="95" t="s">
        <v>1321</v>
      </c>
      <c r="C1163" s="95" t="s">
        <v>60</v>
      </c>
      <c r="D1163" t="s">
        <v>369</v>
      </c>
      <c r="E1163" t="s">
        <v>55</v>
      </c>
      <c r="F1163" t="s">
        <v>60</v>
      </c>
      <c r="G1163" t="s">
        <v>1287</v>
      </c>
      <c r="H1163" t="s">
        <v>1288</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5">
      <c r="A1164" s="95" t="str">
        <f t="shared" si="374"/>
        <v>CM Volatilisation</v>
      </c>
      <c r="B1164" s="95" t="s">
        <v>1321</v>
      </c>
      <c r="C1164" s="95" t="s">
        <v>62</v>
      </c>
      <c r="D1164" t="s">
        <v>369</v>
      </c>
      <c r="E1164" t="s">
        <v>61</v>
      </c>
      <c r="F1164" t="s">
        <v>62</v>
      </c>
      <c r="G1164" t="s">
        <v>435</v>
      </c>
      <c r="H1164" t="s">
        <v>1183</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0.66036342435905737</v>
      </c>
      <c r="U1164" s="94">
        <f>IF('Net zero activities &amp; levers'!$C$14="Off",'Activity data'!AN47*ttokg*FracGASF*MSVolatEF*NtoN2O*kgtoGg,IF('Net zero activities &amp; levers'!$C$14="On",'Net zero Activity data'!AN47*ttokg*FracGASF*MSVolatEF*NtoN2O*kgtoGg,"ERROR"))</f>
        <v>0.66004971859529549</v>
      </c>
      <c r="V1164" s="94">
        <f>IF('Net zero activities &amp; levers'!$C$14="Off",'Activity data'!AO47*ttokg*FracGASF*MSVolatEF*NtoN2O*kgtoGg,IF('Net zero activities &amp; levers'!$C$14="On",'Net zero Activity data'!AO47*ttokg*FracGASF*MSVolatEF*NtoN2O*kgtoGg,"ERROR"))</f>
        <v>0.65987679285209155</v>
      </c>
      <c r="W1164" s="94">
        <f>IF('Net zero activities &amp; levers'!$C$14="Off",'Activity data'!AP47*ttokg*FracGASF*MSVolatEF*NtoN2O*kgtoGg,IF('Net zero activities &amp; levers'!$C$14="On",'Net zero Activity data'!AP47*ttokg*FracGASF*MSVolatEF*NtoN2O*kgtoGg,"ERROR"))</f>
        <v>0.65980968039636112</v>
      </c>
      <c r="X1164" s="94">
        <f>IF('Net zero activities &amp; levers'!$C$14="Off",'Activity data'!AQ47*ttokg*FracGASF*MSVolatEF*NtoN2O*kgtoGg,IF('Net zero activities &amp; levers'!$C$14="On",'Net zero Activity data'!AQ47*ttokg*FracGASF*MSVolatEF*NtoN2O*kgtoGg,"ERROR"))</f>
        <v>0.65973729403354264</v>
      </c>
      <c r="Y1164" s="94">
        <f>IF('Net zero activities &amp; levers'!$C$14="Off",'Activity data'!AR47*ttokg*FracGASF*MSVolatEF*NtoN2O*kgtoGg,IF('Net zero activities &amp; levers'!$C$14="On",'Net zero Activity data'!AR47*ttokg*FracGASF*MSVolatEF*NtoN2O*kgtoGg,"ERROR"))</f>
        <v>0.6596371673513507</v>
      </c>
      <c r="Z1164" s="94">
        <f>IF('Net zero activities &amp; levers'!$C$14="Off",'Activity data'!AS47*ttokg*FracGASF*MSVolatEF*NtoN2O*kgtoGg,IF('Net zero activities &amp; levers'!$C$14="On",'Net zero Activity data'!AS47*ttokg*FracGASF*MSVolatEF*NtoN2O*kgtoGg,"ERROR"))</f>
        <v>0.65951092743964945</v>
      </c>
      <c r="AA1164" s="94">
        <f>IF('Net zero activities &amp; levers'!$C$14="Off",'Activity data'!AT47*ttokg*FracGASF*MSVolatEF*NtoN2O*kgtoGg,IF('Net zero activities &amp; levers'!$C$14="On",'Net zero Activity data'!AT47*ttokg*FracGASF*MSVolatEF*NtoN2O*kgtoGg,"ERROR"))</f>
        <v>0.65937292152761395</v>
      </c>
      <c r="AB1164" s="94">
        <f>IF('Net zero activities &amp; levers'!$C$14="Off",'Activity data'!AU47*ttokg*FracGASF*MSVolatEF*NtoN2O*kgtoGg,IF('Net zero activities &amp; levers'!$C$14="On",'Net zero Activity data'!AU47*ttokg*FracGASF*MSVolatEF*NtoN2O*kgtoGg,"ERROR"))</f>
        <v>0.65921980493186427</v>
      </c>
      <c r="AC1164" s="94">
        <f>IF('Net zero activities &amp; levers'!$C$14="Off",'Activity data'!AV47*ttokg*FracGASF*MSVolatEF*NtoN2O*kgtoGg,IF('Net zero activities &amp; levers'!$C$14="On",'Net zero Activity data'!AV47*ttokg*FracGASF*MSVolatEF*NtoN2O*kgtoGg,"ERROR"))</f>
        <v>0.65904099002136718</v>
      </c>
      <c r="AD1164" s="94">
        <f>IF('Net zero activities &amp; levers'!$C$14="Off",'Activity data'!AW47*ttokg*FracGASF*MSVolatEF*NtoN2O*kgtoGg,IF('Net zero activities &amp; levers'!$C$14="On",'Net zero Activity data'!AW47*ttokg*FracGASF*MSVolatEF*NtoN2O*kgtoGg,"ERROR"))</f>
        <v>0.6588390077412124</v>
      </c>
      <c r="AE1164" s="94">
        <f>IF('Net zero activities &amp; levers'!$C$14="Off",'Activity data'!AX47*ttokg*FracGASF*MSVolatEF*NtoN2O*kgtoGg,IF('Net zero activities &amp; levers'!$C$14="On",'Net zero Activity data'!AX47*ttokg*FracGASF*MSVolatEF*NtoN2O*kgtoGg,"ERROR"))</f>
        <v>0.65862502813307378</v>
      </c>
      <c r="AF1164" s="94">
        <f>IF('Net zero activities &amp; levers'!$C$14="Off",'Activity data'!AY47*ttokg*FracGASF*MSVolatEF*NtoN2O*kgtoGg,IF('Net zero activities &amp; levers'!$C$14="On",'Net zero Activity data'!AY47*ttokg*FracGASF*MSVolatEF*NtoN2O*kgtoGg,"ERROR"))</f>
        <v>0.65840030111280701</v>
      </c>
      <c r="AG1164" s="94">
        <f>IF('Net zero activities &amp; levers'!$C$14="Off",'Activity data'!AZ47*ttokg*FracGASF*MSVolatEF*NtoN2O*kgtoGg,IF('Net zero activities &amp; levers'!$C$14="On",'Net zero Activity data'!AZ47*ttokg*FracGASF*MSVolatEF*NtoN2O*kgtoGg,"ERROR"))</f>
        <v>0.65817083248767305</v>
      </c>
      <c r="AH1164" s="94">
        <f>IF('Net zero activities &amp; levers'!$C$14="Off",'Activity data'!BA47*ttokg*FracGASF*MSVolatEF*NtoN2O*kgtoGg,IF('Net zero activities &amp; levers'!$C$14="On",'Net zero Activity data'!BA47*ttokg*FracGASF*MSVolatEF*NtoN2O*kgtoGg,"ERROR"))</f>
        <v>0.65793473576190653</v>
      </c>
      <c r="AI1164" s="94">
        <f>IF('Net zero activities &amp; levers'!$C$14="Off",'Activity data'!BB47*ttokg*FracGASF*MSVolatEF*NtoN2O*kgtoGg,IF('Net zero activities &amp; levers'!$C$14="On",'Net zero Activity data'!BB47*ttokg*FracGASF*MSVolatEF*NtoN2O*kgtoGg,"ERROR"))</f>
        <v>0.65769490947439302</v>
      </c>
      <c r="AJ1164" s="94">
        <f>IF('Net zero activities &amp; levers'!$C$14="Off",'Activity data'!BC47*ttokg*FracGASF*MSVolatEF*NtoN2O*kgtoGg,IF('Net zero activities &amp; levers'!$C$14="On",'Net zero Activity data'!BC47*ttokg*FracGASF*MSVolatEF*NtoN2O*kgtoGg,"ERROR"))</f>
        <v>0.65746015679174796</v>
      </c>
      <c r="AK1164" s="94">
        <f>IF('Net zero activities &amp; levers'!$C$14="Off",'Activity data'!BD47*ttokg*FracGASF*MSVolatEF*NtoN2O*kgtoGg,IF('Net zero activities &amp; levers'!$C$14="On",'Net zero Activity data'!BD47*ttokg*FracGASF*MSVolatEF*NtoN2O*kgtoGg,"ERROR"))</f>
        <v>0.65721839556094175</v>
      </c>
      <c r="AL1164" s="94">
        <f>IF('Net zero activities &amp; levers'!$C$14="Off",'Activity data'!BE47*ttokg*FracGASF*MSVolatEF*NtoN2O*kgtoGg,IF('Net zero activities &amp; levers'!$C$14="On",'Net zero Activity data'!BE47*ttokg*FracGASF*MSVolatEF*NtoN2O*kgtoGg,"ERROR"))</f>
        <v>0.65697772026100598</v>
      </c>
      <c r="AM1164" s="94">
        <f>IF('Net zero activities &amp; levers'!$C$14="Off",'Activity data'!BF47*ttokg*FracGASF*MSVolatEF*NtoN2O*kgtoGg,IF('Net zero activities &amp; levers'!$C$14="On",'Net zero Activity data'!BF47*ttokg*FracGASF*MSVolatEF*NtoN2O*kgtoGg,"ERROR"))</f>
        <v>0.65673876647835383</v>
      </c>
      <c r="AN1164" s="94">
        <f>IF('Net zero activities &amp; levers'!$C$14="Off",'Activity data'!BG47*ttokg*FracGASF*MSVolatEF*NtoN2O*kgtoGg,IF('Net zero activities &amp; levers'!$C$14="On",'Net zero Activity data'!BG47*ttokg*FracGASF*MSVolatEF*NtoN2O*kgtoGg,"ERROR"))</f>
        <v>0.65649818227366441</v>
      </c>
      <c r="AO1164" s="94">
        <f>IF('Net zero activities &amp; levers'!$C$14="Off",'Activity data'!BH47*ttokg*FracGASF*MSVolatEF*NtoN2O*kgtoGg,IF('Net zero activities &amp; levers'!$C$14="On",'Net zero Activity data'!BH47*ttokg*FracGASF*MSVolatEF*NtoN2O*kgtoGg,"ERROR"))</f>
        <v>0.65626429517048157</v>
      </c>
      <c r="AP1164" s="94">
        <f>IF('Net zero activities &amp; levers'!$C$14="Off",'Activity data'!BI47*ttokg*FracGASF*MSVolatEF*NtoN2O*kgtoGg,IF('Net zero activities &amp; levers'!$C$14="On",'Net zero Activity data'!BI47*ttokg*FracGASF*MSVolatEF*NtoN2O*kgtoGg,"ERROR"))</f>
        <v>0.65602587146144697</v>
      </c>
      <c r="AQ1164" s="94">
        <f>IF('Net zero activities &amp; levers'!$C$14="Off",'Activity data'!BJ47*ttokg*FracGASF*MSVolatEF*NtoN2O*kgtoGg,IF('Net zero activities &amp; levers'!$C$14="On",'Net zero Activity data'!BJ47*ttokg*FracGASF*MSVolatEF*NtoN2O*kgtoGg,"ERROR"))</f>
        <v>0.65577947514353263</v>
      </c>
      <c r="AR1164" s="94">
        <f>IF('Net zero activities &amp; levers'!$C$14="Off",'Activity data'!BK47*ttokg*FracGASF*MSVolatEF*NtoN2O*kgtoGg,IF('Net zero activities &amp; levers'!$C$14="On",'Net zero Activity data'!BK47*ttokg*FracGASF*MSVolatEF*NtoN2O*kgtoGg,"ERROR"))</f>
        <v>0.65553213474499905</v>
      </c>
      <c r="AS1164" s="94">
        <f>IF('Net zero activities &amp; levers'!$C$14="Off",'Activity data'!BL47*ttokg*FracGASF*MSVolatEF*NtoN2O*kgtoGg,IF('Net zero activities &amp; levers'!$C$14="On",'Net zero Activity data'!BL47*ttokg*FracGASF*MSVolatEF*NtoN2O*kgtoGg,"ERROR"))</f>
        <v>0.65528365550023426</v>
      </c>
      <c r="AT1164" s="94">
        <f>IF('Net zero activities &amp; levers'!$C$14="Off",'Activity data'!BM47*ttokg*FracGASF*MSVolatEF*NtoN2O*kgtoGg,IF('Net zero activities &amp; levers'!$C$14="On",'Net zero Activity data'!BM47*ttokg*FracGASF*MSVolatEF*NtoN2O*kgtoGg,"ERROR"))</f>
        <v>0.65502749591835585</v>
      </c>
      <c r="AU1164" s="94">
        <f>IF('Net zero activities &amp; levers'!$C$14="Off",'Activity data'!BN47*ttokg*FracGASF*MSVolatEF*NtoN2O*kgtoGg,IF('Net zero activities &amp; levers'!$C$14="On",'Net zero Activity data'!BN47*ttokg*FracGASF*MSVolatEF*NtoN2O*kgtoGg,"ERROR"))</f>
        <v>0.65476643110027843</v>
      </c>
      <c r="AV1164" s="94">
        <f>IF('Net zero activities &amp; levers'!$C$14="Off",'Activity data'!BO47*ttokg*FracGASF*MSVolatEF*NtoN2O*kgtoGg,IF('Net zero activities &amp; levers'!$C$14="On",'Net zero Activity data'!BO47*ttokg*FracGASF*MSVolatEF*NtoN2O*kgtoGg,"ERROR"))</f>
        <v>0.65450232737774761</v>
      </c>
      <c r="AW1164" s="94">
        <f>IF('Net zero activities &amp; levers'!$C$14="Off",'Activity data'!BP47*ttokg*FracGASF*MSVolatEF*NtoN2O*kgtoGg,IF('Net zero activities &amp; levers'!$C$14="On",'Net zero Activity data'!BP47*ttokg*FracGASF*MSVolatEF*NtoN2O*kgtoGg,"ERROR"))</f>
        <v>0.65423151331477958</v>
      </c>
      <c r="AY1164" s="79"/>
    </row>
    <row r="1165" spans="1:51" x14ac:dyDescent="0.25">
      <c r="A1165" s="95" t="str">
        <f t="shared" si="374"/>
        <v>CM Volatilisation</v>
      </c>
      <c r="B1165" s="95" t="s">
        <v>1321</v>
      </c>
      <c r="C1165" s="95" t="s">
        <v>62</v>
      </c>
      <c r="D1165" t="s">
        <v>369</v>
      </c>
      <c r="E1165" t="s">
        <v>61</v>
      </c>
      <c r="F1165" t="s">
        <v>62</v>
      </c>
      <c r="G1165" t="s">
        <v>436</v>
      </c>
      <c r="H1165" t="s">
        <v>1184</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8.7167972015395577E-3</v>
      </c>
      <c r="U1165" s="94">
        <f>IF('Net zero activities &amp; levers'!$C$14="Off",'Activity data'!AN48*ttokg*FracGASM*MSVolatEF*NtoN2O*kgtoGg,IF('Net zero activities &amp; levers'!$C$14="On",'Net zero Activity data'!AN48*ttokg*FracGASM*MSVolatEF*NtoN2O*kgtoGg,"ERROR"))</f>
        <v>8.7126562854578996E-3</v>
      </c>
      <c r="V1165" s="94">
        <f>IF('Net zero activities &amp; levers'!$C$14="Off",'Activity data'!AO48*ttokg*FracGASM*MSVolatEF*NtoN2O*kgtoGg,IF('Net zero activities &amp; levers'!$C$14="On",'Net zero Activity data'!AO48*ttokg*FracGASM*MSVolatEF*NtoN2O*kgtoGg,"ERROR"))</f>
        <v>8.7103736656476104E-3</v>
      </c>
      <c r="W1165" s="94">
        <f>IF('Net zero activities &amp; levers'!$C$14="Off",'Activity data'!AP48*ttokg*FracGASM*MSVolatEF*NtoN2O*kgtoGg,IF('Net zero activities &amp; levers'!$C$14="On",'Net zero Activity data'!AP48*ttokg*FracGASM*MSVolatEF*NtoN2O*kgtoGg,"ERROR"))</f>
        <v>8.7094877812319699E-3</v>
      </c>
      <c r="X1165" s="94">
        <f>IF('Net zero activities &amp; levers'!$C$14="Off",'Activity data'!AQ48*ttokg*FracGASM*MSVolatEF*NtoN2O*kgtoGg,IF('Net zero activities &amp; levers'!$C$14="On",'Net zero Activity data'!AQ48*ttokg*FracGASM*MSVolatEF*NtoN2O*kgtoGg,"ERROR"))</f>
        <v>8.7085322812427632E-3</v>
      </c>
      <c r="Y1165" s="94">
        <f>IF('Net zero activities &amp; levers'!$C$14="Off",'Activity data'!AR48*ttokg*FracGASM*MSVolatEF*NtoN2O*kgtoGg,IF('Net zero activities &amp; levers'!$C$14="On",'Net zero Activity data'!AR48*ttokg*FracGASM*MSVolatEF*NtoN2O*kgtoGg,"ERROR"))</f>
        <v>8.7072106090378288E-3</v>
      </c>
      <c r="Z1165" s="94">
        <f>IF('Net zero activities &amp; levers'!$C$14="Off",'Activity data'!AS48*ttokg*FracGASM*MSVolatEF*NtoN2O*kgtoGg,IF('Net zero activities &amp; levers'!$C$14="On",'Net zero Activity data'!AS48*ttokg*FracGASM*MSVolatEF*NtoN2O*kgtoGg,"ERROR"))</f>
        <v>8.7055442422033745E-3</v>
      </c>
      <c r="AA1165" s="94">
        <f>IF('Net zero activities &amp; levers'!$C$14="Off",'Activity data'!AT48*ttokg*FracGASM*MSVolatEF*NtoN2O*kgtoGg,IF('Net zero activities &amp; levers'!$C$14="On",'Net zero Activity data'!AT48*ttokg*FracGASM*MSVolatEF*NtoN2O*kgtoGg,"ERROR"))</f>
        <v>8.7037225641645056E-3</v>
      </c>
      <c r="AB1165" s="94">
        <f>IF('Net zero activities &amp; levers'!$C$14="Off",'Activity data'!AU48*ttokg*FracGASM*MSVolatEF*NtoN2O*kgtoGg,IF('Net zero activities &amp; levers'!$C$14="On",'Net zero Activity data'!AU48*ttokg*FracGASM*MSVolatEF*NtoN2O*kgtoGg,"ERROR"))</f>
        <v>8.7017014251006084E-3</v>
      </c>
      <c r="AC1165" s="94">
        <f>IF('Net zero activities &amp; levers'!$C$14="Off",'Activity data'!AV48*ttokg*FracGASM*MSVolatEF*NtoN2O*kgtoGg,IF('Net zero activities &amp; levers'!$C$14="On",'Net zero Activity data'!AV48*ttokg*FracGASM*MSVolatEF*NtoN2O*kgtoGg,"ERROR"))</f>
        <v>8.699341068282046E-3</v>
      </c>
      <c r="AD1165" s="94">
        <f>IF('Net zero activities &amp; levers'!$C$14="Off",'Activity data'!AW48*ttokg*FracGASM*MSVolatEF*NtoN2O*kgtoGg,IF('Net zero activities &amp; levers'!$C$14="On",'Net zero Activity data'!AW48*ttokg*FracGASM*MSVolatEF*NtoN2O*kgtoGg,"ERROR"))</f>
        <v>8.6966749021840043E-3</v>
      </c>
      <c r="AE1165" s="94">
        <f>IF('Net zero activities &amp; levers'!$C$14="Off",'Activity data'!AX48*ttokg*FracGASM*MSVolatEF*NtoN2O*kgtoGg,IF('Net zero activities &amp; levers'!$C$14="On",'Net zero Activity data'!AX48*ttokg*FracGASM*MSVolatEF*NtoN2O*kgtoGg,"ERROR"))</f>
        <v>8.6938503713565752E-3</v>
      </c>
      <c r="AF1165" s="94">
        <f>IF('Net zero activities &amp; levers'!$C$14="Off",'Activity data'!AY48*ttokg*FracGASM*MSVolatEF*NtoN2O*kgtoGg,IF('Net zero activities &amp; levers'!$C$14="On",'Net zero Activity data'!AY48*ttokg*FracGASM*MSVolatEF*NtoN2O*kgtoGg,"ERROR"))</f>
        <v>8.6908839746890534E-3</v>
      </c>
      <c r="AG1165" s="94">
        <f>IF('Net zero activities &amp; levers'!$C$14="Off",'Activity data'!AZ48*ttokg*FracGASM*MSVolatEF*NtoN2O*kgtoGg,IF('Net zero activities &amp; levers'!$C$14="On",'Net zero Activity data'!AZ48*ttokg*FracGASM*MSVolatEF*NtoN2O*kgtoGg,"ERROR"))</f>
        <v>8.687854988837283E-3</v>
      </c>
      <c r="AH1165" s="94">
        <f>IF('Net zero activities &amp; levers'!$C$14="Off",'Activity data'!BA48*ttokg*FracGASM*MSVolatEF*NtoN2O*kgtoGg,IF('Net zero activities &amp; levers'!$C$14="On",'Net zero Activity data'!BA48*ttokg*FracGASM*MSVolatEF*NtoN2O*kgtoGg,"ERROR"))</f>
        <v>8.6847385120571701E-3</v>
      </c>
      <c r="AI1165" s="94">
        <f>IF('Net zero activities &amp; levers'!$C$14="Off",'Activity data'!BB48*ttokg*FracGASM*MSVolatEF*NtoN2O*kgtoGg,IF('Net zero activities &amp; levers'!$C$14="On",'Net zero Activity data'!BB48*ttokg*FracGASM*MSVolatEF*NtoN2O*kgtoGg,"ERROR"))</f>
        <v>8.6815728050619895E-3</v>
      </c>
      <c r="AJ1165" s="94">
        <f>IF('Net zero activities &amp; levers'!$C$14="Off",'Activity data'!BC48*ttokg*FracGASM*MSVolatEF*NtoN2O*kgtoGg,IF('Net zero activities &amp; levers'!$C$14="On",'Net zero Activity data'!BC48*ttokg*FracGASM*MSVolatEF*NtoN2O*kgtoGg,"ERROR"))</f>
        <v>8.6784740696510734E-3</v>
      </c>
      <c r="AK1165" s="94">
        <f>IF('Net zero activities &amp; levers'!$C$14="Off",'Activity data'!BD48*ttokg*FracGASM*MSVolatEF*NtoN2O*kgtoGg,IF('Net zero activities &amp; levers'!$C$14="On",'Net zero Activity data'!BD48*ttokg*FracGASM*MSVolatEF*NtoN2O*kgtoGg,"ERROR"))</f>
        <v>8.6752828214044318E-3</v>
      </c>
      <c r="AL1165" s="94">
        <f>IF('Net zero activities &amp; levers'!$C$14="Off",'Activity data'!BE48*ttokg*FracGASM*MSVolatEF*NtoN2O*kgtoGg,IF('Net zero activities &amp; levers'!$C$14="On",'Net zero Activity data'!BE48*ttokg*FracGASM*MSVolatEF*NtoN2O*kgtoGg,"ERROR"))</f>
        <v>8.672105907445278E-3</v>
      </c>
      <c r="AM1165" s="94">
        <f>IF('Net zero activities &amp; levers'!$C$14="Off",'Activity data'!BF48*ttokg*FracGASM*MSVolatEF*NtoN2O*kgtoGg,IF('Net zero activities &amp; levers'!$C$14="On",'Net zero Activity data'!BF48*ttokg*FracGASM*MSVolatEF*NtoN2O*kgtoGg,"ERROR"))</f>
        <v>8.6689517175142713E-3</v>
      </c>
      <c r="AN1165" s="94">
        <f>IF('Net zero activities &amp; levers'!$C$14="Off",'Activity data'!BG48*ttokg*FracGASM*MSVolatEF*NtoN2O*kgtoGg,IF('Net zero activities &amp; levers'!$C$14="On",'Net zero Activity data'!BG48*ttokg*FracGASM*MSVolatEF*NtoN2O*kgtoGg,"ERROR"))</f>
        <v>8.6657760060123695E-3</v>
      </c>
      <c r="AO1165" s="94">
        <f>IF('Net zero activities &amp; levers'!$C$14="Off",'Activity data'!BH48*ttokg*FracGASM*MSVolatEF*NtoN2O*kgtoGg,IF('Net zero activities &amp; levers'!$C$14="On",'Net zero Activity data'!BH48*ttokg*FracGASM*MSVolatEF*NtoN2O*kgtoGg,"ERROR"))</f>
        <v>8.6626886962503594E-3</v>
      </c>
      <c r="AP1165" s="94">
        <f>IF('Net zero activities &amp; levers'!$C$14="Off",'Activity data'!BI48*ttokg*FracGASM*MSVolatEF*NtoN2O*kgtoGg,IF('Net zero activities &amp; levers'!$C$14="On",'Net zero Activity data'!BI48*ttokg*FracGASM*MSVolatEF*NtoN2O*kgtoGg,"ERROR"))</f>
        <v>8.6595415032911013E-3</v>
      </c>
      <c r="AQ1165" s="94">
        <f>IF('Net zero activities &amp; levers'!$C$14="Off",'Activity data'!BJ48*ttokg*FracGASM*MSVolatEF*NtoN2O*kgtoGg,IF('Net zero activities &amp; levers'!$C$14="On",'Net zero Activity data'!BJ48*ttokg*FracGASM*MSVolatEF*NtoN2O*kgtoGg,"ERROR"))</f>
        <v>8.6562890718946302E-3</v>
      </c>
      <c r="AR1165" s="94">
        <f>IF('Net zero activities &amp; levers'!$C$14="Off",'Activity data'!BK48*ttokg*FracGASM*MSVolatEF*NtoN2O*kgtoGg,IF('Net zero activities &amp; levers'!$C$14="On",'Net zero Activity data'!BK48*ttokg*FracGASM*MSVolatEF*NtoN2O*kgtoGg,"ERROR"))</f>
        <v>8.65302417863399E-3</v>
      </c>
      <c r="AS1165" s="94">
        <f>IF('Net zero activities &amp; levers'!$C$14="Off",'Activity data'!BL48*ttokg*FracGASM*MSVolatEF*NtoN2O*kgtoGg,IF('Net zero activities &amp; levers'!$C$14="On",'Net zero Activity data'!BL48*ttokg*FracGASM*MSVolatEF*NtoN2O*kgtoGg,"ERROR"))</f>
        <v>8.6497442526030921E-3</v>
      </c>
      <c r="AT1165" s="94">
        <f>IF('Net zero activities &amp; levers'!$C$14="Off",'Activity data'!BM48*ttokg*FracGASM*MSVolatEF*NtoN2O*kgtoGg,IF('Net zero activities &amp; levers'!$C$14="On",'Net zero Activity data'!BM48*ttokg*FracGASM*MSVolatEF*NtoN2O*kgtoGg,"ERROR"))</f>
        <v>8.6463629461222963E-3</v>
      </c>
      <c r="AU1165" s="94">
        <f>IF('Net zero activities &amp; levers'!$C$14="Off",'Activity data'!BN48*ttokg*FracGASM*MSVolatEF*NtoN2O*kgtoGg,IF('Net zero activities &amp; levers'!$C$14="On",'Net zero Activity data'!BN48*ttokg*FracGASM*MSVolatEF*NtoN2O*kgtoGg,"ERROR"))</f>
        <v>8.6429168905236796E-3</v>
      </c>
      <c r="AV1165" s="94">
        <f>IF('Net zero activities &amp; levers'!$C$14="Off",'Activity data'!BO48*ttokg*FracGASM*MSVolatEF*NtoN2O*kgtoGg,IF('Net zero activities &amp; levers'!$C$14="On",'Net zero Activity data'!BO48*ttokg*FracGASM*MSVolatEF*NtoN2O*kgtoGg,"ERROR"))</f>
        <v>8.6394307213862702E-3</v>
      </c>
      <c r="AW1165" s="94">
        <f>IF('Net zero activities &amp; levers'!$C$14="Off",'Activity data'!BP48*ttokg*FracGASM*MSVolatEF*NtoN2O*kgtoGg,IF('Net zero activities &amp; levers'!$C$14="On",'Net zero Activity data'!BP48*ttokg*FracGASM*MSVolatEF*NtoN2O*kgtoGg,"ERROR"))</f>
        <v>8.6358559757550891E-3</v>
      </c>
      <c r="AY1165" s="79"/>
    </row>
    <row r="1166" spans="1:51" x14ac:dyDescent="0.25">
      <c r="A1166" s="95" t="str">
        <f t="shared" si="374"/>
        <v>CM Volatilisation</v>
      </c>
      <c r="B1166" s="95" t="s">
        <v>1321</v>
      </c>
      <c r="C1166" s="95" t="s">
        <v>62</v>
      </c>
      <c r="D1166" t="s">
        <v>369</v>
      </c>
      <c r="E1166" t="s">
        <v>61</v>
      </c>
      <c r="F1166" t="s">
        <v>62</v>
      </c>
      <c r="G1166" t="s">
        <v>437</v>
      </c>
      <c r="H1166" t="s">
        <v>1185</v>
      </c>
      <c r="I1166" t="s">
        <v>139</v>
      </c>
      <c r="J1166" t="s">
        <v>287</v>
      </c>
      <c r="K1166" s="94">
        <f>IF('Net zero activities &amp; levers'!$C$14="Off",SUM('Activity data'!AD50:AD65)*FracGASM*MSVolatEF*NtoN2O*kgtoGg,IF('Net zero activities &amp; levers'!$C$14="On",SUM('Net zero Activity data'!AD50:AD65)*FracGASM*MSVolatEF*NtoN2O*kgtoGg,"ERROR"))</f>
        <v>1.2008407282256133</v>
      </c>
      <c r="L1166" s="94">
        <f>IF('Net zero activities &amp; levers'!$C$14="Off",SUM('Activity data'!AE50:AE65)*FracGASM*MSVolatEF*NtoN2O*kgtoGg,IF('Net zero activities &amp; levers'!$C$14="On",SUM('Net zero Activity data'!AE50:AE65)*FracGASM*MSVolatEF*NtoN2O*kgtoGg,"ERROR"))</f>
        <v>1.2019035107607592</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1.2055442230548152</v>
      </c>
      <c r="O1166" s="94">
        <f>IF('Net zero activities &amp; levers'!$C$14="Off",SUM('Activity data'!AH50:AH65)*FracGASM*MSVolatEF*NtoN2O*kgtoGg,IF('Net zero activities &amp; levers'!$C$14="On",SUM('Net zero Activity data'!AH50:AH65)*FracGASM*MSVolatEF*NtoN2O*kgtoGg,"ERROR"))</f>
        <v>1.1958435838326273</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1.0635026929062164</v>
      </c>
      <c r="T1166" s="94">
        <f>IF('Net zero activities &amp; levers'!$C$14="Off",SUM('Activity data'!AM50:AM65)*FracGASM*MSVolatEF*NtoN2O*kgtoGg,IF('Net zero activities &amp; levers'!$C$14="On",SUM('Net zero Activity data'!AM50:AM65)*FracGASM*MSVolatEF*NtoN2O*kgtoGg,"ERROR"))</f>
        <v>1.1127914653577025</v>
      </c>
      <c r="U1166" s="94">
        <f>IF('Net zero activities &amp; levers'!$C$14="Off",SUM('Activity data'!AN50:AN65)*FracGASM*MSVolatEF*NtoN2O*kgtoGg,IF('Net zero activities &amp; levers'!$C$14="On",SUM('Net zero Activity data'!AN50:AN65)*FracGASM*MSVolatEF*NtoN2O*kgtoGg,"ERROR"))</f>
        <v>1.1339456607288676</v>
      </c>
      <c r="V1166" s="94">
        <f>IF('Net zero activities &amp; levers'!$C$14="Off",SUM('Activity data'!AO50:AO65)*FracGASM*MSVolatEF*NtoN2O*kgtoGg,IF('Net zero activities &amp; levers'!$C$14="On",SUM('Net zero Activity data'!AO50:AO65)*FracGASM*MSVolatEF*NtoN2O*kgtoGg,"ERROR"))</f>
        <v>1.1334093263464944</v>
      </c>
      <c r="W1166" s="94">
        <f>IF('Net zero activities &amp; levers'!$C$14="Off",SUM('Activity data'!AP50:AP65)*FracGASM*MSVolatEF*NtoN2O*kgtoGg,IF('Net zero activities &amp; levers'!$C$14="On",SUM('Net zero Activity data'!AP50:AP65)*FracGASM*MSVolatEF*NtoN2O*kgtoGg,"ERROR"))</f>
        <v>1.1341671660422112</v>
      </c>
      <c r="X1166" s="94">
        <f>IF('Net zero activities &amp; levers'!$C$14="Off",SUM('Activity data'!AQ50:AQ65)*FracGASM*MSVolatEF*NtoN2O*kgtoGg,IF('Net zero activities &amp; levers'!$C$14="On",SUM('Net zero Activity data'!AQ50:AQ65)*FracGASM*MSVolatEF*NtoN2O*kgtoGg,"ERROR"))</f>
        <v>1.1408235439735572</v>
      </c>
      <c r="Y1166" s="94">
        <f>IF('Net zero activities &amp; levers'!$C$14="Off",SUM('Activity data'!AR50:AR65)*FracGASM*MSVolatEF*NtoN2O*kgtoGg,IF('Net zero activities &amp; levers'!$C$14="On",SUM('Net zero Activity data'!AR50:AR65)*FracGASM*MSVolatEF*NtoN2O*kgtoGg,"ERROR"))</f>
        <v>1.1530569851412431</v>
      </c>
      <c r="Z1166" s="94">
        <f>IF('Net zero activities &amp; levers'!$C$14="Off",SUM('Activity data'!AS50:AS65)*FracGASM*MSVolatEF*NtoN2O*kgtoGg,IF('Net zero activities &amp; levers'!$C$14="On",SUM('Net zero Activity data'!AS50:AS65)*FracGASM*MSVolatEF*NtoN2O*kgtoGg,"ERROR"))</f>
        <v>1.1679322279348805</v>
      </c>
      <c r="AA1166" s="94">
        <f>IF('Net zero activities &amp; levers'!$C$14="Off",SUM('Activity data'!AT50:AT65)*FracGASM*MSVolatEF*NtoN2O*kgtoGg,IF('Net zero activities &amp; levers'!$C$14="On",SUM('Net zero Activity data'!AT50:AT65)*FracGASM*MSVolatEF*NtoN2O*kgtoGg,"ERROR"))</f>
        <v>1.1861792833479095</v>
      </c>
      <c r="AB1166" s="94">
        <f>IF('Net zero activities &amp; levers'!$C$14="Off",SUM('Activity data'!AU50:AU65)*FracGASM*MSVolatEF*NtoN2O*kgtoGg,IF('Net zero activities &amp; levers'!$C$14="On",SUM('Net zero Activity data'!AU50:AU65)*FracGASM*MSVolatEF*NtoN2O*kgtoGg,"ERROR"))</f>
        <v>1.2100969940218784</v>
      </c>
      <c r="AC1166" s="94">
        <f>IF('Net zero activities &amp; levers'!$C$14="Off",SUM('Activity data'!AV50:AV65)*FracGASM*MSVolatEF*NtoN2O*kgtoGg,IF('Net zero activities &amp; levers'!$C$14="On",SUM('Net zero Activity data'!AV50:AV65)*FracGASM*MSVolatEF*NtoN2O*kgtoGg,"ERROR"))</f>
        <v>1.2393194864291859</v>
      </c>
      <c r="AD1166" s="94">
        <f>IF('Net zero activities &amp; levers'!$C$14="Off",SUM('Activity data'!AW50:AW65)*FracGASM*MSVolatEF*NtoN2O*kgtoGg,IF('Net zero activities &amp; levers'!$C$14="On",SUM('Net zero Activity data'!AW50:AW65)*FracGASM*MSVolatEF*NtoN2O*kgtoGg,"ERROR"))</f>
        <v>1.2672278032377093</v>
      </c>
      <c r="AE1166" s="94">
        <f>IF('Net zero activities &amp; levers'!$C$14="Off",SUM('Activity data'!AX50:AX65)*FracGASM*MSVolatEF*NtoN2O*kgtoGg,IF('Net zero activities &amp; levers'!$C$14="On",SUM('Net zero Activity data'!AX50:AX65)*FracGASM*MSVolatEF*NtoN2O*kgtoGg,"ERROR"))</f>
        <v>1.2977962214580763</v>
      </c>
      <c r="AF1166" s="94">
        <f>IF('Net zero activities &amp; levers'!$C$14="Off",SUM('Activity data'!AY50:AY65)*FracGASM*MSVolatEF*NtoN2O*kgtoGg,IF('Net zero activities &amp; levers'!$C$14="On",SUM('Net zero Activity data'!AY50:AY65)*FracGASM*MSVolatEF*NtoN2O*kgtoGg,"ERROR"))</f>
        <v>1.329788063562543</v>
      </c>
      <c r="AG1166" s="94">
        <f>IF('Net zero activities &amp; levers'!$C$14="Off",SUM('Activity data'!AZ50:AZ65)*FracGASM*MSVolatEF*NtoN2O*kgtoGg,IF('Net zero activities &amp; levers'!$C$14="On",SUM('Net zero Activity data'!AZ50:AZ65)*FracGASM*MSVolatEF*NtoN2O*kgtoGg,"ERROR"))</f>
        <v>1.3636827815165269</v>
      </c>
      <c r="AH1166" s="94">
        <f>IF('Net zero activities &amp; levers'!$C$14="Off",SUM('Activity data'!BA50:BA65)*FracGASM*MSVolatEF*NtoN2O*kgtoGg,IF('Net zero activities &amp; levers'!$C$14="On",SUM('Net zero Activity data'!BA50:BA65)*FracGASM*MSVolatEF*NtoN2O*kgtoGg,"ERROR"))</f>
        <v>1.3988919386644247</v>
      </c>
      <c r="AI1166" s="94">
        <f>IF('Net zero activities &amp; levers'!$C$14="Off",SUM('Activity data'!BB50:BB65)*FracGASM*MSVolatEF*NtoN2O*kgtoGg,IF('Net zero activities &amp; levers'!$C$14="On",SUM('Net zero Activity data'!BB50:BB65)*FracGASM*MSVolatEF*NtoN2O*kgtoGg,"ERROR"))</f>
        <v>1.4334139363721508</v>
      </c>
      <c r="AJ1166" s="94">
        <f>IF('Net zero activities &amp; levers'!$C$14="Off",SUM('Activity data'!BC50:BC65)*FracGASM*MSVolatEF*NtoN2O*kgtoGg,IF('Net zero activities &amp; levers'!$C$14="On",SUM('Net zero Activity data'!BC50:BC65)*FracGASM*MSVolatEF*NtoN2O*kgtoGg,"ERROR"))</f>
        <v>1.4700649477851668</v>
      </c>
      <c r="AK1166" s="94">
        <f>IF('Net zero activities &amp; levers'!$C$14="Off",SUM('Activity data'!BD50:BD65)*FracGASM*MSVolatEF*NtoN2O*kgtoGg,IF('Net zero activities &amp; levers'!$C$14="On",SUM('Net zero Activity data'!BD50:BD65)*FracGASM*MSVolatEF*NtoN2O*kgtoGg,"ERROR"))</f>
        <v>1.5069886120645011</v>
      </c>
      <c r="AL1166" s="94">
        <f>IF('Net zero activities &amp; levers'!$C$14="Off",SUM('Activity data'!BE50:BE65)*FracGASM*MSVolatEF*NtoN2O*kgtoGg,IF('Net zero activities &amp; levers'!$C$14="On",SUM('Net zero Activity data'!BE50:BE65)*FracGASM*MSVolatEF*NtoN2O*kgtoGg,"ERROR"))</f>
        <v>1.5440287360100955</v>
      </c>
      <c r="AM1166" s="94">
        <f>IF('Net zero activities &amp; levers'!$C$14="Off",SUM('Activity data'!BF50:BF65)*FracGASM*MSVolatEF*NtoN2O*kgtoGg,IF('Net zero activities &amp; levers'!$C$14="On",SUM('Net zero Activity data'!BF50:BF65)*FracGASM*MSVolatEF*NtoN2O*kgtoGg,"ERROR"))</f>
        <v>1.5820093604594603</v>
      </c>
      <c r="AN1166" s="94">
        <f>IF('Net zero activities &amp; levers'!$C$14="Off",SUM('Activity data'!BG50:BG65)*FracGASM*MSVolatEF*NtoN2O*kgtoGg,IF('Net zero activities &amp; levers'!$C$14="On",SUM('Net zero Activity data'!BG50:BG65)*FracGASM*MSVolatEF*NtoN2O*kgtoGg,"ERROR"))</f>
        <v>1.6219033183214897</v>
      </c>
      <c r="AO1166" s="94">
        <f>IF('Net zero activities &amp; levers'!$C$14="Off",SUM('Activity data'!BH50:BH65)*FracGASM*MSVolatEF*NtoN2O*kgtoGg,IF('Net zero activities &amp; levers'!$C$14="On",SUM('Net zero Activity data'!BH50:BH65)*FracGASM*MSVolatEF*NtoN2O*kgtoGg,"ERROR"))</f>
        <v>1.6636708318066389</v>
      </c>
      <c r="AP1166" s="94">
        <f>IF('Net zero activities &amp; levers'!$C$14="Off",SUM('Activity data'!BI50:BI65)*FracGASM*MSVolatEF*NtoN2O*kgtoGg,IF('Net zero activities &amp; levers'!$C$14="On",SUM('Net zero Activity data'!BI50:BI65)*FracGASM*MSVolatEF*NtoN2O*kgtoGg,"ERROR"))</f>
        <v>1.7082959626143681</v>
      </c>
      <c r="AQ1166" s="94">
        <f>IF('Net zero activities &amp; levers'!$C$14="Off",SUM('Activity data'!BJ50:BJ65)*FracGASM*MSVolatEF*NtoN2O*kgtoGg,IF('Net zero activities &amp; levers'!$C$14="On",SUM('Net zero Activity data'!BJ50:BJ65)*FracGASM*MSVolatEF*NtoN2O*kgtoGg,"ERROR"))</f>
        <v>1.7540375132373072</v>
      </c>
      <c r="AR1166" s="94">
        <f>IF('Net zero activities &amp; levers'!$C$14="Off",SUM('Activity data'!BK50:BK65)*FracGASM*MSVolatEF*NtoN2O*kgtoGg,IF('Net zero activities &amp; levers'!$C$14="On",SUM('Net zero Activity data'!BK50:BK65)*FracGASM*MSVolatEF*NtoN2O*kgtoGg,"ERROR"))</f>
        <v>1.8009857640186506</v>
      </c>
      <c r="AS1166" s="94">
        <f>IF('Net zero activities &amp; levers'!$C$14="Off",SUM('Activity data'!BL50:BL65)*FracGASM*MSVolatEF*NtoN2O*kgtoGg,IF('Net zero activities &amp; levers'!$C$14="On",SUM('Net zero Activity data'!BL50:BL65)*FracGASM*MSVolatEF*NtoN2O*kgtoGg,"ERROR"))</f>
        <v>1.8510064312178449</v>
      </c>
      <c r="AT1166" s="94">
        <f>IF('Net zero activities &amp; levers'!$C$14="Off",SUM('Activity data'!BM50:BM65)*FracGASM*MSVolatEF*NtoN2O*kgtoGg,IF('Net zero activities &amp; levers'!$C$14="On",SUM('Net zero Activity data'!BM50:BM65)*FracGASM*MSVolatEF*NtoN2O*kgtoGg,"ERROR"))</f>
        <v>1.9034681141674186</v>
      </c>
      <c r="AU1166" s="94">
        <f>IF('Net zero activities &amp; levers'!$C$14="Off",SUM('Activity data'!BN50:BN65)*FracGASM*MSVolatEF*NtoN2O*kgtoGg,IF('Net zero activities &amp; levers'!$C$14="On",SUM('Net zero Activity data'!BN50:BN65)*FracGASM*MSVolatEF*NtoN2O*kgtoGg,"ERROR"))</f>
        <v>1.9579460640600546</v>
      </c>
      <c r="AV1166" s="94">
        <f>IF('Net zero activities &amp; levers'!$C$14="Off",SUM('Activity data'!BO50:BO65)*FracGASM*MSVolatEF*NtoN2O*kgtoGg,IF('Net zero activities &amp; levers'!$C$14="On",SUM('Net zero Activity data'!BO50:BO65)*FracGASM*MSVolatEF*NtoN2O*kgtoGg,"ERROR"))</f>
        <v>2.0156248390942006</v>
      </c>
      <c r="AW1166" s="94">
        <f>IF('Net zero activities &amp; levers'!$C$14="Off",SUM('Activity data'!BP50:BP65)*FracGASM*MSVolatEF*NtoN2O*kgtoGg,IF('Net zero activities &amp; levers'!$C$14="On",SUM('Net zero Activity data'!BP50:BP65)*FracGASM*MSVolatEF*NtoN2O*kgtoGg,"ERROR"))</f>
        <v>2.0696024098416643</v>
      </c>
      <c r="AY1166" s="79"/>
    </row>
    <row r="1167" spans="1:51" x14ac:dyDescent="0.25">
      <c r="A1167" s="95" t="str">
        <f t="shared" si="374"/>
        <v>CM Volatilisation</v>
      </c>
      <c r="B1167" s="95" t="s">
        <v>1321</v>
      </c>
      <c r="C1167" s="95" t="s">
        <v>62</v>
      </c>
      <c r="D1167" t="s">
        <v>369</v>
      </c>
      <c r="E1167" t="s">
        <v>61</v>
      </c>
      <c r="F1167" t="s">
        <v>62</v>
      </c>
      <c r="G1167" t="s">
        <v>438</v>
      </c>
      <c r="H1167" t="s">
        <v>1264</v>
      </c>
      <c r="I1167" t="s">
        <v>139</v>
      </c>
      <c r="J1167" t="s">
        <v>287</v>
      </c>
      <c r="K1167" s="94">
        <f>IF('Net zero activities &amp; levers'!$C$14="Off",SUM('Activity data'!AD66:AD81)*FracGASM*MSVolatEF*NtoN2O*kgtoGg,IF('Net zero activities &amp; levers'!$C$14="On",SUM('Net zero Activity data'!AD66:AD81)*FracGASM*MSVolatEF*NtoN2O*kgtoGg,"ERROR"))</f>
        <v>4.3975799639737021</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4.3473821211305586</v>
      </c>
      <c r="O1167" s="94">
        <f>IF('Net zero activities &amp; levers'!$C$14="Off",SUM('Activity data'!AH66:AH81)*FracGASM*MSVolatEF*NtoN2O*kgtoGg,IF('Net zero activities &amp; levers'!$C$14="On",SUM('Net zero Activity data'!AH66:AH81)*FracGASM*MSVolatEF*NtoN2O*kgtoGg,"ERROR"))</f>
        <v>4.3052096453824591</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3.920518553769567</v>
      </c>
      <c r="T1167" s="94">
        <f>IF('Net zero activities &amp; levers'!$C$14="Off",SUM('Activity data'!AM66:AM81)*FracGASM*MSVolatEF*NtoN2O*kgtoGg,IF('Net zero activities &amp; levers'!$C$14="On",SUM('Net zero Activity data'!AM66:AM81)*FracGASM*MSVolatEF*NtoN2O*kgtoGg,"ERROR"))</f>
        <v>4.022224403214822</v>
      </c>
      <c r="U1167" s="94">
        <f>IF('Net zero activities &amp; levers'!$C$14="Off",SUM('Activity data'!AN66:AN81)*FracGASM*MSVolatEF*NtoN2O*kgtoGg,IF('Net zero activities &amp; levers'!$C$14="On",SUM('Net zero Activity data'!AN66:AN81)*FracGASM*MSVolatEF*NtoN2O*kgtoGg,"ERROR"))</f>
        <v>4.0573246422564955</v>
      </c>
      <c r="V1167" s="94">
        <f>IF('Net zero activities &amp; levers'!$C$14="Off",SUM('Activity data'!AO66:AO81)*FracGASM*MSVolatEF*NtoN2O*kgtoGg,IF('Net zero activities &amp; levers'!$C$14="On",SUM('Net zero Activity data'!AO66:AO81)*FracGASM*MSVolatEF*NtoN2O*kgtoGg,"ERROR"))</f>
        <v>4.0437027667632135</v>
      </c>
      <c r="W1167" s="94">
        <f>IF('Net zero activities &amp; levers'!$C$14="Off",SUM('Activity data'!AP66:AP81)*FracGASM*MSVolatEF*NtoN2O*kgtoGg,IF('Net zero activities &amp; levers'!$C$14="On",SUM('Net zero Activity data'!AP66:AP81)*FracGASM*MSVolatEF*NtoN2O*kgtoGg,"ERROR"))</f>
        <v>4.0349744796970102</v>
      </c>
      <c r="X1167" s="94">
        <f>IF('Net zero activities &amp; levers'!$C$14="Off",SUM('Activity data'!AQ66:AQ81)*FracGASM*MSVolatEF*NtoN2O*kgtoGg,IF('Net zero activities &amp; levers'!$C$14="On",SUM('Net zero Activity data'!AQ66:AQ81)*FracGASM*MSVolatEF*NtoN2O*kgtoGg,"ERROR"))</f>
        <v>4.0404911436640738</v>
      </c>
      <c r="Y1167" s="94">
        <f>IF('Net zero activities &amp; levers'!$C$14="Off",SUM('Activity data'!AR66:AR81)*FracGASM*MSVolatEF*NtoN2O*kgtoGg,IF('Net zero activities &amp; levers'!$C$14="On",SUM('Net zero Activity data'!AR66:AR81)*FracGASM*MSVolatEF*NtoN2O*kgtoGg,"ERROR"))</f>
        <v>4.0578866533033189</v>
      </c>
      <c r="Z1167" s="94">
        <f>IF('Net zero activities &amp; levers'!$C$14="Off",SUM('Activity data'!AS66:AS81)*FracGASM*MSVolatEF*NtoN2O*kgtoGg,IF('Net zero activities &amp; levers'!$C$14="On",SUM('Net zero Activity data'!AS66:AS81)*FracGASM*MSVolatEF*NtoN2O*kgtoGg,"ERROR"))</f>
        <v>4.0805365209798321</v>
      </c>
      <c r="AA1167" s="94">
        <f>IF('Net zero activities &amp; levers'!$C$14="Off",SUM('Activity data'!AT66:AT81)*FracGASM*MSVolatEF*NtoN2O*kgtoGg,IF('Net zero activities &amp; levers'!$C$14="On",SUM('Net zero Activity data'!AT66:AT81)*FracGASM*MSVolatEF*NtoN2O*kgtoGg,"ERROR"))</f>
        <v>4.109915060040195</v>
      </c>
      <c r="AB1167" s="94">
        <f>IF('Net zero activities &amp; levers'!$C$14="Off",SUM('Activity data'!AU66:AU81)*FracGASM*MSVolatEF*NtoN2O*kgtoGg,IF('Net zero activities &amp; levers'!$C$14="On",SUM('Net zero Activity data'!AU66:AU81)*FracGASM*MSVolatEF*NtoN2O*kgtoGg,"ERROR"))</f>
        <v>4.1509048491402085</v>
      </c>
      <c r="AC1167" s="94">
        <f>IF('Net zero activities &amp; levers'!$C$14="Off",SUM('Activity data'!AV66:AV81)*FracGASM*MSVolatEF*NtoN2O*kgtoGg,IF('Net zero activities &amp; levers'!$C$14="On",SUM('Net zero Activity data'!AV66:AV81)*FracGASM*MSVolatEF*NtoN2O*kgtoGg,"ERROR"))</f>
        <v>4.202533390484211</v>
      </c>
      <c r="AD1167" s="94">
        <f>IF('Net zero activities &amp; levers'!$C$14="Off",SUM('Activity data'!AW66:AW81)*FracGASM*MSVolatEF*NtoN2O*kgtoGg,IF('Net zero activities &amp; levers'!$C$14="On",SUM('Net zero Activity data'!AW66:AW81)*FracGASM*MSVolatEF*NtoN2O*kgtoGg,"ERROR"))</f>
        <v>4.2406560670580085</v>
      </c>
      <c r="AE1167" s="94">
        <f>IF('Net zero activities &amp; levers'!$C$14="Off",SUM('Activity data'!AX66:AX81)*FracGASM*MSVolatEF*NtoN2O*kgtoGg,IF('Net zero activities &amp; levers'!$C$14="On",SUM('Net zero Activity data'!AX66:AX81)*FracGASM*MSVolatEF*NtoN2O*kgtoGg,"ERROR"))</f>
        <v>4.2827934559696441</v>
      </c>
      <c r="AF1167" s="94">
        <f>IF('Net zero activities &amp; levers'!$C$14="Off",SUM('Activity data'!AY66:AY81)*FracGASM*MSVolatEF*NtoN2O*kgtoGg,IF('Net zero activities &amp; levers'!$C$14="On",SUM('Net zero Activity data'!AY66:AY81)*FracGASM*MSVolatEF*NtoN2O*kgtoGg,"ERROR"))</f>
        <v>4.3261652521730651</v>
      </c>
      <c r="AG1167" s="94">
        <f>IF('Net zero activities &amp; levers'!$C$14="Off",SUM('Activity data'!AZ66:AZ81)*FracGASM*MSVolatEF*NtoN2O*kgtoGg,IF('Net zero activities &amp; levers'!$C$14="On",SUM('Net zero Activity data'!AZ66:AZ81)*FracGASM*MSVolatEF*NtoN2O*kgtoGg,"ERROR"))</f>
        <v>4.3716097132066274</v>
      </c>
      <c r="AH1167" s="94">
        <f>IF('Net zero activities &amp; levers'!$C$14="Off",SUM('Activity data'!BA66:BA81)*FracGASM*MSVolatEF*NtoN2O*kgtoGg,IF('Net zero activities &amp; levers'!$C$14="On",SUM('Net zero Activity data'!BA66:BA81)*FracGASM*MSVolatEF*NtoN2O*kgtoGg,"ERROR"))</f>
        <v>4.417783804127744</v>
      </c>
      <c r="AI1167" s="94">
        <f>IF('Net zero activities &amp; levers'!$C$14="Off",SUM('Activity data'!BB66:BB81)*FracGASM*MSVolatEF*NtoN2O*kgtoGg,IF('Net zero activities &amp; levers'!$C$14="On",SUM('Net zero Activity data'!BB66:BB81)*FracGASM*MSVolatEF*NtoN2O*kgtoGg,"ERROR"))</f>
        <v>4.46055260064648</v>
      </c>
      <c r="AJ1167" s="94">
        <f>IF('Net zero activities &amp; levers'!$C$14="Off",SUM('Activity data'!BC66:BC81)*FracGASM*MSVolatEF*NtoN2O*kgtoGg,IF('Net zero activities &amp; levers'!$C$14="On",SUM('Net zero Activity data'!BC66:BC81)*FracGASM*MSVolatEF*NtoN2O*kgtoGg,"ERROR"))</f>
        <v>4.5055232078089906</v>
      </c>
      <c r="AK1167" s="94">
        <f>IF('Net zero activities &amp; levers'!$C$14="Off",SUM('Activity data'!BD66:BD81)*FracGASM*MSVolatEF*NtoN2O*kgtoGg,IF('Net zero activities &amp; levers'!$C$14="On",SUM('Net zero Activity data'!BD66:BD81)*FracGASM*MSVolatEF*NtoN2O*kgtoGg,"ERROR"))</f>
        <v>4.5487963787371326</v>
      </c>
      <c r="AL1167" s="94">
        <f>IF('Net zero activities &amp; levers'!$C$14="Off",SUM('Activity data'!BE66:BE81)*FracGASM*MSVolatEF*NtoN2O*kgtoGg,IF('Net zero activities &amp; levers'!$C$14="On",SUM('Net zero Activity data'!BE66:BE81)*FracGASM*MSVolatEF*NtoN2O*kgtoGg,"ERROR"))</f>
        <v>4.5900121260194853</v>
      </c>
      <c r="AM1167" s="94">
        <f>IF('Net zero activities &amp; levers'!$C$14="Off",SUM('Activity data'!BF66:BF81)*FracGASM*MSVolatEF*NtoN2O*kgtoGg,IF('Net zero activities &amp; levers'!$C$14="On",SUM('Net zero Activity data'!BF66:BF81)*FracGASM*MSVolatEF*NtoN2O*kgtoGg,"ERROR"))</f>
        <v>4.6307205405262888</v>
      </c>
      <c r="AN1167" s="94">
        <f>IF('Net zero activities &amp; levers'!$C$14="Off",SUM('Activity data'!BG66:BG81)*FracGASM*MSVolatEF*NtoN2O*kgtoGg,IF('Net zero activities &amp; levers'!$C$14="On",SUM('Net zero Activity data'!BG66:BG81)*FracGASM*MSVolatEF*NtoN2O*kgtoGg,"ERROR"))</f>
        <v>4.6802451384074173</v>
      </c>
      <c r="AO1167" s="94">
        <f>IF('Net zero activities &amp; levers'!$C$14="Off",SUM('Activity data'!BH66:BH81)*FracGASM*MSVolatEF*NtoN2O*kgtoGg,IF('Net zero activities &amp; levers'!$C$14="On",SUM('Net zero Activity data'!BH66:BH81)*FracGASM*MSVolatEF*NtoN2O*kgtoGg,"ERROR"))</f>
        <v>4.7313734673669652</v>
      </c>
      <c r="AP1167" s="94">
        <f>IF('Net zero activities &amp; levers'!$C$14="Off",SUM('Activity data'!BI66:BI81)*FracGASM*MSVolatEF*NtoN2O*kgtoGg,IF('Net zero activities &amp; levers'!$C$14="On",SUM('Net zero Activity data'!BI66:BI81)*FracGASM*MSVolatEF*NtoN2O*kgtoGg,"ERROR"))</f>
        <v>4.7857847377648062</v>
      </c>
      <c r="AQ1167" s="94">
        <f>IF('Net zero activities &amp; levers'!$C$14="Off",SUM('Activity data'!BJ66:BJ81)*FracGASM*MSVolatEF*NtoN2O*kgtoGg,IF('Net zero activities &amp; levers'!$C$14="On",SUM('Net zero Activity data'!BJ66:BJ81)*FracGASM*MSVolatEF*NtoN2O*kgtoGg,"ERROR"))</f>
        <v>4.8400720712169321</v>
      </c>
      <c r="AR1167" s="94">
        <f>IF('Net zero activities &amp; levers'!$C$14="Off",SUM('Activity data'!BK66:BK81)*FracGASM*MSVolatEF*NtoN2O*kgtoGg,IF('Net zero activities &amp; levers'!$C$14="On",SUM('Net zero Activity data'!BK66:BK81)*FracGASM*MSVolatEF*NtoN2O*kgtoGg,"ERROR"))</f>
        <v>4.8942825787604232</v>
      </c>
      <c r="AS1167" s="94">
        <f>IF('Net zero activities &amp; levers'!$C$14="Off",SUM('Activity data'!BL66:BL81)*FracGASM*MSVolatEF*NtoN2O*kgtoGg,IF('Net zero activities &amp; levers'!$C$14="On",SUM('Net zero Activity data'!BL66:BL81)*FracGASM*MSVolatEF*NtoN2O*kgtoGg,"ERROR"))</f>
        <v>4.9516552239356777</v>
      </c>
      <c r="AT1167" s="94">
        <f>IF('Net zero activities &amp; levers'!$C$14="Off",SUM('Activity data'!BM66:BM81)*FracGASM*MSVolatEF*NtoN2O*kgtoGg,IF('Net zero activities &amp; levers'!$C$14="On",SUM('Net zero Activity data'!BM66:BM81)*FracGASM*MSVolatEF*NtoN2O*kgtoGg,"ERROR"))</f>
        <v>5.010848202184258</v>
      </c>
      <c r="AU1167" s="94">
        <f>IF('Net zero activities &amp; levers'!$C$14="Off",SUM('Activity data'!BN66:BN81)*FracGASM*MSVolatEF*NtoN2O*kgtoGg,IF('Net zero activities &amp; levers'!$C$14="On",SUM('Net zero Activity data'!BN66:BN81)*FracGASM*MSVolatEF*NtoN2O*kgtoGg,"ERROR"))</f>
        <v>5.070940832499133</v>
      </c>
      <c r="AV1167" s="94">
        <f>IF('Net zero activities &amp; levers'!$C$14="Off",SUM('Activity data'!BO66:BO81)*FracGASM*MSVolatEF*NtoN2O*kgtoGg,IF('Net zero activities &amp; levers'!$C$14="On",SUM('Net zero Activity data'!BO66:BO81)*FracGASM*MSVolatEF*NtoN2O*kgtoGg,"ERROR"))</f>
        <v>5.1338473778737468</v>
      </c>
      <c r="AW1167" s="94">
        <f>IF('Net zero activities &amp; levers'!$C$14="Off",SUM('Activity data'!BP66:BP81)*FracGASM*MSVolatEF*NtoN2O*kgtoGg,IF('Net zero activities &amp; levers'!$C$14="On",SUM('Net zero Activity data'!BP66:BP81)*FracGASM*MSVolatEF*NtoN2O*kgtoGg,"ERROR"))</f>
        <v>5.1874285866281769</v>
      </c>
      <c r="AY1167" s="79"/>
    </row>
    <row r="1168" spans="1:51" x14ac:dyDescent="0.25">
      <c r="A1168" s="95" t="str">
        <f t="shared" ref="A1168:A1216" si="380">B1168&amp;" "&amp;C1168</f>
        <v>CM Leaching</v>
      </c>
      <c r="B1168" s="95" t="s">
        <v>1321</v>
      </c>
      <c r="C1168" s="95" t="s">
        <v>1189</v>
      </c>
      <c r="D1168" t="s">
        <v>369</v>
      </c>
      <c r="E1168" t="s">
        <v>61</v>
      </c>
      <c r="F1168" t="s">
        <v>63</v>
      </c>
      <c r="G1168" t="s">
        <v>435</v>
      </c>
      <c r="H1168" t="s">
        <v>1186</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2.2782538140387479E-4</v>
      </c>
      <c r="U1168" s="94">
        <f>IF('Net zero activities &amp; levers'!$C$14="Off",'Activity data'!AN47*FracLEACH*MSLeachEF*NtoN2O*kgtoGg,IF('Net zero activities &amp; levers'!$C$14="On",'Net zero Activity data'!AN47*FracLEACH*MSLeachEF*NtoN2O*kgtoGg,"ERROR"))</f>
        <v>2.2771715291537687E-4</v>
      </c>
      <c r="V1168" s="94">
        <f>IF('Net zero activities &amp; levers'!$C$14="Off",'Activity data'!AO47*FracLEACH*MSLeachEF*NtoN2O*kgtoGg,IF('Net zero activities &amp; levers'!$C$14="On",'Net zero Activity data'!AO47*FracLEACH*MSLeachEF*NtoN2O*kgtoGg,"ERROR"))</f>
        <v>2.2765749353397156E-4</v>
      </c>
      <c r="W1168" s="94">
        <f>IF('Net zero activities &amp; levers'!$C$14="Off",'Activity data'!AP47*FracLEACH*MSLeachEF*NtoN2O*kgtoGg,IF('Net zero activities &amp; levers'!$C$14="On",'Net zero Activity data'!AP47*FracLEACH*MSLeachEF*NtoN2O*kgtoGg,"ERROR"))</f>
        <v>2.2763433973674462E-4</v>
      </c>
      <c r="X1168" s="94">
        <f>IF('Net zero activities &amp; levers'!$C$14="Off",'Activity data'!AQ47*FracLEACH*MSLeachEF*NtoN2O*kgtoGg,IF('Net zero activities &amp; levers'!$C$14="On",'Net zero Activity data'!AQ47*FracLEACH*MSLeachEF*NtoN2O*kgtoGg,"ERROR"))</f>
        <v>2.2760936644157216E-4</v>
      </c>
      <c r="Y1168" s="94">
        <f>IF('Net zero activities &amp; levers'!$C$14="Off",'Activity data'!AR47*FracLEACH*MSLeachEF*NtoN2O*kgtoGg,IF('Net zero activities &amp; levers'!$C$14="On",'Net zero Activity data'!AR47*FracLEACH*MSLeachEF*NtoN2O*kgtoGg,"ERROR"))</f>
        <v>2.2757482273621599E-4</v>
      </c>
      <c r="Z1168" s="94">
        <f>IF('Net zero activities &amp; levers'!$C$14="Off",'Activity data'!AS47*FracLEACH*MSLeachEF*NtoN2O*kgtoGg,IF('Net zero activities &amp; levers'!$C$14="On",'Net zero Activity data'!AS47*FracLEACH*MSLeachEF*NtoN2O*kgtoGg,"ERROR"))</f>
        <v>2.27531269966679E-4</v>
      </c>
      <c r="AA1168" s="94">
        <f>IF('Net zero activities &amp; levers'!$C$14="Off",'Activity data'!AT47*FracLEACH*MSLeachEF*NtoN2O*kgtoGg,IF('Net zero activities &amp; levers'!$C$14="On",'Net zero Activity data'!AT47*FracLEACH*MSLeachEF*NtoN2O*kgtoGg,"ERROR"))</f>
        <v>2.2748365792702683E-4</v>
      </c>
      <c r="AB1168" s="94">
        <f>IF('Net zero activities &amp; levers'!$C$14="Off",'Activity data'!AU47*FracLEACH*MSLeachEF*NtoN2O*kgtoGg,IF('Net zero activities &amp; levers'!$C$14="On",'Net zero Activity data'!AU47*FracLEACH*MSLeachEF*NtoN2O*kgtoGg,"ERROR"))</f>
        <v>2.2743083270149308E-4</v>
      </c>
      <c r="AC1168" s="94">
        <f>IF('Net zero activities &amp; levers'!$C$14="Off",'Activity data'!AV47*FracLEACH*MSLeachEF*NtoN2O*kgtoGg,IF('Net zero activities &amp; levers'!$C$14="On",'Net zero Activity data'!AV47*FracLEACH*MSLeachEF*NtoN2O*kgtoGg,"ERROR"))</f>
        <v>2.2736914155737162E-4</v>
      </c>
      <c r="AD1168" s="94">
        <f>IF('Net zero activities &amp; levers'!$C$14="Off",'Activity data'!AW47*FracLEACH*MSLeachEF*NtoN2O*kgtoGg,IF('Net zero activities &amp; levers'!$C$14="On",'Net zero Activity data'!AW47*FracLEACH*MSLeachEF*NtoN2O*kgtoGg,"ERROR"))</f>
        <v>2.272994576707182E-4</v>
      </c>
      <c r="AE1168" s="94">
        <f>IF('Net zero activities &amp; levers'!$C$14="Off",'Activity data'!AX47*FracLEACH*MSLeachEF*NtoN2O*kgtoGg,IF('Net zero activities &amp; levers'!$C$14="On",'Net zero Activity data'!AX47*FracLEACH*MSLeachEF*NtoN2O*kgtoGg,"ERROR"))</f>
        <v>2.2722563470591042E-4</v>
      </c>
      <c r="AF1168" s="94">
        <f>IF('Net zero activities &amp; levers'!$C$14="Off",'Activity data'!AY47*FracLEACH*MSLeachEF*NtoN2O*kgtoGg,IF('Net zero activities &amp; levers'!$C$14="On",'Net zero Activity data'!AY47*FracLEACH*MSLeachEF*NtoN2O*kgtoGg,"ERROR"))</f>
        <v>2.2714810388391836E-4</v>
      </c>
      <c r="AG1168" s="94">
        <f>IF('Net zero activities &amp; levers'!$C$14="Off",'Activity data'!AZ47*FracLEACH*MSLeachEF*NtoN2O*kgtoGg,IF('Net zero activities &amp; levers'!$C$14="On",'Net zero Activity data'!AZ47*FracLEACH*MSLeachEF*NtoN2O*kgtoGg,"ERROR"))</f>
        <v>2.2706893720824713E-4</v>
      </c>
      <c r="AH1168" s="94">
        <f>IF('Net zero activities &amp; levers'!$C$14="Off",'Activity data'!BA47*FracLEACH*MSLeachEF*NtoN2O*kgtoGg,IF('Net zero activities &amp; levers'!$C$14="On",'Net zero Activity data'!BA47*FracLEACH*MSLeachEF*NtoN2O*kgtoGg,"ERROR"))</f>
        <v>2.2698748383785777E-4</v>
      </c>
      <c r="AI1168" s="94">
        <f>IF('Net zero activities &amp; levers'!$C$14="Off",'Activity data'!BB47*FracLEACH*MSLeachEF*NtoN2O*kgtoGg,IF('Net zero activities &amp; levers'!$C$14="On",'Net zero Activity data'!BB47*FracLEACH*MSLeachEF*NtoN2O*kgtoGg,"ERROR"))</f>
        <v>2.2690474376866552E-4</v>
      </c>
      <c r="AJ1168" s="94">
        <f>IF('Net zero activities &amp; levers'!$C$14="Off",'Activity data'!BC47*FracLEACH*MSLeachEF*NtoN2O*kgtoGg,IF('Net zero activities &amp; levers'!$C$14="On",'Net zero Activity data'!BC47*FracLEACH*MSLeachEF*NtoN2O*kgtoGg,"ERROR"))</f>
        <v>2.2682375409315307E-4</v>
      </c>
      <c r="AK1168" s="94">
        <f>IF('Net zero activities &amp; levers'!$C$14="Off",'Activity data'!BD47*FracLEACH*MSLeachEF*NtoN2O*kgtoGg,IF('Net zero activities &amp; levers'!$C$14="On",'Net zero Activity data'!BD47*FracLEACH*MSLeachEF*NtoN2O*kgtoGg,"ERROR"))</f>
        <v>2.2674034646852486E-4</v>
      </c>
      <c r="AL1168" s="94">
        <f>IF('Net zero activities &amp; levers'!$C$14="Off",'Activity data'!BE47*FracLEACH*MSLeachEF*NtoN2O*kgtoGg,IF('Net zero activities &amp; levers'!$C$14="On",'Net zero Activity data'!BE47*FracLEACH*MSLeachEF*NtoN2O*kgtoGg,"ERROR"))</f>
        <v>2.26657313490047E-4</v>
      </c>
      <c r="AM1168" s="94">
        <f>IF('Net zero activities &amp; levers'!$C$14="Off",'Activity data'!BF47*FracLEACH*MSLeachEF*NtoN2O*kgtoGg,IF('Net zero activities &amp; levers'!$C$14="On",'Net zero Activity data'!BF47*FracLEACH*MSLeachEF*NtoN2O*kgtoGg,"ERROR"))</f>
        <v>2.2657487443503212E-4</v>
      </c>
      <c r="AN1168" s="94">
        <f>IF('Net zero activities &amp; levers'!$C$14="Off",'Activity data'!BG47*FracLEACH*MSLeachEF*NtoN2O*kgtoGg,IF('Net zero activities &amp; levers'!$C$14="On",'Net zero Activity data'!BG47*FracLEACH*MSLeachEF*NtoN2O*kgtoGg,"ERROR"))</f>
        <v>2.2649187288441419E-4</v>
      </c>
      <c r="AO1168" s="94">
        <f>IF('Net zero activities &amp; levers'!$C$14="Off",'Activity data'!BH47*FracLEACH*MSLeachEF*NtoN2O*kgtoGg,IF('Net zero activities &amp; levers'!$C$14="On",'Net zero Activity data'!BH47*FracLEACH*MSLeachEF*NtoN2O*kgtoGg,"ERROR"))</f>
        <v>2.2641118183381611E-4</v>
      </c>
      <c r="AP1168" s="94">
        <f>IF('Net zero activities &amp; levers'!$C$14="Off",'Activity data'!BI47*FracLEACH*MSLeachEF*NtoN2O*kgtoGg,IF('Net zero activities &amp; levers'!$C$14="On",'Net zero Activity data'!BI47*FracLEACH*MSLeachEF*NtoN2O*kgtoGg,"ERROR"))</f>
        <v>2.2632892565419918E-4</v>
      </c>
      <c r="AQ1168" s="94">
        <f>IF('Net zero activities &amp; levers'!$C$14="Off",'Activity data'!BJ47*FracLEACH*MSLeachEF*NtoN2O*kgtoGg,IF('Net zero activities &amp; levers'!$C$14="On",'Net zero Activity data'!BJ47*FracLEACH*MSLeachEF*NtoN2O*kgtoGg,"ERROR"))</f>
        <v>2.2624391892451869E-4</v>
      </c>
      <c r="AR1168" s="94">
        <f>IF('Net zero activities &amp; levers'!$C$14="Off",'Activity data'!BK47*FracLEACH*MSLeachEF*NtoN2O*kgtoGg,IF('Net zero activities &amp; levers'!$C$14="On",'Net zero Activity data'!BK47*FracLEACH*MSLeachEF*NtoN2O*kgtoGg,"ERROR"))</f>
        <v>2.2615858648702465E-4</v>
      </c>
      <c r="AS1168" s="94">
        <f>IF('Net zero activities &amp; levers'!$C$14="Off",'Activity data'!BL47*FracLEACH*MSLeachEF*NtoN2O*kgtoGg,IF('Net zero activities &amp; levers'!$C$14="On",'Net zero Activity data'!BL47*FracLEACH*MSLeachEF*NtoN2O*kgtoGg,"ERROR"))</f>
        <v>2.2607286114758075E-4</v>
      </c>
      <c r="AT1168" s="94">
        <f>IF('Net zero activities &amp; levers'!$C$14="Off",'Activity data'!BM47*FracLEACH*MSLeachEF*NtoN2O*kgtoGg,IF('Net zero activities &amp; levers'!$C$14="On",'Net zero Activity data'!BM47*FracLEACH*MSLeachEF*NtoN2O*kgtoGg,"ERROR"))</f>
        <v>2.2598448609183276E-4</v>
      </c>
      <c r="AU1168" s="94">
        <f>IF('Net zero activities &amp; levers'!$C$14="Off",'Activity data'!BN47*FracLEACH*MSLeachEF*NtoN2O*kgtoGg,IF('Net zero activities &amp; levers'!$C$14="On",'Net zero Activity data'!BN47*FracLEACH*MSLeachEF*NtoN2O*kgtoGg,"ERROR"))</f>
        <v>2.2589441872959606E-4</v>
      </c>
      <c r="AV1168" s="94">
        <f>IF('Net zero activities &amp; levers'!$C$14="Off",'Activity data'!BO47*FracLEACH*MSLeachEF*NtoN2O*kgtoGg,IF('Net zero activities &amp; levers'!$C$14="On",'Net zero Activity data'!BO47*FracLEACH*MSLeachEF*NtoN2O*kgtoGg,"ERROR"))</f>
        <v>2.2580330294532294E-4</v>
      </c>
      <c r="AW1168" s="94">
        <f>IF('Net zero activities &amp; levers'!$C$14="Off",'Activity data'!BP47*FracLEACH*MSLeachEF*NtoN2O*kgtoGg,IF('Net zero activities &amp; levers'!$C$14="On",'Net zero Activity data'!BP47*FracLEACH*MSLeachEF*NtoN2O*kgtoGg,"ERROR"))</f>
        <v>2.2570987209359888E-4</v>
      </c>
      <c r="AY1168" s="79"/>
    </row>
    <row r="1169" spans="1:51" x14ac:dyDescent="0.25">
      <c r="A1169" s="95" t="str">
        <f t="shared" si="380"/>
        <v>CM Leaching</v>
      </c>
      <c r="B1169" s="95" t="s">
        <v>1321</v>
      </c>
      <c r="C1169" s="95" t="s">
        <v>1189</v>
      </c>
      <c r="D1169" t="s">
        <v>369</v>
      </c>
      <c r="E1169" t="s">
        <v>61</v>
      </c>
      <c r="F1169" t="s">
        <v>63</v>
      </c>
      <c r="G1169" t="s">
        <v>436</v>
      </c>
      <c r="H1169" t="s">
        <v>1187</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1.5036475172655738E-6</v>
      </c>
      <c r="U1169" s="94">
        <f>IF('Net zero activities &amp; levers'!$C$14="Off",'Activity data'!AN48*FracLEACH*MSLeachEF*NtoN2O*kgtoGg,IF('Net zero activities &amp; levers'!$C$14="On",'Net zero Activity data'!AN48*FracLEACH*MSLeachEF*NtoN2O*kgtoGg,"ERROR"))</f>
        <v>1.5029332092414877E-6</v>
      </c>
      <c r="V1169" s="94">
        <f>IF('Net zero activities &amp; levers'!$C$14="Off",'Activity data'!AO48*FracLEACH*MSLeachEF*NtoN2O*kgtoGg,IF('Net zero activities &amp; levers'!$C$14="On",'Net zero Activity data'!AO48*FracLEACH*MSLeachEF*NtoN2O*kgtoGg,"ERROR"))</f>
        <v>1.5025394573242125E-6</v>
      </c>
      <c r="W1169" s="94">
        <f>IF('Net zero activities &amp; levers'!$C$14="Off",'Activity data'!AP48*FracLEACH*MSLeachEF*NtoN2O*kgtoGg,IF('Net zero activities &amp; levers'!$C$14="On",'Net zero Activity data'!AP48*FracLEACH*MSLeachEF*NtoN2O*kgtoGg,"ERROR"))</f>
        <v>1.5023866422625144E-6</v>
      </c>
      <c r="X1169" s="94">
        <f>IF('Net zero activities &amp; levers'!$C$14="Off",'Activity data'!AQ48*FracLEACH*MSLeachEF*NtoN2O*kgtoGg,IF('Net zero activities &amp; levers'!$C$14="On",'Net zero Activity data'!AQ48*FracLEACH*MSLeachEF*NtoN2O*kgtoGg,"ERROR"))</f>
        <v>1.5022218185143764E-6</v>
      </c>
      <c r="Y1169" s="94">
        <f>IF('Net zero activities &amp; levers'!$C$14="Off",'Activity data'!AR48*FracLEACH*MSLeachEF*NtoN2O*kgtoGg,IF('Net zero activities &amp; levers'!$C$14="On",'Net zero Activity data'!AR48*FracLEACH*MSLeachEF*NtoN2O*kgtoGg,"ERROR"))</f>
        <v>1.5019938300590255E-6</v>
      </c>
      <c r="Z1169" s="94">
        <f>IF('Net zero activities &amp; levers'!$C$14="Off",'Activity data'!AS48*FracLEACH*MSLeachEF*NtoN2O*kgtoGg,IF('Net zero activities &amp; levers'!$C$14="On",'Net zero Activity data'!AS48*FracLEACH*MSLeachEF*NtoN2O*kgtoGg,"ERROR"))</f>
        <v>1.5017063817800821E-6</v>
      </c>
      <c r="AA1169" s="94">
        <f>IF('Net zero activities &amp; levers'!$C$14="Off",'Activity data'!AT48*FracLEACH*MSLeachEF*NtoN2O*kgtoGg,IF('Net zero activities &amp; levers'!$C$14="On",'Net zero Activity data'!AT48*FracLEACH*MSLeachEF*NtoN2O*kgtoGg,"ERROR"))</f>
        <v>1.5013921423183768E-6</v>
      </c>
      <c r="AB1169" s="94">
        <f>IF('Net zero activities &amp; levers'!$C$14="Off",'Activity data'!AU48*FracLEACH*MSLeachEF*NtoN2O*kgtoGg,IF('Net zero activities &amp; levers'!$C$14="On",'Net zero Activity data'!AU48*FracLEACH*MSLeachEF*NtoN2O*kgtoGg,"ERROR"))</f>
        <v>1.5010434958298549E-6</v>
      </c>
      <c r="AC1169" s="94">
        <f>IF('Net zero activities &amp; levers'!$C$14="Off",'Activity data'!AV48*FracLEACH*MSLeachEF*NtoN2O*kgtoGg,IF('Net zero activities &amp; levers'!$C$14="On",'Net zero Activity data'!AV48*FracLEACH*MSLeachEF*NtoN2O*kgtoGg,"ERROR"))</f>
        <v>1.5006363342786528E-6</v>
      </c>
      <c r="AD1169" s="94">
        <f>IF('Net zero activities &amp; levers'!$C$14="Off",'Activity data'!AW48*FracLEACH*MSLeachEF*NtoN2O*kgtoGg,IF('Net zero activities &amp; levers'!$C$14="On",'Net zero Activity data'!AW48*FracLEACH*MSLeachEF*NtoN2O*kgtoGg,"ERROR"))</f>
        <v>1.5001764206267405E-6</v>
      </c>
      <c r="AE1169" s="94">
        <f>IF('Net zero activities &amp; levers'!$C$14="Off",'Activity data'!AX48*FracLEACH*MSLeachEF*NtoN2O*kgtoGg,IF('Net zero activities &amp; levers'!$C$14="On",'Net zero Activity data'!AX48*FracLEACH*MSLeachEF*NtoN2O*kgtoGg,"ERROR"))</f>
        <v>1.4996891890590088E-6</v>
      </c>
      <c r="AF1169" s="94">
        <f>IF('Net zero activities &amp; levers'!$C$14="Off",'Activity data'!AY48*FracLEACH*MSLeachEF*NtoN2O*kgtoGg,IF('Net zero activities &amp; levers'!$C$14="On",'Net zero Activity data'!AY48*FracLEACH*MSLeachEF*NtoN2O*kgtoGg,"ERROR"))</f>
        <v>1.4991774856338616E-6</v>
      </c>
      <c r="AG1169" s="94">
        <f>IF('Net zero activities &amp; levers'!$C$14="Off",'Activity data'!AZ48*FracLEACH*MSLeachEF*NtoN2O*kgtoGg,IF('Net zero activities &amp; levers'!$C$14="On",'Net zero Activity data'!AZ48*FracLEACH*MSLeachEF*NtoN2O*kgtoGg,"ERROR"))</f>
        <v>1.4986549855744315E-6</v>
      </c>
      <c r="AH1169" s="94">
        <f>IF('Net zero activities &amp; levers'!$C$14="Off",'Activity data'!BA48*FracLEACH*MSLeachEF*NtoN2O*kgtoGg,IF('Net zero activities &amp; levers'!$C$14="On",'Net zero Activity data'!BA48*FracLEACH*MSLeachEF*NtoN2O*kgtoGg,"ERROR"))</f>
        <v>1.4981173933298619E-6</v>
      </c>
      <c r="AI1169" s="94">
        <f>IF('Net zero activities &amp; levers'!$C$14="Off",'Activity data'!BB48*FracLEACH*MSLeachEF*NtoN2O*kgtoGg,IF('Net zero activities &amp; levers'!$C$14="On",'Net zero Activity data'!BB48*FracLEACH*MSLeachEF*NtoN2O*kgtoGg,"ERROR"))</f>
        <v>1.4975713088731927E-6</v>
      </c>
      <c r="AJ1169" s="94">
        <f>IF('Net zero activities &amp; levers'!$C$14="Off",'Activity data'!BC48*FracLEACH*MSLeachEF*NtoN2O*kgtoGg,IF('Net zero activities &amp; levers'!$C$14="On",'Net zero Activity data'!BC48*FracLEACH*MSLeachEF*NtoN2O*kgtoGg,"ERROR"))</f>
        <v>1.4970367770148105E-6</v>
      </c>
      <c r="AK1169" s="94">
        <f>IF('Net zero activities &amp; levers'!$C$14="Off",'Activity data'!BD48*FracLEACH*MSLeachEF*NtoN2O*kgtoGg,IF('Net zero activities &amp; levers'!$C$14="On",'Net zero Activity data'!BD48*FracLEACH*MSLeachEF*NtoN2O*kgtoGg,"ERROR"))</f>
        <v>1.4964862866922644E-6</v>
      </c>
      <c r="AL1169" s="94">
        <f>IF('Net zero activities &amp; levers'!$C$14="Off",'Activity data'!BE48*FracLEACH*MSLeachEF*NtoN2O*kgtoGg,IF('Net zero activities &amp; levers'!$C$14="On",'Net zero Activity data'!BE48*FracLEACH*MSLeachEF*NtoN2O*kgtoGg,"ERROR"))</f>
        <v>1.4959382690343105E-6</v>
      </c>
      <c r="AM1169" s="94">
        <f>IF('Net zero activities &amp; levers'!$C$14="Off",'Activity data'!BF48*FracLEACH*MSLeachEF*NtoN2O*kgtoGg,IF('Net zero activities &amp; levers'!$C$14="On",'Net zero Activity data'!BF48*FracLEACH*MSLeachEF*NtoN2O*kgtoGg,"ERROR"))</f>
        <v>1.4953941712712119E-6</v>
      </c>
      <c r="AN1169" s="94">
        <f>IF('Net zero activities &amp; levers'!$C$14="Off",'Activity data'!BG48*FracLEACH*MSLeachEF*NtoN2O*kgtoGg,IF('Net zero activities &amp; levers'!$C$14="On",'Net zero Activity data'!BG48*FracLEACH*MSLeachEF*NtoN2O*kgtoGg,"ERROR"))</f>
        <v>1.4948463610371335E-6</v>
      </c>
      <c r="AO1169" s="94">
        <f>IF('Net zero activities &amp; levers'!$C$14="Off",'Activity data'!BH48*FracLEACH*MSLeachEF*NtoN2O*kgtoGg,IF('Net zero activities &amp; levers'!$C$14="On",'Net zero Activity data'!BH48*FracLEACH*MSLeachEF*NtoN2O*kgtoGg,"ERROR"))</f>
        <v>1.4943138001031867E-6</v>
      </c>
      <c r="AP1169" s="94">
        <f>IF('Net zero activities &amp; levers'!$C$14="Off",'Activity data'!BI48*FracLEACH*MSLeachEF*NtoN2O*kgtoGg,IF('Net zero activities &amp; levers'!$C$14="On",'Net zero Activity data'!BI48*FracLEACH*MSLeachEF*NtoN2O*kgtoGg,"ERROR"))</f>
        <v>1.4937709093177149E-6</v>
      </c>
      <c r="AQ1169" s="94">
        <f>IF('Net zero activities &amp; levers'!$C$14="Off",'Activity data'!BJ48*FracLEACH*MSLeachEF*NtoN2O*kgtoGg,IF('Net zero activities &amp; levers'!$C$14="On",'Net zero Activity data'!BJ48*FracLEACH*MSLeachEF*NtoN2O*kgtoGg,"ERROR"))</f>
        <v>1.4932098649018236E-6</v>
      </c>
      <c r="AR1169" s="94">
        <f>IF('Net zero activities &amp; levers'!$C$14="Off",'Activity data'!BK48*FracLEACH*MSLeachEF*NtoN2O*kgtoGg,IF('Net zero activities &amp; levers'!$C$14="On",'Net zero Activity data'!BK48*FracLEACH*MSLeachEF*NtoN2O*kgtoGg,"ERROR"))</f>
        <v>1.4926466708143633E-6</v>
      </c>
      <c r="AS1169" s="94">
        <f>IF('Net zero activities &amp; levers'!$C$14="Off",'Activity data'!BL48*FracLEACH*MSLeachEF*NtoN2O*kgtoGg,IF('Net zero activities &amp; levers'!$C$14="On",'Net zero Activity data'!BL48*FracLEACH*MSLeachEF*NtoN2O*kgtoGg,"ERROR"))</f>
        <v>1.4920808835740333E-6</v>
      </c>
      <c r="AT1169" s="94">
        <f>IF('Net zero activities &amp; levers'!$C$14="Off",'Activity data'!BM48*FracLEACH*MSLeachEF*NtoN2O*kgtoGg,IF('Net zero activities &amp; levers'!$C$14="On",'Net zero Activity data'!BM48*FracLEACH*MSLeachEF*NtoN2O*kgtoGg,"ERROR"))</f>
        <v>1.4914976082060963E-6</v>
      </c>
      <c r="AU1169" s="94">
        <f>IF('Net zero activities &amp; levers'!$C$14="Off",'Activity data'!BN48*FracLEACH*MSLeachEF*NtoN2O*kgtoGg,IF('Net zero activities &amp; levers'!$C$14="On",'Net zero Activity data'!BN48*FracLEACH*MSLeachEF*NtoN2O*kgtoGg,"ERROR"))</f>
        <v>1.4909031636153342E-6</v>
      </c>
      <c r="AV1169" s="94">
        <f>IF('Net zero activities &amp; levers'!$C$14="Off",'Activity data'!BO48*FracLEACH*MSLeachEF*NtoN2O*kgtoGg,IF('Net zero activities &amp; levers'!$C$14="On",'Net zero Activity data'!BO48*FracLEACH*MSLeachEF*NtoN2O*kgtoGg,"ERROR"))</f>
        <v>1.4903017994391313E-6</v>
      </c>
      <c r="AW1169" s="94">
        <f>IF('Net zero activities &amp; levers'!$C$14="Off",'Activity data'!BP48*FracLEACH*MSLeachEF*NtoN2O*kgtoGg,IF('Net zero activities &amp; levers'!$C$14="On",'Net zero Activity data'!BP48*FracLEACH*MSLeachEF*NtoN2O*kgtoGg,"ERROR"))</f>
        <v>1.4896851558177531E-6</v>
      </c>
      <c r="AY1169" s="79"/>
    </row>
    <row r="1170" spans="1:51" x14ac:dyDescent="0.25">
      <c r="A1170" s="95" t="str">
        <f t="shared" si="380"/>
        <v>CM Leaching</v>
      </c>
      <c r="B1170" s="95" t="s">
        <v>1321</v>
      </c>
      <c r="C1170" s="95" t="s">
        <v>1189</v>
      </c>
      <c r="D1170" t="s">
        <v>369</v>
      </c>
      <c r="E1170" t="s">
        <v>61</v>
      </c>
      <c r="F1170" t="s">
        <v>63</v>
      </c>
      <c r="G1170" t="s">
        <v>437</v>
      </c>
      <c r="H1170" t="s">
        <v>1188</v>
      </c>
      <c r="I1170" t="s">
        <v>139</v>
      </c>
      <c r="J1170" t="s">
        <v>287</v>
      </c>
      <c r="K1170" s="94">
        <f>IF('Net zero activities &amp; levers'!$C$14="Off",SUM('Activity data'!AD50:AD65)*FracLEACH*MSLeachEF*NtoN2O*kgtoGg,IF('Net zero activities &amp; levers'!$C$14="On",SUM('Net zero Activity data'!AD50:AD65)*FracLEACH*MSLeachEF*NtoN2O*kgtoGg,"ERROR"))</f>
        <v>0.20714502561891826</v>
      </c>
      <c r="L1170" s="94">
        <f>IF('Net zero activities &amp; levers'!$C$14="Off",SUM('Activity data'!AE50:AE65)*FracLEACH*MSLeachEF*NtoN2O*kgtoGg,IF('Net zero activities &amp; levers'!$C$14="On",SUM('Net zero Activity data'!AE50:AE65)*FracLEACH*MSLeachEF*NtoN2O*kgtoGg,"ERROR"))</f>
        <v>0.20732835560623097</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0.20795637847695561</v>
      </c>
      <c r="O1170" s="94">
        <f>IF('Net zero activities &amp; levers'!$C$14="Off",SUM('Activity data'!AH50:AH65)*FracLEACH*MSLeachEF*NtoN2O*kgtoGg,IF('Net zero activities &amp; levers'!$C$14="On",SUM('Net zero Activity data'!AH50:AH65)*FracLEACH*MSLeachEF*NtoN2O*kgtoGg,"ERROR"))</f>
        <v>0.20628301821112818</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0.18345421452632232</v>
      </c>
      <c r="T1170" s="94">
        <f>IF('Net zero activities &amp; levers'!$C$14="Off",SUM('Activity data'!AM50:AM65)*FracLEACH*MSLeachEF*NtoN2O*kgtoGg,IF('Net zero activities &amp; levers'!$C$14="On",SUM('Net zero Activity data'!AM50:AM65)*FracLEACH*MSLeachEF*NtoN2O*kgtoGg,"ERROR"))</f>
        <v>0.19195652777420363</v>
      </c>
      <c r="U1170" s="94">
        <f>IF('Net zero activities &amp; levers'!$C$14="Off",SUM('Activity data'!AN50:AN65)*FracLEACH*MSLeachEF*NtoN2O*kgtoGg,IF('Net zero activities &amp; levers'!$C$14="On",SUM('Net zero Activity data'!AN50:AN65)*FracLEACH*MSLeachEF*NtoN2O*kgtoGg,"ERROR"))</f>
        <v>0.19560562647572965</v>
      </c>
      <c r="V1170" s="94">
        <f>IF('Net zero activities &amp; levers'!$C$14="Off",SUM('Activity data'!AO50:AO65)*FracLEACH*MSLeachEF*NtoN2O*kgtoGg,IF('Net zero activities &amp; levers'!$C$14="On",SUM('Net zero Activity data'!AO50:AO65)*FracLEACH*MSLeachEF*NtoN2O*kgtoGg,"ERROR"))</f>
        <v>0.19551310879477027</v>
      </c>
      <c r="W1170" s="94">
        <f>IF('Net zero activities &amp; levers'!$C$14="Off",SUM('Activity data'!AP50:AP65)*FracLEACH*MSLeachEF*NtoN2O*kgtoGg,IF('Net zero activities &amp; levers'!$C$14="On",SUM('Net zero Activity data'!AP50:AP65)*FracLEACH*MSLeachEF*NtoN2O*kgtoGg,"ERROR"))</f>
        <v>0.19564383614228145</v>
      </c>
      <c r="X1170" s="94">
        <f>IF('Net zero activities &amp; levers'!$C$14="Off",SUM('Activity data'!AQ50:AQ65)*FracLEACH*MSLeachEF*NtoN2O*kgtoGg,IF('Net zero activities &amp; levers'!$C$14="On",SUM('Net zero Activity data'!AQ50:AQ65)*FracLEACH*MSLeachEF*NtoN2O*kgtoGg,"ERROR"))</f>
        <v>0.19679206133543856</v>
      </c>
      <c r="Y1170" s="94">
        <f>IF('Net zero activities &amp; levers'!$C$14="Off",SUM('Activity data'!AR50:AR65)*FracLEACH*MSLeachEF*NtoN2O*kgtoGg,IF('Net zero activities &amp; levers'!$C$14="On",SUM('Net zero Activity data'!AR50:AR65)*FracLEACH*MSLeachEF*NtoN2O*kgtoGg,"ERROR"))</f>
        <v>0.19890232993686438</v>
      </c>
      <c r="Z1170" s="94">
        <f>IF('Net zero activities &amp; levers'!$C$14="Off",SUM('Activity data'!AS50:AS65)*FracLEACH*MSLeachEF*NtoN2O*kgtoGg,IF('Net zero activities &amp; levers'!$C$14="On",SUM('Net zero Activity data'!AS50:AS65)*FracLEACH*MSLeachEF*NtoN2O*kgtoGg,"ERROR"))</f>
        <v>0.20146830931876691</v>
      </c>
      <c r="AA1170" s="94">
        <f>IF('Net zero activities &amp; levers'!$C$14="Off",SUM('Activity data'!AT50:AT65)*FracLEACH*MSLeachEF*NtoN2O*kgtoGg,IF('Net zero activities &amp; levers'!$C$14="On",SUM('Net zero Activity data'!AT50:AT65)*FracLEACH*MSLeachEF*NtoN2O*kgtoGg,"ERROR"))</f>
        <v>0.20461592637751433</v>
      </c>
      <c r="AB1170" s="94">
        <f>IF('Net zero activities &amp; levers'!$C$14="Off",SUM('Activity data'!AU50:AU65)*FracLEACH*MSLeachEF*NtoN2O*kgtoGg,IF('Net zero activities &amp; levers'!$C$14="On",SUM('Net zero Activity data'!AU50:AU65)*FracLEACH*MSLeachEF*NtoN2O*kgtoGg,"ERROR"))</f>
        <v>0.20874173146877406</v>
      </c>
      <c r="AC1170" s="94">
        <f>IF('Net zero activities &amp; levers'!$C$14="Off",SUM('Activity data'!AV50:AV65)*FracLEACH*MSLeachEF*NtoN2O*kgtoGg,IF('Net zero activities &amp; levers'!$C$14="On",SUM('Net zero Activity data'!AV50:AV65)*FracLEACH*MSLeachEF*NtoN2O*kgtoGg,"ERROR"))</f>
        <v>0.21378261140903454</v>
      </c>
      <c r="AD1170" s="94">
        <f>IF('Net zero activities &amp; levers'!$C$14="Off",SUM('Activity data'!AW50:AW65)*FracLEACH*MSLeachEF*NtoN2O*kgtoGg,IF('Net zero activities &amp; levers'!$C$14="On",SUM('Net zero Activity data'!AW50:AW65)*FracLEACH*MSLeachEF*NtoN2O*kgtoGg,"ERROR"))</f>
        <v>0.21859679605850485</v>
      </c>
      <c r="AE1170" s="94">
        <f>IF('Net zero activities &amp; levers'!$C$14="Off",SUM('Activity data'!AX50:AX65)*FracLEACH*MSLeachEF*NtoN2O*kgtoGg,IF('Net zero activities &amp; levers'!$C$14="On",SUM('Net zero Activity data'!AX50:AX65)*FracLEACH*MSLeachEF*NtoN2O*kgtoGg,"ERROR"))</f>
        <v>0.22386984820151812</v>
      </c>
      <c r="AF1170" s="94">
        <f>IF('Net zero activities &amp; levers'!$C$14="Off",SUM('Activity data'!AY50:AY65)*FracLEACH*MSLeachEF*NtoN2O*kgtoGg,IF('Net zero activities &amp; levers'!$C$14="On",SUM('Net zero Activity data'!AY50:AY65)*FracLEACH*MSLeachEF*NtoN2O*kgtoGg,"ERROR"))</f>
        <v>0.22938844096453867</v>
      </c>
      <c r="AG1170" s="94">
        <f>IF('Net zero activities &amp; levers'!$C$14="Off",SUM('Activity data'!AZ50:AZ65)*FracLEACH*MSLeachEF*NtoN2O*kgtoGg,IF('Net zero activities &amp; levers'!$C$14="On",SUM('Net zero Activity data'!AZ50:AZ65)*FracLEACH*MSLeachEF*NtoN2O*kgtoGg,"ERROR"))</f>
        <v>0.23523527981160089</v>
      </c>
      <c r="AH1170" s="94">
        <f>IF('Net zero activities &amp; levers'!$C$14="Off",SUM('Activity data'!BA50:BA65)*FracLEACH*MSLeachEF*NtoN2O*kgtoGg,IF('Net zero activities &amp; levers'!$C$14="On",SUM('Net zero Activity data'!BA50:BA65)*FracLEACH*MSLeachEF*NtoN2O*kgtoGg,"ERROR"))</f>
        <v>0.24130885941961319</v>
      </c>
      <c r="AI1170" s="94">
        <f>IF('Net zero activities &amp; levers'!$C$14="Off",SUM('Activity data'!BB50:BB65)*FracLEACH*MSLeachEF*NtoN2O*kgtoGg,IF('Net zero activities &amp; levers'!$C$14="On",SUM('Net zero Activity data'!BB50:BB65)*FracLEACH*MSLeachEF*NtoN2O*kgtoGg,"ERROR"))</f>
        <v>0.2472639040241959</v>
      </c>
      <c r="AJ1170" s="94">
        <f>IF('Net zero activities &amp; levers'!$C$14="Off",SUM('Activity data'!BC50:BC65)*FracLEACH*MSLeachEF*NtoN2O*kgtoGg,IF('Net zero activities &amp; levers'!$C$14="On",SUM('Net zero Activity data'!BC50:BC65)*FracLEACH*MSLeachEF*NtoN2O*kgtoGg,"ERROR"))</f>
        <v>0.2535862034929412</v>
      </c>
      <c r="AK1170" s="94">
        <f>IF('Net zero activities &amp; levers'!$C$14="Off",SUM('Activity data'!BD50:BD65)*FracLEACH*MSLeachEF*NtoN2O*kgtoGg,IF('Net zero activities &amp; levers'!$C$14="On",SUM('Net zero Activity data'!BD50:BD65)*FracLEACH*MSLeachEF*NtoN2O*kgtoGg,"ERROR"))</f>
        <v>0.25995553558112644</v>
      </c>
      <c r="AL1170" s="94">
        <f>IF('Net zero activities &amp; levers'!$C$14="Off",SUM('Activity data'!BE50:BE65)*FracLEACH*MSLeachEF*NtoN2O*kgtoGg,IF('Net zero activities &amp; levers'!$C$14="On",SUM('Net zero Activity data'!BE50:BE65)*FracLEACH*MSLeachEF*NtoN2O*kgtoGg,"ERROR"))</f>
        <v>0.26634495696174137</v>
      </c>
      <c r="AM1170" s="94">
        <f>IF('Net zero activities &amp; levers'!$C$14="Off",SUM('Activity data'!BF50:BF65)*FracLEACH*MSLeachEF*NtoN2O*kgtoGg,IF('Net zero activities &amp; levers'!$C$14="On",SUM('Net zero Activity data'!BF50:BF65)*FracLEACH*MSLeachEF*NtoN2O*kgtoGg,"ERROR"))</f>
        <v>0.27289661467925691</v>
      </c>
      <c r="AN1170" s="94">
        <f>IF('Net zero activities &amp; levers'!$C$14="Off",SUM('Activity data'!BG50:BG65)*FracLEACH*MSLeachEF*NtoN2O*kgtoGg,IF('Net zero activities &amp; levers'!$C$14="On",SUM('Net zero Activity data'!BG50:BG65)*FracLEACH*MSLeachEF*NtoN2O*kgtoGg,"ERROR"))</f>
        <v>0.27977832241045703</v>
      </c>
      <c r="AO1170" s="94">
        <f>IF('Net zero activities &amp; levers'!$C$14="Off",SUM('Activity data'!BH50:BH65)*FracLEACH*MSLeachEF*NtoN2O*kgtoGg,IF('Net zero activities &amp; levers'!$C$14="On",SUM('Net zero Activity data'!BH50:BH65)*FracLEACH*MSLeachEF*NtoN2O*kgtoGg,"ERROR"))</f>
        <v>0.28698321848664521</v>
      </c>
      <c r="AP1170" s="94">
        <f>IF('Net zero activities &amp; levers'!$C$14="Off",SUM('Activity data'!BI50:BI65)*FracLEACH*MSLeachEF*NtoN2O*kgtoGg,IF('Net zero activities &amp; levers'!$C$14="On",SUM('Net zero Activity data'!BI50:BI65)*FracLEACH*MSLeachEF*NtoN2O*kgtoGg,"ERROR"))</f>
        <v>0.29468105355097846</v>
      </c>
      <c r="AQ1170" s="94">
        <f>IF('Net zero activities &amp; levers'!$C$14="Off",SUM('Activity data'!BJ50:BJ65)*FracLEACH*MSLeachEF*NtoN2O*kgtoGg,IF('Net zero activities &amp; levers'!$C$14="On",SUM('Net zero Activity data'!BJ50:BJ65)*FracLEACH*MSLeachEF*NtoN2O*kgtoGg,"ERROR"))</f>
        <v>0.3025714710334354</v>
      </c>
      <c r="AR1170" s="94">
        <f>IF('Net zero activities &amp; levers'!$C$14="Off",SUM('Activity data'!BK50:BK65)*FracLEACH*MSLeachEF*NtoN2O*kgtoGg,IF('Net zero activities &amp; levers'!$C$14="On",SUM('Net zero Activity data'!BK50:BK65)*FracLEACH*MSLeachEF*NtoN2O*kgtoGg,"ERROR"))</f>
        <v>0.31067004429321721</v>
      </c>
      <c r="AS1170" s="94">
        <f>IF('Net zero activities &amp; levers'!$C$14="Off",SUM('Activity data'!BL50:BL65)*FracLEACH*MSLeachEF*NtoN2O*kgtoGg,IF('Net zero activities &amp; levers'!$C$14="On",SUM('Net zero Activity data'!BL50:BL65)*FracLEACH*MSLeachEF*NtoN2O*kgtoGg,"ERROR"))</f>
        <v>0.31929860938507826</v>
      </c>
      <c r="AT1170" s="94">
        <f>IF('Net zero activities &amp; levers'!$C$14="Off",SUM('Activity data'!BM50:BM65)*FracLEACH*MSLeachEF*NtoN2O*kgtoGg,IF('Net zero activities &amp; levers'!$C$14="On",SUM('Net zero Activity data'!BM50:BM65)*FracLEACH*MSLeachEF*NtoN2O*kgtoGg,"ERROR"))</f>
        <v>0.32834824969387966</v>
      </c>
      <c r="AU1170" s="94">
        <f>IF('Net zero activities &amp; levers'!$C$14="Off",SUM('Activity data'!BN50:BN65)*FracLEACH*MSLeachEF*NtoN2O*kgtoGg,IF('Net zero activities &amp; levers'!$C$14="On",SUM('Net zero Activity data'!BN50:BN65)*FracLEACH*MSLeachEF*NtoN2O*kgtoGg,"ERROR"))</f>
        <v>0.33774569605035937</v>
      </c>
      <c r="AV1170" s="94">
        <f>IF('Net zero activities &amp; levers'!$C$14="Off",SUM('Activity data'!BO50:BO65)*FracLEACH*MSLeachEF*NtoN2O*kgtoGg,IF('Net zero activities &amp; levers'!$C$14="On",SUM('Net zero Activity data'!BO50:BO65)*FracLEACH*MSLeachEF*NtoN2O*kgtoGg,"ERROR"))</f>
        <v>0.34769528474374956</v>
      </c>
      <c r="AW1170" s="94">
        <f>IF('Net zero activities &amp; levers'!$C$14="Off",SUM('Activity data'!BP50:BP65)*FracLEACH*MSLeachEF*NtoN2O*kgtoGg,IF('Net zero activities &amp; levers'!$C$14="On",SUM('Net zero Activity data'!BP50:BP65)*FracLEACH*MSLeachEF*NtoN2O*kgtoGg,"ERROR"))</f>
        <v>0.3570064156976871</v>
      </c>
      <c r="AY1170" s="79"/>
    </row>
    <row r="1171" spans="1:51" x14ac:dyDescent="0.25">
      <c r="A1171" s="95" t="str">
        <f t="shared" si="380"/>
        <v>CM Leaching</v>
      </c>
      <c r="B1171" s="95" t="s">
        <v>1321</v>
      </c>
      <c r="C1171" s="95" t="s">
        <v>1189</v>
      </c>
      <c r="D1171" t="s">
        <v>369</v>
      </c>
      <c r="E1171" t="s">
        <v>61</v>
      </c>
      <c r="F1171" t="s">
        <v>63</v>
      </c>
      <c r="G1171" t="s">
        <v>438</v>
      </c>
      <c r="H1171" t="s">
        <v>1190</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5">
      <c r="A1172" s="95" t="str">
        <f t="shared" si="380"/>
        <v>CM Leaching</v>
      </c>
      <c r="B1172" s="95" t="s">
        <v>1321</v>
      </c>
      <c r="C1172" s="95" t="s">
        <v>1189</v>
      </c>
      <c r="D1172" t="s">
        <v>369</v>
      </c>
      <c r="E1172" t="s">
        <v>61</v>
      </c>
      <c r="F1172" t="s">
        <v>63</v>
      </c>
      <c r="G1172" t="s">
        <v>439</v>
      </c>
      <c r="H1172" t="s">
        <v>1191</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0.10248443536314014</v>
      </c>
      <c r="U1172" s="22">
        <f t="shared" si="381"/>
        <v>0.10329242458615623</v>
      </c>
      <c r="V1172" s="22">
        <f t="shared" si="381"/>
        <v>0.1037378169028777</v>
      </c>
      <c r="W1172" s="22">
        <f t="shared" si="381"/>
        <v>0.10391067359607317</v>
      </c>
      <c r="X1172" s="22">
        <f t="shared" si="381"/>
        <v>0.10409711390991817</v>
      </c>
      <c r="Y1172" s="22">
        <f t="shared" si="381"/>
        <v>0.10435500295593778</v>
      </c>
      <c r="Z1172" s="22">
        <f t="shared" si="381"/>
        <v>0.10468014995657268</v>
      </c>
      <c r="AA1172" s="22">
        <f t="shared" si="381"/>
        <v>0.10503560179239499</v>
      </c>
      <c r="AB1172" s="22">
        <f t="shared" si="381"/>
        <v>0.10542997312222666</v>
      </c>
      <c r="AC1172" s="22">
        <f t="shared" si="381"/>
        <v>0.10589053374076159</v>
      </c>
      <c r="AD1172" s="22">
        <f t="shared" si="381"/>
        <v>0.10641076487597649</v>
      </c>
      <c r="AE1172" s="22">
        <f t="shared" si="381"/>
        <v>0.10696189666025695</v>
      </c>
      <c r="AF1172" s="22">
        <f t="shared" si="381"/>
        <v>0.10754070977582914</v>
      </c>
      <c r="AG1172" s="22">
        <f t="shared" si="381"/>
        <v>0.10813173549975955</v>
      </c>
      <c r="AH1172" s="22">
        <f t="shared" si="381"/>
        <v>0.10873983274260557</v>
      </c>
      <c r="AI1172" s="22">
        <f t="shared" si="381"/>
        <v>0.10935753594761956</v>
      </c>
      <c r="AJ1172" s="22">
        <f t="shared" si="381"/>
        <v>0.10996217143590806</v>
      </c>
      <c r="AK1172" s="22">
        <f t="shared" si="381"/>
        <v>0.11058485833426822</v>
      </c>
      <c r="AL1172" s="22">
        <f t="shared" si="381"/>
        <v>0.11120474827910765</v>
      </c>
      <c r="AM1172" s="22">
        <f t="shared" si="381"/>
        <v>0.11182020423651956</v>
      </c>
      <c r="AN1172" s="22">
        <f t="shared" si="381"/>
        <v>0.11243985955392911</v>
      </c>
      <c r="AO1172" s="22">
        <f t="shared" si="381"/>
        <v>0.11304226563186594</v>
      </c>
      <c r="AP1172" s="22">
        <f t="shared" si="381"/>
        <v>0.1136563563170396</v>
      </c>
      <c r="AQ1172" s="22">
        <f t="shared" si="381"/>
        <v>0.1142909814736776</v>
      </c>
      <c r="AR1172" s="22">
        <f t="shared" si="381"/>
        <v>0.11492803823041334</v>
      </c>
      <c r="AS1172" s="22">
        <f t="shared" si="381"/>
        <v>0.11556802823093357</v>
      </c>
      <c r="AT1172" s="22">
        <f t="shared" si="381"/>
        <v>0.11622779991969046</v>
      </c>
      <c r="AU1172" s="22">
        <f t="shared" si="381"/>
        <v>0.11690020567017985</v>
      </c>
      <c r="AV1172" s="22">
        <f t="shared" si="381"/>
        <v>0.11758043850684917</v>
      </c>
      <c r="AW1172" s="22">
        <f t="shared" si="381"/>
        <v>0.11827795468154553</v>
      </c>
      <c r="AY1172" s="79"/>
    </row>
    <row r="1173" spans="1:51" x14ac:dyDescent="0.25">
      <c r="A1173" s="95" t="str">
        <f t="shared" si="380"/>
        <v>CM Leaching</v>
      </c>
      <c r="B1173" s="95" t="s">
        <v>1321</v>
      </c>
      <c r="C1173" s="95" t="s">
        <v>1189</v>
      </c>
      <c r="D1173" t="s">
        <v>369</v>
      </c>
      <c r="E1173" t="s">
        <v>61</v>
      </c>
      <c r="F1173" t="s">
        <v>63</v>
      </c>
      <c r="G1173" t="s">
        <v>1192</v>
      </c>
      <c r="H1173" t="s">
        <v>1193</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5">
      <c r="A1174" s="95" t="str">
        <f t="shared" si="380"/>
        <v>CM Leaching</v>
      </c>
      <c r="B1174" s="95" t="s">
        <v>1321</v>
      </c>
      <c r="C1174" s="95" t="s">
        <v>1189</v>
      </c>
      <c r="D1174" t="s">
        <v>369</v>
      </c>
      <c r="E1174" t="s">
        <v>61</v>
      </c>
      <c r="F1174" t="s">
        <v>63</v>
      </c>
      <c r="G1174" t="s">
        <v>1194</v>
      </c>
      <c r="H1174" t="s">
        <v>1195</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5">
      <c r="A1175" s="95" t="str">
        <f t="shared" si="380"/>
        <v>CM Leaching</v>
      </c>
      <c r="B1175" s="95" t="s">
        <v>1321</v>
      </c>
      <c r="C1175" s="95" t="s">
        <v>1189</v>
      </c>
      <c r="D1175" t="s">
        <v>369</v>
      </c>
      <c r="E1175" t="s">
        <v>61</v>
      </c>
      <c r="F1175" t="s">
        <v>63</v>
      </c>
      <c r="G1175" t="s">
        <v>1196</v>
      </c>
      <c r="H1175" t="s">
        <v>1197</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5">
      <c r="A1176" s="95" t="str">
        <f t="shared" si="380"/>
        <v>CM Leaching</v>
      </c>
      <c r="B1176" s="95" t="s">
        <v>1321</v>
      </c>
      <c r="C1176" s="95" t="s">
        <v>1189</v>
      </c>
      <c r="D1176" t="s">
        <v>369</v>
      </c>
      <c r="E1176" t="s">
        <v>61</v>
      </c>
      <c r="F1176" t="s">
        <v>63</v>
      </c>
      <c r="G1176" t="s">
        <v>1198</v>
      </c>
      <c r="H1176" t="s">
        <v>1199</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5">
      <c r="A1177" s="95" t="str">
        <f t="shared" si="380"/>
        <v>CM Leaching</v>
      </c>
      <c r="B1177" s="95" t="s">
        <v>1321</v>
      </c>
      <c r="C1177" s="95" t="s">
        <v>1189</v>
      </c>
      <c r="D1177" t="s">
        <v>369</v>
      </c>
      <c r="E1177" t="s">
        <v>61</v>
      </c>
      <c r="F1177" t="s">
        <v>63</v>
      </c>
      <c r="G1177" t="s">
        <v>1200</v>
      </c>
      <c r="H1177" t="s">
        <v>1201</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5">
      <c r="A1178" s="95" t="str">
        <f t="shared" si="380"/>
        <v>CM Leaching</v>
      </c>
      <c r="B1178" s="95" t="s">
        <v>1321</v>
      </c>
      <c r="C1178" s="95" t="s">
        <v>1189</v>
      </c>
      <c r="D1178" t="s">
        <v>369</v>
      </c>
      <c r="E1178" t="s">
        <v>61</v>
      </c>
      <c r="F1178" t="s">
        <v>63</v>
      </c>
      <c r="G1178" t="s">
        <v>1202</v>
      </c>
      <c r="H1178" t="s">
        <v>1203</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5">
      <c r="A1179" s="95" t="str">
        <f t="shared" si="380"/>
        <v>CM Leaching</v>
      </c>
      <c r="B1179" s="95" t="s">
        <v>1321</v>
      </c>
      <c r="C1179" s="95" t="s">
        <v>1189</v>
      </c>
      <c r="D1179" t="s">
        <v>369</v>
      </c>
      <c r="E1179" t="s">
        <v>61</v>
      </c>
      <c r="F1179" t="s">
        <v>63</v>
      </c>
      <c r="G1179" t="s">
        <v>1204</v>
      </c>
      <c r="H1179" t="s">
        <v>1205</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5">
      <c r="A1180" s="95" t="str">
        <f t="shared" si="380"/>
        <v>CM Leaching</v>
      </c>
      <c r="B1180" s="95" t="s">
        <v>1321</v>
      </c>
      <c r="C1180" s="95" t="s">
        <v>1189</v>
      </c>
      <c r="D1180" t="s">
        <v>369</v>
      </c>
      <c r="E1180" t="s">
        <v>61</v>
      </c>
      <c r="F1180" t="s">
        <v>63</v>
      </c>
      <c r="G1180" t="s">
        <v>1206</v>
      </c>
      <c r="H1180" t="s">
        <v>1207</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5">
      <c r="A1181" s="95" t="str">
        <f t="shared" si="380"/>
        <v>CM Leaching</v>
      </c>
      <c r="B1181" s="95" t="s">
        <v>1321</v>
      </c>
      <c r="C1181" s="95" t="s">
        <v>1189</v>
      </c>
      <c r="D1181" t="s">
        <v>369</v>
      </c>
      <c r="E1181" t="s">
        <v>61</v>
      </c>
      <c r="F1181" t="s">
        <v>63</v>
      </c>
      <c r="G1181" t="s">
        <v>1208</v>
      </c>
      <c r="H1181" t="s">
        <v>1209</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5">
      <c r="A1182" s="95" t="str">
        <f t="shared" si="380"/>
        <v>CM Leaching</v>
      </c>
      <c r="B1182" s="95" t="s">
        <v>1321</v>
      </c>
      <c r="C1182" s="95" t="s">
        <v>1189</v>
      </c>
      <c r="D1182" t="s">
        <v>369</v>
      </c>
      <c r="E1182" t="s">
        <v>61</v>
      </c>
      <c r="F1182" t="s">
        <v>63</v>
      </c>
      <c r="G1182" t="s">
        <v>1210</v>
      </c>
      <c r="H1182" t="s">
        <v>1211</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5">
      <c r="A1183" s="95" t="str">
        <f t="shared" si="380"/>
        <v>CM Leaching</v>
      </c>
      <c r="B1183" s="95" t="s">
        <v>1321</v>
      </c>
      <c r="C1183" s="95" t="s">
        <v>1189</v>
      </c>
      <c r="D1183" t="s">
        <v>369</v>
      </c>
      <c r="E1183" t="s">
        <v>61</v>
      </c>
      <c r="F1183" t="s">
        <v>63</v>
      </c>
      <c r="G1183" t="s">
        <v>1212</v>
      </c>
      <c r="H1183" t="s">
        <v>1213</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5">
      <c r="A1184" s="95" t="str">
        <f t="shared" si="380"/>
        <v xml:space="preserve"> </v>
      </c>
      <c r="B1184" s="95"/>
      <c r="C1184" s="95"/>
      <c r="D1184" t="s">
        <v>369</v>
      </c>
      <c r="E1184" t="s">
        <v>61</v>
      </c>
      <c r="F1184" t="s">
        <v>63</v>
      </c>
      <c r="G1184" t="s">
        <v>1214</v>
      </c>
      <c r="H1184" t="s">
        <v>1215</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5">
      <c r="A1185" s="95" t="str">
        <f t="shared" si="380"/>
        <v>CM MM Volatilisation</v>
      </c>
      <c r="B1185" s="95" t="s">
        <v>1321</v>
      </c>
      <c r="C1185" s="95" t="s">
        <v>1331</v>
      </c>
      <c r="D1185" t="s">
        <v>369</v>
      </c>
      <c r="E1185" t="s">
        <v>64</v>
      </c>
      <c r="F1185" t="s">
        <v>62</v>
      </c>
      <c r="G1185" t="s">
        <v>1151</v>
      </c>
      <c r="H1185" t="s">
        <v>1289</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0.39675335904637443</v>
      </c>
      <c r="T1185" s="94">
        <f>IF('Net zero activities &amp; levers'!$C$14="Off",Constants!$H63*'Activity data'!AM5*Constants!$H81*EF!$H206*MMVolatEF*NtoN2O*kgtoGg,IF('Net zero activities &amp; levers'!$C$14="On",Constants!$H63*'Net zero Activity data'!AM5*Constants!$H81*EF!$H206*MMVolatEF*NtoN2O*kgtoGg,"ERROR"))</f>
        <v>0.40475430836671095</v>
      </c>
      <c r="U1185" s="94">
        <f>IF('Net zero activities &amp; levers'!$C$14="Off",Constants!$H63*'Activity data'!AN5*Constants!$H81*EF!$H206*MMVolatEF*NtoN2O*kgtoGg,IF('Net zero activities &amp; levers'!$C$14="On",Constants!$H63*'Net zero Activity data'!AN5*Constants!$H81*EF!$H206*MMVolatEF*NtoN2O*kgtoGg,"ERROR"))</f>
        <v>0.40872605361155973</v>
      </c>
      <c r="V1185" s="94">
        <f>IF('Net zero activities &amp; levers'!$C$14="Off",Constants!$H63*'Activity data'!AO5*Constants!$H81*EF!$H206*MMVolatEF*NtoN2O*kgtoGg,IF('Net zero activities &amp; levers'!$C$14="On",Constants!$H63*'Net zero Activity data'!AO5*Constants!$H81*EF!$H206*MMVolatEF*NtoN2O*kgtoGg,"ERROR"))</f>
        <v>0.40976331225325113</v>
      </c>
      <c r="W1185" s="94">
        <f>IF('Net zero activities &amp; levers'!$C$14="Off",Constants!$H63*'Activity data'!AP5*Constants!$H81*EF!$H206*MMVolatEF*NtoN2O*kgtoGg,IF('Net zero activities &amp; levers'!$C$14="On",Constants!$H63*'Net zero Activity data'!AP5*Constants!$H81*EF!$H206*MMVolatEF*NtoN2O*kgtoGg,"ERROR"))</f>
        <v>0.41123817221629572</v>
      </c>
      <c r="X1185" s="94">
        <f>IF('Net zero activities &amp; levers'!$C$14="Off",Constants!$H63*'Activity data'!AQ5*Constants!$H81*EF!$H206*MMVolatEF*NtoN2O*kgtoGg,IF('Net zero activities &amp; levers'!$C$14="On",Constants!$H63*'Net zero Activity data'!AQ5*Constants!$H81*EF!$H206*MMVolatEF*NtoN2O*kgtoGg,"ERROR"))</f>
        <v>0.41371299835327524</v>
      </c>
      <c r="Y1185" s="94">
        <f>IF('Net zero activities &amp; levers'!$C$14="Off",Constants!$H63*'Activity data'!AR5*Constants!$H81*EF!$H206*MMVolatEF*NtoN2O*kgtoGg,IF('Net zero activities &amp; levers'!$C$14="On",Constants!$H63*'Net zero Activity data'!AR5*Constants!$H81*EF!$H206*MMVolatEF*NtoN2O*kgtoGg,"ERROR"))</f>
        <v>0.41698233077605895</v>
      </c>
      <c r="Z1185" s="94">
        <f>IF('Net zero activities &amp; levers'!$C$14="Off",Constants!$H63*'Activity data'!AS5*Constants!$H81*EF!$H206*MMVolatEF*NtoN2O*kgtoGg,IF('Net zero activities &amp; levers'!$C$14="On",Constants!$H63*'Net zero Activity data'!AS5*Constants!$H81*EF!$H206*MMVolatEF*NtoN2O*kgtoGg,"ERROR"))</f>
        <v>0.42064271286230337</v>
      </c>
      <c r="AA1185" s="94">
        <f>IF('Net zero activities &amp; levers'!$C$14="Off",Constants!$H63*'Activity data'!AT5*Constants!$H81*EF!$H206*MMVolatEF*NtoN2O*kgtoGg,IF('Net zero activities &amp; levers'!$C$14="On",Constants!$H63*'Net zero Activity data'!AT5*Constants!$H81*EF!$H206*MMVolatEF*NtoN2O*kgtoGg,"ERROR"))</f>
        <v>0.42480942612911948</v>
      </c>
      <c r="AB1185" s="94">
        <f>IF('Net zero activities &amp; levers'!$C$14="Off",Constants!$H63*'Activity data'!AU5*Constants!$H81*EF!$H206*MMVolatEF*NtoN2O*kgtoGg,IF('Net zero activities &amp; levers'!$C$14="On",Constants!$H63*'Net zero Activity data'!AU5*Constants!$H81*EF!$H206*MMVolatEF*NtoN2O*kgtoGg,"ERROR"))</f>
        <v>0.42983972534171444</v>
      </c>
      <c r="AC1185" s="94">
        <f>IF('Net zero activities &amp; levers'!$C$14="Off",Constants!$H63*'Activity data'!AV5*Constants!$H81*EF!$H206*MMVolatEF*NtoN2O*kgtoGg,IF('Net zero activities &amp; levers'!$C$14="On",Constants!$H63*'Net zero Activity data'!AV5*Constants!$H81*EF!$H206*MMVolatEF*NtoN2O*kgtoGg,"ERROR"))</f>
        <v>0.43570438871758699</v>
      </c>
      <c r="AD1185" s="94">
        <f>IF('Net zero activities &amp; levers'!$C$14="Off",Constants!$H63*'Activity data'!AW5*Constants!$H81*EF!$H206*MMVolatEF*NtoN2O*kgtoGg,IF('Net zero activities &amp; levers'!$C$14="On",Constants!$H63*'Net zero Activity data'!AW5*Constants!$H81*EF!$H206*MMVolatEF*NtoN2O*kgtoGg,"ERROR"))</f>
        <v>0.44208757106569879</v>
      </c>
      <c r="AE1185" s="94">
        <f>IF('Net zero activities &amp; levers'!$C$14="Off",Constants!$H63*'Activity data'!AX5*Constants!$H81*EF!$H206*MMVolatEF*NtoN2O*kgtoGg,IF('Net zero activities &amp; levers'!$C$14="On",Constants!$H63*'Net zero Activity data'!AX5*Constants!$H81*EF!$H206*MMVolatEF*NtoN2O*kgtoGg,"ERROR"))</f>
        <v>0.44898350336000287</v>
      </c>
      <c r="AF1185" s="94">
        <f>IF('Net zero activities &amp; levers'!$C$14="Off",Constants!$H63*'Activity data'!AY5*Constants!$H81*EF!$H206*MMVolatEF*NtoN2O*kgtoGg,IF('Net zero activities &amp; levers'!$C$14="On",Constants!$H63*'Net zero Activity data'!AY5*Constants!$H81*EF!$H206*MMVolatEF*NtoN2O*kgtoGg,"ERROR"))</f>
        <v>0.45621719419550344</v>
      </c>
      <c r="AG1185" s="94">
        <f>IF('Net zero activities &amp; levers'!$C$14="Off",Constants!$H63*'Activity data'!AZ5*Constants!$H81*EF!$H206*MMVolatEF*NtoN2O*kgtoGg,IF('Net zero activities &amp; levers'!$C$14="On",Constants!$H63*'Net zero Activity data'!AZ5*Constants!$H81*EF!$H206*MMVolatEF*NtoN2O*kgtoGg,"ERROR"))</f>
        <v>0.46386955104730232</v>
      </c>
      <c r="AH1185" s="94">
        <f>IF('Net zero activities &amp; levers'!$C$14="Off",Constants!$H63*'Activity data'!BA5*Constants!$H81*EF!$H206*MMVolatEF*NtoN2O*kgtoGg,IF('Net zero activities &amp; levers'!$C$14="On",Constants!$H63*'Net zero Activity data'!BA5*Constants!$H81*EF!$H206*MMVolatEF*NtoN2O*kgtoGg,"ERROR"))</f>
        <v>0.47186189087523389</v>
      </c>
      <c r="AI1185" s="94">
        <f>IF('Net zero activities &amp; levers'!$C$14="Off",Constants!$H63*'Activity data'!BB5*Constants!$H81*EF!$H206*MMVolatEF*NtoN2O*kgtoGg,IF('Net zero activities &amp; levers'!$C$14="On",Constants!$H63*'Net zero Activity data'!BB5*Constants!$H81*EF!$H206*MMVolatEF*NtoN2O*kgtoGg,"ERROR"))</f>
        <v>0.47988623531160551</v>
      </c>
      <c r="AJ1185" s="94">
        <f>IF('Net zero activities &amp; levers'!$C$14="Off",Constants!$H63*'Activity data'!BC5*Constants!$H81*EF!$H206*MMVolatEF*NtoN2O*kgtoGg,IF('Net zero activities &amp; levers'!$C$14="On",Constants!$H63*'Net zero Activity data'!BC5*Constants!$H81*EF!$H206*MMVolatEF*NtoN2O*kgtoGg,"ERROR"))</f>
        <v>0.48839393378093798</v>
      </c>
      <c r="AK1185" s="94">
        <f>IF('Net zero activities &amp; levers'!$C$14="Off",Constants!$H63*'Activity data'!BD5*Constants!$H81*EF!$H206*MMVolatEF*NtoN2O*kgtoGg,IF('Net zero activities &amp; levers'!$C$14="On",Constants!$H63*'Net zero Activity data'!BD5*Constants!$H81*EF!$H206*MMVolatEF*NtoN2O*kgtoGg,"ERROR"))</f>
        <v>0.49708758308730938</v>
      </c>
      <c r="AL1185" s="94">
        <f>IF('Net zero activities &amp; levers'!$C$14="Off",Constants!$H63*'Activity data'!BE5*Constants!$H81*EF!$H206*MMVolatEF*NtoN2O*kgtoGg,IF('Net zero activities &amp; levers'!$C$14="On",Constants!$H63*'Net zero Activity data'!BE5*Constants!$H81*EF!$H206*MMVolatEF*NtoN2O*kgtoGg,"ERROR"))</f>
        <v>0.50594507247479314</v>
      </c>
      <c r="AM1185" s="94">
        <f>IF('Net zero activities &amp; levers'!$C$14="Off",Constants!$H63*'Activity data'!BF5*Constants!$H81*EF!$H206*MMVolatEF*NtoN2O*kgtoGg,IF('Net zero activities &amp; levers'!$C$14="On",Constants!$H63*'Net zero Activity data'!BF5*Constants!$H81*EF!$H206*MMVolatEF*NtoN2O*kgtoGg,"ERROR"))</f>
        <v>0.51510910677271904</v>
      </c>
      <c r="AN1185" s="94">
        <f>IF('Net zero activities &amp; levers'!$C$14="Off",Constants!$H63*'Activity data'!BG5*Constants!$H81*EF!$H206*MMVolatEF*NtoN2O*kgtoGg,IF('Net zero activities &amp; levers'!$C$14="On",Constants!$H63*'Net zero Activity data'!BG5*Constants!$H81*EF!$H206*MMVolatEF*NtoN2O*kgtoGg,"ERROR"))</f>
        <v>0.52423757979493812</v>
      </c>
      <c r="AO1185" s="94">
        <f>IF('Net zero activities &amp; levers'!$C$14="Off",Constants!$H63*'Activity data'!BH5*Constants!$H81*EF!$H206*MMVolatEF*NtoN2O*kgtoGg,IF('Net zero activities &amp; levers'!$C$14="On",Constants!$H63*'Net zero Activity data'!BH5*Constants!$H81*EF!$H206*MMVolatEF*NtoN2O*kgtoGg,"ERROR"))</f>
        <v>0.53380454045789072</v>
      </c>
      <c r="AP1185" s="94">
        <f>IF('Net zero activities &amp; levers'!$C$14="Off",Constants!$H63*'Activity data'!BI5*Constants!$H81*EF!$H206*MMVolatEF*NtoN2O*kgtoGg,IF('Net zero activities &amp; levers'!$C$14="On",Constants!$H63*'Net zero Activity data'!BI5*Constants!$H81*EF!$H206*MMVolatEF*NtoN2O*kgtoGg,"ERROR"))</f>
        <v>0.54398662027094624</v>
      </c>
      <c r="AQ1185" s="94">
        <f>IF('Net zero activities &amp; levers'!$C$14="Off",Constants!$H63*'Activity data'!BJ5*Constants!$H81*EF!$H206*MMVolatEF*NtoN2O*kgtoGg,IF('Net zero activities &amp; levers'!$C$14="On",Constants!$H63*'Net zero Activity data'!BJ5*Constants!$H81*EF!$H206*MMVolatEF*NtoN2O*kgtoGg,"ERROR"))</f>
        <v>0.55449515288018025</v>
      </c>
      <c r="AR1185" s="94">
        <f>IF('Net zero activities &amp; levers'!$C$14="Off",Constants!$H63*'Activity data'!BK5*Constants!$H81*EF!$H206*MMVolatEF*NtoN2O*kgtoGg,IF('Net zero activities &amp; levers'!$C$14="On",Constants!$H63*'Net zero Activity data'!BK5*Constants!$H81*EF!$H206*MMVolatEF*NtoN2O*kgtoGg,"ERROR"))</f>
        <v>0.56534914989912133</v>
      </c>
      <c r="AS1185" s="94">
        <f>IF('Net zero activities &amp; levers'!$C$14="Off",Constants!$H63*'Activity data'!BL5*Constants!$H81*EF!$H206*MMVolatEF*NtoN2O*kgtoGg,IF('Net zero activities &amp; levers'!$C$14="On",Constants!$H63*'Net zero Activity data'!BL5*Constants!$H81*EF!$H206*MMVolatEF*NtoN2O*kgtoGg,"ERROR"))</f>
        <v>0.57688261473585911</v>
      </c>
      <c r="AT1185" s="94">
        <f>IF('Net zero activities &amp; levers'!$C$14="Off",Constants!$H63*'Activity data'!BM5*Constants!$H81*EF!$H206*MMVolatEF*NtoN2O*kgtoGg,IF('Net zero activities &amp; levers'!$C$14="On",Constants!$H63*'Net zero Activity data'!BM5*Constants!$H81*EF!$H206*MMVolatEF*NtoN2O*kgtoGg,"ERROR"))</f>
        <v>0.58899855031934889</v>
      </c>
      <c r="AU1185" s="94">
        <f>IF('Net zero activities &amp; levers'!$C$14="Off",Constants!$H63*'Activity data'!BN5*Constants!$H81*EF!$H206*MMVolatEF*NtoN2O*kgtoGg,IF('Net zero activities &amp; levers'!$C$14="On",Constants!$H63*'Net zero Activity data'!BN5*Constants!$H81*EF!$H206*MMVolatEF*NtoN2O*kgtoGg,"ERROR"))</f>
        <v>0.60163444677907796</v>
      </c>
      <c r="AV1185" s="94">
        <f>IF('Net zero activities &amp; levers'!$C$14="Off",Constants!$H63*'Activity data'!BO5*Constants!$H81*EF!$H206*MMVolatEF*NtoN2O*kgtoGg,IF('Net zero activities &amp; levers'!$C$14="On",Constants!$H63*'Net zero Activity data'!BO5*Constants!$H81*EF!$H206*MMVolatEF*NtoN2O*kgtoGg,"ERROR"))</f>
        <v>0.61501799344157537</v>
      </c>
      <c r="AW1185" s="94">
        <f>IF('Net zero activities &amp; levers'!$C$14="Off",Constants!$H63*'Activity data'!BP5*Constants!$H81*EF!$H206*MMVolatEF*NtoN2O*kgtoGg,IF('Net zero activities &amp; levers'!$C$14="On",Constants!$H63*'Net zero Activity data'!BP5*Constants!$H81*EF!$H206*MMVolatEF*NtoN2O*kgtoGg,"ERROR"))</f>
        <v>0.62789543257311353</v>
      </c>
      <c r="AY1185" s="79"/>
    </row>
    <row r="1186" spans="1:51" x14ac:dyDescent="0.25">
      <c r="A1186" s="95" t="str">
        <f t="shared" si="380"/>
        <v>CM MM Volatilisation</v>
      </c>
      <c r="B1186" s="95" t="s">
        <v>1321</v>
      </c>
      <c r="C1186" s="95" t="s">
        <v>1331</v>
      </c>
      <c r="D1186" t="s">
        <v>369</v>
      </c>
      <c r="E1186" t="s">
        <v>64</v>
      </c>
      <c r="F1186" t="s">
        <v>62</v>
      </c>
      <c r="G1186" t="s">
        <v>1153</v>
      </c>
      <c r="H1186" t="s">
        <v>1290</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3.1301567701581753E-2</v>
      </c>
      <c r="T1186" s="94">
        <f>IF('Net zero activities &amp; levers'!$C$14="Off",Constants!$H64*'Activity data'!AM6*Constants!$H82*EF!$H207*MMVolatEF*NtoN2O*kgtoGg,IF('Net zero activities &amp; levers'!$C$14="On",Constants!$H64*'Net zero Activity data'!AM6*Constants!$H82*EF!$H207*MMVolatEF*NtoN2O*kgtoGg,"ERROR"))</f>
        <v>3.1932796779085698E-2</v>
      </c>
      <c r="U1186" s="94">
        <f>IF('Net zero activities &amp; levers'!$C$14="Off",Constants!$H64*'Activity data'!AN6*Constants!$H82*EF!$H207*MMVolatEF*NtoN2O*kgtoGg,IF('Net zero activities &amp; levers'!$C$14="On",Constants!$H64*'Net zero Activity data'!AN6*Constants!$H82*EF!$H207*MMVolatEF*NtoN2O*kgtoGg,"ERROR"))</f>
        <v>3.2246144731511071E-2</v>
      </c>
      <c r="V1186" s="94">
        <f>IF('Net zero activities &amp; levers'!$C$14="Off",Constants!$H64*'Activity data'!AO6*Constants!$H82*EF!$H207*MMVolatEF*NtoN2O*kgtoGg,IF('Net zero activities &amp; levers'!$C$14="On",Constants!$H64*'Net zero Activity data'!AO6*Constants!$H82*EF!$H207*MMVolatEF*NtoN2O*kgtoGg,"ERROR"))</f>
        <v>3.2327978497644752E-2</v>
      </c>
      <c r="W1186" s="94">
        <f>IF('Net zero activities &amp; levers'!$C$14="Off",Constants!$H64*'Activity data'!AP6*Constants!$H82*EF!$H207*MMVolatEF*NtoN2O*kgtoGg,IF('Net zero activities &amp; levers'!$C$14="On",Constants!$H64*'Net zero Activity data'!AP6*Constants!$H82*EF!$H207*MMVolatEF*NtoN2O*kgtoGg,"ERROR"))</f>
        <v>3.2444336501757327E-2</v>
      </c>
      <c r="X1186" s="94">
        <f>IF('Net zero activities &amp; levers'!$C$14="Off",Constants!$H64*'Activity data'!AQ6*Constants!$H82*EF!$H207*MMVolatEF*NtoN2O*kgtoGg,IF('Net zero activities &amp; levers'!$C$14="On",Constants!$H64*'Net zero Activity data'!AQ6*Constants!$H82*EF!$H207*MMVolatEF*NtoN2O*kgtoGg,"ERROR"))</f>
        <v>3.2639586109882893E-2</v>
      </c>
      <c r="Y1186" s="94">
        <f>IF('Net zero activities &amp; levers'!$C$14="Off",Constants!$H64*'Activity data'!AR6*Constants!$H82*EF!$H207*MMVolatEF*NtoN2O*kgtoGg,IF('Net zero activities &amp; levers'!$C$14="On",Constants!$H64*'Net zero Activity data'!AR6*Constants!$H82*EF!$H207*MMVolatEF*NtoN2O*kgtoGg,"ERROR"))</f>
        <v>3.2897517713579225E-2</v>
      </c>
      <c r="Z1186" s="94">
        <f>IF('Net zero activities &amp; levers'!$C$14="Off",Constants!$H64*'Activity data'!AS6*Constants!$H82*EF!$H207*MMVolatEF*NtoN2O*kgtoGg,IF('Net zero activities &amp; levers'!$C$14="On",Constants!$H64*'Net zero Activity data'!AS6*Constants!$H82*EF!$H207*MMVolatEF*NtoN2O*kgtoGg,"ERROR"))</f>
        <v>3.318630089606224E-2</v>
      </c>
      <c r="AA1186" s="94">
        <f>IF('Net zero activities &amp; levers'!$C$14="Off",Constants!$H64*'Activity data'!AT6*Constants!$H82*EF!$H207*MMVolatEF*NtoN2O*kgtoGg,IF('Net zero activities &amp; levers'!$C$14="On",Constants!$H64*'Net zero Activity data'!AT6*Constants!$H82*EF!$H207*MMVolatEF*NtoN2O*kgtoGg,"ERROR"))</f>
        <v>3.3515030708779675E-2</v>
      </c>
      <c r="AB1186" s="94">
        <f>IF('Net zero activities &amp; levers'!$C$14="Off",Constants!$H64*'Activity data'!AU6*Constants!$H82*EF!$H207*MMVolatEF*NtoN2O*kgtoGg,IF('Net zero activities &amp; levers'!$C$14="On",Constants!$H64*'Net zero Activity data'!AU6*Constants!$H82*EF!$H207*MMVolatEF*NtoN2O*kgtoGg,"ERROR"))</f>
        <v>3.3911892506599629E-2</v>
      </c>
      <c r="AC1186" s="94">
        <f>IF('Net zero activities &amp; levers'!$C$14="Off",Constants!$H64*'Activity data'!AV6*Constants!$H82*EF!$H207*MMVolatEF*NtoN2O*kgtoGg,IF('Net zero activities &amp; levers'!$C$14="On",Constants!$H64*'Net zero Activity data'!AV6*Constants!$H82*EF!$H207*MMVolatEF*NtoN2O*kgtoGg,"ERROR"))</f>
        <v>3.4374580858244831E-2</v>
      </c>
      <c r="AD1186" s="94">
        <f>IF('Net zero activities &amp; levers'!$C$14="Off",Constants!$H64*'Activity data'!AW6*Constants!$H82*EF!$H207*MMVolatEF*NtoN2O*kgtoGg,IF('Net zero activities &amp; levers'!$C$14="On",Constants!$H64*'Net zero Activity data'!AW6*Constants!$H82*EF!$H207*MMVolatEF*NtoN2O*kgtoGg,"ERROR"))</f>
        <v>3.4878177387083813E-2</v>
      </c>
      <c r="AE1186" s="94">
        <f>IF('Net zero activities &amp; levers'!$C$14="Off",Constants!$H64*'Activity data'!AX6*Constants!$H82*EF!$H207*MMVolatEF*NtoN2O*kgtoGg,IF('Net zero activities &amp; levers'!$C$14="On",Constants!$H64*'Net zero Activity data'!AX6*Constants!$H82*EF!$H207*MMVolatEF*NtoN2O*kgtoGg,"ERROR"))</f>
        <v>3.5422226950002453E-2</v>
      </c>
      <c r="AF1186" s="94">
        <f>IF('Net zero activities &amp; levers'!$C$14="Off",Constants!$H64*'Activity data'!AY6*Constants!$H82*EF!$H207*MMVolatEF*NtoN2O*kgtoGg,IF('Net zero activities &amp; levers'!$C$14="On",Constants!$H64*'Net zero Activity data'!AY6*Constants!$H82*EF!$H207*MMVolatEF*NtoN2O*kgtoGg,"ERROR"))</f>
        <v>3.5992923727375593E-2</v>
      </c>
      <c r="AG1186" s="94">
        <f>IF('Net zero activities &amp; levers'!$C$14="Off",Constants!$H64*'Activity data'!AZ6*Constants!$H82*EF!$H207*MMVolatEF*NtoN2O*kgtoGg,IF('Net zero activities &amp; levers'!$C$14="On",Constants!$H64*'Net zero Activity data'!AZ6*Constants!$H82*EF!$H207*MMVolatEF*NtoN2O*kgtoGg,"ERROR"))</f>
        <v>3.6596650855607031E-2</v>
      </c>
      <c r="AH1186" s="94">
        <f>IF('Net zero activities &amp; levers'!$C$14="Off",Constants!$H64*'Activity data'!BA6*Constants!$H82*EF!$H207*MMVolatEF*NtoN2O*kgtoGg,IF('Net zero activities &amp; levers'!$C$14="On",Constants!$H64*'Net zero Activity data'!BA6*Constants!$H82*EF!$H207*MMVolatEF*NtoN2O*kgtoGg,"ERROR"))</f>
        <v>3.7227200693469409E-2</v>
      </c>
      <c r="AI1186" s="94">
        <f>IF('Net zero activities &amp; levers'!$C$14="Off",Constants!$H64*'Activity data'!BB6*Constants!$H82*EF!$H207*MMVolatEF*NtoN2O*kgtoGg,IF('Net zero activities &amp; levers'!$C$14="On",Constants!$H64*'Net zero Activity data'!BB6*Constants!$H82*EF!$H207*MMVolatEF*NtoN2O*kgtoGg,"ERROR"))</f>
        <v>3.7860275511637599E-2</v>
      </c>
      <c r="AJ1186" s="94">
        <f>IF('Net zero activities &amp; levers'!$C$14="Off",Constants!$H64*'Activity data'!BC6*Constants!$H82*EF!$H207*MMVolatEF*NtoN2O*kgtoGg,IF('Net zero activities &amp; levers'!$C$14="On",Constants!$H64*'Net zero Activity data'!BC6*Constants!$H82*EF!$H207*MMVolatEF*NtoN2O*kgtoGg,"ERROR"))</f>
        <v>3.8531484194690796E-2</v>
      </c>
      <c r="AK1186" s="94">
        <f>IF('Net zero activities &amp; levers'!$C$14="Off",Constants!$H64*'Activity data'!BD6*Constants!$H82*EF!$H207*MMVolatEF*NtoN2O*kgtoGg,IF('Net zero activities &amp; levers'!$C$14="On",Constants!$H64*'Net zero Activity data'!BD6*Constants!$H82*EF!$H207*MMVolatEF*NtoN2O*kgtoGg,"ERROR"))</f>
        <v>3.9217363333789369E-2</v>
      </c>
      <c r="AL1186" s="94">
        <f>IF('Net zero activities &amp; levers'!$C$14="Off",Constants!$H64*'Activity data'!BE6*Constants!$H82*EF!$H207*MMVolatEF*NtoN2O*kgtoGg,IF('Net zero activities &amp; levers'!$C$14="On",Constants!$H64*'Net zero Activity data'!BE6*Constants!$H82*EF!$H207*MMVolatEF*NtoN2O*kgtoGg,"ERROR"))</f>
        <v>3.9916168516925726E-2</v>
      </c>
      <c r="AM1186" s="94">
        <f>IF('Net zero activities &amp; levers'!$C$14="Off",Constants!$H64*'Activity data'!BF6*Constants!$H82*EF!$H207*MMVolatEF*NtoN2O*kgtoGg,IF('Net zero activities &amp; levers'!$C$14="On",Constants!$H64*'Net zero Activity data'!BF6*Constants!$H82*EF!$H207*MMVolatEF*NtoN2O*kgtoGg,"ERROR"))</f>
        <v>4.0639158337820017E-2</v>
      </c>
      <c r="AN1186" s="94">
        <f>IF('Net zero activities &amp; levers'!$C$14="Off",Constants!$H64*'Activity data'!BG6*Constants!$H82*EF!$H207*MMVolatEF*NtoN2O*kgtoGg,IF('Net zero activities &amp; levers'!$C$14="On",Constants!$H64*'Net zero Activity data'!BG6*Constants!$H82*EF!$H207*MMVolatEF*NtoN2O*kgtoGg,"ERROR"))</f>
        <v>4.1359342577731273E-2</v>
      </c>
      <c r="AO1186" s="94">
        <f>IF('Net zero activities &amp; levers'!$C$14="Off",Constants!$H64*'Activity data'!BH6*Constants!$H82*EF!$H207*MMVolatEF*NtoN2O*kgtoGg,IF('Net zero activities &amp; levers'!$C$14="On",Constants!$H64*'Net zero Activity data'!BH6*Constants!$H82*EF!$H207*MMVolatEF*NtoN2O*kgtoGg,"ERROR"))</f>
        <v>4.211412098114431E-2</v>
      </c>
      <c r="AP1186" s="94">
        <f>IF('Net zero activities &amp; levers'!$C$14="Off",Constants!$H64*'Activity data'!BI6*Constants!$H82*EF!$H207*MMVolatEF*NtoN2O*kgtoGg,IF('Net zero activities &amp; levers'!$C$14="On",Constants!$H64*'Net zero Activity data'!BI6*Constants!$H82*EF!$H207*MMVolatEF*NtoN2O*kgtoGg,"ERROR"))</f>
        <v>4.2917428762525973E-2</v>
      </c>
      <c r="AQ1186" s="94">
        <f>IF('Net zero activities &amp; levers'!$C$14="Off",Constants!$H64*'Activity data'!BJ6*Constants!$H82*EF!$H207*MMVolatEF*NtoN2O*kgtoGg,IF('Net zero activities &amp; levers'!$C$14="On",Constants!$H64*'Net zero Activity data'!BJ6*Constants!$H82*EF!$H207*MMVolatEF*NtoN2O*kgtoGg,"ERROR"))</f>
        <v>4.3746491799831644E-2</v>
      </c>
      <c r="AR1186" s="94">
        <f>IF('Net zero activities &amp; levers'!$C$14="Off",Constants!$H64*'Activity data'!BK6*Constants!$H82*EF!$H207*MMVolatEF*NtoN2O*kgtoGg,IF('Net zero activities &amp; levers'!$C$14="On",Constants!$H64*'Net zero Activity data'!BK6*Constants!$H82*EF!$H207*MMVolatEF*NtoN2O*kgtoGg,"ERROR"))</f>
        <v>4.4602810000483467E-2</v>
      </c>
      <c r="AS1186" s="94">
        <f>IF('Net zero activities &amp; levers'!$C$14="Off",Constants!$H64*'Activity data'!BL6*Constants!$H82*EF!$H207*MMVolatEF*NtoN2O*kgtoGg,IF('Net zero activities &amp; levers'!$C$14="On",Constants!$H64*'Net zero Activity data'!BL6*Constants!$H82*EF!$H207*MMVolatEF*NtoN2O*kgtoGg,"ERROR"))</f>
        <v>4.5512734320440534E-2</v>
      </c>
      <c r="AT1186" s="94">
        <f>IF('Net zero activities &amp; levers'!$C$14="Off",Constants!$H64*'Activity data'!BM6*Constants!$H82*EF!$H207*MMVolatEF*NtoN2O*kgtoGg,IF('Net zero activities &amp; levers'!$C$14="On",Constants!$H64*'Net zero Activity data'!BM6*Constants!$H82*EF!$H207*MMVolatEF*NtoN2O*kgtoGg,"ERROR"))</f>
        <v>4.64686122463292E-2</v>
      </c>
      <c r="AU1186" s="94">
        <f>IF('Net zero activities &amp; levers'!$C$14="Off",Constants!$H64*'Activity data'!BN6*Constants!$H82*EF!$H207*MMVolatEF*NtoN2O*kgtoGg,IF('Net zero activities &amp; levers'!$C$14="On",Constants!$H64*'Net zero Activity data'!BN6*Constants!$H82*EF!$H207*MMVolatEF*NtoN2O*kgtoGg,"ERROR"))</f>
        <v>4.7465512107379045E-2</v>
      </c>
      <c r="AV1186" s="94">
        <f>IF('Net zero activities &amp; levers'!$C$14="Off",Constants!$H64*'Activity data'!BO6*Constants!$H82*EF!$H207*MMVolatEF*NtoN2O*kgtoGg,IF('Net zero activities &amp; levers'!$C$14="On",Constants!$H64*'Net zero Activity data'!BO6*Constants!$H82*EF!$H207*MMVolatEF*NtoN2O*kgtoGg,"ERROR"))</f>
        <v>4.8521397287407161E-2</v>
      </c>
      <c r="AW1186" s="94">
        <f>IF('Net zero activities &amp; levers'!$C$14="Off",Constants!$H64*'Activity data'!BP6*Constants!$H82*EF!$H207*MMVolatEF*NtoN2O*kgtoGg,IF('Net zero activities &amp; levers'!$C$14="On",Constants!$H64*'Net zero Activity data'!BP6*Constants!$H82*EF!$H207*MMVolatEF*NtoN2O*kgtoGg,"ERROR"))</f>
        <v>4.953735348187438E-2</v>
      </c>
      <c r="AY1186" s="79"/>
    </row>
    <row r="1187" spans="1:51" x14ac:dyDescent="0.25">
      <c r="A1187" s="95" t="str">
        <f t="shared" si="380"/>
        <v>CM MM Volatilisation</v>
      </c>
      <c r="B1187" s="95" t="s">
        <v>1321</v>
      </c>
      <c r="C1187" s="95" t="s">
        <v>1331</v>
      </c>
      <c r="D1187" t="s">
        <v>369</v>
      </c>
      <c r="E1187" t="s">
        <v>64</v>
      </c>
      <c r="F1187" t="s">
        <v>62</v>
      </c>
      <c r="G1187" t="s">
        <v>1155</v>
      </c>
      <c r="H1187" t="s">
        <v>1291</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2.9015310943081291E-4</v>
      </c>
      <c r="T1187" s="94">
        <f>IF('Net zero activities &amp; levers'!$C$14="Off",Constants!$H65*'Activity data'!AM7*Constants!$H83*EF!$H208*MMVolatEF*NtoN2O*kgtoGg,IF('Net zero activities &amp; levers'!$C$14="On",Constants!$H65*'Net zero Activity data'!AM7*Constants!$H83*EF!$H208*MMVolatEF*NtoN2O*kgtoGg,"ERROR"))</f>
        <v>2.9600435245311237E-4</v>
      </c>
      <c r="U1187" s="94">
        <f>IF('Net zero activities &amp; levers'!$C$14="Off",Constants!$H65*'Activity data'!AN7*Constants!$H83*EF!$H208*MMVolatEF*NtoN2O*kgtoGg,IF('Net zero activities &amp; levers'!$C$14="On",Constants!$H65*'Net zero Activity data'!AN7*Constants!$H83*EF!$H208*MMVolatEF*NtoN2O*kgtoGg,"ERROR"))</f>
        <v>2.9890896360859154E-4</v>
      </c>
      <c r="V1187" s="94">
        <f>IF('Net zero activities &amp; levers'!$C$14="Off",Constants!$H65*'Activity data'!AO7*Constants!$H83*EF!$H208*MMVolatEF*NtoN2O*kgtoGg,IF('Net zero activities &amp; levers'!$C$14="On",Constants!$H65*'Net zero Activity data'!AO7*Constants!$H83*EF!$H208*MMVolatEF*NtoN2O*kgtoGg,"ERROR"))</f>
        <v>2.9966753014195159E-4</v>
      </c>
      <c r="W1187" s="94">
        <f>IF('Net zero activities &amp; levers'!$C$14="Off",Constants!$H65*'Activity data'!AP7*Constants!$H83*EF!$H208*MMVolatEF*NtoN2O*kgtoGg,IF('Net zero activities &amp; levers'!$C$14="On",Constants!$H65*'Net zero Activity data'!AP7*Constants!$H83*EF!$H208*MMVolatEF*NtoN2O*kgtoGg,"ERROR"))</f>
        <v>3.0074612265917932E-4</v>
      </c>
      <c r="X1187" s="94">
        <f>IF('Net zero activities &amp; levers'!$C$14="Off",Constants!$H65*'Activity data'!AQ7*Constants!$H83*EF!$H208*MMVolatEF*NtoN2O*kgtoGg,IF('Net zero activities &amp; levers'!$C$14="On",Constants!$H65*'Net zero Activity data'!AQ7*Constants!$H83*EF!$H208*MMVolatEF*NtoN2O*kgtoGg,"ERROR"))</f>
        <v>3.0255600903461219E-4</v>
      </c>
      <c r="Y1187" s="94">
        <f>IF('Net zero activities &amp; levers'!$C$14="Off",Constants!$H65*'Activity data'!AR7*Constants!$H83*EF!$H208*MMVolatEF*NtoN2O*kgtoGg,IF('Net zero activities &amp; levers'!$C$14="On",Constants!$H65*'Net zero Activity data'!AR7*Constants!$H83*EF!$H208*MMVolatEF*NtoN2O*kgtoGg,"ERROR"))</f>
        <v>3.0494693263136179E-4</v>
      </c>
      <c r="Z1187" s="94">
        <f>IF('Net zero activities &amp; levers'!$C$14="Off",Constants!$H65*'Activity data'!AS7*Constants!$H83*EF!$H208*MMVolatEF*NtoN2O*kgtoGg,IF('Net zero activities &amp; levers'!$C$14="On",Constants!$H65*'Net zero Activity data'!AS7*Constants!$H83*EF!$H208*MMVolatEF*NtoN2O*kgtoGg,"ERROR"))</f>
        <v>3.0762383811889561E-4</v>
      </c>
      <c r="AA1187" s="94">
        <f>IF('Net zero activities &amp; levers'!$C$14="Off",Constants!$H65*'Activity data'!AT7*Constants!$H83*EF!$H208*MMVolatEF*NtoN2O*kgtoGg,IF('Net zero activities &amp; levers'!$C$14="On",Constants!$H65*'Net zero Activity data'!AT7*Constants!$H83*EF!$H208*MMVolatEF*NtoN2O*kgtoGg,"ERROR"))</f>
        <v>3.1067103301443271E-4</v>
      </c>
      <c r="AB1187" s="94">
        <f>IF('Net zero activities &amp; levers'!$C$14="Off",Constants!$H65*'Activity data'!AU7*Constants!$H83*EF!$H208*MMVolatEF*NtoN2O*kgtoGg,IF('Net zero activities &amp; levers'!$C$14="On",Constants!$H65*'Net zero Activity data'!AU7*Constants!$H83*EF!$H208*MMVolatEF*NtoN2O*kgtoGg,"ERROR"))</f>
        <v>3.1434978437121989E-4</v>
      </c>
      <c r="AC1187" s="94">
        <f>IF('Net zero activities &amp; levers'!$C$14="Off",Constants!$H65*'Activity data'!AV7*Constants!$H83*EF!$H208*MMVolatEF*NtoN2O*kgtoGg,IF('Net zero activities &amp; levers'!$C$14="On",Constants!$H65*'Net zero Activity data'!AV7*Constants!$H83*EF!$H208*MMVolatEF*NtoN2O*kgtoGg,"ERROR"))</f>
        <v>3.1863872175631096E-4</v>
      </c>
      <c r="AD1187" s="94">
        <f>IF('Net zero activities &amp; levers'!$C$14="Off",Constants!$H65*'Activity data'!AW7*Constants!$H83*EF!$H208*MMVolatEF*NtoN2O*kgtoGg,IF('Net zero activities &amp; levers'!$C$14="On",Constants!$H65*'Net zero Activity data'!AW7*Constants!$H83*EF!$H208*MMVolatEF*NtoN2O*kgtoGg,"ERROR"))</f>
        <v>3.2330686170809402E-4</v>
      </c>
      <c r="AE1187" s="94">
        <f>IF('Net zero activities &amp; levers'!$C$14="Off",Constants!$H65*'Activity data'!AX7*Constants!$H83*EF!$H208*MMVolatEF*NtoN2O*kgtoGg,IF('Net zero activities &amp; levers'!$C$14="On",Constants!$H65*'Net zero Activity data'!AX7*Constants!$H83*EF!$H208*MMVolatEF*NtoN2O*kgtoGg,"ERROR"))</f>
        <v>3.2834998523054116E-4</v>
      </c>
      <c r="AF1187" s="94">
        <f>IF('Net zero activities &amp; levers'!$C$14="Off",Constants!$H65*'Activity data'!AY7*Constants!$H83*EF!$H208*MMVolatEF*NtoN2O*kgtoGg,IF('Net zero activities &amp; levers'!$C$14="On",Constants!$H65*'Net zero Activity data'!AY7*Constants!$H83*EF!$H208*MMVolatEF*NtoN2O*kgtoGg,"ERROR"))</f>
        <v>3.3364011785506768E-4</v>
      </c>
      <c r="AG1187" s="94">
        <f>IF('Net zero activities &amp; levers'!$C$14="Off",Constants!$H65*'Activity data'!AZ7*Constants!$H83*EF!$H208*MMVolatEF*NtoN2O*kgtoGg,IF('Net zero activities &amp; levers'!$C$14="On",Constants!$H65*'Net zero Activity data'!AZ7*Constants!$H83*EF!$H208*MMVolatEF*NtoN2O*kgtoGg,"ERROR"))</f>
        <v>3.3923642872275747E-4</v>
      </c>
      <c r="AH1187" s="94">
        <f>IF('Net zero activities &amp; levers'!$C$14="Off",Constants!$H65*'Activity data'!BA7*Constants!$H83*EF!$H208*MMVolatEF*NtoN2O*kgtoGg,IF('Net zero activities &amp; levers'!$C$14="On",Constants!$H65*'Net zero Activity data'!BA7*Constants!$H83*EF!$H208*MMVolatEF*NtoN2O*kgtoGg,"ERROR"))</f>
        <v>3.4508137546316036E-4</v>
      </c>
      <c r="AI1187" s="94">
        <f>IF('Net zero activities &amp; levers'!$C$14="Off",Constants!$H65*'Activity data'!BB7*Constants!$H83*EF!$H208*MMVolatEF*NtoN2O*kgtoGg,IF('Net zero activities &amp; levers'!$C$14="On",Constants!$H65*'Net zero Activity data'!BB7*Constants!$H83*EF!$H208*MMVolatEF*NtoN2O*kgtoGg,"ERROR"))</f>
        <v>3.5094972776886815E-4</v>
      </c>
      <c r="AJ1187" s="94">
        <f>IF('Net zero activities &amp; levers'!$C$14="Off",Constants!$H65*'Activity data'!BC7*Constants!$H83*EF!$H208*MMVolatEF*NtoN2O*kgtoGg,IF('Net zero activities &amp; levers'!$C$14="On",Constants!$H65*'Net zero Activity data'!BC7*Constants!$H83*EF!$H208*MMVolatEF*NtoN2O*kgtoGg,"ERROR"))</f>
        <v>3.5717156586725218E-4</v>
      </c>
      <c r="AK1187" s="94">
        <f>IF('Net zero activities &amp; levers'!$C$14="Off",Constants!$H65*'Activity data'!BD7*Constants!$H83*EF!$H208*MMVolatEF*NtoN2O*kgtoGg,IF('Net zero activities &amp; levers'!$C$14="On",Constants!$H65*'Net zero Activity data'!BD7*Constants!$H83*EF!$H208*MMVolatEF*NtoN2O*kgtoGg,"ERROR"))</f>
        <v>3.6352939327067397E-4</v>
      </c>
      <c r="AL1187" s="94">
        <f>IF('Net zero activities &amp; levers'!$C$14="Off",Constants!$H65*'Activity data'!BE7*Constants!$H83*EF!$H208*MMVolatEF*NtoN2O*kgtoGg,IF('Net zero activities &amp; levers'!$C$14="On",Constants!$H65*'Net zero Activity data'!BE7*Constants!$H83*EF!$H208*MMVolatEF*NtoN2O*kgtoGg,"ERROR"))</f>
        <v>3.7000703997215649E-4</v>
      </c>
      <c r="AM1187" s="94">
        <f>IF('Net zero activities &amp; levers'!$C$14="Off",Constants!$H65*'Activity data'!BF7*Constants!$H83*EF!$H208*MMVolatEF*NtoN2O*kgtoGg,IF('Net zero activities &amp; levers'!$C$14="On",Constants!$H65*'Net zero Activity data'!BF7*Constants!$H83*EF!$H208*MMVolatEF*NtoN2O*kgtoGg,"ERROR"))</f>
        <v>3.7670886866710392E-4</v>
      </c>
      <c r="AN1187" s="94">
        <f>IF('Net zero activities &amp; levers'!$C$14="Off",Constants!$H65*'Activity data'!BG7*Constants!$H83*EF!$H208*MMVolatEF*NtoN2O*kgtoGg,IF('Net zero activities &amp; levers'!$C$14="On",Constants!$H65*'Net zero Activity data'!BG7*Constants!$H83*EF!$H208*MMVolatEF*NtoN2O*kgtoGg,"ERROR"))</f>
        <v>3.8338469073983557E-4</v>
      </c>
      <c r="AO1187" s="94">
        <f>IF('Net zero activities &amp; levers'!$C$14="Off",Constants!$H65*'Activity data'!BH7*Constants!$H83*EF!$H208*MMVolatEF*NtoN2O*kgtoGg,IF('Net zero activities &amp; levers'!$C$14="On",Constants!$H65*'Net zero Activity data'!BH7*Constants!$H83*EF!$H208*MMVolatEF*NtoN2O*kgtoGg,"ERROR"))</f>
        <v>3.9038118697827962E-4</v>
      </c>
      <c r="AP1187" s="94">
        <f>IF('Net zero activities &amp; levers'!$C$14="Off",Constants!$H65*'Activity data'!BI7*Constants!$H83*EF!$H208*MMVolatEF*NtoN2O*kgtoGg,IF('Net zero activities &amp; levers'!$C$14="On",Constants!$H65*'Net zero Activity data'!BI7*Constants!$H83*EF!$H208*MMVolatEF*NtoN2O*kgtoGg,"ERROR"))</f>
        <v>3.9782753128984823E-4</v>
      </c>
      <c r="AQ1187" s="94">
        <f>IF('Net zero activities &amp; levers'!$C$14="Off",Constants!$H65*'Activity data'!BJ7*Constants!$H83*EF!$H208*MMVolatEF*NtoN2O*kgtoGg,IF('Net zero activities &amp; levers'!$C$14="On",Constants!$H65*'Net zero Activity data'!BJ7*Constants!$H83*EF!$H208*MMVolatEF*NtoN2O*kgtoGg,"ERROR"))</f>
        <v>4.0551261660192481E-4</v>
      </c>
      <c r="AR1187" s="94">
        <f>IF('Net zero activities &amp; levers'!$C$14="Off",Constants!$H65*'Activity data'!BK7*Constants!$H83*EF!$H208*MMVolatEF*NtoN2O*kgtoGg,IF('Net zero activities &amp; levers'!$C$14="On",Constants!$H65*'Net zero Activity data'!BK7*Constants!$H83*EF!$H208*MMVolatEF*NtoN2O*kgtoGg,"ERROR"))</f>
        <v>4.134503464610197E-4</v>
      </c>
      <c r="AS1187" s="94">
        <f>IF('Net zero activities &amp; levers'!$C$14="Off",Constants!$H65*'Activity data'!BL7*Constants!$H83*EF!$H208*MMVolatEF*NtoN2O*kgtoGg,IF('Net zero activities &amp; levers'!$C$14="On",Constants!$H65*'Net zero Activity data'!BL7*Constants!$H83*EF!$H208*MMVolatEF*NtoN2O*kgtoGg,"ERROR"))</f>
        <v>4.218849837705407E-4</v>
      </c>
      <c r="AT1187" s="94">
        <f>IF('Net zero activities &amp; levers'!$C$14="Off",Constants!$H65*'Activity data'!BM7*Constants!$H83*EF!$H208*MMVolatEF*NtoN2O*kgtoGg,IF('Net zero activities &amp; levers'!$C$14="On",Constants!$H65*'Net zero Activity data'!BM7*Constants!$H83*EF!$H208*MMVolatEF*NtoN2O*kgtoGg,"ERROR"))</f>
        <v>4.3074559276869194E-4</v>
      </c>
      <c r="AU1187" s="94">
        <f>IF('Net zero activities &amp; levers'!$C$14="Off",Constants!$H65*'Activity data'!BN7*Constants!$H83*EF!$H208*MMVolatEF*NtoN2O*kgtoGg,IF('Net zero activities &amp; levers'!$C$14="On",Constants!$H65*'Net zero Activity data'!BN7*Constants!$H83*EF!$H208*MMVolatEF*NtoN2O*kgtoGg,"ERROR"))</f>
        <v>4.3998645882474367E-4</v>
      </c>
      <c r="AV1187" s="94">
        <f>IF('Net zero activities &amp; levers'!$C$14="Off",Constants!$H65*'Activity data'!BO7*Constants!$H83*EF!$H208*MMVolatEF*NtoN2O*kgtoGg,IF('Net zero activities &amp; levers'!$C$14="On",Constants!$H65*'Net zero Activity data'!BO7*Constants!$H83*EF!$H208*MMVolatEF*NtoN2O*kgtoGg,"ERROR"))</f>
        <v>4.4977409537726024E-4</v>
      </c>
      <c r="AW1187" s="94">
        <f>IF('Net zero activities &amp; levers'!$C$14="Off",Constants!$H65*'Activity data'!BP7*Constants!$H83*EF!$H208*MMVolatEF*NtoN2O*kgtoGg,IF('Net zero activities &amp; levers'!$C$14="On",Constants!$H65*'Net zero Activity data'!BP7*Constants!$H83*EF!$H208*MMVolatEF*NtoN2O*kgtoGg,"ERROR"))</f>
        <v>4.5919160608089382E-4</v>
      </c>
      <c r="AY1187" s="79"/>
    </row>
    <row r="1188" spans="1:51" x14ac:dyDescent="0.25">
      <c r="A1188" s="95" t="str">
        <f t="shared" si="380"/>
        <v>CM MM Volatilisation</v>
      </c>
      <c r="B1188" s="95" t="s">
        <v>1321</v>
      </c>
      <c r="C1188" s="95" t="s">
        <v>1331</v>
      </c>
      <c r="D1188" t="s">
        <v>369</v>
      </c>
      <c r="E1188" t="s">
        <v>64</v>
      </c>
      <c r="F1188" t="s">
        <v>62</v>
      </c>
      <c r="G1188" t="s">
        <v>1157</v>
      </c>
      <c r="H1188" t="s">
        <v>1292</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3.2323215352203869E-3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3.1936173693006072E-3</v>
      </c>
      <c r="N1188" s="94">
        <f>IF('Net zero activities &amp; levers'!$C$14="Off",Constants!$H66*'Activity data'!AG8*Constants!$H84*EF!$H209*MMVolatEF*NtoN2O*kgtoGg,IF('Net zero activities &amp; levers'!$C$14="On",Constants!$H66*'Net zero Activity data'!AG8*Constants!$H84*EF!$H209*MMVolatEF*NtoN2O*kgtoGg,"ERROR"))</f>
        <v>3.150970789688672E-3</v>
      </c>
      <c r="O1188" s="94">
        <f>IF('Net zero activities &amp; levers'!$C$14="Off",Constants!$H66*'Activity data'!AH8*Constants!$H84*EF!$H209*MMVolatEF*NtoN2O*kgtoGg,IF('Net zero activities &amp; levers'!$C$14="On",Constants!$H66*'Net zero Activity data'!AH8*Constants!$H84*EF!$H209*MMVolatEF*NtoN2O*kgtoGg,"ERROR"))</f>
        <v>3.0890682378804098E-3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2.5775843671431266E-3</v>
      </c>
      <c r="T1188" s="94">
        <f>IF('Net zero activities &amp; levers'!$C$14="Off",Constants!$H66*'Activity data'!AM8*Constants!$H84*EF!$H209*MMVolatEF*NtoN2O*kgtoGg,IF('Net zero activities &amp; levers'!$C$14="On",Constants!$H66*'Net zero Activity data'!AM8*Constants!$H84*EF!$H209*MMVolatEF*NtoN2O*kgtoGg,"ERROR"))</f>
        <v>2.7008194536362932E-3</v>
      </c>
      <c r="U1188" s="94">
        <f>IF('Net zero activities &amp; levers'!$C$14="Off",Constants!$H66*'Activity data'!AN8*Constants!$H84*EF!$H209*MMVolatEF*NtoN2O*kgtoGg,IF('Net zero activities &amp; levers'!$C$14="On",Constants!$H66*'Net zero Activity data'!AN8*Constants!$H84*EF!$H209*MMVolatEF*NtoN2O*kgtoGg,"ERROR"))</f>
        <v>2.7434834642963983E-3</v>
      </c>
      <c r="V1188" s="94">
        <f>IF('Net zero activities &amp; levers'!$C$14="Off",Constants!$H66*'Activity data'!AO8*Constants!$H84*EF!$H209*MMVolatEF*NtoN2O*kgtoGg,IF('Net zero activities &amp; levers'!$C$14="On",Constants!$H66*'Net zero Activity data'!AO8*Constants!$H84*EF!$H209*MMVolatEF*NtoN2O*kgtoGg,"ERROR"))</f>
        <v>2.7249559704571515E-3</v>
      </c>
      <c r="W1188" s="94">
        <f>IF('Net zero activities &amp; levers'!$C$14="Off",Constants!$H66*'Activity data'!AP8*Constants!$H84*EF!$H209*MMVolatEF*NtoN2O*kgtoGg,IF('Net zero activities &amp; levers'!$C$14="On",Constants!$H66*'Net zero Activity data'!AP8*Constants!$H84*EF!$H209*MMVolatEF*NtoN2O*kgtoGg,"ERROR"))</f>
        <v>2.7098851587955765E-3</v>
      </c>
      <c r="X1188" s="94">
        <f>IF('Net zero activities &amp; levers'!$C$14="Off",Constants!$H66*'Activity data'!AQ8*Constants!$H84*EF!$H209*MMVolatEF*NtoN2O*kgtoGg,IF('Net zero activities &amp; levers'!$C$14="On",Constants!$H66*'Net zero Activity data'!AQ8*Constants!$H84*EF!$H209*MMVolatEF*NtoN2O*kgtoGg,"ERROR"))</f>
        <v>2.7108751448487677E-3</v>
      </c>
      <c r="Y1188" s="94">
        <f>IF('Net zero activities &amp; levers'!$C$14="Off",Constants!$H66*'Activity data'!AR8*Constants!$H84*EF!$H209*MMVolatEF*NtoN2O*kgtoGg,IF('Net zero activities &amp; levers'!$C$14="On",Constants!$H66*'Net zero Activity data'!AR8*Constants!$H84*EF!$H209*MMVolatEF*NtoN2O*kgtoGg,"ERROR"))</f>
        <v>2.7267936110374771E-3</v>
      </c>
      <c r="Z1188" s="94">
        <f>IF('Net zero activities &amp; levers'!$C$14="Off",Constants!$H66*'Activity data'!AS8*Constants!$H84*EF!$H209*MMVolatEF*NtoN2O*kgtoGg,IF('Net zero activities &amp; levers'!$C$14="On",Constants!$H66*'Net zero Activity data'!AS8*Constants!$H84*EF!$H209*MMVolatEF*NtoN2O*kgtoGg,"ERROR"))</f>
        <v>2.7493808220457119E-3</v>
      </c>
      <c r="AA1188" s="94">
        <f>IF('Net zero activities &amp; levers'!$C$14="Off",Constants!$H66*'Activity data'!AT8*Constants!$H84*EF!$H209*MMVolatEF*NtoN2O*kgtoGg,IF('Net zero activities &amp; levers'!$C$14="On",Constants!$H66*'Net zero Activity data'!AT8*Constants!$H84*EF!$H209*MMVolatEF*NtoN2O*kgtoGg,"ERROR"))</f>
        <v>2.7804561510044621E-3</v>
      </c>
      <c r="AB1188" s="94">
        <f>IF('Net zero activities &amp; levers'!$C$14="Off",Constants!$H66*'Activity data'!AU8*Constants!$H84*EF!$H209*MMVolatEF*NtoN2O*kgtoGg,IF('Net zero activities &amp; levers'!$C$14="On",Constants!$H66*'Net zero Activity data'!AU8*Constants!$H84*EF!$H209*MMVolatEF*NtoN2O*kgtoGg,"ERROR"))</f>
        <v>2.8259754098654112E-3</v>
      </c>
      <c r="AC1188" s="94">
        <f>IF('Net zero activities &amp; levers'!$C$14="Off",Constants!$H66*'Activity data'!AV8*Constants!$H84*EF!$H209*MMVolatEF*NtoN2O*kgtoGg,IF('Net zero activities &amp; levers'!$C$14="On",Constants!$H66*'Net zero Activity data'!AV8*Constants!$H84*EF!$H209*MMVolatEF*NtoN2O*kgtoGg,"ERROR"))</f>
        <v>2.8846530294108553E-3</v>
      </c>
      <c r="AD1188" s="94">
        <f>IF('Net zero activities &amp; levers'!$C$14="Off",Constants!$H66*'Activity data'!AW8*Constants!$H84*EF!$H209*MMVolatEF*NtoN2O*kgtoGg,IF('Net zero activities &amp; levers'!$C$14="On",Constants!$H66*'Net zero Activity data'!AW8*Constants!$H84*EF!$H209*MMVolatEF*NtoN2O*kgtoGg,"ERROR"))</f>
        <v>2.9255627766607379E-3</v>
      </c>
      <c r="AE1188" s="94">
        <f>IF('Net zero activities &amp; levers'!$C$14="Off",Constants!$H66*'Activity data'!AX8*Constants!$H84*EF!$H209*MMVolatEF*NtoN2O*kgtoGg,IF('Net zero activities &amp; levers'!$C$14="On",Constants!$H66*'Net zero Activity data'!AX8*Constants!$H84*EF!$H209*MMVolatEF*NtoN2O*kgtoGg,"ERROR"))</f>
        <v>2.9713051294800673E-3</v>
      </c>
      <c r="AF1188" s="94">
        <f>IF('Net zero activities &amp; levers'!$C$14="Off",Constants!$H66*'Activity data'!AY8*Constants!$H84*EF!$H209*MMVolatEF*NtoN2O*kgtoGg,IF('Net zero activities &amp; levers'!$C$14="On",Constants!$H66*'Net zero Activity data'!AY8*Constants!$H84*EF!$H209*MMVolatEF*NtoN2O*kgtoGg,"ERROR"))</f>
        <v>3.0184328847155249E-3</v>
      </c>
      <c r="AG1188" s="94">
        <f>IF('Net zero activities &amp; levers'!$C$14="Off",Constants!$H66*'Activity data'!AZ8*Constants!$H84*EF!$H209*MMVolatEF*NtoN2O*kgtoGg,IF('Net zero activities &amp; levers'!$C$14="On",Constants!$H66*'Net zero Activity data'!AZ8*Constants!$H84*EF!$H209*MMVolatEF*NtoN2O*kgtoGg,"ERROR"))</f>
        <v>3.0679929310084191E-3</v>
      </c>
      <c r="AH1188" s="94">
        <f>IF('Net zero activities &amp; levers'!$C$14="Off",Constants!$H66*'Activity data'!BA8*Constants!$H84*EF!$H209*MMVolatEF*NtoN2O*kgtoGg,IF('Net zero activities &amp; levers'!$C$14="On",Constants!$H66*'Net zero Activity data'!BA8*Constants!$H84*EF!$H209*MMVolatEF*NtoN2O*kgtoGg,"ERROR"))</f>
        <v>3.1182952843922906E-3</v>
      </c>
      <c r="AI1188" s="94">
        <f>IF('Net zero activities &amp; levers'!$C$14="Off",Constants!$H66*'Activity data'!BB8*Constants!$H84*EF!$H209*MMVolatEF*NtoN2O*kgtoGg,IF('Net zero activities &amp; levers'!$C$14="On",Constants!$H66*'Net zero Activity data'!BB8*Constants!$H84*EF!$H209*MMVolatEF*NtoN2O*kgtoGg,"ERROR"))</f>
        <v>3.1642302715808976E-3</v>
      </c>
      <c r="AJ1188" s="94">
        <f>IF('Net zero activities &amp; levers'!$C$14="Off",Constants!$H66*'Activity data'!BC8*Constants!$H84*EF!$H209*MMVolatEF*NtoN2O*kgtoGg,IF('Net zero activities &amp; levers'!$C$14="On",Constants!$H66*'Net zero Activity data'!BC8*Constants!$H84*EF!$H209*MMVolatEF*NtoN2O*kgtoGg,"ERROR"))</f>
        <v>3.2126832525729617E-3</v>
      </c>
      <c r="AK1188" s="94">
        <f>IF('Net zero activities &amp; levers'!$C$14="Off",Constants!$H66*'Activity data'!BD8*Constants!$H84*EF!$H209*MMVolatEF*NtoN2O*kgtoGg,IF('Net zero activities &amp; levers'!$C$14="On",Constants!$H66*'Net zero Activity data'!BD8*Constants!$H84*EF!$H209*MMVolatEF*NtoN2O*kgtoGg,"ERROR"))</f>
        <v>3.2589422884996468E-3</v>
      </c>
      <c r="AL1188" s="94">
        <f>IF('Net zero activities &amp; levers'!$C$14="Off",Constants!$H66*'Activity data'!BE8*Constants!$H84*EF!$H209*MMVolatEF*NtoN2O*kgtoGg,IF('Net zero activities &amp; levers'!$C$14="On",Constants!$H66*'Net zero Activity data'!BE8*Constants!$H84*EF!$H209*MMVolatEF*NtoN2O*kgtoGg,"ERROR"))</f>
        <v>3.3025617246378643E-3</v>
      </c>
      <c r="AM1188" s="94">
        <f>IF('Net zero activities &amp; levers'!$C$14="Off",Constants!$H66*'Activity data'!BF8*Constants!$H84*EF!$H209*MMVolatEF*NtoN2O*kgtoGg,IF('Net zero activities &amp; levers'!$C$14="On",Constants!$H66*'Net zero Activity data'!BF8*Constants!$H84*EF!$H209*MMVolatEF*NtoN2O*kgtoGg,"ERROR"))</f>
        <v>3.3454061319751881E-3</v>
      </c>
      <c r="AN1188" s="94">
        <f>IF('Net zero activities &amp; levers'!$C$14="Off",Constants!$H66*'Activity data'!BG8*Constants!$H84*EF!$H209*MMVolatEF*NtoN2O*kgtoGg,IF('Net zero activities &amp; levers'!$C$14="On",Constants!$H66*'Net zero Activity data'!BG8*Constants!$H84*EF!$H209*MMVolatEF*NtoN2O*kgtoGg,"ERROR"))</f>
        <v>3.3998120453296449E-3</v>
      </c>
      <c r="AO1188" s="94">
        <f>IF('Net zero activities &amp; levers'!$C$14="Off",Constants!$H66*'Activity data'!BH8*Constants!$H84*EF!$H209*MMVolatEF*NtoN2O*kgtoGg,IF('Net zero activities &amp; levers'!$C$14="On",Constants!$H66*'Net zero Activity data'!BH8*Constants!$H84*EF!$H209*MMVolatEF*NtoN2O*kgtoGg,"ERROR"))</f>
        <v>3.4560846217306851E-3</v>
      </c>
      <c r="AP1188" s="94">
        <f>IF('Net zero activities &amp; levers'!$C$14="Off",Constants!$H66*'Activity data'!BI8*Constants!$H84*EF!$H209*MMVolatEF*NtoN2O*kgtoGg,IF('Net zero activities &amp; levers'!$C$14="On",Constants!$H66*'Net zero Activity data'!BI8*Constants!$H84*EF!$H209*MMVolatEF*NtoN2O*kgtoGg,"ERROR"))</f>
        <v>3.5162688695670069E-3</v>
      </c>
      <c r="AQ1188" s="94">
        <f>IF('Net zero activities &amp; levers'!$C$14="Off",Constants!$H66*'Activity data'!BJ8*Constants!$H84*EF!$H209*MMVolatEF*NtoN2O*kgtoGg,IF('Net zero activities &amp; levers'!$C$14="On",Constants!$H66*'Net zero Activity data'!BJ8*Constants!$H84*EF!$H209*MMVolatEF*NtoN2O*kgtoGg,"ERROR"))</f>
        <v>3.576218960305765E-3</v>
      </c>
      <c r="AR1188" s="94">
        <f>IF('Net zero activities &amp; levers'!$C$14="Off",Constants!$H66*'Activity data'!BK8*Constants!$H84*EF!$H209*MMVolatEF*NtoN2O*kgtoGg,IF('Net zero activities &amp; levers'!$C$14="On",Constants!$H66*'Net zero Activity data'!BK8*Constants!$H84*EF!$H209*MMVolatEF*NtoN2O*kgtoGg,"ERROR"))</f>
        <v>3.6360127055851286E-3</v>
      </c>
      <c r="AS1188" s="94">
        <f>IF('Net zero activities &amp; levers'!$C$14="Off",Constants!$H66*'Activity data'!BL8*Constants!$H84*EF!$H209*MMVolatEF*NtoN2O*kgtoGg,IF('Net zero activities &amp; levers'!$C$14="On",Constants!$H66*'Net zero Activity data'!BL8*Constants!$H84*EF!$H209*MMVolatEF*NtoN2O*kgtoGg,"ERROR"))</f>
        <v>3.6995797552595183E-3</v>
      </c>
      <c r="AT1188" s="94">
        <f>IF('Net zero activities &amp; levers'!$C$14="Off",Constants!$H66*'Activity data'!BM8*Constants!$H84*EF!$H209*MMVolatEF*NtoN2O*kgtoGg,IF('Net zero activities &amp; levers'!$C$14="On",Constants!$H66*'Net zero Activity data'!BM8*Constants!$H84*EF!$H209*MMVolatEF*NtoN2O*kgtoGg,"ERROR"))</f>
        <v>3.7652741980581834E-3</v>
      </c>
      <c r="AU1188" s="94">
        <f>IF('Net zero activities &amp; levers'!$C$14="Off",Constants!$H66*'Activity data'!BN8*Constants!$H84*EF!$H209*MMVolatEF*NtoN2O*kgtoGg,IF('Net zero activities &amp; levers'!$C$14="On",Constants!$H66*'Net zero Activity data'!BN8*Constants!$H84*EF!$H209*MMVolatEF*NtoN2O*kgtoGg,"ERROR"))</f>
        <v>3.831953873173879E-3</v>
      </c>
      <c r="AV1188" s="94">
        <f>IF('Net zero activities &amp; levers'!$C$14="Off",Constants!$H66*'Activity data'!BO8*Constants!$H84*EF!$H209*MMVolatEF*NtoN2O*kgtoGg,IF('Net zero activities &amp; levers'!$C$14="On",Constants!$H66*'Net zero Activity data'!BO8*Constants!$H84*EF!$H209*MMVolatEF*NtoN2O*kgtoGg,"ERROR"))</f>
        <v>3.9018879316463188E-3</v>
      </c>
      <c r="AW1188" s="94">
        <f>IF('Net zero activities &amp; levers'!$C$14="Off",Constants!$H66*'Activity data'!BP8*Constants!$H84*EF!$H209*MMVolatEF*NtoN2O*kgtoGg,IF('Net zero activities &amp; levers'!$C$14="On",Constants!$H66*'Net zero Activity data'!BP8*Constants!$H84*EF!$H209*MMVolatEF*NtoN2O*kgtoGg,"ERROR"))</f>
        <v>3.9605189402422969E-3</v>
      </c>
      <c r="AY1188" s="79"/>
    </row>
    <row r="1189" spans="1:51" x14ac:dyDescent="0.25">
      <c r="A1189" s="95" t="str">
        <f t="shared" si="380"/>
        <v>CM MM Volatilisation</v>
      </c>
      <c r="B1189" s="95" t="s">
        <v>1321</v>
      </c>
      <c r="C1189" s="95" t="s">
        <v>1331</v>
      </c>
      <c r="D1189" t="s">
        <v>369</v>
      </c>
      <c r="E1189" t="s">
        <v>64</v>
      </c>
      <c r="F1189" t="s">
        <v>62</v>
      </c>
      <c r="G1189" t="s">
        <v>1159</v>
      </c>
      <c r="H1189" t="s">
        <v>1293</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1.5685552742581484E-2</v>
      </c>
      <c r="O1189" s="94">
        <f>IF('Net zero activities &amp; levers'!$C$14="Off",Constants!$H67*'Activity data'!AH9*Constants!$H85*EF!$H210*MMVolatEF*NtoN2O*kgtoGg,IF('Net zero activities &amp; levers'!$C$14="On",Constants!$H67*'Net zero Activity data'!AH9*Constants!$H85*EF!$H210*MMVolatEF*NtoN2O*kgtoGg,"ERROR"))</f>
        <v>1.5377401443792453E-2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1.283123146415196E-2</v>
      </c>
      <c r="T1189" s="94">
        <f>IF('Net zero activities &amp; levers'!$C$14="Off",Constants!$H67*'Activity data'!AM9*Constants!$H85*EF!$H210*MMVolatEF*NtoN2O*kgtoGg,IF('Net zero activities &amp; levers'!$C$14="On",Constants!$H67*'Net zero Activity data'!AM9*Constants!$H85*EF!$H210*MMVolatEF*NtoN2O*kgtoGg,"ERROR"))</f>
        <v>1.3444696512844507E-2</v>
      </c>
      <c r="U1189" s="94">
        <f>IF('Net zero activities &amp; levers'!$C$14="Off",Constants!$H67*'Activity data'!AN9*Constants!$H85*EF!$H210*MMVolatEF*NtoN2O*kgtoGg,IF('Net zero activities &amp; levers'!$C$14="On",Constants!$H67*'Net zero Activity data'!AN9*Constants!$H85*EF!$H210*MMVolatEF*NtoN2O*kgtoGg,"ERROR"))</f>
        <v>1.3657078230761113E-2</v>
      </c>
      <c r="V1189" s="94">
        <f>IF('Net zero activities &amp; levers'!$C$14="Off",Constants!$H67*'Activity data'!AO9*Constants!$H85*EF!$H210*MMVolatEF*NtoN2O*kgtoGg,IF('Net zero activities &amp; levers'!$C$14="On",Constants!$H67*'Net zero Activity data'!AO9*Constants!$H85*EF!$H210*MMVolatEF*NtoN2O*kgtoGg,"ERROR"))</f>
        <v>1.3564848247939834E-2</v>
      </c>
      <c r="W1189" s="94">
        <f>IF('Net zero activities &amp; levers'!$C$14="Off",Constants!$H67*'Activity data'!AP9*Constants!$H85*EF!$H210*MMVolatEF*NtoN2O*kgtoGg,IF('Net zero activities &amp; levers'!$C$14="On",Constants!$H67*'Net zero Activity data'!AP9*Constants!$H85*EF!$H210*MMVolatEF*NtoN2O*kgtoGg,"ERROR"))</f>
        <v>1.3489825651105632E-2</v>
      </c>
      <c r="X1189" s="94">
        <f>IF('Net zero activities &amp; levers'!$C$14="Off",Constants!$H67*'Activity data'!AQ9*Constants!$H85*EF!$H210*MMVolatEF*NtoN2O*kgtoGg,IF('Net zero activities &amp; levers'!$C$14="On",Constants!$H67*'Net zero Activity data'!AQ9*Constants!$H85*EF!$H210*MMVolatEF*NtoN2O*kgtoGg,"ERROR"))</f>
        <v>1.3494753808009711E-2</v>
      </c>
      <c r="Y1189" s="94">
        <f>IF('Net zero activities &amp; levers'!$C$14="Off",Constants!$H67*'Activity data'!AR9*Constants!$H85*EF!$H210*MMVolatEF*NtoN2O*kgtoGg,IF('Net zero activities &amp; levers'!$C$14="On",Constants!$H67*'Net zero Activity data'!AR9*Constants!$H85*EF!$H210*MMVolatEF*NtoN2O*kgtoGg,"ERROR"))</f>
        <v>1.3573996034501018E-2</v>
      </c>
      <c r="Z1189" s="94">
        <f>IF('Net zero activities &amp; levers'!$C$14="Off",Constants!$H67*'Activity data'!AS9*Constants!$H85*EF!$H210*MMVolatEF*NtoN2O*kgtoGg,IF('Net zero activities &amp; levers'!$C$14="On",Constants!$H67*'Net zero Activity data'!AS9*Constants!$H85*EF!$H210*MMVolatEF*NtoN2O*kgtoGg,"ERROR"))</f>
        <v>1.3686435315352767E-2</v>
      </c>
      <c r="AA1189" s="94">
        <f>IF('Net zero activities &amp; levers'!$C$14="Off",Constants!$H67*'Activity data'!AT9*Constants!$H85*EF!$H210*MMVolatEF*NtoN2O*kgtoGg,IF('Net zero activities &amp; levers'!$C$14="On",Constants!$H67*'Net zero Activity data'!AT9*Constants!$H85*EF!$H210*MMVolatEF*NtoN2O*kgtoGg,"ERROR"))</f>
        <v>1.3841128501646547E-2</v>
      </c>
      <c r="AB1189" s="94">
        <f>IF('Net zero activities &amp; levers'!$C$14="Off",Constants!$H67*'Activity data'!AU9*Constants!$H85*EF!$H210*MMVolatEF*NtoN2O*kgtoGg,IF('Net zero activities &amp; levers'!$C$14="On",Constants!$H67*'Net zero Activity data'!AU9*Constants!$H85*EF!$H210*MMVolatEF*NtoN2O*kgtoGg,"ERROR"))</f>
        <v>1.4067723663367223E-2</v>
      </c>
      <c r="AC1189" s="94">
        <f>IF('Net zero activities &amp; levers'!$C$14="Off",Constants!$H67*'Activity data'!AV9*Constants!$H85*EF!$H210*MMVolatEF*NtoN2O*kgtoGg,IF('Net zero activities &amp; levers'!$C$14="On",Constants!$H67*'Net zero Activity data'!AV9*Constants!$H85*EF!$H210*MMVolatEF*NtoN2O*kgtoGg,"ERROR"))</f>
        <v>1.4359821228727431E-2</v>
      </c>
      <c r="AD1189" s="94">
        <f>IF('Net zero activities &amp; levers'!$C$14="Off",Constants!$H67*'Activity data'!AW9*Constants!$H85*EF!$H210*MMVolatEF*NtoN2O*kgtoGg,IF('Net zero activities &amp; levers'!$C$14="On",Constants!$H67*'Net zero Activity data'!AW9*Constants!$H85*EF!$H210*MMVolatEF*NtoN2O*kgtoGg,"ERROR"))</f>
        <v>1.4563470212168856E-2</v>
      </c>
      <c r="AE1189" s="94">
        <f>IF('Net zero activities &amp; levers'!$C$14="Off",Constants!$H67*'Activity data'!AX9*Constants!$H85*EF!$H210*MMVolatEF*NtoN2O*kgtoGg,IF('Net zero activities &amp; levers'!$C$14="On",Constants!$H67*'Net zero Activity data'!AX9*Constants!$H85*EF!$H210*MMVolatEF*NtoN2O*kgtoGg,"ERROR"))</f>
        <v>1.4791175937041108E-2</v>
      </c>
      <c r="AF1189" s="94">
        <f>IF('Net zero activities &amp; levers'!$C$14="Off",Constants!$H67*'Activity data'!AY9*Constants!$H85*EF!$H210*MMVolatEF*NtoN2O*kgtoGg,IF('Net zero activities &amp; levers'!$C$14="On",Constants!$H67*'Net zero Activity data'!AY9*Constants!$H85*EF!$H210*MMVolatEF*NtoN2O*kgtoGg,"ERROR"))</f>
        <v>1.5025778204000962E-2</v>
      </c>
      <c r="AG1189" s="94">
        <f>IF('Net zero activities &amp; levers'!$C$14="Off",Constants!$H67*'Activity data'!AZ9*Constants!$H85*EF!$H210*MMVolatEF*NtoN2O*kgtoGg,IF('Net zero activities &amp; levers'!$C$14="On",Constants!$H67*'Net zero Activity data'!AZ9*Constants!$H85*EF!$H210*MMVolatEF*NtoN2O*kgtoGg,"ERROR"))</f>
        <v>1.5272488431400047E-2</v>
      </c>
      <c r="AH1189" s="94">
        <f>IF('Net zero activities &amp; levers'!$C$14="Off",Constants!$H67*'Activity data'!BA9*Constants!$H85*EF!$H210*MMVolatEF*NtoN2O*kgtoGg,IF('Net zero activities &amp; levers'!$C$14="On",Constants!$H67*'Net zero Activity data'!BA9*Constants!$H85*EF!$H210*MMVolatEF*NtoN2O*kgtoGg,"ERROR"))</f>
        <v>1.5522893868245321E-2</v>
      </c>
      <c r="AI1189" s="94">
        <f>IF('Net zero activities &amp; levers'!$C$14="Off",Constants!$H67*'Activity data'!BB9*Constants!$H85*EF!$H210*MMVolatEF*NtoN2O*kgtoGg,IF('Net zero activities &amp; levers'!$C$14="On",Constants!$H67*'Net zero Activity data'!BB9*Constants!$H85*EF!$H210*MMVolatEF*NtoN2O*kgtoGg,"ERROR"))</f>
        <v>1.5751558528239808E-2</v>
      </c>
      <c r="AJ1189" s="94">
        <f>IF('Net zero activities &amp; levers'!$C$14="Off",Constants!$H67*'Activity data'!BC9*Constants!$H85*EF!$H210*MMVolatEF*NtoN2O*kgtoGg,IF('Net zero activities &amp; levers'!$C$14="On",Constants!$H67*'Net zero Activity data'!BC9*Constants!$H85*EF!$H210*MMVolatEF*NtoN2O*kgtoGg,"ERROR"))</f>
        <v>1.5992757777491307E-2</v>
      </c>
      <c r="AK1189" s="94">
        <f>IF('Net zero activities &amp; levers'!$C$14="Off",Constants!$H67*'Activity data'!BD9*Constants!$H85*EF!$H210*MMVolatEF*NtoN2O*kgtoGg,IF('Net zero activities &amp; levers'!$C$14="On",Constants!$H67*'Net zero Activity data'!BD9*Constants!$H85*EF!$H210*MMVolatEF*NtoN2O*kgtoGg,"ERROR"))</f>
        <v>1.622303555417634E-2</v>
      </c>
      <c r="AL1189" s="94">
        <f>IF('Net zero activities &amp; levers'!$C$14="Off",Constants!$H67*'Activity data'!BE9*Constants!$H85*EF!$H210*MMVolatEF*NtoN2O*kgtoGg,IF('Net zero activities &amp; levers'!$C$14="On",Constants!$H67*'Net zero Activity data'!BE9*Constants!$H85*EF!$H210*MMVolatEF*NtoN2O*kgtoGg,"ERROR"))</f>
        <v>1.6440173386233263E-2</v>
      </c>
      <c r="AM1189" s="94">
        <f>IF('Net zero activities &amp; levers'!$C$14="Off",Constants!$H67*'Activity data'!BF9*Constants!$H85*EF!$H210*MMVolatEF*NtoN2O*kgtoGg,IF('Net zero activities &amp; levers'!$C$14="On",Constants!$H67*'Net zero Activity data'!BF9*Constants!$H85*EF!$H210*MMVolatEF*NtoN2O*kgtoGg,"ERROR"))</f>
        <v>1.6653453119962761E-2</v>
      </c>
      <c r="AN1189" s="94">
        <f>IF('Net zero activities &amp; levers'!$C$14="Off",Constants!$H67*'Activity data'!BG9*Constants!$H85*EF!$H210*MMVolatEF*NtoN2O*kgtoGg,IF('Net zero activities &amp; levers'!$C$14="On",Constants!$H67*'Net zero Activity data'!BG9*Constants!$H85*EF!$H210*MMVolatEF*NtoN2O*kgtoGg,"ERROR"))</f>
        <v>1.6924286104585243E-2</v>
      </c>
      <c r="AO1189" s="94">
        <f>IF('Net zero activities &amp; levers'!$C$14="Off",Constants!$H67*'Activity data'!BH9*Constants!$H85*EF!$H210*MMVolatEF*NtoN2O*kgtoGg,IF('Net zero activities &amp; levers'!$C$14="On",Constants!$H67*'Net zero Activity data'!BH9*Constants!$H85*EF!$H210*MMVolatEF*NtoN2O*kgtoGg,"ERROR"))</f>
        <v>1.7204411349791553E-2</v>
      </c>
      <c r="AP1189" s="94">
        <f>IF('Net zero activities &amp; levers'!$C$14="Off",Constants!$H67*'Activity data'!BI9*Constants!$H85*EF!$H210*MMVolatEF*NtoN2O*kgtoGg,IF('Net zero activities &amp; levers'!$C$14="On",Constants!$H67*'Net zero Activity data'!BI9*Constants!$H85*EF!$H210*MMVolatEF*NtoN2O*kgtoGg,"ERROR"))</f>
        <v>1.7504008920419142E-2</v>
      </c>
      <c r="AQ1189" s="94">
        <f>IF('Net zero activities &amp; levers'!$C$14="Off",Constants!$H67*'Activity data'!BJ9*Constants!$H85*EF!$H210*MMVolatEF*NtoN2O*kgtoGg,IF('Net zero activities &amp; levers'!$C$14="On",Constants!$H67*'Net zero Activity data'!BJ9*Constants!$H85*EF!$H210*MMVolatEF*NtoN2O*kgtoGg,"ERROR"))</f>
        <v>1.7802440855517548E-2</v>
      </c>
      <c r="AR1189" s="94">
        <f>IF('Net zero activities &amp; levers'!$C$14="Off",Constants!$H67*'Activity data'!BK9*Constants!$H85*EF!$H210*MMVolatEF*NtoN2O*kgtoGg,IF('Net zero activities &amp; levers'!$C$14="On",Constants!$H67*'Net zero Activity data'!BK9*Constants!$H85*EF!$H210*MMVolatEF*NtoN2O*kgtoGg,"ERROR"))</f>
        <v>1.8100094501919208E-2</v>
      </c>
      <c r="AS1189" s="94">
        <f>IF('Net zero activities &amp; levers'!$C$14="Off",Constants!$H67*'Activity data'!BL9*Constants!$H85*EF!$H210*MMVolatEF*NtoN2O*kgtoGg,IF('Net zero activities &amp; levers'!$C$14="On",Constants!$H67*'Net zero Activity data'!BL9*Constants!$H85*EF!$H210*MMVolatEF*NtoN2O*kgtoGg,"ERROR"))</f>
        <v>1.8416531681730838E-2</v>
      </c>
      <c r="AT1189" s="94">
        <f>IF('Net zero activities &amp; levers'!$C$14="Off",Constants!$H67*'Activity data'!BM9*Constants!$H85*EF!$H210*MMVolatEF*NtoN2O*kgtoGg,IF('Net zero activities &amp; levers'!$C$14="On",Constants!$H67*'Net zero Activity data'!BM9*Constants!$H85*EF!$H210*MMVolatEF*NtoN2O*kgtoGg,"ERROR"))</f>
        <v>1.874355903812051E-2</v>
      </c>
      <c r="AU1189" s="94">
        <f>IF('Net zero activities &amp; levers'!$C$14="Off",Constants!$H67*'Activity data'!BN9*Constants!$H85*EF!$H210*MMVolatEF*NtoN2O*kgtoGg,IF('Net zero activities &amp; levers'!$C$14="On",Constants!$H67*'Net zero Activity data'!BN9*Constants!$H85*EF!$H210*MMVolatEF*NtoN2O*kgtoGg,"ERROR"))</f>
        <v>1.9075490887285256E-2</v>
      </c>
      <c r="AV1189" s="94">
        <f>IF('Net zero activities &amp; levers'!$C$14="Off",Constants!$H67*'Activity data'!BO9*Constants!$H85*EF!$H210*MMVolatEF*NtoN2O*kgtoGg,IF('Net zero activities &amp; levers'!$C$14="On",Constants!$H67*'Net zero Activity data'!BO9*Constants!$H85*EF!$H210*MMVolatEF*NtoN2O*kgtoGg,"ERROR"))</f>
        <v>1.9423623077612737E-2</v>
      </c>
      <c r="AW1189" s="94">
        <f>IF('Net zero activities &amp; levers'!$C$14="Off",Constants!$H67*'Activity data'!BP9*Constants!$H85*EF!$H210*MMVolatEF*NtoN2O*kgtoGg,IF('Net zero activities &amp; levers'!$C$14="On",Constants!$H67*'Net zero Activity data'!BP9*Constants!$H85*EF!$H210*MMVolatEF*NtoN2O*kgtoGg,"ERROR"))</f>
        <v>1.9715488613368411E-2</v>
      </c>
      <c r="AY1189" s="79"/>
    </row>
    <row r="1190" spans="1:51" x14ac:dyDescent="0.25">
      <c r="A1190" s="95" t="str">
        <f t="shared" si="380"/>
        <v>CM MM Volatilisation</v>
      </c>
      <c r="B1190" s="95" t="s">
        <v>1321</v>
      </c>
      <c r="C1190" s="95" t="s">
        <v>1331</v>
      </c>
      <c r="D1190" t="s">
        <v>369</v>
      </c>
      <c r="E1190" t="s">
        <v>64</v>
      </c>
      <c r="F1190" t="s">
        <v>62</v>
      </c>
      <c r="G1190" t="s">
        <v>1161</v>
      </c>
      <c r="H1190" t="s">
        <v>1294</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0.15836052531214867</v>
      </c>
      <c r="L1190" s="94">
        <f>IF('Net zero activities &amp; levers'!$C$14="Off",Constants!$H68*'Activity data'!AE10*Constants!$H86*EF!$H211*MMVolatEF*NtoN2O*kgtoGg,IF('Net zero activities &amp; levers'!$C$14="On",Constants!$H68*'Net zero Activity data'!AE10*Constants!$H86*EF!$H211*MMVolatEF*NtoN2O*kgtoGg,"ERROR"))</f>
        <v>0.16370016056893633</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0.17476418316081965</v>
      </c>
      <c r="O1190" s="94">
        <f>IF('Net zero activities &amp; levers'!$C$14="Off",Constants!$H68*'Activity data'!AH10*Constants!$H86*EF!$H211*MMVolatEF*NtoN2O*kgtoGg,IF('Net zero activities &amp; levers'!$C$14="On",Constants!$H68*'Net zero Activity data'!AH10*Constants!$H86*EF!$H211*MMVolatEF*NtoN2O*kgtoGg,"ERROR"))</f>
        <v>0.17840915017095652</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0.17460856438309952</v>
      </c>
      <c r="T1190" s="94">
        <f>IF('Net zero activities &amp; levers'!$C$14="Off",Constants!$H68*'Activity data'!AM10*Constants!$H86*EF!$H211*MMVolatEF*NtoN2O*kgtoGg,IF('Net zero activities &amp; levers'!$C$14="On",Constants!$H68*'Net zero Activity data'!AM10*Constants!$H86*EF!$H211*MMVolatEF*NtoN2O*kgtoGg,"ERROR"))</f>
        <v>0.1873645711352227</v>
      </c>
      <c r="U1190" s="94">
        <f>IF('Net zero activities &amp; levers'!$C$14="Off",Constants!$H68*'Activity data'!AN10*Constants!$H86*EF!$H211*MMVolatEF*NtoN2O*kgtoGg,IF('Net zero activities &amp; levers'!$C$14="On",Constants!$H68*'Net zero Activity data'!AN10*Constants!$H86*EF!$H211*MMVolatEF*NtoN2O*kgtoGg,"ERROR"))</f>
        <v>0.19484677000767164</v>
      </c>
      <c r="V1190" s="94">
        <f>IF('Net zero activities &amp; levers'!$C$14="Off",Constants!$H68*'Activity data'!AO10*Constants!$H86*EF!$H211*MMVolatEF*NtoN2O*kgtoGg,IF('Net zero activities &amp; levers'!$C$14="On",Constants!$H68*'Net zero Activity data'!AO10*Constants!$H86*EF!$H211*MMVolatEF*NtoN2O*kgtoGg,"ERROR"))</f>
        <v>0.19807112255457257</v>
      </c>
      <c r="W1190" s="94">
        <f>IF('Net zero activities &amp; levers'!$C$14="Off",Constants!$H68*'Activity data'!AP10*Constants!$H86*EF!$H211*MMVolatEF*NtoN2O*kgtoGg,IF('Net zero activities &amp; levers'!$C$14="On",Constants!$H68*'Net zero Activity data'!AP10*Constants!$H86*EF!$H211*MMVolatEF*NtoN2O*kgtoGg,"ERROR"))</f>
        <v>0.20154228480865111</v>
      </c>
      <c r="X1190" s="94">
        <f>IF('Net zero activities &amp; levers'!$C$14="Off",Constants!$H68*'Activity data'!AQ10*Constants!$H86*EF!$H211*MMVolatEF*NtoN2O*kgtoGg,IF('Net zero activities &amp; levers'!$C$14="On",Constants!$H68*'Net zero Activity data'!AQ10*Constants!$H86*EF!$H211*MMVolatEF*NtoN2O*kgtoGg,"ERROR"))</f>
        <v>0.20623914667732615</v>
      </c>
      <c r="Y1190" s="94">
        <f>IF('Net zero activities &amp; levers'!$C$14="Off",Constants!$H68*'Activity data'!AR10*Constants!$H86*EF!$H211*MMVolatEF*NtoN2O*kgtoGg,IF('Net zero activities &amp; levers'!$C$14="On",Constants!$H68*'Net zero Activity data'!AR10*Constants!$H86*EF!$H211*MMVolatEF*NtoN2O*kgtoGg,"ERROR"))</f>
        <v>0.21215915392676254</v>
      </c>
      <c r="Z1190" s="94">
        <f>IF('Net zero activities &amp; levers'!$C$14="Off",Constants!$H68*'Activity data'!AS10*Constants!$H86*EF!$H211*MMVolatEF*NtoN2O*kgtoGg,IF('Net zero activities &amp; levers'!$C$14="On",Constants!$H68*'Net zero Activity data'!AS10*Constants!$H86*EF!$H211*MMVolatEF*NtoN2O*kgtoGg,"ERROR"))</f>
        <v>0.21872684602749243</v>
      </c>
      <c r="AA1190" s="94">
        <f>IF('Net zero activities &amp; levers'!$C$14="Off",Constants!$H68*'Activity data'!AT10*Constants!$H86*EF!$H211*MMVolatEF*NtoN2O*kgtoGg,IF('Net zero activities &amp; levers'!$C$14="On",Constants!$H68*'Net zero Activity data'!AT10*Constants!$H86*EF!$H211*MMVolatEF*NtoN2O*kgtoGg,"ERROR"))</f>
        <v>0.22612997396880463</v>
      </c>
      <c r="AB1190" s="94">
        <f>IF('Net zero activities &amp; levers'!$C$14="Off",Constants!$H68*'Activity data'!AU10*Constants!$H86*EF!$H211*MMVolatEF*NtoN2O*kgtoGg,IF('Net zero activities &amp; levers'!$C$14="On",Constants!$H68*'Net zero Activity data'!AU10*Constants!$H86*EF!$H211*MMVolatEF*NtoN2O*kgtoGg,"ERROR"))</f>
        <v>0.23491426249732866</v>
      </c>
      <c r="AC1190" s="94">
        <f>IF('Net zero activities &amp; levers'!$C$14="Off",Constants!$H68*'Activity data'!AV10*Constants!$H86*EF!$H211*MMVolatEF*NtoN2O*kgtoGg,IF('Net zero activities &amp; levers'!$C$14="On",Constants!$H68*'Net zero Activity data'!AV10*Constants!$H86*EF!$H211*MMVolatEF*NtoN2O*kgtoGg,"ERROR"))</f>
        <v>0.24505515121890351</v>
      </c>
      <c r="AD1190" s="94">
        <f>IF('Net zero activities &amp; levers'!$C$14="Off",Constants!$H68*'Activity data'!AW10*Constants!$H86*EF!$H211*MMVolatEF*NtoN2O*kgtoGg,IF('Net zero activities &amp; levers'!$C$14="On",Constants!$H68*'Net zero Activity data'!AW10*Constants!$H86*EF!$H211*MMVolatEF*NtoN2O*kgtoGg,"ERROR"))</f>
        <v>0.25677243358478996</v>
      </c>
      <c r="AE1190" s="94">
        <f>IF('Net zero activities &amp; levers'!$C$14="Off",Constants!$H68*'Activity data'!AX10*Constants!$H86*EF!$H211*MMVolatEF*NtoN2O*kgtoGg,IF('Net zero activities &amp; levers'!$C$14="On",Constants!$H68*'Net zero Activity data'!AX10*Constants!$H86*EF!$H211*MMVolatEF*NtoN2O*kgtoGg,"ERROR"))</f>
        <v>0.26945216276183381</v>
      </c>
      <c r="AF1190" s="94">
        <f>IF('Net zero activities &amp; levers'!$C$14="Off",Constants!$H68*'Activity data'!AY10*Constants!$H86*EF!$H211*MMVolatEF*NtoN2O*kgtoGg,IF('Net zero activities &amp; levers'!$C$14="On",Constants!$H68*'Net zero Activity data'!AY10*Constants!$H86*EF!$H211*MMVolatEF*NtoN2O*kgtoGg,"ERROR"))</f>
        <v>0.2828440567855407</v>
      </c>
      <c r="AG1190" s="94">
        <f>IF('Net zero activities &amp; levers'!$C$14="Off",Constants!$H68*'Activity data'!AZ10*Constants!$H86*EF!$H211*MMVolatEF*NtoN2O*kgtoGg,IF('Net zero activities &amp; levers'!$C$14="On",Constants!$H68*'Net zero Activity data'!AZ10*Constants!$H86*EF!$H211*MMVolatEF*NtoN2O*kgtoGg,"ERROR"))</f>
        <v>0.29709510424120422</v>
      </c>
      <c r="AH1190" s="94">
        <f>IF('Net zero activities &amp; levers'!$C$14="Off",Constants!$H68*'Activity data'!BA10*Constants!$H86*EF!$H211*MMVolatEF*NtoN2O*kgtoGg,IF('Net zero activities &amp; levers'!$C$14="On",Constants!$H68*'Net zero Activity data'!BA10*Constants!$H86*EF!$H211*MMVolatEF*NtoN2O*kgtoGg,"ERROR"))</f>
        <v>0.31209530848649036</v>
      </c>
      <c r="AI1190" s="94">
        <f>IF('Net zero activities &amp; levers'!$C$14="Off",Constants!$H68*'Activity data'!BB10*Constants!$H86*EF!$H211*MMVolatEF*NtoN2O*kgtoGg,IF('Net zero activities &amp; levers'!$C$14="On",Constants!$H68*'Net zero Activity data'!BB10*Constants!$H86*EF!$H211*MMVolatEF*NtoN2O*kgtoGg,"ERROR"))</f>
        <v>0.32736251218808471</v>
      </c>
      <c r="AJ1190" s="94">
        <f>IF('Net zero activities &amp; levers'!$C$14="Off",Constants!$H68*'Activity data'!BC10*Constants!$H86*EF!$H211*MMVolatEF*NtoN2O*kgtoGg,IF('Net zero activities &amp; levers'!$C$14="On",Constants!$H68*'Net zero Activity data'!BC10*Constants!$H86*EF!$H211*MMVolatEF*NtoN2O*kgtoGg,"ERROR"))</f>
        <v>0.34362947600093458</v>
      </c>
      <c r="AK1190" s="94">
        <f>IF('Net zero activities &amp; levers'!$C$14="Off",Constants!$H68*'Activity data'!BD10*Constants!$H86*EF!$H211*MMVolatEF*NtoN2O*kgtoGg,IF('Net zero activities &amp; levers'!$C$14="On",Constants!$H68*'Net zero Activity data'!BD10*Constants!$H86*EF!$H211*MMVolatEF*NtoN2O*kgtoGg,"ERROR"))</f>
        <v>0.36044618553686847</v>
      </c>
      <c r="AL1190" s="94">
        <f>IF('Net zero activities &amp; levers'!$C$14="Off",Constants!$H68*'Activity data'!BE10*Constants!$H86*EF!$H211*MMVolatEF*NtoN2O*kgtoGg,IF('Net zero activities &amp; levers'!$C$14="On",Constants!$H68*'Net zero Activity data'!BE10*Constants!$H86*EF!$H211*MMVolatEF*NtoN2O*kgtoGg,"ERROR"))</f>
        <v>0.37778487893593249</v>
      </c>
      <c r="AM1190" s="94">
        <f>IF('Net zero activities &amp; levers'!$C$14="Off",Constants!$H68*'Activity data'!BF10*Constants!$H86*EF!$H211*MMVolatEF*NtoN2O*kgtoGg,IF('Net zero activities &amp; levers'!$C$14="On",Constants!$H68*'Net zero Activity data'!BF10*Constants!$H86*EF!$H211*MMVolatEF*NtoN2O*kgtoGg,"ERROR"))</f>
        <v>0.3958859410797253</v>
      </c>
      <c r="AN1190" s="94">
        <f>IF('Net zero activities &amp; levers'!$C$14="Off",Constants!$H68*'Activity data'!BG10*Constants!$H86*EF!$H211*MMVolatEF*NtoN2O*kgtoGg,IF('Net zero activities &amp; levers'!$C$14="On",Constants!$H68*'Net zero Activity data'!BG10*Constants!$H86*EF!$H211*MMVolatEF*NtoN2O*kgtoGg,"ERROR"))</f>
        <v>0.41367585516143429</v>
      </c>
      <c r="AO1190" s="94">
        <f>IF('Net zero activities &amp; levers'!$C$14="Off",Constants!$H68*'Activity data'!BH10*Constants!$H86*EF!$H211*MMVolatEF*NtoN2O*kgtoGg,IF('Net zero activities &amp; levers'!$C$14="On",Constants!$H68*'Net zero Activity data'!BH10*Constants!$H86*EF!$H211*MMVolatEF*NtoN2O*kgtoGg,"ERROR"))</f>
        <v>0.43242905153599548</v>
      </c>
      <c r="AP1190" s="94">
        <f>IF('Net zero activities &amp; levers'!$C$14="Off",Constants!$H68*'Activity data'!BI10*Constants!$H86*EF!$H211*MMVolatEF*NtoN2O*kgtoGg,IF('Net zero activities &amp; levers'!$C$14="On",Constants!$H68*'Net zero Activity data'!BI10*Constants!$H86*EF!$H211*MMVolatEF*NtoN2O*kgtoGg,"ERROR"))</f>
        <v>0.45246435767624088</v>
      </c>
      <c r="AQ1190" s="94">
        <f>IF('Net zero activities &amp; levers'!$C$14="Off",Constants!$H68*'Activity data'!BJ10*Constants!$H86*EF!$H211*MMVolatEF*NtoN2O*kgtoGg,IF('Net zero activities &amp; levers'!$C$14="On",Constants!$H68*'Net zero Activity data'!BJ10*Constants!$H86*EF!$H211*MMVolatEF*NtoN2O*kgtoGg,"ERROR"))</f>
        <v>0.47331488964480717</v>
      </c>
      <c r="AR1190" s="94">
        <f>IF('Net zero activities &amp; levers'!$C$14="Off",Constants!$H68*'Activity data'!BK10*Constants!$H86*EF!$H211*MMVolatEF*NtoN2O*kgtoGg,IF('Net zero activities &amp; levers'!$C$14="On",Constants!$H68*'Net zero Activity data'!BK10*Constants!$H86*EF!$H211*MMVolatEF*NtoN2O*kgtoGg,"ERROR"))</f>
        <v>0.49503125359509215</v>
      </c>
      <c r="AS1190" s="94">
        <f>IF('Net zero activities &amp; levers'!$C$14="Off",Constants!$H68*'Activity data'!BL10*Constants!$H86*EF!$H211*MMVolatEF*NtoN2O*kgtoGg,IF('Net zero activities &amp; levers'!$C$14="On",Constants!$H68*'Net zero Activity data'!BL10*Constants!$H86*EF!$H211*MMVolatEF*NtoN2O*kgtoGg,"ERROR"))</f>
        <v>0.51820746125670647</v>
      </c>
      <c r="AT1190" s="94">
        <f>IF('Net zero activities &amp; levers'!$C$14="Off",Constants!$H68*'Activity data'!BM10*Constants!$H86*EF!$H211*MMVolatEF*NtoN2O*kgtoGg,IF('Net zero activities &amp; levers'!$C$14="On",Constants!$H68*'Net zero Activity data'!BM10*Constants!$H86*EF!$H211*MMVolatEF*NtoN2O*kgtoGg,"ERROR"))</f>
        <v>0.54270067079521189</v>
      </c>
      <c r="AU1190" s="94">
        <f>IF('Net zero activities &amp; levers'!$C$14="Off",Constants!$H68*'Activity data'!BN10*Constants!$H86*EF!$H211*MMVolatEF*NtoN2O*kgtoGg,IF('Net zero activities &amp; levers'!$C$14="On",Constants!$H68*'Net zero Activity data'!BN10*Constants!$H86*EF!$H211*MMVolatEF*NtoN2O*kgtoGg,"ERROR"))</f>
        <v>0.56842164327333022</v>
      </c>
      <c r="AV1190" s="94">
        <f>IF('Net zero activities &amp; levers'!$C$14="Off",Constants!$H68*'Activity data'!BO10*Constants!$H86*EF!$H211*MMVolatEF*NtoN2O*kgtoGg,IF('Net zero activities &amp; levers'!$C$14="On",Constants!$H68*'Net zero Activity data'!BO10*Constants!$H86*EF!$H211*MMVolatEF*NtoN2O*kgtoGg,"ERROR"))</f>
        <v>0.59578776955032364</v>
      </c>
      <c r="AW1190" s="94">
        <f>IF('Net zero activities &amp; levers'!$C$14="Off",Constants!$H68*'Activity data'!BP10*Constants!$H86*EF!$H211*MMVolatEF*NtoN2O*kgtoGg,IF('Net zero activities &amp; levers'!$C$14="On",Constants!$H68*'Net zero Activity data'!BP10*Constants!$H86*EF!$H211*MMVolatEF*NtoN2O*kgtoGg,"ERROR"))</f>
        <v>0.6226172294628034</v>
      </c>
      <c r="AY1190" s="79"/>
    </row>
    <row r="1191" spans="1:51" x14ac:dyDescent="0.25">
      <c r="A1191" s="95" t="str">
        <f t="shared" si="380"/>
        <v>CM MM Volatilisation</v>
      </c>
      <c r="B1191" s="95" t="s">
        <v>1321</v>
      </c>
      <c r="C1191" s="95" t="s">
        <v>1331</v>
      </c>
      <c r="D1191" t="s">
        <v>369</v>
      </c>
      <c r="E1191" t="s">
        <v>64</v>
      </c>
      <c r="F1191" t="s">
        <v>62</v>
      </c>
      <c r="G1191" t="s">
        <v>1163</v>
      </c>
      <c r="H1191" t="s">
        <v>1295</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1.1888884787446641E-4</v>
      </c>
      <c r="T1191" s="94">
        <f>IF('Net zero activities &amp; levers'!$C$14="Off",Constants!$H69*'Activity data'!AM11*Constants!$H87*EF!$H212*MMVolatEF*NtoN2O*kgtoGg,IF('Net zero activities &amp; levers'!$C$14="On",Constants!$H69*'Net zero Activity data'!AM11*Constants!$H87*EF!$H212*MMVolatEF*NtoN2O*kgtoGg,"ERROR"))</f>
        <v>1.18974421608456E-4</v>
      </c>
      <c r="U1191" s="94">
        <f>IF('Net zero activities &amp; levers'!$C$14="Off",Constants!$H69*'Activity data'!AN11*Constants!$H87*EF!$H212*MMVolatEF*NtoN2O*kgtoGg,IF('Net zero activities &amp; levers'!$C$14="On",Constants!$H69*'Net zero Activity data'!AN11*Constants!$H87*EF!$H212*MMVolatEF*NtoN2O*kgtoGg,"ERROR"))</f>
        <v>1.1894433570617077E-4</v>
      </c>
      <c r="V1191" s="94">
        <f>IF('Net zero activities &amp; levers'!$C$14="Off",Constants!$H69*'Activity data'!AO11*Constants!$H87*EF!$H212*MMVolatEF*NtoN2O*kgtoGg,IF('Net zero activities &amp; levers'!$C$14="On",Constants!$H69*'Net zero Activity data'!AO11*Constants!$H87*EF!$H212*MMVolatEF*NtoN2O*kgtoGg,"ERROR"))</f>
        <v>1.1894216976117226E-4</v>
      </c>
      <c r="W1191" s="94">
        <f>IF('Net zero activities &amp; levers'!$C$14="Off",Constants!$H69*'Activity data'!AP11*Constants!$H87*EF!$H212*MMVolatEF*NtoN2O*kgtoGg,IF('Net zero activities &amp; levers'!$C$14="On",Constants!$H69*'Net zero Activity data'!AP11*Constants!$H87*EF!$H212*MMVolatEF*NtoN2O*kgtoGg,"ERROR"))</f>
        <v>1.1906833284654552E-4</v>
      </c>
      <c r="X1191" s="94">
        <f>IF('Net zero activities &amp; levers'!$C$14="Off",Constants!$H69*'Activity data'!AQ11*Constants!$H87*EF!$H212*MMVolatEF*NtoN2O*kgtoGg,IF('Net zero activities &amp; levers'!$C$14="On",Constants!$H69*'Net zero Activity data'!AQ11*Constants!$H87*EF!$H212*MMVolatEF*NtoN2O*kgtoGg,"ERROR"))</f>
        <v>1.1927481036049653E-4</v>
      </c>
      <c r="Y1191" s="94">
        <f>IF('Net zero activities &amp; levers'!$C$14="Off",Constants!$H69*'Activity data'!AR11*Constants!$H87*EF!$H212*MMVolatEF*NtoN2O*kgtoGg,IF('Net zero activities &amp; levers'!$C$14="On",Constants!$H69*'Net zero Activity data'!AR11*Constants!$H87*EF!$H212*MMVolatEF*NtoN2O*kgtoGg,"ERROR"))</f>
        <v>1.1947292782589552E-4</v>
      </c>
      <c r="Z1191" s="94">
        <f>IF('Net zero activities &amp; levers'!$C$14="Off",Constants!$H69*'Activity data'!AS11*Constants!$H87*EF!$H212*MMVolatEF*NtoN2O*kgtoGg,IF('Net zero activities &amp; levers'!$C$14="On",Constants!$H69*'Net zero Activity data'!AS11*Constants!$H87*EF!$H212*MMVolatEF*NtoN2O*kgtoGg,"ERROR"))</f>
        <v>1.1966332441080059E-4</v>
      </c>
      <c r="AA1191" s="94">
        <f>IF('Net zero activities &amp; levers'!$C$14="Off",Constants!$H69*'Activity data'!AT11*Constants!$H87*EF!$H212*MMVolatEF*NtoN2O*kgtoGg,IF('Net zero activities &amp; levers'!$C$14="On",Constants!$H69*'Net zero Activity data'!AT11*Constants!$H87*EF!$H212*MMVolatEF*NtoN2O*kgtoGg,"ERROR"))</f>
        <v>1.198457402729256E-4</v>
      </c>
      <c r="AB1191" s="94">
        <f>IF('Net zero activities &amp; levers'!$C$14="Off",Constants!$H69*'Activity data'!AU11*Constants!$H87*EF!$H212*MMVolatEF*NtoN2O*kgtoGg,IF('Net zero activities &amp; levers'!$C$14="On",Constants!$H69*'Net zero Activity data'!AU11*Constants!$H87*EF!$H212*MMVolatEF*NtoN2O*kgtoGg,"ERROR"))</f>
        <v>1.2002397691702796E-4</v>
      </c>
      <c r="AC1191" s="94">
        <f>IF('Net zero activities &amp; levers'!$C$14="Off",Constants!$H69*'Activity data'!AV11*Constants!$H87*EF!$H212*MMVolatEF*NtoN2O*kgtoGg,IF('Net zero activities &amp; levers'!$C$14="On",Constants!$H69*'Net zero Activity data'!AV11*Constants!$H87*EF!$H212*MMVolatEF*NtoN2O*kgtoGg,"ERROR"))</f>
        <v>1.2020063791291827E-4</v>
      </c>
      <c r="AD1191" s="94">
        <f>IF('Net zero activities &amp; levers'!$C$14="Off",Constants!$H69*'Activity data'!AW11*Constants!$H87*EF!$H212*MMVolatEF*NtoN2O*kgtoGg,IF('Net zero activities &amp; levers'!$C$14="On",Constants!$H69*'Net zero Activity data'!AW11*Constants!$H87*EF!$H212*MMVolatEF*NtoN2O*kgtoGg,"ERROR"))</f>
        <v>1.2037395069486653E-4</v>
      </c>
      <c r="AE1191" s="94">
        <f>IF('Net zero activities &amp; levers'!$C$14="Off",Constants!$H69*'Activity data'!AX11*Constants!$H87*EF!$H212*MMVolatEF*NtoN2O*kgtoGg,IF('Net zero activities &amp; levers'!$C$14="On",Constants!$H69*'Net zero Activity data'!AX11*Constants!$H87*EF!$H212*MMVolatEF*NtoN2O*kgtoGg,"ERROR"))</f>
        <v>1.2054640721794917E-4</v>
      </c>
      <c r="AF1191" s="94">
        <f>IF('Net zero activities &amp; levers'!$C$14="Off",Constants!$H69*'Activity data'!AY11*Constants!$H87*EF!$H212*MMVolatEF*NtoN2O*kgtoGg,IF('Net zero activities &amp; levers'!$C$14="On",Constants!$H69*'Net zero Activity data'!AY11*Constants!$H87*EF!$H212*MMVolatEF*NtoN2O*kgtoGg,"ERROR"))</f>
        <v>1.2071746421078628E-4</v>
      </c>
      <c r="AG1191" s="94">
        <f>IF('Net zero activities &amp; levers'!$C$14="Off",Constants!$H69*'Activity data'!AZ11*Constants!$H87*EF!$H212*MMVolatEF*NtoN2O*kgtoGg,IF('Net zero activities &amp; levers'!$C$14="On",Constants!$H69*'Net zero Activity data'!AZ11*Constants!$H87*EF!$H212*MMVolatEF*NtoN2O*kgtoGg,"ERROR"))</f>
        <v>1.2088575105723818E-4</v>
      </c>
      <c r="AH1191" s="94">
        <f>IF('Net zero activities &amp; levers'!$C$14="Off",Constants!$H69*'Activity data'!BA11*Constants!$H87*EF!$H212*MMVolatEF*NtoN2O*kgtoGg,IF('Net zero activities &amp; levers'!$C$14="On",Constants!$H69*'Net zero Activity data'!BA11*Constants!$H87*EF!$H212*MMVolatEF*NtoN2O*kgtoGg,"ERROR"))</f>
        <v>1.2105200867781398E-4</v>
      </c>
      <c r="AI1191" s="94">
        <f>IF('Net zero activities &amp; levers'!$C$14="Off",Constants!$H69*'Activity data'!BB11*Constants!$H87*EF!$H212*MMVolatEF*NtoN2O*kgtoGg,IF('Net zero activities &amp; levers'!$C$14="On",Constants!$H69*'Net zero Activity data'!BB11*Constants!$H87*EF!$H212*MMVolatEF*NtoN2O*kgtoGg,"ERROR"))</f>
        <v>1.2121641449313381E-4</v>
      </c>
      <c r="AJ1191" s="94">
        <f>IF('Net zero activities &amp; levers'!$C$14="Off",Constants!$H69*'Activity data'!BC11*Constants!$H87*EF!$H212*MMVolatEF*NtoN2O*kgtoGg,IF('Net zero activities &amp; levers'!$C$14="On",Constants!$H69*'Net zero Activity data'!BC11*Constants!$H87*EF!$H212*MMVolatEF*NtoN2O*kgtoGg,"ERROR"))</f>
        <v>1.2137952665146409E-4</v>
      </c>
      <c r="AK1191" s="94">
        <f>IF('Net zero activities &amp; levers'!$C$14="Off",Constants!$H69*'Activity data'!BD11*Constants!$H87*EF!$H212*MMVolatEF*NtoN2O*kgtoGg,IF('Net zero activities &amp; levers'!$C$14="On",Constants!$H69*'Net zero Activity data'!BD11*Constants!$H87*EF!$H212*MMVolatEF*NtoN2O*kgtoGg,"ERROR"))</f>
        <v>1.2153635424536354E-4</v>
      </c>
      <c r="AL1191" s="94">
        <f>IF('Net zero activities &amp; levers'!$C$14="Off",Constants!$H69*'Activity data'!BE11*Constants!$H87*EF!$H212*MMVolatEF*NtoN2O*kgtoGg,IF('Net zero activities &amp; levers'!$C$14="On",Constants!$H69*'Net zero Activity data'!BE11*Constants!$H87*EF!$H212*MMVolatEF*NtoN2O*kgtoGg,"ERROR"))</f>
        <v>1.2168671378968904E-4</v>
      </c>
      <c r="AM1191" s="94">
        <f>IF('Net zero activities &amp; levers'!$C$14="Off",Constants!$H69*'Activity data'!BF11*Constants!$H87*EF!$H212*MMVolatEF*NtoN2O*kgtoGg,IF('Net zero activities &amp; levers'!$C$14="On",Constants!$H69*'Net zero Activity data'!BF11*Constants!$H87*EF!$H212*MMVolatEF*NtoN2O*kgtoGg,"ERROR"))</f>
        <v>1.2183201055728766E-4</v>
      </c>
      <c r="AN1191" s="94">
        <f>IF('Net zero activities &amp; levers'!$C$14="Off",Constants!$H69*'Activity data'!BG11*Constants!$H87*EF!$H212*MMVolatEF*NtoN2O*kgtoGg,IF('Net zero activities &amp; levers'!$C$14="On",Constants!$H69*'Net zero Activity data'!BG11*Constants!$H87*EF!$H212*MMVolatEF*NtoN2O*kgtoGg,"ERROR"))</f>
        <v>1.2197112574763714E-4</v>
      </c>
      <c r="AO1191" s="94">
        <f>IF('Net zero activities &amp; levers'!$C$14="Off",Constants!$H69*'Activity data'!BH11*Constants!$H87*EF!$H212*MMVolatEF*NtoN2O*kgtoGg,IF('Net zero activities &amp; levers'!$C$14="On",Constants!$H69*'Net zero Activity data'!BH11*Constants!$H87*EF!$H212*MMVolatEF*NtoN2O*kgtoGg,"ERROR"))</f>
        <v>1.2210431172658153E-4</v>
      </c>
      <c r="AP1191" s="94">
        <f>IF('Net zero activities &amp; levers'!$C$14="Off",Constants!$H69*'Activity data'!BI11*Constants!$H87*EF!$H212*MMVolatEF*NtoN2O*kgtoGg,IF('Net zero activities &amp; levers'!$C$14="On",Constants!$H69*'Net zero Activity data'!BI11*Constants!$H87*EF!$H212*MMVolatEF*NtoN2O*kgtoGg,"ERROR"))</f>
        <v>1.2223096862203452E-4</v>
      </c>
      <c r="AQ1191" s="94">
        <f>IF('Net zero activities &amp; levers'!$C$14="Off",Constants!$H69*'Activity data'!BJ11*Constants!$H87*EF!$H212*MMVolatEF*NtoN2O*kgtoGg,IF('Net zero activities &amp; levers'!$C$14="On",Constants!$H69*'Net zero Activity data'!BJ11*Constants!$H87*EF!$H212*MMVolatEF*NtoN2O*kgtoGg,"ERROR"))</f>
        <v>1.2234928396390209E-4</v>
      </c>
      <c r="AR1191" s="94">
        <f>IF('Net zero activities &amp; levers'!$C$14="Off",Constants!$H69*'Activity data'!BK11*Constants!$H87*EF!$H212*MMVolatEF*NtoN2O*kgtoGg,IF('Net zero activities &amp; levers'!$C$14="On",Constants!$H69*'Net zero Activity data'!BK11*Constants!$H87*EF!$H212*MMVolatEF*NtoN2O*kgtoGg,"ERROR"))</f>
        <v>1.2245757817594662E-4</v>
      </c>
      <c r="AS1191" s="94">
        <f>IF('Net zero activities &amp; levers'!$C$14="Off",Constants!$H69*'Activity data'!BL11*Constants!$H87*EF!$H212*MMVolatEF*NtoN2O*kgtoGg,IF('Net zero activities &amp; levers'!$C$14="On",Constants!$H69*'Net zero Activity data'!BL11*Constants!$H87*EF!$H212*MMVolatEF*NtoN2O*kgtoGg,"ERROR"))</f>
        <v>1.2255574185064525E-4</v>
      </c>
      <c r="AT1191" s="94">
        <f>IF('Net zero activities &amp; levers'!$C$14="Off",Constants!$H69*'Activity data'!BM11*Constants!$H87*EF!$H212*MMVolatEF*NtoN2O*kgtoGg,IF('Net zero activities &amp; levers'!$C$14="On",Constants!$H69*'Net zero Activity data'!BM11*Constants!$H87*EF!$H212*MMVolatEF*NtoN2O*kgtoGg,"ERROR"))</f>
        <v>1.2264302379658788E-4</v>
      </c>
      <c r="AU1191" s="94">
        <f>IF('Net zero activities &amp; levers'!$C$14="Off",Constants!$H69*'Activity data'!BN11*Constants!$H87*EF!$H212*MMVolatEF*NtoN2O*kgtoGg,IF('Net zero activities &amp; levers'!$C$14="On",Constants!$H69*'Net zero Activity data'!BN11*Constants!$H87*EF!$H212*MMVolatEF*NtoN2O*kgtoGg,"ERROR"))</f>
        <v>1.2271938191890156E-4</v>
      </c>
      <c r="AV1191" s="94">
        <f>IF('Net zero activities &amp; levers'!$C$14="Off",Constants!$H69*'Activity data'!BO11*Constants!$H87*EF!$H212*MMVolatEF*NtoN2O*kgtoGg,IF('Net zero activities &amp; levers'!$C$14="On",Constants!$H69*'Net zero Activity data'!BO11*Constants!$H87*EF!$H212*MMVolatEF*NtoN2O*kgtoGg,"ERROR"))</f>
        <v>1.2278627747914955E-4</v>
      </c>
      <c r="AW1191" s="94">
        <f>IF('Net zero activities &amp; levers'!$C$14="Off",Constants!$H69*'Activity data'!BP11*Constants!$H87*EF!$H212*MMVolatEF*NtoN2O*kgtoGg,IF('Net zero activities &amp; levers'!$C$14="On",Constants!$H69*'Net zero Activity data'!BP11*Constants!$H87*EF!$H212*MMVolatEF*NtoN2O*kgtoGg,"ERROR"))</f>
        <v>1.2283502162881773E-4</v>
      </c>
      <c r="AY1191" s="79"/>
    </row>
    <row r="1192" spans="1:51" x14ac:dyDescent="0.25">
      <c r="A1192" s="95" t="str">
        <f t="shared" si="380"/>
        <v>CM MM Volatilisation</v>
      </c>
      <c r="B1192" s="95" t="s">
        <v>1321</v>
      </c>
      <c r="C1192" s="95" t="s">
        <v>1331</v>
      </c>
      <c r="D1192" t="s">
        <v>369</v>
      </c>
      <c r="E1192" t="s">
        <v>64</v>
      </c>
      <c r="F1192" t="s">
        <v>62</v>
      </c>
      <c r="G1192" t="s">
        <v>1165</v>
      </c>
      <c r="H1192" t="s">
        <v>1296</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8.158765245643595E-4</v>
      </c>
      <c r="T1192" s="94">
        <f>IF('Net zero activities &amp; levers'!$C$14="Off",Constants!$H70*'Activity data'!AM12*Constants!$H88*EF!$H213*MMVolatEF*NtoN2O*kgtoGg,IF('Net zero activities &amp; levers'!$C$14="On",Constants!$H70*'Net zero Activity data'!AM12*Constants!$H88*EF!$H213*MMVolatEF*NtoN2O*kgtoGg,"ERROR"))</f>
        <v>8.1646377561380335E-4</v>
      </c>
      <c r="U1192" s="94">
        <f>IF('Net zero activities &amp; levers'!$C$14="Off",Constants!$H70*'Activity data'!AN12*Constants!$H88*EF!$H213*MMVolatEF*NtoN2O*kgtoGg,IF('Net zero activities &amp; levers'!$C$14="On",Constants!$H70*'Net zero Activity data'!AN12*Constants!$H88*EF!$H213*MMVolatEF*NtoN2O*kgtoGg,"ERROR"))</f>
        <v>8.1625731065233949E-4</v>
      </c>
      <c r="V1192" s="94">
        <f>IF('Net zero activities &amp; levers'!$C$14="Off",Constants!$H70*'Activity data'!AO12*Constants!$H88*EF!$H213*MMVolatEF*NtoN2O*kgtoGg,IF('Net zero activities &amp; levers'!$C$14="On",Constants!$H70*'Net zero Activity data'!AO12*Constants!$H88*EF!$H213*MMVolatEF*NtoN2O*kgtoGg,"ERROR"))</f>
        <v>8.1624244682188473E-4</v>
      </c>
      <c r="W1192" s="94">
        <f>IF('Net zero activities &amp; levers'!$C$14="Off",Constants!$H70*'Activity data'!AP12*Constants!$H88*EF!$H213*MMVolatEF*NtoN2O*kgtoGg,IF('Net zero activities &amp; levers'!$C$14="On",Constants!$H70*'Net zero Activity data'!AP12*Constants!$H88*EF!$H213*MMVolatEF*NtoN2O*kgtoGg,"ERROR"))</f>
        <v>8.1710824291178659E-4</v>
      </c>
      <c r="X1192" s="94">
        <f>IF('Net zero activities &amp; levers'!$C$14="Off",Constants!$H70*'Activity data'!AQ12*Constants!$H88*EF!$H213*MMVolatEF*NtoN2O*kgtoGg,IF('Net zero activities &amp; levers'!$C$14="On",Constants!$H70*'Net zero Activity data'!AQ12*Constants!$H88*EF!$H213*MMVolatEF*NtoN2O*kgtoGg,"ERROR"))</f>
        <v>8.1852519798784992E-4</v>
      </c>
      <c r="Y1192" s="94">
        <f>IF('Net zero activities &amp; levers'!$C$14="Off",Constants!$H70*'Activity data'!AR12*Constants!$H88*EF!$H213*MMVolatEF*NtoN2O*kgtoGg,IF('Net zero activities &amp; levers'!$C$14="On",Constants!$H70*'Net zero Activity data'!AR12*Constants!$H88*EF!$H213*MMVolatEF*NtoN2O*kgtoGg,"ERROR"))</f>
        <v>8.1988478210372824E-4</v>
      </c>
      <c r="Z1192" s="94">
        <f>IF('Net zero activities &amp; levers'!$C$14="Off",Constants!$H70*'Activity data'!AS12*Constants!$H88*EF!$H213*MMVolatEF*NtoN2O*kgtoGg,IF('Net zero activities &amp; levers'!$C$14="On",Constants!$H70*'Net zero Activity data'!AS12*Constants!$H88*EF!$H213*MMVolatEF*NtoN2O*kgtoGg,"ERROR"))</f>
        <v>8.2119138155993044E-4</v>
      </c>
      <c r="AA1192" s="94">
        <f>IF('Net zero activities &amp; levers'!$C$14="Off",Constants!$H70*'Activity data'!AT12*Constants!$H88*EF!$H213*MMVolatEF*NtoN2O*kgtoGg,IF('Net zero activities &amp; levers'!$C$14="On",Constants!$H70*'Net zero Activity data'!AT12*Constants!$H88*EF!$H213*MMVolatEF*NtoN2O*kgtoGg,"ERROR"))</f>
        <v>8.2244321318482034E-4</v>
      </c>
      <c r="AB1192" s="94">
        <f>IF('Net zero activities &amp; levers'!$C$14="Off",Constants!$H70*'Activity data'!AU12*Constants!$H88*EF!$H213*MMVolatEF*NtoN2O*kgtoGg,IF('Net zero activities &amp; levers'!$C$14="On",Constants!$H70*'Net zero Activity data'!AU12*Constants!$H88*EF!$H213*MMVolatEF*NtoN2O*kgtoGg,"ERROR"))</f>
        <v>8.2366636486254352E-4</v>
      </c>
      <c r="AC1192" s="94">
        <f>IF('Net zero activities &amp; levers'!$C$14="Off",Constants!$H70*'Activity data'!AV12*Constants!$H88*EF!$H213*MMVolatEF*NtoN2O*kgtoGg,IF('Net zero activities &amp; levers'!$C$14="On",Constants!$H70*'Net zero Activity data'!AV12*Constants!$H88*EF!$H213*MMVolatEF*NtoN2O*kgtoGg,"ERROR"))</f>
        <v>8.2487870363047661E-4</v>
      </c>
      <c r="AD1192" s="94">
        <f>IF('Net zero activities &amp; levers'!$C$14="Off",Constants!$H70*'Activity data'!AW12*Constants!$H88*EF!$H213*MMVolatEF*NtoN2O*kgtoGg,IF('Net zero activities &amp; levers'!$C$14="On",Constants!$H70*'Net zero Activity data'!AW12*Constants!$H88*EF!$H213*MMVolatEF*NtoN2O*kgtoGg,"ERROR"))</f>
        <v>8.2606806522936944E-4</v>
      </c>
      <c r="AE1192" s="94">
        <f>IF('Net zero activities &amp; levers'!$C$14="Off",Constants!$H70*'Activity data'!AX12*Constants!$H88*EF!$H213*MMVolatEF*NtoN2O*kgtoGg,IF('Net zero activities &amp; levers'!$C$14="On",Constants!$H70*'Net zero Activity data'!AX12*Constants!$H88*EF!$H213*MMVolatEF*NtoN2O*kgtoGg,"ERROR"))</f>
        <v>8.2725155073878963E-4</v>
      </c>
      <c r="AF1192" s="94">
        <f>IF('Net zero activities &amp; levers'!$C$14="Off",Constants!$H70*'Activity data'!AY12*Constants!$H88*EF!$H213*MMVolatEF*NtoN2O*kgtoGg,IF('Net zero activities &amp; levers'!$C$14="On",Constants!$H70*'Net zero Activity data'!AY12*Constants!$H88*EF!$H213*MMVolatEF*NtoN2O*kgtoGg,"ERROR"))</f>
        <v>8.2842543195064012E-4</v>
      </c>
      <c r="AG1192" s="94">
        <f>IF('Net zero activities &amp; levers'!$C$14="Off",Constants!$H70*'Activity data'!AZ12*Constants!$H88*EF!$H213*MMVolatEF*NtoN2O*kgtoGg,IF('Net zero activities &amp; levers'!$C$14="On",Constants!$H70*'Net zero Activity data'!AZ12*Constants!$H88*EF!$H213*MMVolatEF*NtoN2O*kgtoGg,"ERROR"))</f>
        <v>8.2958030299084108E-4</v>
      </c>
      <c r="AH1192" s="94">
        <f>IF('Net zero activities &amp; levers'!$C$14="Off",Constants!$H70*'Activity data'!BA12*Constants!$H88*EF!$H213*MMVolatEF*NtoN2O*kgtoGg,IF('Net zero activities &amp; levers'!$C$14="On",Constants!$H70*'Net zero Activity data'!BA12*Constants!$H88*EF!$H213*MMVolatEF*NtoN2O*kgtoGg,"ERROR"))</f>
        <v>8.3072124843764142E-4</v>
      </c>
      <c r="AI1192" s="94">
        <f>IF('Net zero activities &amp; levers'!$C$14="Off",Constants!$H70*'Activity data'!BB12*Constants!$H88*EF!$H213*MMVolatEF*NtoN2O*kgtoGg,IF('Net zero activities &amp; levers'!$C$14="On",Constants!$H70*'Net zero Activity data'!BB12*Constants!$H88*EF!$H213*MMVolatEF*NtoN2O*kgtoGg,"ERROR"))</f>
        <v>8.3184948584274219E-4</v>
      </c>
      <c r="AJ1192" s="94">
        <f>IF('Net zero activities &amp; levers'!$C$14="Off",Constants!$H70*'Activity data'!BC12*Constants!$H88*EF!$H213*MMVolatEF*NtoN2O*kgtoGg,IF('Net zero activities &amp; levers'!$C$14="On",Constants!$H70*'Net zero Activity data'!BC12*Constants!$H88*EF!$H213*MMVolatEF*NtoN2O*kgtoGg,"ERROR"))</f>
        <v>8.3296884550710043E-4</v>
      </c>
      <c r="AK1192" s="94">
        <f>IF('Net zero activities &amp; levers'!$C$14="Off",Constants!$H70*'Activity data'!BD12*Constants!$H88*EF!$H213*MMVolatEF*NtoN2O*kgtoGg,IF('Net zero activities &amp; levers'!$C$14="On",Constants!$H70*'Net zero Activity data'!BD12*Constants!$H88*EF!$H213*MMVolatEF*NtoN2O*kgtoGg,"ERROR"))</f>
        <v>8.3404507725258427E-4</v>
      </c>
      <c r="AL1192" s="94">
        <f>IF('Net zero activities &amp; levers'!$C$14="Off",Constants!$H70*'Activity data'!BE12*Constants!$H88*EF!$H213*MMVolatEF*NtoN2O*kgtoGg,IF('Net zero activities &amp; levers'!$C$14="On",Constants!$H70*'Net zero Activity data'!BE12*Constants!$H88*EF!$H213*MMVolatEF*NtoN2O*kgtoGg,"ERROR"))</f>
        <v>8.3507692190961139E-4</v>
      </c>
      <c r="AM1192" s="94">
        <f>IF('Net zero activities &amp; levers'!$C$14="Off",Constants!$H70*'Activity data'!BF12*Constants!$H88*EF!$H213*MMVolatEF*NtoN2O*kgtoGg,IF('Net zero activities &amp; levers'!$C$14="On",Constants!$H70*'Net zero Activity data'!BF12*Constants!$H88*EF!$H213*MMVolatEF*NtoN2O*kgtoGg,"ERROR"))</f>
        <v>8.3607402318444201E-4</v>
      </c>
      <c r="AN1192" s="94">
        <f>IF('Net zero activities &amp; levers'!$C$14="Off",Constants!$H70*'Activity data'!BG12*Constants!$H88*EF!$H213*MMVolatEF*NtoN2O*kgtoGg,IF('Net zero activities &amp; levers'!$C$14="On",Constants!$H70*'Net zero Activity data'!BG12*Constants!$H88*EF!$H213*MMVolatEF*NtoN2O*kgtoGg,"ERROR"))</f>
        <v>8.3702870329149695E-4</v>
      </c>
      <c r="AO1192" s="94">
        <f>IF('Net zero activities &amp; levers'!$C$14="Off",Constants!$H70*'Activity data'!BH12*Constants!$H88*EF!$H213*MMVolatEF*NtoN2O*kgtoGg,IF('Net zero activities &amp; levers'!$C$14="On",Constants!$H70*'Net zero Activity data'!BH12*Constants!$H88*EF!$H213*MMVolatEF*NtoN2O*kgtoGg,"ERROR"))</f>
        <v>8.3794269409521473E-4</v>
      </c>
      <c r="AP1192" s="94">
        <f>IF('Net zero activities &amp; levers'!$C$14="Off",Constants!$H70*'Activity data'!BI12*Constants!$H88*EF!$H213*MMVolatEF*NtoN2O*kgtoGg,IF('Net zero activities &amp; levers'!$C$14="On",Constants!$H70*'Net zero Activity data'!BI12*Constants!$H88*EF!$H213*MMVolatEF*NtoN2O*kgtoGg,"ERROR"))</f>
        <v>8.3881187896429009E-4</v>
      </c>
      <c r="AQ1192" s="94">
        <f>IF('Net zero activities &amp; levers'!$C$14="Off",Constants!$H70*'Activity data'!BJ12*Constants!$H88*EF!$H213*MMVolatEF*NtoN2O*kgtoGg,IF('Net zero activities &amp; levers'!$C$14="On",Constants!$H70*'Net zero Activity data'!BJ12*Constants!$H88*EF!$H213*MMVolatEF*NtoN2O*kgtoGg,"ERROR"))</f>
        <v>8.3962381979516996E-4</v>
      </c>
      <c r="AR1192" s="94">
        <f>IF('Net zero activities &amp; levers'!$C$14="Off",Constants!$H70*'Activity data'!BK12*Constants!$H88*EF!$H213*MMVolatEF*NtoN2O*kgtoGg,IF('Net zero activities &amp; levers'!$C$14="On",Constants!$H70*'Net zero Activity data'!BK12*Constants!$H88*EF!$H213*MMVolatEF*NtoN2O*kgtoGg,"ERROR"))</f>
        <v>8.4036699047040963E-4</v>
      </c>
      <c r="AS1192" s="94">
        <f>IF('Net zero activities &amp; levers'!$C$14="Off",Constants!$H70*'Activity data'!BL12*Constants!$H88*EF!$H213*MMVolatEF*NtoN2O*kgtoGg,IF('Net zero activities &amp; levers'!$C$14="On",Constants!$H70*'Net zero Activity data'!BL12*Constants!$H88*EF!$H213*MMVolatEF*NtoN2O*kgtoGg,"ERROR"))</f>
        <v>8.4104064017922141E-4</v>
      </c>
      <c r="AT1192" s="94">
        <f>IF('Net zero activities &amp; levers'!$C$14="Off",Constants!$H70*'Activity data'!BM12*Constants!$H88*EF!$H213*MMVolatEF*NtoN2O*kgtoGg,IF('Net zero activities &amp; levers'!$C$14="On",Constants!$H70*'Net zero Activity data'!BM12*Constants!$H88*EF!$H213*MMVolatEF*NtoN2O*kgtoGg,"ERROR"))</f>
        <v>8.4163961385914194E-4</v>
      </c>
      <c r="AU1192" s="94">
        <f>IF('Net zero activities &amp; levers'!$C$14="Off",Constants!$H70*'Activity data'!BN12*Constants!$H88*EF!$H213*MMVolatEF*NtoN2O*kgtoGg,IF('Net zero activities &amp; levers'!$C$14="On",Constants!$H70*'Net zero Activity data'!BN12*Constants!$H88*EF!$H213*MMVolatEF*NtoN2O*kgtoGg,"ERROR"))</f>
        <v>8.4216362263346621E-4</v>
      </c>
      <c r="AV1192" s="94">
        <f>IF('Net zero activities &amp; levers'!$C$14="Off",Constants!$H70*'Activity data'!BO12*Constants!$H88*EF!$H213*MMVolatEF*NtoN2O*kgtoGg,IF('Net zero activities &amp; levers'!$C$14="On",Constants!$H70*'Net zero Activity data'!BO12*Constants!$H88*EF!$H213*MMVolatEF*NtoN2O*kgtoGg,"ERROR"))</f>
        <v>8.4262269443187052E-4</v>
      </c>
      <c r="AW1192" s="94">
        <f>IF('Net zero activities &amp; levers'!$C$14="Off",Constants!$H70*'Activity data'!BP12*Constants!$H88*EF!$H213*MMVolatEF*NtoN2O*kgtoGg,IF('Net zero activities &amp; levers'!$C$14="On",Constants!$H70*'Net zero Activity data'!BP12*Constants!$H88*EF!$H213*MMVolatEF*NtoN2O*kgtoGg,"ERROR"))</f>
        <v>8.4295720189943475E-4</v>
      </c>
      <c r="AY1192" s="79"/>
    </row>
    <row r="1193" spans="1:51" x14ac:dyDescent="0.25">
      <c r="A1193" s="95" t="str">
        <f t="shared" si="380"/>
        <v>CM MM Volatilisation</v>
      </c>
      <c r="B1193" s="95" t="s">
        <v>1321</v>
      </c>
      <c r="C1193" s="95" t="s">
        <v>1331</v>
      </c>
      <c r="D1193" t="s">
        <v>369</v>
      </c>
      <c r="E1193" t="s">
        <v>64</v>
      </c>
      <c r="F1193" t="s">
        <v>62</v>
      </c>
      <c r="G1193" t="s">
        <v>1167</v>
      </c>
      <c r="H1193" t="s">
        <v>1297</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1.4486129996083081E-5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1.4890706011157255E-5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1.4951923212530766E-5</v>
      </c>
      <c r="T1193" s="94">
        <f>IF('Net zero activities &amp; levers'!$C$14="Off",Constants!$H71*'Activity data'!AM13*Constants!$H89*EF!$H214*MMVolatEF*NtoN2O*kgtoGg,IF('Net zero activities &amp; levers'!$C$14="On",Constants!$H71*'Net zero Activity data'!AM13*Constants!$H89*EF!$H214*MMVolatEF*NtoN2O*kgtoGg,"ERROR"))</f>
        <v>1.4977625582861877E-5</v>
      </c>
      <c r="U1193" s="94">
        <f>IF('Net zero activities &amp; levers'!$C$14="Off",Constants!$H71*'Activity data'!AN13*Constants!$H89*EF!$H214*MMVolatEF*NtoN2O*kgtoGg,IF('Net zero activities &amp; levers'!$C$14="On",Constants!$H71*'Net zero Activity data'!AN13*Constants!$H89*EF!$H214*MMVolatEF*NtoN2O*kgtoGg,"ERROR"))</f>
        <v>1.4980119703065675E-5</v>
      </c>
      <c r="V1193" s="94">
        <f>IF('Net zero activities &amp; levers'!$C$14="Off",Constants!$H71*'Activity data'!AO13*Constants!$H89*EF!$H214*MMVolatEF*NtoN2O*kgtoGg,IF('Net zero activities &amp; levers'!$C$14="On",Constants!$H71*'Net zero Activity data'!AO13*Constants!$H89*EF!$H214*MMVolatEF*NtoN2O*kgtoGg,"ERROR"))</f>
        <v>1.4986976942692676E-5</v>
      </c>
      <c r="W1193" s="94">
        <f>IF('Net zero activities &amp; levers'!$C$14="Off",Constants!$H71*'Activity data'!AP13*Constants!$H89*EF!$H214*MMVolatEF*NtoN2O*kgtoGg,IF('Net zero activities &amp; levers'!$C$14="On",Constants!$H71*'Net zero Activity data'!AP13*Constants!$H89*EF!$H214*MMVolatEF*NtoN2O*kgtoGg,"ERROR"))</f>
        <v>1.5017294663736538E-5</v>
      </c>
      <c r="X1193" s="94">
        <f>IF('Net zero activities &amp; levers'!$C$14="Off",Constants!$H71*'Activity data'!AQ13*Constants!$H89*EF!$H214*MMVolatEF*NtoN2O*kgtoGg,IF('Net zero activities &amp; levers'!$C$14="On",Constants!$H71*'Net zero Activity data'!AQ13*Constants!$H89*EF!$H214*MMVolatEF*NtoN2O*kgtoGg,"ERROR"))</f>
        <v>1.5061890336193319E-5</v>
      </c>
      <c r="Y1193" s="94">
        <f>IF('Net zero activities &amp; levers'!$C$14="Off",Constants!$H71*'Activity data'!AR13*Constants!$H89*EF!$H214*MMVolatEF*NtoN2O*kgtoGg,IF('Net zero activities &amp; levers'!$C$14="On",Constants!$H71*'Net zero Activity data'!AR13*Constants!$H89*EF!$H214*MMVolatEF*NtoN2O*kgtoGg,"ERROR"))</f>
        <v>1.5103986297595971E-5</v>
      </c>
      <c r="Z1193" s="94">
        <f>IF('Net zero activities &amp; levers'!$C$14="Off",Constants!$H71*'Activity data'!AS13*Constants!$H89*EF!$H214*MMVolatEF*NtoN2O*kgtoGg,IF('Net zero activities &amp; levers'!$C$14="On",Constants!$H71*'Net zero Activity data'!AS13*Constants!$H89*EF!$H214*MMVolatEF*NtoN2O*kgtoGg,"ERROR"))</f>
        <v>1.5143780477124499E-5</v>
      </c>
      <c r="AA1193" s="94">
        <f>IF('Net zero activities &amp; levers'!$C$14="Off",Constants!$H71*'Activity data'!AT13*Constants!$H89*EF!$H214*MMVolatEF*NtoN2O*kgtoGg,IF('Net zero activities &amp; levers'!$C$14="On",Constants!$H71*'Net zero Activity data'!AT13*Constants!$H89*EF!$H214*MMVolatEF*NtoN2O*kgtoGg,"ERROR"))</f>
        <v>1.5181293243682811E-5</v>
      </c>
      <c r="AB1193" s="94">
        <f>IF('Net zero activities &amp; levers'!$C$14="Off",Constants!$H71*'Activity data'!AU13*Constants!$H89*EF!$H214*MMVolatEF*NtoN2O*kgtoGg,IF('Net zero activities &amp; levers'!$C$14="On",Constants!$H71*'Net zero Activity data'!AU13*Constants!$H89*EF!$H214*MMVolatEF*NtoN2O*kgtoGg,"ERROR"))</f>
        <v>1.5217300806744068E-5</v>
      </c>
      <c r="AC1193" s="94">
        <f>IF('Net zero activities &amp; levers'!$C$14="Off",Constants!$H71*'Activity data'!AV13*Constants!$H89*EF!$H214*MMVolatEF*NtoN2O*kgtoGg,IF('Net zero activities &amp; levers'!$C$14="On",Constants!$H71*'Net zero Activity data'!AV13*Constants!$H89*EF!$H214*MMVolatEF*NtoN2O*kgtoGg,"ERROR"))</f>
        <v>1.5252343422195684E-5</v>
      </c>
      <c r="AD1193" s="94">
        <f>IF('Net zero activities &amp; levers'!$C$14="Off",Constants!$H71*'Activity data'!AW13*Constants!$H89*EF!$H214*MMVolatEF*NtoN2O*kgtoGg,IF('Net zero activities &amp; levers'!$C$14="On",Constants!$H71*'Net zero Activity data'!AW13*Constants!$H89*EF!$H214*MMVolatEF*NtoN2O*kgtoGg,"ERROR"))</f>
        <v>1.5286134993525756E-5</v>
      </c>
      <c r="AE1193" s="94">
        <f>IF('Net zero activities &amp; levers'!$C$14="Off",Constants!$H71*'Activity data'!AX13*Constants!$H89*EF!$H214*MMVolatEF*NtoN2O*kgtoGg,IF('Net zero activities &amp; levers'!$C$14="On",Constants!$H71*'Net zero Activity data'!AX13*Constants!$H89*EF!$H214*MMVolatEF*NtoN2O*kgtoGg,"ERROR"))</f>
        <v>1.531918306979576E-5</v>
      </c>
      <c r="AF1193" s="94">
        <f>IF('Net zero activities &amp; levers'!$C$14="Off",Constants!$H71*'Activity data'!AY13*Constants!$H89*EF!$H214*MMVolatEF*NtoN2O*kgtoGg,IF('Net zero activities &amp; levers'!$C$14="On",Constants!$H71*'Net zero Activity data'!AY13*Constants!$H89*EF!$H214*MMVolatEF*NtoN2O*kgtoGg,"ERROR"))</f>
        <v>1.5351423055728344E-5</v>
      </c>
      <c r="AG1193" s="94">
        <f>IF('Net zero activities &amp; levers'!$C$14="Off",Constants!$H71*'Activity data'!AZ13*Constants!$H89*EF!$H214*MMVolatEF*NtoN2O*kgtoGg,IF('Net zero activities &amp; levers'!$C$14="On",Constants!$H71*'Net zero Activity data'!AZ13*Constants!$H89*EF!$H214*MMVolatEF*NtoN2O*kgtoGg,"ERROR"))</f>
        <v>1.5382634347686873E-5</v>
      </c>
      <c r="AH1193" s="94">
        <f>IF('Net zero activities &amp; levers'!$C$14="Off",Constants!$H71*'Activity data'!BA13*Constants!$H89*EF!$H214*MMVolatEF*NtoN2O*kgtoGg,IF('Net zero activities &amp; levers'!$C$14="On",Constants!$H71*'Net zero Activity data'!BA13*Constants!$H89*EF!$H214*MMVolatEF*NtoN2O*kgtoGg,"ERROR"))</f>
        <v>1.5412986814805202E-5</v>
      </c>
      <c r="AI1193" s="94">
        <f>IF('Net zero activities &amp; levers'!$C$14="Off",Constants!$H71*'Activity data'!BB13*Constants!$H89*EF!$H214*MMVolatEF*NtoN2O*kgtoGg,IF('Net zero activities &amp; levers'!$C$14="On",Constants!$H71*'Net zero Activity data'!BB13*Constants!$H89*EF!$H214*MMVolatEF*NtoN2O*kgtoGg,"ERROR"))</f>
        <v>1.5442542460580333E-5</v>
      </c>
      <c r="AJ1193" s="94">
        <f>IF('Net zero activities &amp; levers'!$C$14="Off",Constants!$H71*'Activity data'!BC13*Constants!$H89*EF!$H214*MMVolatEF*NtoN2O*kgtoGg,IF('Net zero activities &amp; levers'!$C$14="On",Constants!$H71*'Net zero Activity data'!BC13*Constants!$H89*EF!$H214*MMVolatEF*NtoN2O*kgtoGg,"ERROR"))</f>
        <v>1.5471431054826288E-5</v>
      </c>
      <c r="AK1193" s="94">
        <f>IF('Net zero activities &amp; levers'!$C$14="Off",Constants!$H71*'Activity data'!BD13*Constants!$H89*EF!$H214*MMVolatEF*NtoN2O*kgtoGg,IF('Net zero activities &amp; levers'!$C$14="On",Constants!$H71*'Net zero Activity data'!BD13*Constants!$H89*EF!$H214*MMVolatEF*NtoN2O*kgtoGg,"ERROR"))</f>
        <v>1.5498756892033488E-5</v>
      </c>
      <c r="AL1193" s="94">
        <f>IF('Net zero activities &amp; levers'!$C$14="Off",Constants!$H71*'Activity data'!BE13*Constants!$H89*EF!$H214*MMVolatEF*NtoN2O*kgtoGg,IF('Net zero activities &amp; levers'!$C$14="On",Constants!$H71*'Net zero Activity data'!BE13*Constants!$H89*EF!$H214*MMVolatEF*NtoN2O*kgtoGg,"ERROR"))</f>
        <v>1.5524513513074621E-5</v>
      </c>
      <c r="AM1193" s="94">
        <f>IF('Net zero activities &amp; levers'!$C$14="Off",Constants!$H71*'Activity data'!BF13*Constants!$H89*EF!$H214*MMVolatEF*NtoN2O*kgtoGg,IF('Net zero activities &amp; levers'!$C$14="On",Constants!$H71*'Net zero Activity data'!BF13*Constants!$H89*EF!$H214*MMVolatEF*NtoN2O*kgtoGg,"ERROR"))</f>
        <v>1.5548984646319332E-5</v>
      </c>
      <c r="AN1193" s="94">
        <f>IF('Net zero activities &amp; levers'!$C$14="Off",Constants!$H71*'Activity data'!BG13*Constants!$H89*EF!$H214*MMVolatEF*NtoN2O*kgtoGg,IF('Net zero activities &amp; levers'!$C$14="On",Constants!$H71*'Net zero Activity data'!BG13*Constants!$H89*EF!$H214*MMVolatEF*NtoN2O*kgtoGg,"ERROR"))</f>
        <v>1.5571987875403361E-5</v>
      </c>
      <c r="AO1193" s="94">
        <f>IF('Net zero activities &amp; levers'!$C$14="Off",Constants!$H71*'Activity data'!BH13*Constants!$H89*EF!$H214*MMVolatEF*NtoN2O*kgtoGg,IF('Net zero activities &amp; levers'!$C$14="On",Constants!$H71*'Net zero Activity data'!BH13*Constants!$H89*EF!$H214*MMVolatEF*NtoN2O*kgtoGg,"ERROR"))</f>
        <v>1.5593591673600764E-5</v>
      </c>
      <c r="AP1193" s="94">
        <f>IF('Net zero activities &amp; levers'!$C$14="Off",Constants!$H71*'Activity data'!BI13*Constants!$H89*EF!$H214*MMVolatEF*NtoN2O*kgtoGg,IF('Net zero activities &amp; levers'!$C$14="On",Constants!$H71*'Net zero Activity data'!BI13*Constants!$H89*EF!$H214*MMVolatEF*NtoN2O*kgtoGg,"ERROR"))</f>
        <v>1.5613707165200276E-5</v>
      </c>
      <c r="AQ1193" s="94">
        <f>IF('Net zero activities &amp; levers'!$C$14="Off",Constants!$H71*'Activity data'!BJ13*Constants!$H89*EF!$H214*MMVolatEF*NtoN2O*kgtoGg,IF('Net zero activities &amp; levers'!$C$14="On",Constants!$H71*'Net zero Activity data'!BJ13*Constants!$H89*EF!$H214*MMVolatEF*NtoN2O*kgtoGg,"ERROR"))</f>
        <v>1.5632023858239551E-5</v>
      </c>
      <c r="AR1193" s="94">
        <f>IF('Net zero activities &amp; levers'!$C$14="Off",Constants!$H71*'Activity data'!BK13*Constants!$H89*EF!$H214*MMVolatEF*NtoN2O*kgtoGg,IF('Net zero activities &amp; levers'!$C$14="On",Constants!$H71*'Net zero Activity data'!BK13*Constants!$H89*EF!$H214*MMVolatEF*NtoN2O*kgtoGg,"ERROR"))</f>
        <v>1.5648256533695206E-5</v>
      </c>
      <c r="AS1193" s="94">
        <f>IF('Net zero activities &amp; levers'!$C$14="Off",Constants!$H71*'Activity data'!BL13*Constants!$H89*EF!$H214*MMVolatEF*NtoN2O*kgtoGg,IF('Net zero activities &amp; levers'!$C$14="On",Constants!$H71*'Net zero Activity data'!BL13*Constants!$H89*EF!$H214*MMVolatEF*NtoN2O*kgtoGg,"ERROR"))</f>
        <v>1.5662406299088669E-5</v>
      </c>
      <c r="AT1193" s="94">
        <f>IF('Net zero activities &amp; levers'!$C$14="Off",Constants!$H71*'Activity data'!BM13*Constants!$H89*EF!$H214*MMVolatEF*NtoN2O*kgtoGg,IF('Net zero activities &amp; levers'!$C$14="On",Constants!$H71*'Net zero Activity data'!BM13*Constants!$H89*EF!$H214*MMVolatEF*NtoN2O*kgtoGg,"ERROR"))</f>
        <v>1.5674356891571193E-5</v>
      </c>
      <c r="AU1193" s="94">
        <f>IF('Net zero activities &amp; levers'!$C$14="Off",Constants!$H71*'Activity data'!BN13*Constants!$H89*EF!$H214*MMVolatEF*NtoN2O*kgtoGg,IF('Net zero activities &amp; levers'!$C$14="On",Constants!$H71*'Net zero Activity data'!BN13*Constants!$H89*EF!$H214*MMVolatEF*NtoN2O*kgtoGg,"ERROR"))</f>
        <v>1.5684120431636331E-5</v>
      </c>
      <c r="AV1193" s="94">
        <f>IF('Net zero activities &amp; levers'!$C$14="Off",Constants!$H71*'Activity data'!BO13*Constants!$H89*EF!$H214*MMVolatEF*NtoN2O*kgtoGg,IF('Net zero activities &amp; levers'!$C$14="On",Constants!$H71*'Net zero Activity data'!BO13*Constants!$H89*EF!$H214*MMVolatEF*NtoN2O*kgtoGg,"ERROR"))</f>
        <v>1.5691980107154113E-5</v>
      </c>
      <c r="AW1193" s="94">
        <f>IF('Net zero activities &amp; levers'!$C$14="Off",Constants!$H71*'Activity data'!BP13*Constants!$H89*EF!$H214*MMVolatEF*NtoN2O*kgtoGg,IF('Net zero activities &amp; levers'!$C$14="On",Constants!$H71*'Net zero Activity data'!BP13*Constants!$H89*EF!$H214*MMVolatEF*NtoN2O*kgtoGg,"ERROR"))</f>
        <v>1.5696383554298718E-5</v>
      </c>
      <c r="AY1193" s="79"/>
    </row>
    <row r="1194" spans="1:51" x14ac:dyDescent="0.25">
      <c r="A1194" s="95" t="str">
        <f t="shared" si="380"/>
        <v>CM MM Volatilisation</v>
      </c>
      <c r="B1194" s="95" t="s">
        <v>1321</v>
      </c>
      <c r="C1194" s="95" t="s">
        <v>1331</v>
      </c>
      <c r="D1194" t="s">
        <v>369</v>
      </c>
      <c r="E1194" t="s">
        <v>64</v>
      </c>
      <c r="F1194" t="s">
        <v>62</v>
      </c>
      <c r="G1194" t="s">
        <v>1169</v>
      </c>
      <c r="H1194" t="s">
        <v>1298</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1.4738364076719785E-3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1.5149984613639165E-3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1.5212267735621682E-3</v>
      </c>
      <c r="T1194" s="94">
        <f>IF('Net zero activities &amp; levers'!$C$14="Off",Constants!$H72*'Activity data'!AM14*Constants!$H90*EF!$H215*MMVolatEF*NtoN2O*kgtoGg,IF('Net zero activities &amp; levers'!$C$14="On",Constants!$H72*'Net zero Activity data'!AM14*Constants!$H90*EF!$H215*MMVolatEF*NtoN2O*kgtoGg,"ERROR"))</f>
        <v>1.523841763843748E-3</v>
      </c>
      <c r="U1194" s="94">
        <f>IF('Net zero activities &amp; levers'!$C$14="Off",Constants!$H72*'Activity data'!AN14*Constants!$H90*EF!$H215*MMVolatEF*NtoN2O*kgtoGg,IF('Net zero activities &amp; levers'!$C$14="On",Constants!$H72*'Net zero Activity data'!AN14*Constants!$H90*EF!$H215*MMVolatEF*NtoN2O*kgtoGg,"ERROR"))</f>
        <v>1.5240955186535188E-3</v>
      </c>
      <c r="V1194" s="94">
        <f>IF('Net zero activities &amp; levers'!$C$14="Off",Constants!$H72*'Activity data'!AO14*Constants!$H90*EF!$H215*MMVolatEF*NtoN2O*kgtoGg,IF('Net zero activities &amp; levers'!$C$14="On",Constants!$H72*'Net zero Activity data'!AO14*Constants!$H90*EF!$H215*MMVolatEF*NtoN2O*kgtoGg,"ERROR"))</f>
        <v>1.5247931825168926E-3</v>
      </c>
      <c r="W1194" s="94">
        <f>IF('Net zero activities &amp; levers'!$C$14="Off",Constants!$H72*'Activity data'!AP14*Constants!$H90*EF!$H215*MMVolatEF*NtoN2O*kgtoGg,IF('Net zero activities &amp; levers'!$C$14="On",Constants!$H72*'Net zero Activity data'!AP14*Constants!$H90*EF!$H215*MMVolatEF*NtoN2O*kgtoGg,"ERROR"))</f>
        <v>1.5278777441689124E-3</v>
      </c>
      <c r="X1194" s="94">
        <f>IF('Net zero activities &amp; levers'!$C$14="Off",Constants!$H72*'Activity data'!AQ14*Constants!$H90*EF!$H215*MMVolatEF*NtoN2O*kgtoGg,IF('Net zero activities &amp; levers'!$C$14="On",Constants!$H72*'Net zero Activity data'!AQ14*Constants!$H90*EF!$H215*MMVolatEF*NtoN2O*kgtoGg,"ERROR"))</f>
        <v>1.53241496188746E-3</v>
      </c>
      <c r="Y1194" s="94">
        <f>IF('Net zero activities &amp; levers'!$C$14="Off",Constants!$H72*'Activity data'!AR14*Constants!$H90*EF!$H215*MMVolatEF*NtoN2O*kgtoGg,IF('Net zero activities &amp; levers'!$C$14="On",Constants!$H72*'Net zero Activity data'!AR14*Constants!$H90*EF!$H215*MMVolatEF*NtoN2O*kgtoGg,"ERROR"))</f>
        <v>1.536697855976355E-3</v>
      </c>
      <c r="Z1194" s="94">
        <f>IF('Net zero activities &amp; levers'!$C$14="Off",Constants!$H72*'Activity data'!AS14*Constants!$H90*EF!$H215*MMVolatEF*NtoN2O*kgtoGg,IF('Net zero activities &amp; levers'!$C$14="On",Constants!$H72*'Net zero Activity data'!AS14*Constants!$H90*EF!$H215*MMVolatEF*NtoN2O*kgtoGg,"ERROR"))</f>
        <v>1.5407465639900506E-3</v>
      </c>
      <c r="AA1194" s="94">
        <f>IF('Net zero activities &amp; levers'!$C$14="Off",Constants!$H72*'Activity data'!AT14*Constants!$H90*EF!$H215*MMVolatEF*NtoN2O*kgtoGg,IF('Net zero activities &amp; levers'!$C$14="On",Constants!$H72*'Net zero Activity data'!AT14*Constants!$H90*EF!$H215*MMVolatEF*NtoN2O*kgtoGg,"ERROR"))</f>
        <v>1.5445631582854966E-3</v>
      </c>
      <c r="AB1194" s="94">
        <f>IF('Net zero activities &amp; levers'!$C$14="Off",Constants!$H72*'Activity data'!AU14*Constants!$H90*EF!$H215*MMVolatEF*NtoN2O*kgtoGg,IF('Net zero activities &amp; levers'!$C$14="On",Constants!$H72*'Net zero Activity data'!AU14*Constants!$H90*EF!$H215*MMVolatEF*NtoN2O*kgtoGg,"ERROR"))</f>
        <v>1.5482266113544371E-3</v>
      </c>
      <c r="AC1194" s="94">
        <f>IF('Net zero activities &amp; levers'!$C$14="Off",Constants!$H72*'Activity data'!AV14*Constants!$H90*EF!$H215*MMVolatEF*NtoN2O*kgtoGg,IF('Net zero activities &amp; levers'!$C$14="On",Constants!$H72*'Net zero Activity data'!AV14*Constants!$H90*EF!$H215*MMVolatEF*NtoN2O*kgtoGg,"ERROR"))</f>
        <v>1.551791889485077E-3</v>
      </c>
      <c r="AD1194" s="94">
        <f>IF('Net zero activities &amp; levers'!$C$14="Off",Constants!$H72*'Activity data'!AW14*Constants!$H90*EF!$H215*MMVolatEF*NtoN2O*kgtoGg,IF('Net zero activities &amp; levers'!$C$14="On",Constants!$H72*'Net zero Activity data'!AW14*Constants!$H90*EF!$H215*MMVolatEF*NtoN2O*kgtoGg,"ERROR"))</f>
        <v>1.555229884871849E-3</v>
      </c>
      <c r="AE1194" s="94">
        <f>IF('Net zero activities &amp; levers'!$C$14="Off",Constants!$H72*'Activity data'!AX14*Constants!$H90*EF!$H215*MMVolatEF*NtoN2O*kgtoGg,IF('Net zero activities &amp; levers'!$C$14="On",Constants!$H72*'Net zero Activity data'!AX14*Constants!$H90*EF!$H215*MMVolatEF*NtoN2O*kgtoGg,"ERROR"))</f>
        <v>1.5585922361708792E-3</v>
      </c>
      <c r="AF1194" s="94">
        <f>IF('Net zero activities &amp; levers'!$C$14="Off",Constants!$H72*'Activity data'!AY14*Constants!$H90*EF!$H215*MMVolatEF*NtoN2O*kgtoGg,IF('Net zero activities &amp; levers'!$C$14="On",Constants!$H72*'Net zero Activity data'!AY14*Constants!$H90*EF!$H215*MMVolatEF*NtoN2O*kgtoGg,"ERROR"))</f>
        <v>1.561872371380429E-3</v>
      </c>
      <c r="AG1194" s="94">
        <f>IF('Net zero activities &amp; levers'!$C$14="Off",Constants!$H72*'Activity data'!AZ14*Constants!$H90*EF!$H215*MMVolatEF*NtoN2O*kgtoGg,IF('Net zero activities &amp; levers'!$C$14="On",Constants!$H72*'Net zero Activity data'!AZ14*Constants!$H90*EF!$H215*MMVolatEF*NtoN2O*kgtoGg,"ERROR"))</f>
        <v>1.5650478460193693E-3</v>
      </c>
      <c r="AH1194" s="94">
        <f>IF('Net zero activities &amp; levers'!$C$14="Off",Constants!$H72*'Activity data'!BA14*Constants!$H90*EF!$H215*MMVolatEF*NtoN2O*kgtoGg,IF('Net zero activities &amp; levers'!$C$14="On",Constants!$H72*'Net zero Activity data'!BA14*Constants!$H90*EF!$H215*MMVolatEF*NtoN2O*kgtoGg,"ERROR"))</f>
        <v>1.5681359427790809E-3</v>
      </c>
      <c r="AI1194" s="94">
        <f>IF('Net zero activities &amp; levers'!$C$14="Off",Constants!$H72*'Activity data'!BB14*Constants!$H90*EF!$H215*MMVolatEF*NtoN2O*kgtoGg,IF('Net zero activities &amp; levers'!$C$14="On",Constants!$H72*'Net zero Activity data'!BB14*Constants!$H90*EF!$H215*MMVolatEF*NtoN2O*kgtoGg,"ERROR"))</f>
        <v>1.5711429699704306E-3</v>
      </c>
      <c r="AJ1194" s="94">
        <f>IF('Net zero activities &amp; levers'!$C$14="Off",Constants!$H72*'Activity data'!BC14*Constants!$H90*EF!$H215*MMVolatEF*NtoN2O*kgtoGg,IF('Net zero activities &amp; levers'!$C$14="On",Constants!$H72*'Net zero Activity data'!BC14*Constants!$H90*EF!$H215*MMVolatEF*NtoN2O*kgtoGg,"ERROR"))</f>
        <v>1.5740821305314401E-3</v>
      </c>
      <c r="AK1194" s="94">
        <f>IF('Net zero activities &amp; levers'!$C$14="Off",Constants!$H72*'Activity data'!BD14*Constants!$H90*EF!$H215*MMVolatEF*NtoN2O*kgtoGg,IF('Net zero activities &amp; levers'!$C$14="On",Constants!$H72*'Net zero Activity data'!BD14*Constants!$H90*EF!$H215*MMVolatEF*NtoN2O*kgtoGg,"ERROR"))</f>
        <v>1.5768622942989184E-3</v>
      </c>
      <c r="AL1194" s="94">
        <f>IF('Net zero activities &amp; levers'!$C$14="Off",Constants!$H72*'Activity data'!BE14*Constants!$H90*EF!$H215*MMVolatEF*NtoN2O*kgtoGg,IF('Net zero activities &amp; levers'!$C$14="On",Constants!$H72*'Net zero Activity data'!BE14*Constants!$H90*EF!$H215*MMVolatEF*NtoN2O*kgtoGg,"ERROR"))</f>
        <v>1.5794828041134305E-3</v>
      </c>
      <c r="AM1194" s="94">
        <f>IF('Net zero activities &amp; levers'!$C$14="Off",Constants!$H72*'Activity data'!BF14*Constants!$H90*EF!$H215*MMVolatEF*NtoN2O*kgtoGg,IF('Net zero activities &amp; levers'!$C$14="On",Constants!$H72*'Net zero Activity data'!BF14*Constants!$H90*EF!$H215*MMVolatEF*NtoN2O*kgtoGg,"ERROR"))</f>
        <v>1.5819725268428828E-3</v>
      </c>
      <c r="AN1194" s="94">
        <f>IF('Net zero activities &amp; levers'!$C$14="Off",Constants!$H72*'Activity data'!BG14*Constants!$H90*EF!$H215*MMVolatEF*NtoN2O*kgtoGg,IF('Net zero activities &amp; levers'!$C$14="On",Constants!$H72*'Net zero Activity data'!BG14*Constants!$H90*EF!$H215*MMVolatEF*NtoN2O*kgtoGg,"ERROR"))</f>
        <v>1.5843129032254801E-3</v>
      </c>
      <c r="AO1194" s="94">
        <f>IF('Net zero activities &amp; levers'!$C$14="Off",Constants!$H72*'Activity data'!BH14*Constants!$H90*EF!$H215*MMVolatEF*NtoN2O*kgtoGg,IF('Net zero activities &amp; levers'!$C$14="On",Constants!$H72*'Net zero Activity data'!BH14*Constants!$H90*EF!$H215*MMVolatEF*NtoN2O*kgtoGg,"ERROR"))</f>
        <v>1.586510899815041E-3</v>
      </c>
      <c r="AP1194" s="94">
        <f>IF('Net zero activities &amp; levers'!$C$14="Off",Constants!$H72*'Activity data'!BI14*Constants!$H90*EF!$H215*MMVolatEF*NtoN2O*kgtoGg,IF('Net zero activities &amp; levers'!$C$14="On",Constants!$H72*'Net zero Activity data'!BI14*Constants!$H90*EF!$H215*MMVolatEF*NtoN2O*kgtoGg,"ERROR"))</f>
        <v>1.5885574742890791E-3</v>
      </c>
      <c r="AQ1194" s="94">
        <f>IF('Net zero activities &amp; levers'!$C$14="Off",Constants!$H72*'Activity data'!BJ14*Constants!$H90*EF!$H215*MMVolatEF*NtoN2O*kgtoGg,IF('Net zero activities &amp; levers'!$C$14="On",Constants!$H72*'Net zero Activity data'!BJ14*Constants!$H90*EF!$H215*MMVolatEF*NtoN2O*kgtoGg,"ERROR"))</f>
        <v>1.5904210368193567E-3</v>
      </c>
      <c r="AR1194" s="94">
        <f>IF('Net zero activities &amp; levers'!$C$14="Off",Constants!$H72*'Activity data'!BK14*Constants!$H90*EF!$H215*MMVolatEF*NtoN2O*kgtoGg,IF('Net zero activities &amp; levers'!$C$14="On",Constants!$H72*'Net zero Activity data'!BK14*Constants!$H90*EF!$H215*MMVolatEF*NtoN2O*kgtoGg,"ERROR"))</f>
        <v>1.592072568877052E-3</v>
      </c>
      <c r="AS1194" s="94">
        <f>IF('Net zero activities &amp; levers'!$C$14="Off",Constants!$H72*'Activity data'!BL14*Constants!$H90*EF!$H215*MMVolatEF*NtoN2O*kgtoGg,IF('Net zero activities &amp; levers'!$C$14="On",Constants!$H72*'Net zero Activity data'!BL14*Constants!$H90*EF!$H215*MMVolatEF*NtoN2O*kgtoGg,"ERROR"))</f>
        <v>1.5935121831427352E-3</v>
      </c>
      <c r="AT1194" s="94">
        <f>IF('Net zero activities &amp; levers'!$C$14="Off",Constants!$H72*'Activity data'!BM14*Constants!$H90*EF!$H215*MMVolatEF*NtoN2O*kgtoGg,IF('Net zero activities &amp; levers'!$C$14="On",Constants!$H72*'Net zero Activity data'!BM14*Constants!$H90*EF!$H215*MMVolatEF*NtoN2O*kgtoGg,"ERROR"))</f>
        <v>1.5947280508933873E-3</v>
      </c>
      <c r="AU1194" s="94">
        <f>IF('Net zero activities &amp; levers'!$C$14="Off",Constants!$H72*'Activity data'!BN14*Constants!$H90*EF!$H215*MMVolatEF*NtoN2O*kgtoGg,IF('Net zero activities &amp; levers'!$C$14="On",Constants!$H72*'Net zero Activity data'!BN14*Constants!$H90*EF!$H215*MMVolatEF*NtoN2O*kgtoGg,"ERROR"))</f>
        <v>1.5957214052826996E-3</v>
      </c>
      <c r="AV1194" s="94">
        <f>IF('Net zero activities &amp; levers'!$C$14="Off",Constants!$H72*'Activity data'!BO14*Constants!$H90*EF!$H215*MMVolatEF*NtoN2O*kgtoGg,IF('Net zero activities &amp; levers'!$C$14="On",Constants!$H72*'Net zero Activity data'!BO14*Constants!$H90*EF!$H215*MMVolatEF*NtoN2O*kgtoGg,"ERROR"))</f>
        <v>1.5965210581874944E-3</v>
      </c>
      <c r="AW1194" s="94">
        <f>IF('Net zero activities &amp; levers'!$C$14="Off",Constants!$H72*'Activity data'!BP14*Constants!$H90*EF!$H215*MMVolatEF*NtoN2O*kgtoGg,IF('Net zero activities &amp; levers'!$C$14="On",Constants!$H72*'Net zero Activity data'!BP14*Constants!$H90*EF!$H215*MMVolatEF*NtoN2O*kgtoGg,"ERROR"))</f>
        <v>1.596969070232308E-3</v>
      </c>
      <c r="AY1194" s="79"/>
    </row>
    <row r="1195" spans="1:51" x14ac:dyDescent="0.25">
      <c r="A1195" s="95" t="str">
        <f t="shared" si="380"/>
        <v>CM MM Volatilisation</v>
      </c>
      <c r="B1195" s="95" t="s">
        <v>1321</v>
      </c>
      <c r="C1195" s="95" t="s">
        <v>1331</v>
      </c>
      <c r="D1195" t="s">
        <v>369</v>
      </c>
      <c r="E1195" t="s">
        <v>64</v>
      </c>
      <c r="F1195" t="s">
        <v>62</v>
      </c>
      <c r="G1195" t="s">
        <v>1171</v>
      </c>
      <c r="H1195" t="s">
        <v>1299</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5">
      <c r="A1196" s="95" t="str">
        <f t="shared" si="380"/>
        <v>CM MM Volatilisation</v>
      </c>
      <c r="B1196" s="95" t="s">
        <v>1321</v>
      </c>
      <c r="C1196" s="95" t="s">
        <v>1331</v>
      </c>
      <c r="D1196" t="s">
        <v>369</v>
      </c>
      <c r="E1196" t="s">
        <v>64</v>
      </c>
      <c r="F1196" t="s">
        <v>62</v>
      </c>
      <c r="G1196" t="s">
        <v>1173</v>
      </c>
      <c r="H1196" t="s">
        <v>1300</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5">
      <c r="A1197" s="95" t="str">
        <f t="shared" si="380"/>
        <v>CM MM Volatilisation</v>
      </c>
      <c r="B1197" s="95" t="s">
        <v>1321</v>
      </c>
      <c r="C1197" s="95" t="s">
        <v>1331</v>
      </c>
      <c r="D1197" t="s">
        <v>369</v>
      </c>
      <c r="E1197" t="s">
        <v>64</v>
      </c>
      <c r="F1197" t="s">
        <v>62</v>
      </c>
      <c r="G1197" t="s">
        <v>1175</v>
      </c>
      <c r="H1197" t="s">
        <v>1301</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0.13004550543955865</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0.12890938840294827</v>
      </c>
      <c r="O1197" s="94">
        <f>IF('Net zero activities &amp; levers'!$C$14="Off",Constants!$H75*'Activity data'!AH17*Constants!$H93*EF!$H218*MMVolatEF*NtoN2O*kgtoGg,IF('Net zero activities &amp; levers'!$C$14="On",Constants!$H75*'Net zero Activity data'!AH17*Constants!$H93*EF!$H218*MMVolatEF*NtoN2O*kgtoGg,"ERROR"))</f>
        <v>0.12695857121838466</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0.12056837226162823</v>
      </c>
      <c r="S1197" s="94">
        <f>IF('Net zero activities &amp; levers'!$C$14="Off",Constants!$H75*'Activity data'!AL17*Constants!$H93*EF!$H218*MMVolatEF*NtoN2O*kgtoGg,IF('Net zero activities &amp; levers'!$C$14="On",Constants!$H75*'Net zero Activity data'!AL17*Constants!$H93*EF!$H218*MMVolatEF*NtoN2O*kgtoGg,"ERROR"))</f>
        <v>0.10830895289651481</v>
      </c>
      <c r="T1197" s="94">
        <f>IF('Net zero activities &amp; levers'!$C$14="Off",Constants!$H75*'Activity data'!AM17*Constants!$H93*EF!$H218*MMVolatEF*NtoN2O*kgtoGg,IF('Net zero activities &amp; levers'!$C$14="On",Constants!$H75*'Net zero Activity data'!AM17*Constants!$H93*EF!$H218*MMVolatEF*NtoN2O*kgtoGg,"ERROR"))</f>
        <v>0.11320330426035914</v>
      </c>
      <c r="U1197" s="94">
        <f>IF('Net zero activities &amp; levers'!$C$14="Off",Constants!$H75*'Activity data'!AN17*Constants!$H93*EF!$H218*MMVolatEF*NtoN2O*kgtoGg,IF('Net zero activities &amp; levers'!$C$14="On",Constants!$H75*'Net zero Activity data'!AN17*Constants!$H93*EF!$H218*MMVolatEF*NtoN2O*kgtoGg,"ERROR"))</f>
        <v>0.11468301383498544</v>
      </c>
      <c r="V1197" s="94">
        <f>IF('Net zero activities &amp; levers'!$C$14="Off",Constants!$H75*'Activity data'!AO17*Constants!$H93*EF!$H218*MMVolatEF*NtoN2O*kgtoGg,IF('Net zero activities &amp; levers'!$C$14="On",Constants!$H75*'Net zero Activity data'!AO17*Constants!$H93*EF!$H218*MMVolatEF*NtoN2O*kgtoGg,"ERROR"))</f>
        <v>0.11355120382559489</v>
      </c>
      <c r="W1197" s="94">
        <f>IF('Net zero activities &amp; levers'!$C$14="Off",Constants!$H75*'Activity data'!AP17*Constants!$H93*EF!$H218*MMVolatEF*NtoN2O*kgtoGg,IF('Net zero activities &amp; levers'!$C$14="On",Constants!$H75*'Net zero Activity data'!AP17*Constants!$H93*EF!$H218*MMVolatEF*NtoN2O*kgtoGg,"ERROR"))</f>
        <v>0.11255578294046394</v>
      </c>
      <c r="X1197" s="94">
        <f>IF('Net zero activities &amp; levers'!$C$14="Off",Constants!$H75*'Activity data'!AQ17*Constants!$H93*EF!$H218*MMVolatEF*NtoN2O*kgtoGg,IF('Net zero activities &amp; levers'!$C$14="On",Constants!$H75*'Net zero Activity data'!AQ17*Constants!$H93*EF!$H218*MMVolatEF*NtoN2O*kgtoGg,"ERROR"))</f>
        <v>0.11224814770681171</v>
      </c>
      <c r="Y1197" s="94">
        <f>IF('Net zero activities &amp; levers'!$C$14="Off",Constants!$H75*'Activity data'!AR17*Constants!$H93*EF!$H218*MMVolatEF*NtoN2O*kgtoGg,IF('Net zero activities &amp; levers'!$C$14="On",Constants!$H75*'Net zero Activity data'!AR17*Constants!$H93*EF!$H218*MMVolatEF*NtoN2O*kgtoGg,"ERROR"))</f>
        <v>0.11260156809388705</v>
      </c>
      <c r="Z1197" s="94">
        <f>IF('Net zero activities &amp; levers'!$C$14="Off",Constants!$H75*'Activity data'!AS17*Constants!$H93*EF!$H218*MMVolatEF*NtoN2O*kgtoGg,IF('Net zero activities &amp; levers'!$C$14="On",Constants!$H75*'Net zero Activity data'!AS17*Constants!$H93*EF!$H218*MMVolatEF*NtoN2O*kgtoGg,"ERROR"))</f>
        <v>0.11325984846472106</v>
      </c>
      <c r="AA1197" s="94">
        <f>IF('Net zero activities &amp; levers'!$C$14="Off",Constants!$H75*'Activity data'!AT17*Constants!$H93*EF!$H218*MMVolatEF*NtoN2O*kgtoGg,IF('Net zero activities &amp; levers'!$C$14="On",Constants!$H75*'Net zero Activity data'!AT17*Constants!$H93*EF!$H218*MMVolatEF*NtoN2O*kgtoGg,"ERROR"))</f>
        <v>0.11429808983181136</v>
      </c>
      <c r="AB1197" s="94">
        <f>IF('Net zero activities &amp; levers'!$C$14="Off",Constants!$H75*'Activity data'!AU17*Constants!$H93*EF!$H218*MMVolatEF*NtoN2O*kgtoGg,IF('Net zero activities &amp; levers'!$C$14="On",Constants!$H75*'Net zero Activity data'!AU17*Constants!$H93*EF!$H218*MMVolatEF*NtoN2O*kgtoGg,"ERROR"))</f>
        <v>0.11596592254580176</v>
      </c>
      <c r="AC1197" s="94">
        <f>IF('Net zero activities &amp; levers'!$C$14="Off",Constants!$H75*'Activity data'!AV17*Constants!$H93*EF!$H218*MMVolatEF*NtoN2O*kgtoGg,IF('Net zero activities &amp; levers'!$C$14="On",Constants!$H75*'Net zero Activity data'!AV17*Constants!$H93*EF!$H218*MMVolatEF*NtoN2O*kgtoGg,"ERROR"))</f>
        <v>0.11820511582305605</v>
      </c>
      <c r="AD1197" s="94">
        <f>IF('Net zero activities &amp; levers'!$C$14="Off",Constants!$H75*'Activity data'!AW17*Constants!$H93*EF!$H218*MMVolatEF*NtoN2O*kgtoGg,IF('Net zero activities &amp; levers'!$C$14="On",Constants!$H75*'Net zero Activity data'!AW17*Constants!$H93*EF!$H218*MMVolatEF*NtoN2O*kgtoGg,"ERROR"))</f>
        <v>0.12075365463644311</v>
      </c>
      <c r="AE1197" s="94">
        <f>IF('Net zero activities &amp; levers'!$C$14="Off",Constants!$H75*'Activity data'!AX17*Constants!$H93*EF!$H218*MMVolatEF*NtoN2O*kgtoGg,IF('Net zero activities &amp; levers'!$C$14="On",Constants!$H75*'Net zero Activity data'!AX17*Constants!$H93*EF!$H218*MMVolatEF*NtoN2O*kgtoGg,"ERROR"))</f>
        <v>0.12358623956337132</v>
      </c>
      <c r="AF1197" s="94">
        <f>IF('Net zero activities &amp; levers'!$C$14="Off",Constants!$H75*'Activity data'!AY17*Constants!$H93*EF!$H218*MMVolatEF*NtoN2O*kgtoGg,IF('Net zero activities &amp; levers'!$C$14="On",Constants!$H75*'Net zero Activity data'!AY17*Constants!$H93*EF!$H218*MMVolatEF*NtoN2O*kgtoGg,"ERROR"))</f>
        <v>0.12656118355318</v>
      </c>
      <c r="AG1197" s="94">
        <f>IF('Net zero activities &amp; levers'!$C$14="Off",Constants!$H75*'Activity data'!AZ17*Constants!$H93*EF!$H218*MMVolatEF*NtoN2O*kgtoGg,IF('Net zero activities &amp; levers'!$C$14="On",Constants!$H75*'Net zero Activity data'!AZ17*Constants!$H93*EF!$H218*MMVolatEF*NtoN2O*kgtoGg,"ERROR"))</f>
        <v>0.12972957848678721</v>
      </c>
      <c r="AH1197" s="94">
        <f>IF('Net zero activities &amp; levers'!$C$14="Off",Constants!$H75*'Activity data'!BA17*Constants!$H93*EF!$H218*MMVolatEF*NtoN2O*kgtoGg,IF('Net zero activities &amp; levers'!$C$14="On",Constants!$H75*'Net zero Activity data'!BA17*Constants!$H93*EF!$H218*MMVolatEF*NtoN2O*kgtoGg,"ERROR"))</f>
        <v>0.13302313311609873</v>
      </c>
      <c r="AI1197" s="94">
        <f>IF('Net zero activities &amp; levers'!$C$14="Off",Constants!$H75*'Activity data'!BB17*Constants!$H93*EF!$H218*MMVolatEF*NtoN2O*kgtoGg,IF('Net zero activities &amp; levers'!$C$14="On",Constants!$H75*'Net zero Activity data'!BB17*Constants!$H93*EF!$H218*MMVolatEF*NtoN2O*kgtoGg,"ERROR"))</f>
        <v>0.13621929545186015</v>
      </c>
      <c r="AJ1197" s="94">
        <f>IF('Net zero activities &amp; levers'!$C$14="Off",Constants!$H75*'Activity data'!BC17*Constants!$H93*EF!$H218*MMVolatEF*NtoN2O*kgtoGg,IF('Net zero activities &amp; levers'!$C$14="On",Constants!$H75*'Net zero Activity data'!BC17*Constants!$H93*EF!$H218*MMVolatEF*NtoN2O*kgtoGg,"ERROR"))</f>
        <v>0.13962684476435561</v>
      </c>
      <c r="AK1197" s="94">
        <f>IF('Net zero activities &amp; levers'!$C$14="Off",Constants!$H75*'Activity data'!BD17*Constants!$H93*EF!$H218*MMVolatEF*NtoN2O*kgtoGg,IF('Net zero activities &amp; levers'!$C$14="On",Constants!$H75*'Net zero Activity data'!BD17*Constants!$H93*EF!$H218*MMVolatEF*NtoN2O*kgtoGg,"ERROR"))</f>
        <v>0.14304119066791054</v>
      </c>
      <c r="AL1197" s="94">
        <f>IF('Net zero activities &amp; levers'!$C$14="Off",Constants!$H75*'Activity data'!BE17*Constants!$H93*EF!$H218*MMVolatEF*NtoN2O*kgtoGg,IF('Net zero activities &amp; levers'!$C$14="On",Constants!$H75*'Net zero Activity data'!BE17*Constants!$H93*EF!$H218*MMVolatEF*NtoN2O*kgtoGg,"ERROR"))</f>
        <v>0.14644440679500975</v>
      </c>
      <c r="AM1197" s="94">
        <f>IF('Net zero activities &amp; levers'!$C$14="Off",Constants!$H75*'Activity data'!BF17*Constants!$H93*EF!$H218*MMVolatEF*NtoN2O*kgtoGg,IF('Net zero activities &amp; levers'!$C$14="On",Constants!$H75*'Net zero Activity data'!BF17*Constants!$H93*EF!$H218*MMVolatEF*NtoN2O*kgtoGg,"ERROR"))</f>
        <v>0.14992455211372072</v>
      </c>
      <c r="AN1197" s="94">
        <f>IF('Net zero activities &amp; levers'!$C$14="Off",Constants!$H75*'Activity data'!BG17*Constants!$H93*EF!$H218*MMVolatEF*NtoN2O*kgtoGg,IF('Net zero activities &amp; levers'!$C$14="On",Constants!$H75*'Net zero Activity data'!BG17*Constants!$H93*EF!$H218*MMVolatEF*NtoN2O*kgtoGg,"ERROR"))</f>
        <v>0.15325657222760428</v>
      </c>
      <c r="AO1197" s="94">
        <f>IF('Net zero activities &amp; levers'!$C$14="Off",Constants!$H75*'Activity data'!BH17*Constants!$H93*EF!$H218*MMVolatEF*NtoN2O*kgtoGg,IF('Net zero activities &amp; levers'!$C$14="On",Constants!$H75*'Net zero Activity data'!BH17*Constants!$H93*EF!$H218*MMVolatEF*NtoN2O*kgtoGg,"ERROR"))</f>
        <v>0.15674333681767427</v>
      </c>
      <c r="AP1197" s="94">
        <f>IF('Net zero activities &amp; levers'!$C$14="Off",Constants!$H75*'Activity data'!BI17*Constants!$H93*EF!$H218*MMVolatEF*NtoN2O*kgtoGg,IF('Net zero activities &amp; levers'!$C$14="On",Constants!$H75*'Net zero Activity data'!BI17*Constants!$H93*EF!$H218*MMVolatEF*NtoN2O*kgtoGg,"ERROR"))</f>
        <v>0.16048535923438295</v>
      </c>
      <c r="AQ1197" s="94">
        <f>IF('Net zero activities &amp; levers'!$C$14="Off",Constants!$H75*'Activity data'!BJ17*Constants!$H93*EF!$H218*MMVolatEF*NtoN2O*kgtoGg,IF('Net zero activities &amp; levers'!$C$14="On",Constants!$H75*'Net zero Activity data'!BJ17*Constants!$H93*EF!$H218*MMVolatEF*NtoN2O*kgtoGg,"ERROR"))</f>
        <v>0.16429277839644263</v>
      </c>
      <c r="AR1197" s="94">
        <f>IF('Net zero activities &amp; levers'!$C$14="Off",Constants!$H75*'Activity data'!BK17*Constants!$H93*EF!$H218*MMVolatEF*NtoN2O*kgtoGg,IF('Net zero activities &amp; levers'!$C$14="On",Constants!$H75*'Net zero Activity data'!BK17*Constants!$H93*EF!$H218*MMVolatEF*NtoN2O*kgtoGg,"ERROR"))</f>
        <v>0.16817259395975112</v>
      </c>
      <c r="AS1197" s="94">
        <f>IF('Net zero activities &amp; levers'!$C$14="Off",Constants!$H75*'Activity data'!BL17*Constants!$H93*EF!$H218*MMVolatEF*NtoN2O*kgtoGg,IF('Net zero activities &amp; levers'!$C$14="On",Constants!$H75*'Net zero Activity data'!BL17*Constants!$H93*EF!$H218*MMVolatEF*NtoN2O*kgtoGg,"ERROR"))</f>
        <v>0.17231652203790412</v>
      </c>
      <c r="AT1197" s="94">
        <f>IF('Net zero activities &amp; levers'!$C$14="Off",Constants!$H75*'Activity data'!BM17*Constants!$H93*EF!$H218*MMVolatEF*NtoN2O*kgtoGg,IF('Net zero activities &amp; levers'!$C$14="On",Constants!$H75*'Net zero Activity data'!BM17*Constants!$H93*EF!$H218*MMVolatEF*NtoN2O*kgtoGg,"ERROR"))</f>
        <v>0.17665242177214358</v>
      </c>
      <c r="AU1197" s="94">
        <f>IF('Net zero activities &amp; levers'!$C$14="Off",Constants!$H75*'Activity data'!BN17*Constants!$H93*EF!$H218*MMVolatEF*NtoN2O*kgtoGg,IF('Net zero activities &amp; levers'!$C$14="On",Constants!$H75*'Net zero Activity data'!BN17*Constants!$H93*EF!$H218*MMVolatEF*NtoN2O*kgtoGg,"ERROR"))</f>
        <v>0.18113086971422945</v>
      </c>
      <c r="AV1197" s="94">
        <f>IF('Net zero activities &amp; levers'!$C$14="Off",Constants!$H75*'Activity data'!BO17*Constants!$H93*EF!$H218*MMVolatEF*NtoN2O*kgtoGg,IF('Net zero activities &amp; levers'!$C$14="On",Constants!$H75*'Net zero Activity data'!BO17*Constants!$H93*EF!$H218*MMVolatEF*NtoN2O*kgtoGg,"ERROR"))</f>
        <v>0.18586803919890985</v>
      </c>
      <c r="AW1197" s="94">
        <f>IF('Net zero activities &amp; levers'!$C$14="Off",Constants!$H75*'Activity data'!BP17*Constants!$H93*EF!$H218*MMVolatEF*NtoN2O*kgtoGg,IF('Net zero activities &amp; levers'!$C$14="On",Constants!$H75*'Net zero Activity data'!BP17*Constants!$H93*EF!$H218*MMVolatEF*NtoN2O*kgtoGg,"ERROR"))</f>
        <v>0.19015603509530893</v>
      </c>
      <c r="AY1197" s="79"/>
    </row>
    <row r="1198" spans="1:51" x14ac:dyDescent="0.25">
      <c r="A1198" s="95" t="str">
        <f t="shared" si="380"/>
        <v>CM MM Volatilisation</v>
      </c>
      <c r="B1198" s="95" t="s">
        <v>1321</v>
      </c>
      <c r="C1198" s="95" t="s">
        <v>1331</v>
      </c>
      <c r="D1198" t="s">
        <v>369</v>
      </c>
      <c r="E1198" t="s">
        <v>64</v>
      </c>
      <c r="F1198" t="s">
        <v>62</v>
      </c>
      <c r="G1198" t="s">
        <v>1177</v>
      </c>
      <c r="H1198" t="s">
        <v>1302</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1.2655466337890211E-2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1.2355059245839609E-2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1.1905551806853848E-2</v>
      </c>
      <c r="R1198" s="94">
        <f>IF('Net zero activities &amp; levers'!$C$14="Off",Constants!$H76*'Activity data'!AK18*Constants!$H94*EF!$H219*MMVolatEF*NtoN2O*kgtoGg,IF('Net zero activities &amp; levers'!$C$14="On",Constants!$H76*'Net zero Activity data'!AK18*Constants!$H94*EF!$H219*MMVolatEF*NtoN2O*kgtoGg,"ERROR"))</f>
        <v>1.1733192711380727E-2</v>
      </c>
      <c r="S1198" s="94">
        <f>IF('Net zero activities &amp; levers'!$C$14="Off",Constants!$H76*'Activity data'!AL18*Constants!$H94*EF!$H219*MMVolatEF*NtoN2O*kgtoGg,IF('Net zero activities &amp; levers'!$C$14="On",Constants!$H76*'Net zero Activity data'!AL18*Constants!$H94*EF!$H219*MMVolatEF*NtoN2O*kgtoGg,"ERROR"))</f>
        <v>1.0540159022343456E-2</v>
      </c>
      <c r="T1198" s="94">
        <f>IF('Net zero activities &amp; levers'!$C$14="Off",Constants!$H76*'Activity data'!AM18*Constants!$H94*EF!$H219*MMVolatEF*NtoN2O*kgtoGg,IF('Net zero activities &amp; levers'!$C$14="On",Constants!$H76*'Net zero Activity data'!AM18*Constants!$H94*EF!$H219*MMVolatEF*NtoN2O*kgtoGg,"ERROR"))</f>
        <v>1.1016456136354276E-2</v>
      </c>
      <c r="U1198" s="94">
        <f>IF('Net zero activities &amp; levers'!$C$14="Off",Constants!$H76*'Activity data'!AN18*Constants!$H94*EF!$H219*MMVolatEF*NtoN2O*kgtoGg,IF('Net zero activities &amp; levers'!$C$14="On",Constants!$H76*'Net zero Activity data'!AN18*Constants!$H94*EF!$H219*MMVolatEF*NtoN2O*kgtoGg,"ERROR"))</f>
        <v>1.1160455074635459E-2</v>
      </c>
      <c r="V1198" s="94">
        <f>IF('Net zero activities &amp; levers'!$C$14="Off",Constants!$H76*'Activity data'!AO18*Constants!$H94*EF!$H219*MMVolatEF*NtoN2O*kgtoGg,IF('Net zero activities &amp; levers'!$C$14="On",Constants!$H76*'Net zero Activity data'!AO18*Constants!$H94*EF!$H219*MMVolatEF*NtoN2O*kgtoGg,"ERROR"))</f>
        <v>1.1050312217899923E-2</v>
      </c>
      <c r="W1198" s="94">
        <f>IF('Net zero activities &amp; levers'!$C$14="Off",Constants!$H76*'Activity data'!AP18*Constants!$H94*EF!$H219*MMVolatEF*NtoN2O*kgtoGg,IF('Net zero activities &amp; levers'!$C$14="On",Constants!$H76*'Net zero Activity data'!AP18*Constants!$H94*EF!$H219*MMVolatEF*NtoN2O*kgtoGg,"ERROR"))</f>
        <v>1.0953442161059227E-2</v>
      </c>
      <c r="X1198" s="94">
        <f>IF('Net zero activities &amp; levers'!$C$14="Off",Constants!$H76*'Activity data'!AQ18*Constants!$H94*EF!$H219*MMVolatEF*NtoN2O*kgtoGg,IF('Net zero activities &amp; levers'!$C$14="On",Constants!$H76*'Net zero Activity data'!AQ18*Constants!$H94*EF!$H219*MMVolatEF*NtoN2O*kgtoGg,"ERROR"))</f>
        <v>1.092350443018052E-2</v>
      </c>
      <c r="Y1198" s="94">
        <f>IF('Net zero activities &amp; levers'!$C$14="Off",Constants!$H76*'Activity data'!AR18*Constants!$H94*EF!$H219*MMVolatEF*NtoN2O*kgtoGg,IF('Net zero activities &amp; levers'!$C$14="On",Constants!$H76*'Net zero Activity data'!AR18*Constants!$H94*EF!$H219*MMVolatEF*NtoN2O*kgtoGg,"ERROR"))</f>
        <v>1.0957897774238343E-2</v>
      </c>
      <c r="Z1198" s="94">
        <f>IF('Net zero activities &amp; levers'!$C$14="Off",Constants!$H76*'Activity data'!AS18*Constants!$H94*EF!$H219*MMVolatEF*NtoN2O*kgtoGg,IF('Net zero activities &amp; levers'!$C$14="On",Constants!$H76*'Net zero Activity data'!AS18*Constants!$H94*EF!$H219*MMVolatEF*NtoN2O*kgtoGg,"ERROR"))</f>
        <v>1.1021958773854017E-2</v>
      </c>
      <c r="AA1198" s="94">
        <f>IF('Net zero activities &amp; levers'!$C$14="Off",Constants!$H76*'Activity data'!AT18*Constants!$H94*EF!$H219*MMVolatEF*NtoN2O*kgtoGg,IF('Net zero activities &amp; levers'!$C$14="On",Constants!$H76*'Net zero Activity data'!AT18*Constants!$H94*EF!$H219*MMVolatEF*NtoN2O*kgtoGg,"ERROR"))</f>
        <v>1.1122995934864729E-2</v>
      </c>
      <c r="AB1198" s="94">
        <f>IF('Net zero activities &amp; levers'!$C$14="Off",Constants!$H76*'Activity data'!AU18*Constants!$H94*EF!$H219*MMVolatEF*NtoN2O*kgtoGg,IF('Net zero activities &amp; levers'!$C$14="On",Constants!$H76*'Net zero Activity data'!AU18*Constants!$H94*EF!$H219*MMVolatEF*NtoN2O*kgtoGg,"ERROR"))</f>
        <v>1.1285302203718813E-2</v>
      </c>
      <c r="AC1198" s="94">
        <f>IF('Net zero activities &amp; levers'!$C$14="Off",Constants!$H76*'Activity data'!AV18*Constants!$H94*EF!$H219*MMVolatEF*NtoN2O*kgtoGg,IF('Net zero activities &amp; levers'!$C$14="On",Constants!$H76*'Net zero Activity data'!AV18*Constants!$H94*EF!$H219*MMVolatEF*NtoN2O*kgtoGg,"ERROR"))</f>
        <v>1.1503210812313454E-2</v>
      </c>
      <c r="AD1198" s="94">
        <f>IF('Net zero activities &amp; levers'!$C$14="Off",Constants!$H76*'Activity data'!AW18*Constants!$H94*EF!$H219*MMVolatEF*NtoN2O*kgtoGg,IF('Net zero activities &amp; levers'!$C$14="On",Constants!$H76*'Net zero Activity data'!AW18*Constants!$H94*EF!$H219*MMVolatEF*NtoN2O*kgtoGg,"ERROR"))</f>
        <v>1.1751223591029727E-2</v>
      </c>
      <c r="AE1198" s="94">
        <f>IF('Net zero activities &amp; levers'!$C$14="Off",Constants!$H76*'Activity data'!AX18*Constants!$H94*EF!$H219*MMVolatEF*NtoN2O*kgtoGg,IF('Net zero activities &amp; levers'!$C$14="On",Constants!$H76*'Net zero Activity data'!AX18*Constants!$H94*EF!$H219*MMVolatEF*NtoN2O*kgtoGg,"ERROR"))</f>
        <v>1.2026878509443005E-2</v>
      </c>
      <c r="AF1198" s="94">
        <f>IF('Net zero activities &amp; levers'!$C$14="Off",Constants!$H76*'Activity data'!AY18*Constants!$H94*EF!$H219*MMVolatEF*NtoN2O*kgtoGg,IF('Net zero activities &amp; levers'!$C$14="On",Constants!$H76*'Net zero Activity data'!AY18*Constants!$H94*EF!$H219*MMVolatEF*NtoN2O*kgtoGg,"ERROR"))</f>
        <v>1.231638719636668E-2</v>
      </c>
      <c r="AG1198" s="94">
        <f>IF('Net zero activities &amp; levers'!$C$14="Off",Constants!$H76*'Activity data'!AZ18*Constants!$H94*EF!$H219*MMVolatEF*NtoN2O*kgtoGg,IF('Net zero activities &amp; levers'!$C$14="On",Constants!$H76*'Net zero Activity data'!AZ18*Constants!$H94*EF!$H219*MMVolatEF*NtoN2O*kgtoGg,"ERROR"))</f>
        <v>1.2624721692756056E-2</v>
      </c>
      <c r="AH1198" s="94">
        <f>IF('Net zero activities &amp; levers'!$C$14="Off",Constants!$H76*'Activity data'!BA18*Constants!$H94*EF!$H219*MMVolatEF*NtoN2O*kgtoGg,IF('Net zero activities &amp; levers'!$C$14="On",Constants!$H76*'Net zero Activity data'!BA18*Constants!$H94*EF!$H219*MMVolatEF*NtoN2O*kgtoGg,"ERROR"))</f>
        <v>1.2945236189603672E-2</v>
      </c>
      <c r="AI1198" s="94">
        <f>IF('Net zero activities &amp; levers'!$C$14="Off",Constants!$H76*'Activity data'!BB18*Constants!$H94*EF!$H219*MMVolatEF*NtoN2O*kgtoGg,IF('Net zero activities &amp; levers'!$C$14="On",Constants!$H76*'Net zero Activity data'!BB18*Constants!$H94*EF!$H219*MMVolatEF*NtoN2O*kgtoGg,"ERROR"))</f>
        <v>1.3256272889518386E-2</v>
      </c>
      <c r="AJ1198" s="94">
        <f>IF('Net zero activities &amp; levers'!$C$14="Off",Constants!$H76*'Activity data'!BC18*Constants!$H94*EF!$H219*MMVolatEF*NtoN2O*kgtoGg,IF('Net zero activities &amp; levers'!$C$14="On",Constants!$H76*'Net zero Activity data'!BC18*Constants!$H94*EF!$H219*MMVolatEF*NtoN2O*kgtoGg,"ERROR"))</f>
        <v>1.3587880856077676E-2</v>
      </c>
      <c r="AK1198" s="94">
        <f>IF('Net zero activities &amp; levers'!$C$14="Off",Constants!$H76*'Activity data'!BD18*Constants!$H94*EF!$H219*MMVolatEF*NtoN2O*kgtoGg,IF('Net zero activities &amp; levers'!$C$14="On",Constants!$H76*'Net zero Activity data'!BD18*Constants!$H94*EF!$H219*MMVolatEF*NtoN2O*kgtoGg,"ERROR"))</f>
        <v>1.3920150237493829E-2</v>
      </c>
      <c r="AL1198" s="94">
        <f>IF('Net zero activities &amp; levers'!$C$14="Off",Constants!$H76*'Activity data'!BE18*Constants!$H94*EF!$H219*MMVolatEF*NtoN2O*kgtoGg,IF('Net zero activities &amp; levers'!$C$14="On",Constants!$H76*'Net zero Activity data'!BE18*Constants!$H94*EF!$H219*MMVolatEF*NtoN2O*kgtoGg,"ERROR"))</f>
        <v>1.4251336517184878E-2</v>
      </c>
      <c r="AM1198" s="94">
        <f>IF('Net zero activities &amp; levers'!$C$14="Off",Constants!$H76*'Activity data'!BF18*Constants!$H94*EF!$H219*MMVolatEF*NtoN2O*kgtoGg,IF('Net zero activities &amp; levers'!$C$14="On",Constants!$H76*'Net zero Activity data'!BF18*Constants!$H94*EF!$H219*MMVolatEF*NtoN2O*kgtoGg,"ERROR"))</f>
        <v>1.459000921320037E-2</v>
      </c>
      <c r="AN1198" s="94">
        <f>IF('Net zero activities &amp; levers'!$C$14="Off",Constants!$H76*'Activity data'!BG18*Constants!$H94*EF!$H219*MMVolatEF*NtoN2O*kgtoGg,IF('Net zero activities &amp; levers'!$C$14="On",Constants!$H76*'Net zero Activity data'!BG18*Constants!$H94*EF!$H219*MMVolatEF*NtoN2O*kgtoGg,"ERROR"))</f>
        <v>1.4914267004701089E-2</v>
      </c>
      <c r="AO1198" s="94">
        <f>IF('Net zero activities &amp; levers'!$C$14="Off",Constants!$H76*'Activity data'!BH18*Constants!$H94*EF!$H219*MMVolatEF*NtoN2O*kgtoGg,IF('Net zero activities &amp; levers'!$C$14="On",Constants!$H76*'Net zero Activity data'!BH18*Constants!$H94*EF!$H219*MMVolatEF*NtoN2O*kgtoGg,"ERROR"))</f>
        <v>1.5253583859586839E-2</v>
      </c>
      <c r="AP1198" s="94">
        <f>IF('Net zero activities &amp; levers'!$C$14="Off",Constants!$H76*'Activity data'!BI18*Constants!$H94*EF!$H219*MMVolatEF*NtoN2O*kgtoGg,IF('Net zero activities &amp; levers'!$C$14="On",Constants!$H76*'Net zero Activity data'!BI18*Constants!$H94*EF!$H219*MMVolatEF*NtoN2O*kgtoGg,"ERROR"))</f>
        <v>1.5617741302554344E-2</v>
      </c>
      <c r="AQ1198" s="94">
        <f>IF('Net zero activities &amp; levers'!$C$14="Off",Constants!$H76*'Activity data'!BJ18*Constants!$H94*EF!$H219*MMVolatEF*NtoN2O*kgtoGg,IF('Net zero activities &amp; levers'!$C$14="On",Constants!$H76*'Net zero Activity data'!BJ18*Constants!$H94*EF!$H219*MMVolatEF*NtoN2O*kgtoGg,"ERROR"))</f>
        <v>1.5988262874036725E-2</v>
      </c>
      <c r="AR1198" s="94">
        <f>IF('Net zero activities &amp; levers'!$C$14="Off",Constants!$H76*'Activity data'!BK18*Constants!$H94*EF!$H219*MMVolatEF*NtoN2O*kgtoGg,IF('Net zero activities &amp; levers'!$C$14="On",Constants!$H76*'Net zero Activity data'!BK18*Constants!$H94*EF!$H219*MMVolatEF*NtoN2O*kgtoGg,"ERROR"))</f>
        <v>1.6365829750282931E-2</v>
      </c>
      <c r="AS1198" s="94">
        <f>IF('Net zero activities &amp; levers'!$C$14="Off",Constants!$H76*'Activity data'!BL18*Constants!$H94*EF!$H219*MMVolatEF*NtoN2O*kgtoGg,IF('Net zero activities &amp; levers'!$C$14="On",Constants!$H76*'Net zero Activity data'!BL18*Constants!$H94*EF!$H219*MMVolatEF*NtoN2O*kgtoGg,"ERROR"))</f>
        <v>1.676909891458386E-2</v>
      </c>
      <c r="AT1198" s="94">
        <f>IF('Net zero activities &amp; levers'!$C$14="Off",Constants!$H76*'Activity data'!BM18*Constants!$H94*EF!$H219*MMVolatEF*NtoN2O*kgtoGg,IF('Net zero activities &amp; levers'!$C$14="On",Constants!$H76*'Net zero Activity data'!BM18*Constants!$H94*EF!$H219*MMVolatEF*NtoN2O*kgtoGg,"ERROR"))</f>
        <v>1.7191049930466051E-2</v>
      </c>
      <c r="AU1198" s="94">
        <f>IF('Net zero activities &amp; levers'!$C$14="Off",Constants!$H76*'Activity data'!BN18*Constants!$H94*EF!$H219*MMVolatEF*NtoN2O*kgtoGg,IF('Net zero activities &amp; levers'!$C$14="On",Constants!$H76*'Net zero Activity data'!BN18*Constants!$H94*EF!$H219*MMVolatEF*NtoN2O*kgtoGg,"ERROR"))</f>
        <v>1.7626873121628955E-2</v>
      </c>
      <c r="AV1198" s="94">
        <f>IF('Net zero activities &amp; levers'!$C$14="Off",Constants!$H76*'Activity data'!BO18*Constants!$H94*EF!$H219*MMVolatEF*NtoN2O*kgtoGg,IF('Net zero activities &amp; levers'!$C$14="On",Constants!$H76*'Net zero Activity data'!BO18*Constants!$H94*EF!$H219*MMVolatEF*NtoN2O*kgtoGg,"ERROR"))</f>
        <v>1.8087873974735078E-2</v>
      </c>
      <c r="AW1198" s="94">
        <f>IF('Net zero activities &amp; levers'!$C$14="Off",Constants!$H76*'Activity data'!BP18*Constants!$H94*EF!$H219*MMVolatEF*NtoN2O*kgtoGg,IF('Net zero activities &amp; levers'!$C$14="On",Constants!$H76*'Net zero Activity data'!BP18*Constants!$H94*EF!$H219*MMVolatEF*NtoN2O*kgtoGg,"ERROR"))</f>
        <v>1.8505163196230787E-2</v>
      </c>
      <c r="AY1198" s="79"/>
    </row>
    <row r="1199" spans="1:51" x14ac:dyDescent="0.25">
      <c r="A1199" s="95" t="str">
        <f t="shared" si="380"/>
        <v>CM MM Volatilisation</v>
      </c>
      <c r="B1199" s="95" t="s">
        <v>1321</v>
      </c>
      <c r="C1199" s="95" t="s">
        <v>1331</v>
      </c>
      <c r="D1199" t="s">
        <v>369</v>
      </c>
      <c r="E1199" t="s">
        <v>64</v>
      </c>
      <c r="F1199" t="s">
        <v>62</v>
      </c>
      <c r="G1199" t="s">
        <v>1179</v>
      </c>
      <c r="H1199" t="s">
        <v>1303</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6.9075990112688196E-2</v>
      </c>
      <c r="T1199" s="94">
        <f>IF('Net zero activities &amp; levers'!$C$14="Off",Constants!$H77*'Activity data'!AM19*Constants!$H95*EF!$H220*MMVolatEF*NtoN2O*kgtoGg,IF('Net zero activities &amp; levers'!$C$14="On",Constants!$H77*'Net zero Activity data'!AM19*Constants!$H95*EF!$H220*MMVolatEF*NtoN2O*kgtoGg,"ERROR"))</f>
        <v>7.1960031651071718E-2</v>
      </c>
      <c r="U1199" s="94">
        <f>IF('Net zero activities &amp; levers'!$C$14="Off",Constants!$H77*'Activity data'!AN19*Constants!$H95*EF!$H220*MMVolatEF*NtoN2O*kgtoGg,IF('Net zero activities &amp; levers'!$C$14="On",Constants!$H77*'Net zero Activity data'!AN19*Constants!$H95*EF!$H220*MMVolatEF*NtoN2O*kgtoGg,"ERROR"))</f>
        <v>7.3674037695468111E-2</v>
      </c>
      <c r="V1199" s="94">
        <f>IF('Net zero activities &amp; levers'!$C$14="Off",Constants!$H77*'Activity data'!AO19*Constants!$H95*EF!$H220*MMVolatEF*NtoN2O*kgtoGg,IF('Net zero activities &amp; levers'!$C$14="On",Constants!$H77*'Net zero Activity data'!AO19*Constants!$H95*EF!$H220*MMVolatEF*NtoN2O*kgtoGg,"ERROR"))</f>
        <v>7.4492152680205134E-2</v>
      </c>
      <c r="W1199" s="94">
        <f>IF('Net zero activities &amp; levers'!$C$14="Off",Constants!$H77*'Activity data'!AP19*Constants!$H95*EF!$H220*MMVolatEF*NtoN2O*kgtoGg,IF('Net zero activities &amp; levers'!$C$14="On",Constants!$H77*'Net zero Activity data'!AP19*Constants!$H95*EF!$H220*MMVolatEF*NtoN2O*kgtoGg,"ERROR"))</f>
        <v>7.5399470920563483E-2</v>
      </c>
      <c r="X1199" s="94">
        <f>IF('Net zero activities &amp; levers'!$C$14="Off",Constants!$H77*'Activity data'!AQ19*Constants!$H95*EF!$H220*MMVolatEF*NtoN2O*kgtoGg,IF('Net zero activities &amp; levers'!$C$14="On",Constants!$H77*'Net zero Activity data'!AQ19*Constants!$H95*EF!$H220*MMVolatEF*NtoN2O*kgtoGg,"ERROR"))</f>
        <v>7.6582710746940591E-2</v>
      </c>
      <c r="Y1199" s="94">
        <f>IF('Net zero activities &amp; levers'!$C$14="Off",Constants!$H77*'Activity data'!AR19*Constants!$H95*EF!$H220*MMVolatEF*NtoN2O*kgtoGg,IF('Net zero activities &amp; levers'!$C$14="On",Constants!$H77*'Net zero Activity data'!AR19*Constants!$H95*EF!$H220*MMVolatEF*NtoN2O*kgtoGg,"ERROR"))</f>
        <v>7.8007027191938444E-2</v>
      </c>
      <c r="Z1199" s="94">
        <f>IF('Net zero activities &amp; levers'!$C$14="Off",Constants!$H77*'Activity data'!AS19*Constants!$H95*EF!$H220*MMVolatEF*NtoN2O*kgtoGg,IF('Net zero activities &amp; levers'!$C$14="On",Constants!$H77*'Net zero Activity data'!AS19*Constants!$H95*EF!$H220*MMVolatEF*NtoN2O*kgtoGg,"ERROR"))</f>
        <v>7.95518212189988E-2</v>
      </c>
      <c r="AA1199" s="94">
        <f>IF('Net zero activities &amp; levers'!$C$14="Off",Constants!$H77*'Activity data'!AT19*Constants!$H95*EF!$H220*MMVolatEF*NtoN2O*kgtoGg,IF('Net zero activities &amp; levers'!$C$14="On",Constants!$H77*'Net zero Activity data'!AT19*Constants!$H95*EF!$H220*MMVolatEF*NtoN2O*kgtoGg,"ERROR"))</f>
        <v>8.125501320297529E-2</v>
      </c>
      <c r="AB1199" s="94">
        <f>IF('Net zero activities &amp; levers'!$C$14="Off",Constants!$H77*'Activity data'!AU19*Constants!$H95*EF!$H220*MMVolatEF*NtoN2O*kgtoGg,IF('Net zero activities &amp; levers'!$C$14="On",Constants!$H77*'Net zero Activity data'!AU19*Constants!$H95*EF!$H220*MMVolatEF*NtoN2O*kgtoGg,"ERROR"))</f>
        <v>8.3229375715267798E-2</v>
      </c>
      <c r="AC1199" s="94">
        <f>IF('Net zero activities &amp; levers'!$C$14="Off",Constants!$H77*'Activity data'!AV19*Constants!$H95*EF!$H220*MMVolatEF*NtoN2O*kgtoGg,IF('Net zero activities &amp; levers'!$C$14="On",Constants!$H77*'Net zero Activity data'!AV19*Constants!$H95*EF!$H220*MMVolatEF*NtoN2O*kgtoGg,"ERROR"))</f>
        <v>8.5468913054205911E-2</v>
      </c>
      <c r="AD1199" s="94">
        <f>IF('Net zero activities &amp; levers'!$C$14="Off",Constants!$H77*'Activity data'!AW19*Constants!$H95*EF!$H220*MMVolatEF*NtoN2O*kgtoGg,IF('Net zero activities &amp; levers'!$C$14="On",Constants!$H77*'Net zero Activity data'!AW19*Constants!$H95*EF!$H220*MMVolatEF*NtoN2O*kgtoGg,"ERROR"))</f>
        <v>8.7878363840128426E-2</v>
      </c>
      <c r="AE1199" s="94">
        <f>IF('Net zero activities &amp; levers'!$C$14="Off",Constants!$H77*'Activity data'!AX19*Constants!$H95*EF!$H220*MMVolatEF*NtoN2O*kgtoGg,IF('Net zero activities &amp; levers'!$C$14="On",Constants!$H77*'Net zero Activity data'!AX19*Constants!$H95*EF!$H220*MMVolatEF*NtoN2O*kgtoGg,"ERROR"))</f>
        <v>9.0457350276048634E-2</v>
      </c>
      <c r="AF1199" s="94">
        <f>IF('Net zero activities &amp; levers'!$C$14="Off",Constants!$H77*'Activity data'!AY19*Constants!$H95*EF!$H220*MMVolatEF*NtoN2O*kgtoGg,IF('Net zero activities &amp; levers'!$C$14="On",Constants!$H77*'Net zero Activity data'!AY19*Constants!$H95*EF!$H220*MMVolatEF*NtoN2O*kgtoGg,"ERROR"))</f>
        <v>9.3152543573947852E-2</v>
      </c>
      <c r="AG1199" s="94">
        <f>IF('Net zero activities &amp; levers'!$C$14="Off",Constants!$H77*'Activity data'!AZ19*Constants!$H95*EF!$H220*MMVolatEF*NtoN2O*kgtoGg,IF('Net zero activities &amp; levers'!$C$14="On",Constants!$H77*'Net zero Activity data'!AZ19*Constants!$H95*EF!$H220*MMVolatEF*NtoN2O*kgtoGg,"ERROR"))</f>
        <v>9.5991306514799535E-2</v>
      </c>
      <c r="AH1199" s="94">
        <f>IF('Net zero activities &amp; levers'!$C$14="Off",Constants!$H77*'Activity data'!BA19*Constants!$H95*EF!$H220*MMVolatEF*NtoN2O*kgtoGg,IF('Net zero activities &amp; levers'!$C$14="On",Constants!$H77*'Net zero Activity data'!BA19*Constants!$H95*EF!$H220*MMVolatEF*NtoN2O*kgtoGg,"ERROR"))</f>
        <v>9.8949791609125759E-2</v>
      </c>
      <c r="AI1199" s="94">
        <f>IF('Net zero activities &amp; levers'!$C$14="Off",Constants!$H77*'Activity data'!BB19*Constants!$H95*EF!$H220*MMVolatEF*NtoN2O*kgtoGg,IF('Net zero activities &amp; levers'!$C$14="On",Constants!$H77*'Net zero Activity data'!BB19*Constants!$H95*EF!$H220*MMVolatEF*NtoN2O*kgtoGg,"ERROR"))</f>
        <v>0.10193029518056052</v>
      </c>
      <c r="AJ1199" s="94">
        <f>IF('Net zero activities &amp; levers'!$C$14="Off",Constants!$H77*'Activity data'!BC19*Constants!$H95*EF!$H220*MMVolatEF*NtoN2O*kgtoGg,IF('Net zero activities &amp; levers'!$C$14="On",Constants!$H77*'Net zero Activity data'!BC19*Constants!$H95*EF!$H220*MMVolatEF*NtoN2O*kgtoGg,"ERROR"))</f>
        <v>0.10507798344014782</v>
      </c>
      <c r="AK1199" s="94">
        <f>IF('Net zero activities &amp; levers'!$C$14="Off",Constants!$H77*'Activity data'!BD19*Constants!$H95*EF!$H220*MMVolatEF*NtoN2O*kgtoGg,IF('Net zero activities &amp; levers'!$C$14="On",Constants!$H77*'Net zero Activity data'!BD19*Constants!$H95*EF!$H220*MMVolatEF*NtoN2O*kgtoGg,"ERROR"))</f>
        <v>0.10829971138803891</v>
      </c>
      <c r="AL1199" s="94">
        <f>IF('Net zero activities &amp; levers'!$C$14="Off",Constants!$H77*'Activity data'!BE19*Constants!$H95*EF!$H220*MMVolatEF*NtoN2O*kgtoGg,IF('Net zero activities &amp; levers'!$C$14="On",Constants!$H77*'Net zero Activity data'!BE19*Constants!$H95*EF!$H220*MMVolatEF*NtoN2O*kgtoGg,"ERROR"))</f>
        <v>0.11158886411942164</v>
      </c>
      <c r="AM1199" s="94">
        <f>IF('Net zero activities &amp; levers'!$C$14="Off",Constants!$H77*'Activity data'!BF19*Constants!$H95*EF!$H220*MMVolatEF*NtoN2O*kgtoGg,IF('Net zero activities &amp; levers'!$C$14="On",Constants!$H77*'Net zero Activity data'!BF19*Constants!$H95*EF!$H220*MMVolatEF*NtoN2O*kgtoGg,"ERROR"))</f>
        <v>0.11499192397451925</v>
      </c>
      <c r="AN1199" s="94">
        <f>IF('Net zero activities &amp; levers'!$C$14="Off",Constants!$H77*'Activity data'!BG19*Constants!$H95*EF!$H220*MMVolatEF*NtoN2O*kgtoGg,IF('Net zero activities &amp; levers'!$C$14="On",Constants!$H77*'Net zero Activity data'!BG19*Constants!$H95*EF!$H220*MMVolatEF*NtoN2O*kgtoGg,"ERROR"))</f>
        <v>0.11839831966593896</v>
      </c>
      <c r="AO1199" s="94">
        <f>IF('Net zero activities &amp; levers'!$C$14="Off",Constants!$H77*'Activity data'!BH19*Constants!$H95*EF!$H220*MMVolatEF*NtoN2O*kgtoGg,IF('Net zero activities &amp; levers'!$C$14="On",Constants!$H77*'Net zero Activity data'!BH19*Constants!$H95*EF!$H220*MMVolatEF*NtoN2O*kgtoGg,"ERROR"))</f>
        <v>0.12196310213771001</v>
      </c>
      <c r="AP1199" s="94">
        <f>IF('Net zero activities &amp; levers'!$C$14="Off",Constants!$H77*'Activity data'!BI19*Constants!$H95*EF!$H220*MMVolatEF*NtoN2O*kgtoGg,IF('Net zero activities &amp; levers'!$C$14="On",Constants!$H77*'Net zero Activity data'!BI19*Constants!$H95*EF!$H220*MMVolatEF*NtoN2O*kgtoGg,"ERROR"))</f>
        <v>0.12574583816913645</v>
      </c>
      <c r="AQ1199" s="94">
        <f>IF('Net zero activities &amp; levers'!$C$14="Off",Constants!$H77*'Activity data'!BJ19*Constants!$H95*EF!$H220*MMVolatEF*NtoN2O*kgtoGg,IF('Net zero activities &amp; levers'!$C$14="On",Constants!$H77*'Net zero Activity data'!BJ19*Constants!$H95*EF!$H220*MMVolatEF*NtoN2O*kgtoGg,"ERROR"))</f>
        <v>0.12965360602860704</v>
      </c>
      <c r="AR1199" s="94">
        <f>IF('Net zero activities &amp; levers'!$C$14="Off",Constants!$H77*'Activity data'!BK19*Constants!$H95*EF!$H220*MMVolatEF*NtoN2O*kgtoGg,IF('Net zero activities &amp; levers'!$C$14="On",Constants!$H77*'Net zero Activity data'!BK19*Constants!$H95*EF!$H220*MMVolatEF*NtoN2O*kgtoGg,"ERROR"))</f>
        <v>0.13369403699154539</v>
      </c>
      <c r="AS1199" s="94">
        <f>IF('Net zero activities &amp; levers'!$C$14="Off",Constants!$H77*'Activity data'!BL19*Constants!$H95*EF!$H220*MMVolatEF*NtoN2O*kgtoGg,IF('Net zero activities &amp; levers'!$C$14="On",Constants!$H77*'Net zero Activity data'!BL19*Constants!$H95*EF!$H220*MMVolatEF*NtoN2O*kgtoGg,"ERROR"))</f>
        <v>0.1379790125366526</v>
      </c>
      <c r="AT1199" s="94">
        <f>IF('Net zero activities &amp; levers'!$C$14="Off",Constants!$H77*'Activity data'!BM19*Constants!$H95*EF!$H220*MMVolatEF*NtoN2O*kgtoGg,IF('Net zero activities &amp; levers'!$C$14="On",Constants!$H77*'Net zero Activity data'!BM19*Constants!$H95*EF!$H220*MMVolatEF*NtoN2O*kgtoGg,"ERROR"))</f>
        <v>0.14247835199666176</v>
      </c>
      <c r="AU1199" s="94">
        <f>IF('Net zero activities &amp; levers'!$C$14="Off",Constants!$H77*'Activity data'!BN19*Constants!$H95*EF!$H220*MMVolatEF*NtoN2O*kgtoGg,IF('Net zero activities &amp; levers'!$C$14="On",Constants!$H77*'Net zero Activity data'!BN19*Constants!$H95*EF!$H220*MMVolatEF*NtoN2O*kgtoGg,"ERROR"))</f>
        <v>0.14717275078625591</v>
      </c>
      <c r="AV1199" s="94">
        <f>IF('Net zero activities &amp; levers'!$C$14="Off",Constants!$H77*'Activity data'!BO19*Constants!$H95*EF!$H220*MMVolatEF*NtoN2O*kgtoGg,IF('Net zero activities &amp; levers'!$C$14="On",Constants!$H77*'Net zero Activity data'!BO19*Constants!$H95*EF!$H220*MMVolatEF*NtoN2O*kgtoGg,"ERROR"))</f>
        <v>0.15213947342494369</v>
      </c>
      <c r="AW1199" s="94">
        <f>IF('Net zero activities &amp; levers'!$C$14="Off",Constants!$H77*'Activity data'!BP19*Constants!$H95*EF!$H220*MMVolatEF*NtoN2O*kgtoGg,IF('Net zero activities &amp; levers'!$C$14="On",Constants!$H77*'Net zero Activity data'!BP19*Constants!$H95*EF!$H220*MMVolatEF*NtoN2O*kgtoGg,"ERROR"))</f>
        <v>0.15696141877860778</v>
      </c>
      <c r="AY1199" s="79"/>
    </row>
    <row r="1200" spans="1:51" x14ac:dyDescent="0.25">
      <c r="A1200" s="95" t="str">
        <f t="shared" si="380"/>
        <v>CM MM Volatilisation</v>
      </c>
      <c r="B1200" s="95" t="s">
        <v>1321</v>
      </c>
      <c r="C1200" s="95" t="s">
        <v>1331</v>
      </c>
      <c r="D1200" t="s">
        <v>369</v>
      </c>
      <c r="E1200" t="s">
        <v>64</v>
      </c>
      <c r="F1200" t="s">
        <v>62</v>
      </c>
      <c r="G1200" t="s">
        <v>1181</v>
      </c>
      <c r="H1200" t="s">
        <v>1304</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0.3209942132552846</v>
      </c>
      <c r="N1200" s="94">
        <f>IF('Net zero activities &amp; levers'!$C$14="Off",Constants!$H78*'Activity data'!AG20*Constants!$H96*EF!$H221*MMVolatEF*NtoN2O*kgtoGg,IF('Net zero activities &amp; levers'!$C$14="On",Constants!$H78*'Net zero Activity data'!AG20*Constants!$H96*EF!$H221*MMVolatEF*NtoN2O*kgtoGg,"ERROR"))</f>
        <v>0.3228790317815291</v>
      </c>
      <c r="O1200" s="94">
        <f>IF('Net zero activities &amp; levers'!$C$14="Off",Constants!$H78*'Activity data'!AH20*Constants!$H96*EF!$H221*MMVolatEF*NtoN2O*kgtoGg,IF('Net zero activities &amp; levers'!$C$14="On",Constants!$H78*'Net zero Activity data'!AH20*Constants!$H96*EF!$H221*MMVolatEF*NtoN2O*kgtoGg,"ERROR"))</f>
        <v>0.3217232753588708</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0.31577785743754239</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0.27355046715049131</v>
      </c>
      <c r="T1200" s="94">
        <f>IF('Net zero activities &amp; levers'!$C$14="Off",Constants!$H78*'Activity data'!AM20*Constants!$H96*EF!$H221*MMVolatEF*NtoN2O*kgtoGg,IF('Net zero activities &amp; levers'!$C$14="On",Constants!$H78*'Net zero Activity data'!AM20*Constants!$H96*EF!$H221*MMVolatEF*NtoN2O*kgtoGg,"ERROR"))</f>
        <v>0.2982999703835697</v>
      </c>
      <c r="U1200" s="94">
        <f>IF('Net zero activities &amp; levers'!$C$14="Off",Constants!$H78*'Activity data'!AN20*Constants!$H96*EF!$H221*MMVolatEF*NtoN2O*kgtoGg,IF('Net zero activities &amp; levers'!$C$14="On",Constants!$H78*'Net zero Activity data'!AN20*Constants!$H96*EF!$H221*MMVolatEF*NtoN2O*kgtoGg,"ERROR"))</f>
        <v>0.31020865266324016</v>
      </c>
      <c r="V1200" s="94">
        <f>IF('Net zero activities &amp; levers'!$C$14="Off",Constants!$H78*'Activity data'!AO20*Constants!$H96*EF!$H221*MMVolatEF*NtoN2O*kgtoGg,IF('Net zero activities &amp; levers'!$C$14="On",Constants!$H78*'Net zero Activity data'!AO20*Constants!$H96*EF!$H221*MMVolatEF*NtoN2O*kgtoGg,"ERROR"))</f>
        <v>0.31169871113596848</v>
      </c>
      <c r="W1200" s="94">
        <f>IF('Net zero activities &amp; levers'!$C$14="Off",Constants!$H78*'Activity data'!AP20*Constants!$H96*EF!$H221*MMVolatEF*NtoN2O*kgtoGg,IF('Net zero activities &amp; levers'!$C$14="On",Constants!$H78*'Net zero Activity data'!AP20*Constants!$H96*EF!$H221*MMVolatEF*NtoN2O*kgtoGg,"ERROR"))</f>
        <v>0.313416443296333</v>
      </c>
      <c r="X1200" s="94">
        <f>IF('Net zero activities &amp; levers'!$C$14="Off",Constants!$H78*'Activity data'!AQ20*Constants!$H96*EF!$H221*MMVolatEF*NtoN2O*kgtoGg,IF('Net zero activities &amp; levers'!$C$14="On",Constants!$H78*'Net zero Activity data'!AQ20*Constants!$H96*EF!$H221*MMVolatEF*NtoN2O*kgtoGg,"ERROR"))</f>
        <v>0.31777262865062833</v>
      </c>
      <c r="Y1200" s="94">
        <f>IF('Net zero activities &amp; levers'!$C$14="Off",Constants!$H78*'Activity data'!AR20*Constants!$H96*EF!$H221*MMVolatEF*NtoN2O*kgtoGg,IF('Net zero activities &amp; levers'!$C$14="On",Constants!$H78*'Net zero Activity data'!AR20*Constants!$H96*EF!$H221*MMVolatEF*NtoN2O*kgtoGg,"ERROR"))</f>
        <v>0.32494530500053975</v>
      </c>
      <c r="Z1200" s="94">
        <f>IF('Net zero activities &amp; levers'!$C$14="Off",Constants!$H78*'Activity data'!AS20*Constants!$H96*EF!$H221*MMVolatEF*NtoN2O*kgtoGg,IF('Net zero activities &amp; levers'!$C$14="On",Constants!$H78*'Net zero Activity data'!AS20*Constants!$H96*EF!$H221*MMVolatEF*NtoN2O*kgtoGg,"ERROR"))</f>
        <v>0.33352717212448735</v>
      </c>
      <c r="AA1200" s="94">
        <f>IF('Net zero activities &amp; levers'!$C$14="Off",Constants!$H78*'Activity data'!AT20*Constants!$H96*EF!$H221*MMVolatEF*NtoN2O*kgtoGg,IF('Net zero activities &amp; levers'!$C$14="On",Constants!$H78*'Net zero Activity data'!AT20*Constants!$H96*EF!$H221*MMVolatEF*NtoN2O*kgtoGg,"ERROR"))</f>
        <v>0.34389700896977449</v>
      </c>
      <c r="AB1200" s="94">
        <f>IF('Net zero activities &amp; levers'!$C$14="Off",Constants!$H78*'Activity data'!AU20*Constants!$H96*EF!$H221*MMVolatEF*NtoN2O*kgtoGg,IF('Net zero activities &amp; levers'!$C$14="On",Constants!$H78*'Net zero Activity data'!AU20*Constants!$H96*EF!$H221*MMVolatEF*NtoN2O*kgtoGg,"ERROR"))</f>
        <v>0.35720613223021092</v>
      </c>
      <c r="AC1200" s="94">
        <f>IF('Net zero activities &amp; levers'!$C$14="Off",Constants!$H78*'Activity data'!AV20*Constants!$H96*EF!$H221*MMVolatEF*NtoN2O*kgtoGg,IF('Net zero activities &amp; levers'!$C$14="On",Constants!$H78*'Net zero Activity data'!AV20*Constants!$H96*EF!$H221*MMVolatEF*NtoN2O*kgtoGg,"ERROR"))</f>
        <v>0.37330270784262232</v>
      </c>
      <c r="AD1200" s="94">
        <f>IF('Net zero activities &amp; levers'!$C$14="Off",Constants!$H78*'Activity data'!AW20*Constants!$H96*EF!$H221*MMVolatEF*NtoN2O*kgtoGg,IF('Net zero activities &amp; levers'!$C$14="On",Constants!$H78*'Net zero Activity data'!AW20*Constants!$H96*EF!$H221*MMVolatEF*NtoN2O*kgtoGg,"ERROR"))</f>
        <v>0.39111878330548938</v>
      </c>
      <c r="AE1200" s="94">
        <f>IF('Net zero activities &amp; levers'!$C$14="Off",Constants!$H78*'Activity data'!AX20*Constants!$H96*EF!$H221*MMVolatEF*NtoN2O*kgtoGg,IF('Net zero activities &amp; levers'!$C$14="On",Constants!$H78*'Net zero Activity data'!AX20*Constants!$H96*EF!$H221*MMVolatEF*NtoN2O*kgtoGg,"ERROR"))</f>
        <v>0.41059525274758124</v>
      </c>
      <c r="AF1200" s="94">
        <f>IF('Net zero activities &amp; levers'!$C$14="Off",Constants!$H78*'Activity data'!AY20*Constants!$H96*EF!$H221*MMVolatEF*NtoN2O*kgtoGg,IF('Net zero activities &amp; levers'!$C$14="On",Constants!$H78*'Net zero Activity data'!AY20*Constants!$H96*EF!$H221*MMVolatEF*NtoN2O*kgtoGg,"ERROR"))</f>
        <v>0.4311392832902729</v>
      </c>
      <c r="AG1200" s="94">
        <f>IF('Net zero activities &amp; levers'!$C$14="Off",Constants!$H78*'Activity data'!AZ20*Constants!$H96*EF!$H221*MMVolatEF*NtoN2O*kgtoGg,IF('Net zero activities &amp; levers'!$C$14="On",Constants!$H78*'Net zero Activity data'!AZ20*Constants!$H96*EF!$H221*MMVolatEF*NtoN2O*kgtoGg,"ERROR"))</f>
        <v>0.45302578965799745</v>
      </c>
      <c r="AH1200" s="94">
        <f>IF('Net zero activities &amp; levers'!$C$14="Off",Constants!$H78*'Activity data'!BA20*Constants!$H96*EF!$H221*MMVolatEF*NtoN2O*kgtoGg,IF('Net zero activities &amp; levers'!$C$14="On",Constants!$H78*'Net zero Activity data'!BA20*Constants!$H96*EF!$H221*MMVolatEF*NtoN2O*kgtoGg,"ERROR"))</f>
        <v>0.47597562229356133</v>
      </c>
      <c r="AI1200" s="94">
        <f>IF('Net zero activities &amp; levers'!$C$14="Off",Constants!$H78*'Activity data'!BB20*Constants!$H96*EF!$H221*MMVolatEF*NtoN2O*kgtoGg,IF('Net zero activities &amp; levers'!$C$14="On",Constants!$H78*'Net zero Activity data'!BB20*Constants!$H96*EF!$H221*MMVolatEF*NtoN2O*kgtoGg,"ERROR"))</f>
        <v>0.49895875258724764</v>
      </c>
      <c r="AJ1200" s="94">
        <f>IF('Net zero activities &amp; levers'!$C$14="Off",Constants!$H78*'Activity data'!BC20*Constants!$H96*EF!$H221*MMVolatEF*NtoN2O*kgtoGg,IF('Net zero activities &amp; levers'!$C$14="On",Constants!$H78*'Net zero Activity data'!BC20*Constants!$H96*EF!$H221*MMVolatEF*NtoN2O*kgtoGg,"ERROR"))</f>
        <v>0.52346175750841617</v>
      </c>
      <c r="AK1200" s="94">
        <f>IF('Net zero activities &amp; levers'!$C$14="Off",Constants!$H78*'Activity data'!BD20*Constants!$H96*EF!$H221*MMVolatEF*NtoN2O*kgtoGg,IF('Net zero activities &amp; levers'!$C$14="On",Constants!$H78*'Net zero Activity data'!BD20*Constants!$H96*EF!$H221*MMVolatEF*NtoN2O*kgtoGg,"ERROR"))</f>
        <v>0.54854282752031391</v>
      </c>
      <c r="AL1200" s="94">
        <f>IF('Net zero activities &amp; levers'!$C$14="Off",Constants!$H78*'Activity data'!BE20*Constants!$H96*EF!$H221*MMVolatEF*NtoN2O*kgtoGg,IF('Net zero activities &amp; levers'!$C$14="On",Constants!$H78*'Net zero Activity data'!BE20*Constants!$H96*EF!$H221*MMVolatEF*NtoN2O*kgtoGg,"ERROR"))</f>
        <v>0.57412757690619154</v>
      </c>
      <c r="AM1200" s="94">
        <f>IF('Net zero activities &amp; levers'!$C$14="Off",Constants!$H78*'Activity data'!BF20*Constants!$H96*EF!$H221*MMVolatEF*NtoN2O*kgtoGg,IF('Net zero activities &amp; levers'!$C$14="On",Constants!$H78*'Net zero Activity data'!BF20*Constants!$H96*EF!$H221*MMVolatEF*NtoN2O*kgtoGg,"ERROR"))</f>
        <v>0.60066723743034001</v>
      </c>
      <c r="AN1200" s="94">
        <f>IF('Net zero activities &amp; levers'!$C$14="Off",Constants!$H78*'Activity data'!BG20*Constants!$H96*EF!$H221*MMVolatEF*NtoN2O*kgtoGg,IF('Net zero activities &amp; levers'!$C$14="On",Constants!$H78*'Net zero Activity data'!BG20*Constants!$H96*EF!$H221*MMVolatEF*NtoN2O*kgtoGg,"ERROR"))</f>
        <v>0.62704755150284652</v>
      </c>
      <c r="AO1200" s="94">
        <f>IF('Net zero activities &amp; levers'!$C$14="Off",Constants!$H78*'Activity data'!BH20*Constants!$H96*EF!$H221*MMVolatEF*NtoN2O*kgtoGg,IF('Net zero activities &amp; levers'!$C$14="On",Constants!$H78*'Net zero Activity data'!BH20*Constants!$H96*EF!$H221*MMVolatEF*NtoN2O*kgtoGg,"ERROR"))</f>
        <v>0.65481507956811935</v>
      </c>
      <c r="AP1200" s="94">
        <f>IF('Net zero activities &amp; levers'!$C$14="Off",Constants!$H78*'Activity data'!BI20*Constants!$H96*EF!$H221*MMVolatEF*NtoN2O*kgtoGg,IF('Net zero activities &amp; levers'!$C$14="On",Constants!$H78*'Net zero Activity data'!BI20*Constants!$H96*EF!$H221*MMVolatEF*NtoN2O*kgtoGg,"ERROR"))</f>
        <v>0.68454150627200949</v>
      </c>
      <c r="AQ1200" s="94">
        <f>IF('Net zero activities &amp; levers'!$C$14="Off",Constants!$H78*'Activity data'!BJ20*Constants!$H96*EF!$H221*MMVolatEF*NtoN2O*kgtoGg,IF('Net zero activities &amp; levers'!$C$14="On",Constants!$H78*'Net zero Activity data'!BJ20*Constants!$H96*EF!$H221*MMVolatEF*NtoN2O*kgtoGg,"ERROR"))</f>
        <v>0.71529406948310958</v>
      </c>
      <c r="AR1200" s="94">
        <f>IF('Net zero activities &amp; levers'!$C$14="Off",Constants!$H78*'Activity data'!BK20*Constants!$H96*EF!$H221*MMVolatEF*NtoN2O*kgtoGg,IF('Net zero activities &amp; levers'!$C$14="On",Constants!$H78*'Net zero Activity data'!BK20*Constants!$H96*EF!$H221*MMVolatEF*NtoN2O*kgtoGg,"ERROR"))</f>
        <v>0.74714458055742761</v>
      </c>
      <c r="AS1200" s="94">
        <f>IF('Net zero activities &amp; levers'!$C$14="Off",Constants!$H78*'Activity data'!BL20*Constants!$H96*EF!$H221*MMVolatEF*NtoN2O*kgtoGg,IF('Net zero activities &amp; levers'!$C$14="On",Constants!$H78*'Net zero Activity data'!BL20*Constants!$H96*EF!$H221*MMVolatEF*NtoN2O*kgtoGg,"ERROR"))</f>
        <v>0.78116708322765893</v>
      </c>
      <c r="AT1200" s="94">
        <f>IF('Net zero activities &amp; levers'!$C$14="Off",Constants!$H78*'Activity data'!BM20*Constants!$H96*EF!$H221*MMVolatEF*NtoN2O*kgtoGg,IF('Net zero activities &amp; levers'!$C$14="On",Constants!$H78*'Net zero Activity data'!BM20*Constants!$H96*EF!$H221*MMVolatEF*NtoN2O*kgtoGg,"ERROR"))</f>
        <v>0.81704220152579388</v>
      </c>
      <c r="AU1200" s="94">
        <f>IF('Net zero activities &amp; levers'!$C$14="Off",Constants!$H78*'Activity data'!BN20*Constants!$H96*EF!$H221*MMVolatEF*NtoN2O*kgtoGg,IF('Net zero activities &amp; levers'!$C$14="On",Constants!$H78*'Net zero Activity data'!BN20*Constants!$H96*EF!$H221*MMVolatEF*NtoN2O*kgtoGg,"ERROR"))</f>
        <v>0.85455779039390145</v>
      </c>
      <c r="AV1200" s="94">
        <f>IF('Net zero activities &amp; levers'!$C$14="Off",Constants!$H78*'Activity data'!BO20*Constants!$H96*EF!$H221*MMVolatEF*NtoN2O*kgtoGg,IF('Net zero activities &amp; levers'!$C$14="On",Constants!$H78*'Net zero Activity data'!BO20*Constants!$H96*EF!$H221*MMVolatEF*NtoN2O*kgtoGg,"ERROR"))</f>
        <v>0.8944207901364416</v>
      </c>
      <c r="AW1200" s="94">
        <f>IF('Net zero activities &amp; levers'!$C$14="Off",Constants!$H78*'Activity data'!BP20*Constants!$H96*EF!$H221*MMVolatEF*NtoN2O*kgtoGg,IF('Net zero activities &amp; levers'!$C$14="On",Constants!$H78*'Net zero Activity data'!BP20*Constants!$H96*EF!$H221*MMVolatEF*NtoN2O*kgtoGg,"ERROR"))</f>
        <v>0.93268516809491542</v>
      </c>
      <c r="AY1200" s="79"/>
    </row>
    <row r="1201" spans="1:51" x14ac:dyDescent="0.25">
      <c r="A1201" s="95" t="str">
        <f t="shared" si="380"/>
        <v>CM MM Leaching</v>
      </c>
      <c r="B1201" s="95" t="s">
        <v>1321</v>
      </c>
      <c r="C1201" s="95" t="s">
        <v>1332</v>
      </c>
      <c r="D1201" t="s">
        <v>369</v>
      </c>
      <c r="E1201" t="s">
        <v>64</v>
      </c>
      <c r="F1201" t="s">
        <v>63</v>
      </c>
      <c r="G1201" t="s">
        <v>1151</v>
      </c>
      <c r="H1201" t="s">
        <v>1305</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8.9358864650084344E-2</v>
      </c>
      <c r="T1201" s="94">
        <f>IF('Net zero activities &amp; levers'!$C$14="Off",Constants!$H63*'Activity data'!AM5*Constants!$H81*FracLEACHMM*MMLeachEF*NtoN2O*kgtoGg,IF('Net zero activities &amp; levers'!$C$14="On",Constants!$H63*'Net zero Activity data'!AM5*Constants!$H81*FracLEACHMM*MMLeachEF*NtoN2O*kgtoGg,"ERROR"))</f>
        <v>9.1160880262772734E-2</v>
      </c>
      <c r="U1201" s="94">
        <f>IF('Net zero activities &amp; levers'!$C$14="Off",Constants!$H63*'Activity data'!AN5*Constants!$H81*FracLEACHMM*MMLeachEF*NtoN2O*kgtoGg,IF('Net zero activities &amp; levers'!$C$14="On",Constants!$H63*'Net zero Activity data'!AN5*Constants!$H81*FracLEACHMM*MMLeachEF*NtoN2O*kgtoGg,"ERROR"))</f>
        <v>9.2055417480081031E-2</v>
      </c>
      <c r="V1201" s="94">
        <f>IF('Net zero activities &amp; levers'!$C$14="Off",Constants!$H63*'Activity data'!AO5*Constants!$H81*FracLEACHMM*MMLeachEF*NtoN2O*kgtoGg,IF('Net zero activities &amp; levers'!$C$14="On",Constants!$H63*'Net zero Activity data'!AO5*Constants!$H81*FracLEACHMM*MMLeachEF*NtoN2O*kgtoGg,"ERROR"))</f>
        <v>9.2289034291272776E-2</v>
      </c>
      <c r="W1201" s="94">
        <f>IF('Net zero activities &amp; levers'!$C$14="Off",Constants!$H63*'Activity data'!AP5*Constants!$H81*FracLEACHMM*MMLeachEF*NtoN2O*kgtoGg,IF('Net zero activities &amp; levers'!$C$14="On",Constants!$H63*'Net zero Activity data'!AP5*Constants!$H81*FracLEACHMM*MMLeachEF*NtoN2O*kgtoGg,"ERROR"))</f>
        <v>9.2621209958625161E-2</v>
      </c>
      <c r="X1201" s="94">
        <f>IF('Net zero activities &amp; levers'!$C$14="Off",Constants!$H63*'Activity data'!AQ5*Constants!$H81*FracLEACHMM*MMLeachEF*NtoN2O*kgtoGg,IF('Net zero activities &amp; levers'!$C$14="On",Constants!$H63*'Net zero Activity data'!AQ5*Constants!$H81*FracLEACHMM*MMLeachEF*NtoN2O*kgtoGg,"ERROR"))</f>
        <v>9.3178603232719648E-2</v>
      </c>
      <c r="Y1201" s="94">
        <f>IF('Net zero activities &amp; levers'!$C$14="Off",Constants!$H63*'Activity data'!AR5*Constants!$H81*FracLEACHMM*MMLeachEF*NtoN2O*kgtoGg,IF('Net zero activities &amp; levers'!$C$14="On",Constants!$H63*'Net zero Activity data'!AR5*Constants!$H81*FracLEACHMM*MMLeachEF*NtoN2O*kgtoGg,"ERROR"))</f>
        <v>9.3914939363977226E-2</v>
      </c>
      <c r="Z1201" s="94">
        <f>IF('Net zero activities &amp; levers'!$C$14="Off",Constants!$H63*'Activity data'!AS5*Constants!$H81*FracLEACHMM*MMLeachEF*NtoN2O*kgtoGg,IF('Net zero activities &amp; levers'!$C$14="On",Constants!$H63*'Net zero Activity data'!AS5*Constants!$H81*FracLEACHMM*MMLeachEF*NtoN2O*kgtoGg,"ERROR"))</f>
        <v>9.4739349743762011E-2</v>
      </c>
      <c r="AA1201" s="94">
        <f>IF('Net zero activities &amp; levers'!$C$14="Off",Constants!$H63*'Activity data'!AT5*Constants!$H81*FracLEACHMM*MMLeachEF*NtoN2O*kgtoGg,IF('Net zero activities &amp; levers'!$C$14="On",Constants!$H63*'Net zero Activity data'!AT5*Constants!$H81*FracLEACHMM*MMLeachEF*NtoN2O*kgtoGg,"ERROR"))</f>
        <v>9.5677798677729631E-2</v>
      </c>
      <c r="AB1201" s="94">
        <f>IF('Net zero activities &amp; levers'!$C$14="Off",Constants!$H63*'Activity data'!AU5*Constants!$H81*FracLEACHMM*MMLeachEF*NtoN2O*kgtoGg,IF('Net zero activities &amp; levers'!$C$14="On",Constants!$H63*'Net zero Activity data'!AU5*Constants!$H81*FracLEACHMM*MMLeachEF*NtoN2O*kgtoGg,"ERROR"))</f>
        <v>9.6810748950836578E-2</v>
      </c>
      <c r="AC1201" s="94">
        <f>IF('Net zero activities &amp; levers'!$C$14="Off",Constants!$H63*'Activity data'!AV5*Constants!$H81*FracLEACHMM*MMLeachEF*NtoN2O*kgtoGg,IF('Net zero activities &amp; levers'!$C$14="On",Constants!$H63*'Net zero Activity data'!AV5*Constants!$H81*FracLEACHMM*MMLeachEF*NtoN2O*kgtoGg,"ERROR"))</f>
        <v>9.8131619080537594E-2</v>
      </c>
      <c r="AD1201" s="94">
        <f>IF('Net zero activities &amp; levers'!$C$14="Off",Constants!$H63*'Activity data'!AW5*Constants!$H81*FracLEACHMM*MMLeachEF*NtoN2O*kgtoGg,IF('Net zero activities &amp; levers'!$C$14="On",Constants!$H63*'Net zero Activity data'!AW5*Constants!$H81*FracLEACHMM*MMLeachEF*NtoN2O*kgtoGg,"ERROR"))</f>
        <v>9.956927276254475E-2</v>
      </c>
      <c r="AE1201" s="94">
        <f>IF('Net zero activities &amp; levers'!$C$14="Off",Constants!$H63*'Activity data'!AX5*Constants!$H81*FracLEACHMM*MMLeachEF*NtoN2O*kgtoGg,IF('Net zero activities &amp; levers'!$C$14="On",Constants!$H63*'Net zero Activity data'!AX5*Constants!$H81*FracLEACHMM*MMLeachEF*NtoN2O*kgtoGg,"ERROR"))</f>
        <v>0.10112241066666731</v>
      </c>
      <c r="AF1201" s="94">
        <f>IF('Net zero activities &amp; levers'!$C$14="Off",Constants!$H63*'Activity data'!AY5*Constants!$H81*FracLEACHMM*MMLeachEF*NtoN2O*kgtoGg,IF('Net zero activities &amp; levers'!$C$14="On",Constants!$H63*'Net zero Activity data'!AY5*Constants!$H81*FracLEACHMM*MMLeachEF*NtoN2O*kgtoGg,"ERROR"))</f>
        <v>0.10275162031430257</v>
      </c>
      <c r="AG1201" s="94">
        <f>IF('Net zero activities &amp; levers'!$C$14="Off",Constants!$H63*'Activity data'!AZ5*Constants!$H81*FracLEACHMM*MMLeachEF*NtoN2O*kgtoGg,IF('Net zero activities &amp; levers'!$C$14="On",Constants!$H63*'Net zero Activity data'!AZ5*Constants!$H81*FracLEACHMM*MMLeachEF*NtoN2O*kgtoGg,"ERROR"))</f>
        <v>0.10447512410975278</v>
      </c>
      <c r="AH1201" s="94">
        <f>IF('Net zero activities &amp; levers'!$C$14="Off",Constants!$H63*'Activity data'!BA5*Constants!$H81*FracLEACHMM*MMLeachEF*NtoN2O*kgtoGg,IF('Net zero activities &amp; levers'!$C$14="On",Constants!$H63*'Net zero Activity data'!BA5*Constants!$H81*FracLEACHMM*MMLeachEF*NtoN2O*kgtoGg,"ERROR"))</f>
        <v>0.10627520064757517</v>
      </c>
      <c r="AI1201" s="94">
        <f>IF('Net zero activities &amp; levers'!$C$14="Off",Constants!$H63*'Activity data'!BB5*Constants!$H81*FracLEACHMM*MMLeachEF*NtoN2O*kgtoGg,IF('Net zero activities &amp; levers'!$C$14="On",Constants!$H63*'Net zero Activity data'!BB5*Constants!$H81*FracLEACHMM*MMLeachEF*NtoN2O*kgtoGg,"ERROR"))</f>
        <v>0.10808248543054177</v>
      </c>
      <c r="AJ1201" s="94">
        <f>IF('Net zero activities &amp; levers'!$C$14="Off",Constants!$H63*'Activity data'!BC5*Constants!$H81*FracLEACHMM*MMLeachEF*NtoN2O*kgtoGg,IF('Net zero activities &amp; levers'!$C$14="On",Constants!$H63*'Net zero Activity data'!BC5*Constants!$H81*FracLEACHMM*MMLeachEF*NtoN2O*kgtoGg,"ERROR"))</f>
        <v>0.10999863373444546</v>
      </c>
      <c r="AK1201" s="94">
        <f>IF('Net zero activities &amp; levers'!$C$14="Off",Constants!$H63*'Activity data'!BD5*Constants!$H81*FracLEACHMM*MMLeachEF*NtoN2O*kgtoGg,IF('Net zero activities &amp; levers'!$C$14="On",Constants!$H63*'Net zero Activity data'!BD5*Constants!$H81*FracLEACHMM*MMLeachEF*NtoN2O*kgtoGg,"ERROR"))</f>
        <v>0.11195666285750208</v>
      </c>
      <c r="AL1201" s="94">
        <f>IF('Net zero activities &amp; levers'!$C$14="Off",Constants!$H63*'Activity data'!BE5*Constants!$H81*FracLEACHMM*MMLeachEF*NtoN2O*kgtoGg,IF('Net zero activities &amp; levers'!$C$14="On",Constants!$H63*'Net zero Activity data'!BE5*Constants!$H81*FracLEACHMM*MMLeachEF*NtoN2O*kgtoGg,"ERROR"))</f>
        <v>0.11395159289972816</v>
      </c>
      <c r="AM1201" s="94">
        <f>IF('Net zero activities &amp; levers'!$C$14="Off",Constants!$H63*'Activity data'!BF5*Constants!$H81*FracLEACHMM*MMLeachEF*NtoN2O*kgtoGg,IF('Net zero activities &amp; levers'!$C$14="On",Constants!$H63*'Net zero Activity data'!BF5*Constants!$H81*FracLEACHMM*MMLeachEF*NtoN2O*kgtoGg,"ERROR"))</f>
        <v>0.11601556458845022</v>
      </c>
      <c r="AN1201" s="94">
        <f>IF('Net zero activities &amp; levers'!$C$14="Off",Constants!$H63*'Activity data'!BG5*Constants!$H81*FracLEACHMM*MMLeachEF*NtoN2O*kgtoGg,IF('Net zero activities &amp; levers'!$C$14="On",Constants!$H63*'Net zero Activity data'!BG5*Constants!$H81*FracLEACHMM*MMLeachEF*NtoN2O*kgtoGg,"ERROR"))</f>
        <v>0.1180715269808419</v>
      </c>
      <c r="AO1201" s="94">
        <f>IF('Net zero activities &amp; levers'!$C$14="Off",Constants!$H63*'Activity data'!BH5*Constants!$H81*FracLEACHMM*MMLeachEF*NtoN2O*kgtoGg,IF('Net zero activities &amp; levers'!$C$14="On",Constants!$H63*'Net zero Activity data'!BH5*Constants!$H81*FracLEACHMM*MMLeachEF*NtoN2O*kgtoGg,"ERROR"))</f>
        <v>0.12022624785087629</v>
      </c>
      <c r="AP1201" s="94">
        <f>IF('Net zero activities &amp; levers'!$C$14="Off",Constants!$H63*'Activity data'!BI5*Constants!$H81*FracLEACHMM*MMLeachEF*NtoN2O*kgtoGg,IF('Net zero activities &amp; levers'!$C$14="On",Constants!$H63*'Net zero Activity data'!BI5*Constants!$H81*FracLEACHMM*MMLeachEF*NtoN2O*kgtoGg,"ERROR"))</f>
        <v>0.12251950907003291</v>
      </c>
      <c r="AQ1201" s="94">
        <f>IF('Net zero activities &amp; levers'!$C$14="Off",Constants!$H63*'Activity data'!BJ5*Constants!$H81*FracLEACHMM*MMLeachEF*NtoN2O*kgtoGg,IF('Net zero activities &amp; levers'!$C$14="On",Constants!$H63*'Net zero Activity data'!BJ5*Constants!$H81*FracLEACHMM*MMLeachEF*NtoN2O*kgtoGg,"ERROR"))</f>
        <v>0.12488629569373427</v>
      </c>
      <c r="AR1201" s="94">
        <f>IF('Net zero activities &amp; levers'!$C$14="Off",Constants!$H63*'Activity data'!BK5*Constants!$H81*FracLEACHMM*MMLeachEF*NtoN2O*kgtoGg,IF('Net zero activities &amp; levers'!$C$14="On",Constants!$H63*'Net zero Activity data'!BK5*Constants!$H81*FracLEACHMM*MMLeachEF*NtoN2O*kgtoGg,"ERROR"))</f>
        <v>0.12733088961691924</v>
      </c>
      <c r="AS1201" s="94">
        <f>IF('Net zero activities &amp; levers'!$C$14="Off",Constants!$H63*'Activity data'!BL5*Constants!$H81*FracLEACHMM*MMLeachEF*NtoN2O*kgtoGg,IF('Net zero activities &amp; levers'!$C$14="On",Constants!$H63*'Net zero Activity data'!BL5*Constants!$H81*FracLEACHMM*MMLeachEF*NtoN2O*kgtoGg,"ERROR"))</f>
        <v>0.1299285168324007</v>
      </c>
      <c r="AT1201" s="94">
        <f>IF('Net zero activities &amp; levers'!$C$14="Off",Constants!$H63*'Activity data'!BM5*Constants!$H81*FracLEACHMM*MMLeachEF*NtoN2O*kgtoGg,IF('Net zero activities &amp; levers'!$C$14="On",Constants!$H63*'Net zero Activity data'!BM5*Constants!$H81*FracLEACHMM*MMLeachEF*NtoN2O*kgtoGg,"ERROR"))</f>
        <v>0.13265733115300649</v>
      </c>
      <c r="AU1201" s="94">
        <f>IF('Net zero activities &amp; levers'!$C$14="Off",Constants!$H63*'Activity data'!BN5*Constants!$H81*FracLEACHMM*MMLeachEF*NtoN2O*kgtoGg,IF('Net zero activities &amp; levers'!$C$14="On",Constants!$H63*'Net zero Activity data'!BN5*Constants!$H81*FracLEACHMM*MMLeachEF*NtoN2O*kgtoGg,"ERROR"))</f>
        <v>0.1355032537790716</v>
      </c>
      <c r="AV1201" s="94">
        <f>IF('Net zero activities &amp; levers'!$C$14="Off",Constants!$H63*'Activity data'!BO5*Constants!$H81*FracLEACHMM*MMLeachEF*NtoN2O*kgtoGg,IF('Net zero activities &amp; levers'!$C$14="On",Constants!$H63*'Net zero Activity data'!BO5*Constants!$H81*FracLEACHMM*MMLeachEF*NtoN2O*kgtoGg,"ERROR"))</f>
        <v>0.13851756609044491</v>
      </c>
      <c r="AW1201" s="94">
        <f>IF('Net zero activities &amp; levers'!$C$14="Off",Constants!$H63*'Activity data'!BP5*Constants!$H81*FracLEACHMM*MMLeachEF*NtoN2O*kgtoGg,IF('Net zero activities &amp; levers'!$C$14="On",Constants!$H63*'Net zero Activity data'!BP5*Constants!$H81*FracLEACHMM*MMLeachEF*NtoN2O*kgtoGg,"ERROR"))</f>
        <v>0.1414178902191697</v>
      </c>
      <c r="AY1201" s="79"/>
    </row>
    <row r="1202" spans="1:51" x14ac:dyDescent="0.25">
      <c r="A1202" s="95" t="str">
        <f t="shared" si="380"/>
        <v>CM MM Leaching</v>
      </c>
      <c r="B1202" s="95" t="s">
        <v>1321</v>
      </c>
      <c r="C1202" s="95" t="s">
        <v>1332</v>
      </c>
      <c r="D1202" t="s">
        <v>369</v>
      </c>
      <c r="E1202" t="s">
        <v>64</v>
      </c>
      <c r="F1202" t="s">
        <v>63</v>
      </c>
      <c r="G1202" t="s">
        <v>1153</v>
      </c>
      <c r="H1202" t="s">
        <v>1306</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2.6984110087570477E-2</v>
      </c>
      <c r="T1202" s="94">
        <f>IF('Net zero activities &amp; levers'!$C$14="Off",Constants!$H64*'Activity data'!AM6*Constants!$H82*FracLEACHMM*MMLeachEF*NtoN2O*kgtoGg,IF('Net zero activities &amp; levers'!$C$14="On",Constants!$H64*'Net zero Activity data'!AM6*Constants!$H82*FracLEACHMM*MMLeachEF*NtoN2O*kgtoGg,"ERROR"))</f>
        <v>2.7528273085418706E-2</v>
      </c>
      <c r="U1202" s="94">
        <f>IF('Net zero activities &amp; levers'!$C$14="Off",Constants!$H64*'Activity data'!AN6*Constants!$H82*FracLEACHMM*MMLeachEF*NtoN2O*kgtoGg,IF('Net zero activities &amp; levers'!$C$14="On",Constants!$H64*'Net zero Activity data'!AN6*Constants!$H82*FracLEACHMM*MMLeachEF*NtoN2O*kgtoGg,"ERROR"))</f>
        <v>2.7798400630612993E-2</v>
      </c>
      <c r="V1202" s="94">
        <f>IF('Net zero activities &amp; levers'!$C$14="Off",Constants!$H64*'Activity data'!AO6*Constants!$H82*FracLEACHMM*MMLeachEF*NtoN2O*kgtoGg,IF('Net zero activities &amp; levers'!$C$14="On",Constants!$H64*'Net zero Activity data'!AO6*Constants!$H82*FracLEACHMM*MMLeachEF*NtoN2O*kgtoGg,"ERROR"))</f>
        <v>2.786894698072824E-2</v>
      </c>
      <c r="W1202" s="94">
        <f>IF('Net zero activities &amp; levers'!$C$14="Off",Constants!$H64*'Activity data'!AP6*Constants!$H82*FracLEACHMM*MMLeachEF*NtoN2O*kgtoGg,IF('Net zero activities &amp; levers'!$C$14="On",Constants!$H64*'Net zero Activity data'!AP6*Constants!$H82*FracLEACHMM*MMLeachEF*NtoN2O*kgtoGg,"ERROR"))</f>
        <v>2.7969255604963213E-2</v>
      </c>
      <c r="X1202" s="94">
        <f>IF('Net zero activities &amp; levers'!$C$14="Off",Constants!$H64*'Activity data'!AQ6*Constants!$H82*FracLEACHMM*MMLeachEF*NtoN2O*kgtoGg,IF('Net zero activities &amp; levers'!$C$14="On",Constants!$H64*'Net zero Activity data'!AQ6*Constants!$H82*FracLEACHMM*MMLeachEF*NtoN2O*kgtoGg,"ERROR"))</f>
        <v>2.8137574232657669E-2</v>
      </c>
      <c r="Y1202" s="94">
        <f>IF('Net zero activities &amp; levers'!$C$14="Off",Constants!$H64*'Activity data'!AR6*Constants!$H82*FracLEACHMM*MMLeachEF*NtoN2O*kgtoGg,IF('Net zero activities &amp; levers'!$C$14="On",Constants!$H64*'Net zero Activity data'!AR6*Constants!$H82*FracLEACHMM*MMLeachEF*NtoN2O*kgtoGg,"ERROR"))</f>
        <v>2.8359929063430364E-2</v>
      </c>
      <c r="Z1202" s="94">
        <f>IF('Net zero activities &amp; levers'!$C$14="Off",Constants!$H64*'Activity data'!AS6*Constants!$H82*FracLEACHMM*MMLeachEF*NtoN2O*kgtoGg,IF('Net zero activities &amp; levers'!$C$14="On",Constants!$H64*'Net zero Activity data'!AS6*Constants!$H82*FracLEACHMM*MMLeachEF*NtoN2O*kgtoGg,"ERROR"))</f>
        <v>2.8608880082812278E-2</v>
      </c>
      <c r="AA1202" s="94">
        <f>IF('Net zero activities &amp; levers'!$C$14="Off",Constants!$H64*'Activity data'!AT6*Constants!$H82*FracLEACHMM*MMLeachEF*NtoN2O*kgtoGg,IF('Net zero activities &amp; levers'!$C$14="On",Constants!$H64*'Net zero Activity data'!AT6*Constants!$H82*FracLEACHMM*MMLeachEF*NtoN2O*kgtoGg,"ERROR"))</f>
        <v>2.8892267852396274E-2</v>
      </c>
      <c r="AB1202" s="94">
        <f>IF('Net zero activities &amp; levers'!$C$14="Off",Constants!$H64*'Activity data'!AU6*Constants!$H82*FracLEACHMM*MMLeachEF*NtoN2O*kgtoGg,IF('Net zero activities &amp; levers'!$C$14="On",Constants!$H64*'Net zero Activity data'!AU6*Constants!$H82*FracLEACHMM*MMLeachEF*NtoN2O*kgtoGg,"ERROR"))</f>
        <v>2.9234390091896226E-2</v>
      </c>
      <c r="AC1202" s="94">
        <f>IF('Net zero activities &amp; levers'!$C$14="Off",Constants!$H64*'Activity data'!AV6*Constants!$H82*FracLEACHMM*MMLeachEF*NtoN2O*kgtoGg,IF('Net zero activities &amp; levers'!$C$14="On",Constants!$H64*'Net zero Activity data'!AV6*Constants!$H82*FracLEACHMM*MMLeachEF*NtoN2O*kgtoGg,"ERROR"))</f>
        <v>2.9633259360555886E-2</v>
      </c>
      <c r="AD1202" s="94">
        <f>IF('Net zero activities &amp; levers'!$C$14="Off",Constants!$H64*'Activity data'!AW6*Constants!$H82*FracLEACHMM*MMLeachEF*NtoN2O*kgtoGg,IF('Net zero activities &amp; levers'!$C$14="On",Constants!$H64*'Net zero Activity data'!AW6*Constants!$H82*FracLEACHMM*MMLeachEF*NtoN2O*kgtoGg,"ERROR"))</f>
        <v>3.0067394299210185E-2</v>
      </c>
      <c r="AE1202" s="94">
        <f>IF('Net zero activities &amp; levers'!$C$14="Off",Constants!$H64*'Activity data'!AX6*Constants!$H82*FracLEACHMM*MMLeachEF*NtoN2O*kgtoGg,IF('Net zero activities &amp; levers'!$C$14="On",Constants!$H64*'Net zero Activity data'!AX6*Constants!$H82*FracLEACHMM*MMLeachEF*NtoN2O*kgtoGg,"ERROR"))</f>
        <v>3.0536402543105565E-2</v>
      </c>
      <c r="AF1202" s="94">
        <f>IF('Net zero activities &amp; levers'!$C$14="Off",Constants!$H64*'Activity data'!AY6*Constants!$H82*FracLEACHMM*MMLeachEF*NtoN2O*kgtoGg,IF('Net zero activities &amp; levers'!$C$14="On",Constants!$H64*'Net zero Activity data'!AY6*Constants!$H82*FracLEACHMM*MMLeachEF*NtoN2O*kgtoGg,"ERROR"))</f>
        <v>3.102838252359965E-2</v>
      </c>
      <c r="AG1202" s="94">
        <f>IF('Net zero activities &amp; levers'!$C$14="Off",Constants!$H64*'Activity data'!AZ6*Constants!$H82*FracLEACHMM*MMLeachEF*NtoN2O*kgtoGg,IF('Net zero activities &amp; levers'!$C$14="On",Constants!$H64*'Net zero Activity data'!AZ6*Constants!$H82*FracLEACHMM*MMLeachEF*NtoN2O*kgtoGg,"ERROR"))</f>
        <v>3.1548836944488824E-2</v>
      </c>
      <c r="AH1202" s="94">
        <f>IF('Net zero activities &amp; levers'!$C$14="Off",Constants!$H64*'Activity data'!BA6*Constants!$H82*FracLEACHMM*MMLeachEF*NtoN2O*kgtoGg,IF('Net zero activities &amp; levers'!$C$14="On",Constants!$H64*'Net zero Activity data'!BA6*Constants!$H82*FracLEACHMM*MMLeachEF*NtoN2O*kgtoGg,"ERROR"))</f>
        <v>3.2092414390921906E-2</v>
      </c>
      <c r="AI1202" s="94">
        <f>IF('Net zero activities &amp; levers'!$C$14="Off",Constants!$H64*'Activity data'!BB6*Constants!$H82*FracLEACHMM*MMLeachEF*NtoN2O*kgtoGg,IF('Net zero activities &amp; levers'!$C$14="On",Constants!$H64*'Net zero Activity data'!BB6*Constants!$H82*FracLEACHMM*MMLeachEF*NtoN2O*kgtoGg,"ERROR"))</f>
        <v>3.2638168544515178E-2</v>
      </c>
      <c r="AJ1202" s="94">
        <f>IF('Net zero activities &amp; levers'!$C$14="Off",Constants!$H64*'Activity data'!BC6*Constants!$H82*FracLEACHMM*MMLeachEF*NtoN2O*kgtoGg,IF('Net zero activities &amp; levers'!$C$14="On",Constants!$H64*'Net zero Activity data'!BC6*Constants!$H82*FracLEACHMM*MMLeachEF*NtoN2O*kgtoGg,"ERROR"))</f>
        <v>3.3216796719561036E-2</v>
      </c>
      <c r="AK1202" s="94">
        <f>IF('Net zero activities &amp; levers'!$C$14="Off",Constants!$H64*'Activity data'!BD6*Constants!$H82*FracLEACHMM*MMLeachEF*NtoN2O*kgtoGg,IF('Net zero activities &amp; levers'!$C$14="On",Constants!$H64*'Net zero Activity data'!BD6*Constants!$H82*FracLEACHMM*MMLeachEF*NtoN2O*kgtoGg,"ERROR"))</f>
        <v>3.3808071839473604E-2</v>
      </c>
      <c r="AL1202" s="94">
        <f>IF('Net zero activities &amp; levers'!$C$14="Off",Constants!$H64*'Activity data'!BE6*Constants!$H82*FracLEACHMM*MMLeachEF*NtoN2O*kgtoGg,IF('Net zero activities &amp; levers'!$C$14="On",Constants!$H64*'Net zero Activity data'!BE6*Constants!$H82*FracLEACHMM*MMLeachEF*NtoN2O*kgtoGg,"ERROR"))</f>
        <v>3.4410490100798045E-2</v>
      </c>
      <c r="AM1202" s="94">
        <f>IF('Net zero activities &amp; levers'!$C$14="Off",Constants!$H64*'Activity data'!BF6*Constants!$H82*FracLEACHMM*MMLeachEF*NtoN2O*kgtoGg,IF('Net zero activities &amp; levers'!$C$14="On",Constants!$H64*'Net zero Activity data'!BF6*Constants!$H82*FracLEACHMM*MMLeachEF*NtoN2O*kgtoGg,"ERROR"))</f>
        <v>3.5033757187775863E-2</v>
      </c>
      <c r="AN1202" s="94">
        <f>IF('Net zero activities &amp; levers'!$C$14="Off",Constants!$H64*'Activity data'!BG6*Constants!$H82*FracLEACHMM*MMLeachEF*NtoN2O*kgtoGg,IF('Net zero activities &amp; levers'!$C$14="On",Constants!$H64*'Net zero Activity data'!BG6*Constants!$H82*FracLEACHMM*MMLeachEF*NtoN2O*kgtoGg,"ERROR"))</f>
        <v>3.5654605670458001E-2</v>
      </c>
      <c r="AO1202" s="94">
        <f>IF('Net zero activities &amp; levers'!$C$14="Off",Constants!$H64*'Activity data'!BH6*Constants!$H82*FracLEACHMM*MMLeachEF*NtoN2O*kgtoGg,IF('Net zero activities &amp; levers'!$C$14="On",Constants!$H64*'Net zero Activity data'!BH6*Constants!$H82*FracLEACHMM*MMLeachEF*NtoN2O*kgtoGg,"ERROR"))</f>
        <v>3.6305276707883034E-2</v>
      </c>
      <c r="AP1202" s="94">
        <f>IF('Net zero activities &amp; levers'!$C$14="Off",Constants!$H64*'Activity data'!BI6*Constants!$H82*FracLEACHMM*MMLeachEF*NtoN2O*kgtoGg,IF('Net zero activities &amp; levers'!$C$14="On",Constants!$H64*'Net zero Activity data'!BI6*Constants!$H82*FracLEACHMM*MMLeachEF*NtoN2O*kgtoGg,"ERROR"))</f>
        <v>3.699778341597066E-2</v>
      </c>
      <c r="AQ1202" s="94">
        <f>IF('Net zero activities &amp; levers'!$C$14="Off",Constants!$H64*'Activity data'!BJ6*Constants!$H82*FracLEACHMM*MMLeachEF*NtoN2O*kgtoGg,IF('Net zero activities &amp; levers'!$C$14="On",Constants!$H64*'Net zero Activity data'!BJ6*Constants!$H82*FracLEACHMM*MMLeachEF*NtoN2O*kgtoGg,"ERROR"))</f>
        <v>3.7712492930889352E-2</v>
      </c>
      <c r="AR1202" s="94">
        <f>IF('Net zero activities &amp; levers'!$C$14="Off",Constants!$H64*'Activity data'!BK6*Constants!$H82*FracLEACHMM*MMLeachEF*NtoN2O*kgtoGg,IF('Net zero activities &amp; levers'!$C$14="On",Constants!$H64*'Net zero Activity data'!BK6*Constants!$H82*FracLEACHMM*MMLeachEF*NtoN2O*kgtoGg,"ERROR"))</f>
        <v>3.8450698276278859E-2</v>
      </c>
      <c r="AS1202" s="94">
        <f>IF('Net zero activities &amp; levers'!$C$14="Off",Constants!$H64*'Activity data'!BL6*Constants!$H82*FracLEACHMM*MMLeachEF*NtoN2O*kgtoGg,IF('Net zero activities &amp; levers'!$C$14="On",Constants!$H64*'Net zero Activity data'!BL6*Constants!$H82*FracLEACHMM*MMLeachEF*NtoN2O*kgtoGg,"ERROR"))</f>
        <v>3.9235115793483218E-2</v>
      </c>
      <c r="AT1202" s="94">
        <f>IF('Net zero activities &amp; levers'!$C$14="Off",Constants!$H64*'Activity data'!BM6*Constants!$H82*FracLEACHMM*MMLeachEF*NtoN2O*kgtoGg,IF('Net zero activities &amp; levers'!$C$14="On",Constants!$H64*'Net zero Activity data'!BM6*Constants!$H82*FracLEACHMM*MMLeachEF*NtoN2O*kgtoGg,"ERROR"))</f>
        <v>4.0059148488214832E-2</v>
      </c>
      <c r="AU1202" s="94">
        <f>IF('Net zero activities &amp; levers'!$C$14="Off",Constants!$H64*'Activity data'!BN6*Constants!$H82*FracLEACHMM*MMLeachEF*NtoN2O*kgtoGg,IF('Net zero activities &amp; levers'!$C$14="On",Constants!$H64*'Net zero Activity data'!BN6*Constants!$H82*FracLEACHMM*MMLeachEF*NtoN2O*kgtoGg,"ERROR"))</f>
        <v>4.0918544920154343E-2</v>
      </c>
      <c r="AV1202" s="94">
        <f>IF('Net zero activities &amp; levers'!$C$14="Off",Constants!$H64*'Activity data'!BO6*Constants!$H82*FracLEACHMM*MMLeachEF*NtoN2O*kgtoGg,IF('Net zero activities &amp; levers'!$C$14="On",Constants!$H64*'Net zero Activity data'!BO6*Constants!$H82*FracLEACHMM*MMLeachEF*NtoN2O*kgtoGg,"ERROR"))</f>
        <v>4.1828790765006174E-2</v>
      </c>
      <c r="AW1202" s="94">
        <f>IF('Net zero activities &amp; levers'!$C$14="Off",Constants!$H64*'Activity data'!BP6*Constants!$H82*FracLEACHMM*MMLeachEF*NtoN2O*kgtoGg,IF('Net zero activities &amp; levers'!$C$14="On",Constants!$H64*'Net zero Activity data'!BP6*Constants!$H82*FracLEACHMM*MMLeachEF*NtoN2O*kgtoGg,"ERROR"))</f>
        <v>4.2704615070581362E-2</v>
      </c>
      <c r="AY1202" s="79"/>
    </row>
    <row r="1203" spans="1:51" x14ac:dyDescent="0.25">
      <c r="A1203" s="95" t="str">
        <f t="shared" si="380"/>
        <v>CM MM Leaching</v>
      </c>
      <c r="B1203" s="95" t="s">
        <v>1321</v>
      </c>
      <c r="C1203" s="95" t="s">
        <v>1332</v>
      </c>
      <c r="D1203" t="s">
        <v>369</v>
      </c>
      <c r="E1203" t="s">
        <v>64</v>
      </c>
      <c r="F1203" t="s">
        <v>63</v>
      </c>
      <c r="G1203" t="s">
        <v>1155</v>
      </c>
      <c r="H1203" t="s">
        <v>1307</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1.4507655471540646E-3</v>
      </c>
      <c r="T1203" s="94">
        <f>IF('Net zero activities &amp; levers'!$C$14="Off",Constants!$H65*'Activity data'!AM7*Constants!$H83*FracLEACHMM*MMLeachEF*NtoN2O*kgtoGg,IF('Net zero activities &amp; levers'!$C$14="On",Constants!$H65*'Net zero Activity data'!AM7*Constants!$H83*FracLEACHMM*MMLeachEF*NtoN2O*kgtoGg,"ERROR"))</f>
        <v>1.4800217622655623E-3</v>
      </c>
      <c r="U1203" s="94">
        <f>IF('Net zero activities &amp; levers'!$C$14="Off",Constants!$H65*'Activity data'!AN7*Constants!$H83*FracLEACHMM*MMLeachEF*NtoN2O*kgtoGg,IF('Net zero activities &amp; levers'!$C$14="On",Constants!$H65*'Net zero Activity data'!AN7*Constants!$H83*FracLEACHMM*MMLeachEF*NtoN2O*kgtoGg,"ERROR"))</f>
        <v>1.4945448180429578E-3</v>
      </c>
      <c r="V1203" s="94">
        <f>IF('Net zero activities &amp; levers'!$C$14="Off",Constants!$H65*'Activity data'!AO7*Constants!$H83*FracLEACHMM*MMLeachEF*NtoN2O*kgtoGg,IF('Net zero activities &amp; levers'!$C$14="On",Constants!$H65*'Net zero Activity data'!AO7*Constants!$H83*FracLEACHMM*MMLeachEF*NtoN2O*kgtoGg,"ERROR"))</f>
        <v>1.4983376507097578E-3</v>
      </c>
      <c r="W1203" s="94">
        <f>IF('Net zero activities &amp; levers'!$C$14="Off",Constants!$H65*'Activity data'!AP7*Constants!$H83*FracLEACHMM*MMLeachEF*NtoN2O*kgtoGg,IF('Net zero activities &amp; levers'!$C$14="On",Constants!$H65*'Net zero Activity data'!AP7*Constants!$H83*FracLEACHMM*MMLeachEF*NtoN2O*kgtoGg,"ERROR"))</f>
        <v>1.5037306132958967E-3</v>
      </c>
      <c r="X1203" s="94">
        <f>IF('Net zero activities &amp; levers'!$C$14="Off",Constants!$H65*'Activity data'!AQ7*Constants!$H83*FracLEACHMM*MMLeachEF*NtoN2O*kgtoGg,IF('Net zero activities &amp; levers'!$C$14="On",Constants!$H65*'Net zero Activity data'!AQ7*Constants!$H83*FracLEACHMM*MMLeachEF*NtoN2O*kgtoGg,"ERROR"))</f>
        <v>1.5127800451730611E-3</v>
      </c>
      <c r="Y1203" s="94">
        <f>IF('Net zero activities &amp; levers'!$C$14="Off",Constants!$H65*'Activity data'!AR7*Constants!$H83*FracLEACHMM*MMLeachEF*NtoN2O*kgtoGg,IF('Net zero activities &amp; levers'!$C$14="On",Constants!$H65*'Net zero Activity data'!AR7*Constants!$H83*FracLEACHMM*MMLeachEF*NtoN2O*kgtoGg,"ERROR"))</f>
        <v>1.5247346631568088E-3</v>
      </c>
      <c r="Z1203" s="94">
        <f>IF('Net zero activities &amp; levers'!$C$14="Off",Constants!$H65*'Activity data'!AS7*Constants!$H83*FracLEACHMM*MMLeachEF*NtoN2O*kgtoGg,IF('Net zero activities &amp; levers'!$C$14="On",Constants!$H65*'Net zero Activity data'!AS7*Constants!$H83*FracLEACHMM*MMLeachEF*NtoN2O*kgtoGg,"ERROR"))</f>
        <v>1.5381191905944778E-3</v>
      </c>
      <c r="AA1203" s="94">
        <f>IF('Net zero activities &amp; levers'!$C$14="Off",Constants!$H65*'Activity data'!AT7*Constants!$H83*FracLEACHMM*MMLeachEF*NtoN2O*kgtoGg,IF('Net zero activities &amp; levers'!$C$14="On",Constants!$H65*'Net zero Activity data'!AT7*Constants!$H83*FracLEACHMM*MMLeachEF*NtoN2O*kgtoGg,"ERROR"))</f>
        <v>1.5533551650721636E-3</v>
      </c>
      <c r="AB1203" s="94">
        <f>IF('Net zero activities &amp; levers'!$C$14="Off",Constants!$H65*'Activity data'!AU7*Constants!$H83*FracLEACHMM*MMLeachEF*NtoN2O*kgtoGg,IF('Net zero activities &amp; levers'!$C$14="On",Constants!$H65*'Net zero Activity data'!AU7*Constants!$H83*FracLEACHMM*MMLeachEF*NtoN2O*kgtoGg,"ERROR"))</f>
        <v>1.5717489218560997E-3</v>
      </c>
      <c r="AC1203" s="94">
        <f>IF('Net zero activities &amp; levers'!$C$14="Off",Constants!$H65*'Activity data'!AV7*Constants!$H83*FracLEACHMM*MMLeachEF*NtoN2O*kgtoGg,IF('Net zero activities &amp; levers'!$C$14="On",Constants!$H65*'Net zero Activity data'!AV7*Constants!$H83*FracLEACHMM*MMLeachEF*NtoN2O*kgtoGg,"ERROR"))</f>
        <v>1.5931936087815548E-3</v>
      </c>
      <c r="AD1203" s="94">
        <f>IF('Net zero activities &amp; levers'!$C$14="Off",Constants!$H65*'Activity data'!AW7*Constants!$H83*FracLEACHMM*MMLeachEF*NtoN2O*kgtoGg,IF('Net zero activities &amp; levers'!$C$14="On",Constants!$H65*'Net zero Activity data'!AW7*Constants!$H83*FracLEACHMM*MMLeachEF*NtoN2O*kgtoGg,"ERROR"))</f>
        <v>1.6165343085404703E-3</v>
      </c>
      <c r="AE1203" s="94">
        <f>IF('Net zero activities &amp; levers'!$C$14="Off",Constants!$H65*'Activity data'!AX7*Constants!$H83*FracLEACHMM*MMLeachEF*NtoN2O*kgtoGg,IF('Net zero activities &amp; levers'!$C$14="On",Constants!$H65*'Net zero Activity data'!AX7*Constants!$H83*FracLEACHMM*MMLeachEF*NtoN2O*kgtoGg,"ERROR"))</f>
        <v>1.641749926152706E-3</v>
      </c>
      <c r="AF1203" s="94">
        <f>IF('Net zero activities &amp; levers'!$C$14="Off",Constants!$H65*'Activity data'!AY7*Constants!$H83*FracLEACHMM*MMLeachEF*NtoN2O*kgtoGg,IF('Net zero activities &amp; levers'!$C$14="On",Constants!$H65*'Net zero Activity data'!AY7*Constants!$H83*FracLEACHMM*MMLeachEF*NtoN2O*kgtoGg,"ERROR"))</f>
        <v>1.6682005892753381E-3</v>
      </c>
      <c r="AG1203" s="94">
        <f>IF('Net zero activities &amp; levers'!$C$14="Off",Constants!$H65*'Activity data'!AZ7*Constants!$H83*FracLEACHMM*MMLeachEF*NtoN2O*kgtoGg,IF('Net zero activities &amp; levers'!$C$14="On",Constants!$H65*'Net zero Activity data'!AZ7*Constants!$H83*FracLEACHMM*MMLeachEF*NtoN2O*kgtoGg,"ERROR"))</f>
        <v>1.6961821436137869E-3</v>
      </c>
      <c r="AH1203" s="94">
        <f>IF('Net zero activities &amp; levers'!$C$14="Off",Constants!$H65*'Activity data'!BA7*Constants!$H83*FracLEACHMM*MMLeachEF*NtoN2O*kgtoGg,IF('Net zero activities &amp; levers'!$C$14="On",Constants!$H65*'Net zero Activity data'!BA7*Constants!$H83*FracLEACHMM*MMLeachEF*NtoN2O*kgtoGg,"ERROR"))</f>
        <v>1.7254068773158021E-3</v>
      </c>
      <c r="AI1203" s="94">
        <f>IF('Net zero activities &amp; levers'!$C$14="Off",Constants!$H65*'Activity data'!BB7*Constants!$H83*FracLEACHMM*MMLeachEF*NtoN2O*kgtoGg,IF('Net zero activities &amp; levers'!$C$14="On",Constants!$H65*'Net zero Activity data'!BB7*Constants!$H83*FracLEACHMM*MMLeachEF*NtoN2O*kgtoGg,"ERROR"))</f>
        <v>1.7547486388443409E-3</v>
      </c>
      <c r="AJ1203" s="94">
        <f>IF('Net zero activities &amp; levers'!$C$14="Off",Constants!$H65*'Activity data'!BC7*Constants!$H83*FracLEACHMM*MMLeachEF*NtoN2O*kgtoGg,IF('Net zero activities &amp; levers'!$C$14="On",Constants!$H65*'Net zero Activity data'!BC7*Constants!$H83*FracLEACHMM*MMLeachEF*NtoN2O*kgtoGg,"ERROR"))</f>
        <v>1.785857829336261E-3</v>
      </c>
      <c r="AK1203" s="94">
        <f>IF('Net zero activities &amp; levers'!$C$14="Off",Constants!$H65*'Activity data'!BD7*Constants!$H83*FracLEACHMM*MMLeachEF*NtoN2O*kgtoGg,IF('Net zero activities &amp; levers'!$C$14="On",Constants!$H65*'Net zero Activity data'!BD7*Constants!$H83*FracLEACHMM*MMLeachEF*NtoN2O*kgtoGg,"ERROR"))</f>
        <v>1.81764696635337E-3</v>
      </c>
      <c r="AL1203" s="94">
        <f>IF('Net zero activities &amp; levers'!$C$14="Off",Constants!$H65*'Activity data'!BE7*Constants!$H83*FracLEACHMM*MMLeachEF*NtoN2O*kgtoGg,IF('Net zero activities &amp; levers'!$C$14="On",Constants!$H65*'Net zero Activity data'!BE7*Constants!$H83*FracLEACHMM*MMLeachEF*NtoN2O*kgtoGg,"ERROR"))</f>
        <v>1.8500351998607825E-3</v>
      </c>
      <c r="AM1203" s="94">
        <f>IF('Net zero activities &amp; levers'!$C$14="Off",Constants!$H65*'Activity data'!BF7*Constants!$H83*FracLEACHMM*MMLeachEF*NtoN2O*kgtoGg,IF('Net zero activities &amp; levers'!$C$14="On",Constants!$H65*'Net zero Activity data'!BF7*Constants!$H83*FracLEACHMM*MMLeachEF*NtoN2O*kgtoGg,"ERROR"))</f>
        <v>1.88354434333552E-3</v>
      </c>
      <c r="AN1203" s="94">
        <f>IF('Net zero activities &amp; levers'!$C$14="Off",Constants!$H65*'Activity data'!BG7*Constants!$H83*FracLEACHMM*MMLeachEF*NtoN2O*kgtoGg,IF('Net zero activities &amp; levers'!$C$14="On",Constants!$H65*'Net zero Activity data'!BG7*Constants!$H83*FracLEACHMM*MMLeachEF*NtoN2O*kgtoGg,"ERROR"))</f>
        <v>1.9169234536991781E-3</v>
      </c>
      <c r="AO1203" s="94">
        <f>IF('Net zero activities &amp; levers'!$C$14="Off",Constants!$H65*'Activity data'!BH7*Constants!$H83*FracLEACHMM*MMLeachEF*NtoN2O*kgtoGg,IF('Net zero activities &amp; levers'!$C$14="On",Constants!$H65*'Net zero Activity data'!BH7*Constants!$H83*FracLEACHMM*MMLeachEF*NtoN2O*kgtoGg,"ERROR"))</f>
        <v>1.9519059348913977E-3</v>
      </c>
      <c r="AP1203" s="94">
        <f>IF('Net zero activities &amp; levers'!$C$14="Off",Constants!$H65*'Activity data'!BI7*Constants!$H83*FracLEACHMM*MMLeachEF*NtoN2O*kgtoGg,IF('Net zero activities &amp; levers'!$C$14="On",Constants!$H65*'Net zero Activity data'!BI7*Constants!$H83*FracLEACHMM*MMLeachEF*NtoN2O*kgtoGg,"ERROR"))</f>
        <v>1.9891376564492419E-3</v>
      </c>
      <c r="AQ1203" s="94">
        <f>IF('Net zero activities &amp; levers'!$C$14="Off",Constants!$H65*'Activity data'!BJ7*Constants!$H83*FracLEACHMM*MMLeachEF*NtoN2O*kgtoGg,IF('Net zero activities &amp; levers'!$C$14="On",Constants!$H65*'Net zero Activity data'!BJ7*Constants!$H83*FracLEACHMM*MMLeachEF*NtoN2O*kgtoGg,"ERROR"))</f>
        <v>2.0275630830096244E-3</v>
      </c>
      <c r="AR1203" s="94">
        <f>IF('Net zero activities &amp; levers'!$C$14="Off",Constants!$H65*'Activity data'!BK7*Constants!$H83*FracLEACHMM*MMLeachEF*NtoN2O*kgtoGg,IF('Net zero activities &amp; levers'!$C$14="On",Constants!$H65*'Net zero Activity data'!BK7*Constants!$H83*FracLEACHMM*MMLeachEF*NtoN2O*kgtoGg,"ERROR"))</f>
        <v>2.0672517323050989E-3</v>
      </c>
      <c r="AS1203" s="94">
        <f>IF('Net zero activities &amp; levers'!$C$14="Off",Constants!$H65*'Activity data'!BL7*Constants!$H83*FracLEACHMM*MMLeachEF*NtoN2O*kgtoGg,IF('Net zero activities &amp; levers'!$C$14="On",Constants!$H65*'Net zero Activity data'!BL7*Constants!$H83*FracLEACHMM*MMLeachEF*NtoN2O*kgtoGg,"ERROR"))</f>
        <v>2.1094249188527039E-3</v>
      </c>
      <c r="AT1203" s="94">
        <f>IF('Net zero activities &amp; levers'!$C$14="Off",Constants!$H65*'Activity data'!BM7*Constants!$H83*FracLEACHMM*MMLeachEF*NtoN2O*kgtoGg,IF('Net zero activities &amp; levers'!$C$14="On",Constants!$H65*'Net zero Activity data'!BM7*Constants!$H83*FracLEACHMM*MMLeachEF*NtoN2O*kgtoGg,"ERROR"))</f>
        <v>2.1537279638434597E-3</v>
      </c>
      <c r="AU1203" s="94">
        <f>IF('Net zero activities &amp; levers'!$C$14="Off",Constants!$H65*'Activity data'!BN7*Constants!$H83*FracLEACHMM*MMLeachEF*NtoN2O*kgtoGg,IF('Net zero activities &amp; levers'!$C$14="On",Constants!$H65*'Net zero Activity data'!BN7*Constants!$H83*FracLEACHMM*MMLeachEF*NtoN2O*kgtoGg,"ERROR"))</f>
        <v>2.1999322941237188E-3</v>
      </c>
      <c r="AV1203" s="94">
        <f>IF('Net zero activities &amp; levers'!$C$14="Off",Constants!$H65*'Activity data'!BO7*Constants!$H83*FracLEACHMM*MMLeachEF*NtoN2O*kgtoGg,IF('Net zero activities &amp; levers'!$C$14="On",Constants!$H65*'Net zero Activity data'!BO7*Constants!$H83*FracLEACHMM*MMLeachEF*NtoN2O*kgtoGg,"ERROR"))</f>
        <v>2.2488704768863013E-3</v>
      </c>
      <c r="AW1203" s="94">
        <f>IF('Net zero activities &amp; levers'!$C$14="Off",Constants!$H65*'Activity data'!BP7*Constants!$H83*FracLEACHMM*MMLeachEF*NtoN2O*kgtoGg,IF('Net zero activities &amp; levers'!$C$14="On",Constants!$H65*'Net zero Activity data'!BP7*Constants!$H83*FracLEACHMM*MMLeachEF*NtoN2O*kgtoGg,"ERROR"))</f>
        <v>2.2959580304044692E-3</v>
      </c>
      <c r="AY1203" s="79"/>
    </row>
    <row r="1204" spans="1:51" x14ac:dyDescent="0.25">
      <c r="A1204" s="95" t="str">
        <f t="shared" si="380"/>
        <v>CM MM Leaching</v>
      </c>
      <c r="B1204" s="95" t="s">
        <v>1321</v>
      </c>
      <c r="C1204" s="95" t="s">
        <v>1332</v>
      </c>
      <c r="D1204" t="s">
        <v>369</v>
      </c>
      <c r="E1204" t="s">
        <v>64</v>
      </c>
      <c r="F1204" t="s">
        <v>63</v>
      </c>
      <c r="G1204" t="s">
        <v>1157</v>
      </c>
      <c r="H1204" t="s">
        <v>1308</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2.9940162837193186E-2</v>
      </c>
      <c r="N1204" s="94">
        <f>IF('Net zero activities &amp; levers'!$C$14="Off",Constants!$H66*'Activity data'!AG8*Constants!$H84*FracLEACHMM*MMLeachEF*NtoN2O*kgtoGg,IF('Net zero activities &amp; levers'!$C$14="On",Constants!$H66*'Net zero Activity data'!AG8*Constants!$H84*FracLEACHMM*MMLeachEF*NtoN2O*kgtoGg,"ERROR"))</f>
        <v>2.9540351153331298E-2</v>
      </c>
      <c r="O1204" s="94">
        <f>IF('Net zero activities &amp; levers'!$C$14="Off",Constants!$H66*'Activity data'!AH8*Constants!$H84*FracLEACHMM*MMLeachEF*NtoN2O*kgtoGg,IF('Net zero activities &amp; levers'!$C$14="On",Constants!$H66*'Net zero Activity data'!AH8*Constants!$H84*FracLEACHMM*MMLeachEF*NtoN2O*kgtoGg,"ERROR"))</f>
        <v>2.8960014730128842E-2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2.416485344196681E-2</v>
      </c>
      <c r="T1204" s="94">
        <f>IF('Net zero activities &amp; levers'!$C$14="Off",Constants!$H66*'Activity data'!AM8*Constants!$H84*FracLEACHMM*MMLeachEF*NtoN2O*kgtoGg,IF('Net zero activities &amp; levers'!$C$14="On",Constants!$H66*'Net zero Activity data'!AM8*Constants!$H84*FracLEACHMM*MMLeachEF*NtoN2O*kgtoGg,"ERROR"))</f>
        <v>2.5320182377840249E-2</v>
      </c>
      <c r="U1204" s="94">
        <f>IF('Net zero activities &amp; levers'!$C$14="Off",Constants!$H66*'Activity data'!AN8*Constants!$H84*FracLEACHMM*MMLeachEF*NtoN2O*kgtoGg,IF('Net zero activities &amp; levers'!$C$14="On",Constants!$H66*'Net zero Activity data'!AN8*Constants!$H84*FracLEACHMM*MMLeachEF*NtoN2O*kgtoGg,"ERROR"))</f>
        <v>2.5720157477778727E-2</v>
      </c>
      <c r="V1204" s="94">
        <f>IF('Net zero activities &amp; levers'!$C$14="Off",Constants!$H66*'Activity data'!AO8*Constants!$H84*FracLEACHMM*MMLeachEF*NtoN2O*kgtoGg,IF('Net zero activities &amp; levers'!$C$14="On",Constants!$H66*'Net zero Activity data'!AO8*Constants!$H84*FracLEACHMM*MMLeachEF*NtoN2O*kgtoGg,"ERROR"))</f>
        <v>2.5546462223035794E-2</v>
      </c>
      <c r="W1204" s="94">
        <f>IF('Net zero activities &amp; levers'!$C$14="Off",Constants!$H66*'Activity data'!AP8*Constants!$H84*FracLEACHMM*MMLeachEF*NtoN2O*kgtoGg,IF('Net zero activities &amp; levers'!$C$14="On",Constants!$H66*'Net zero Activity data'!AP8*Constants!$H84*FracLEACHMM*MMLeachEF*NtoN2O*kgtoGg,"ERROR"))</f>
        <v>2.5405173363708521E-2</v>
      </c>
      <c r="X1204" s="94">
        <f>IF('Net zero activities &amp; levers'!$C$14="Off",Constants!$H66*'Activity data'!AQ8*Constants!$H84*FracLEACHMM*MMLeachEF*NtoN2O*kgtoGg,IF('Net zero activities &amp; levers'!$C$14="On",Constants!$H66*'Net zero Activity data'!AQ8*Constants!$H84*FracLEACHMM*MMLeachEF*NtoN2O*kgtoGg,"ERROR"))</f>
        <v>2.5414454482957191E-2</v>
      </c>
      <c r="Y1204" s="94">
        <f>IF('Net zero activities &amp; levers'!$C$14="Off",Constants!$H66*'Activity data'!AR8*Constants!$H84*FracLEACHMM*MMLeachEF*NtoN2O*kgtoGg,IF('Net zero activities &amp; levers'!$C$14="On",Constants!$H66*'Net zero Activity data'!AR8*Constants!$H84*FracLEACHMM*MMLeachEF*NtoN2O*kgtoGg,"ERROR"))</f>
        <v>2.5563690103476349E-2</v>
      </c>
      <c r="Z1204" s="94">
        <f>IF('Net zero activities &amp; levers'!$C$14="Off",Constants!$H66*'Activity data'!AS8*Constants!$H84*FracLEACHMM*MMLeachEF*NtoN2O*kgtoGg,IF('Net zero activities &amp; levers'!$C$14="On",Constants!$H66*'Net zero Activity data'!AS8*Constants!$H84*FracLEACHMM*MMLeachEF*NtoN2O*kgtoGg,"ERROR"))</f>
        <v>2.5775445206678543E-2</v>
      </c>
      <c r="AA1204" s="94">
        <f>IF('Net zero activities &amp; levers'!$C$14="Off",Constants!$H66*'Activity data'!AT8*Constants!$H84*FracLEACHMM*MMLeachEF*NtoN2O*kgtoGg,IF('Net zero activities &amp; levers'!$C$14="On",Constants!$H66*'Net zero Activity data'!AT8*Constants!$H84*FracLEACHMM*MMLeachEF*NtoN2O*kgtoGg,"ERROR"))</f>
        <v>2.6066776415666827E-2</v>
      </c>
      <c r="AB1204" s="94">
        <f>IF('Net zero activities &amp; levers'!$C$14="Off",Constants!$H66*'Activity data'!AU8*Constants!$H84*FracLEACHMM*MMLeachEF*NtoN2O*kgtoGg,IF('Net zero activities &amp; levers'!$C$14="On",Constants!$H66*'Net zero Activity data'!AU8*Constants!$H84*FracLEACHMM*MMLeachEF*NtoN2O*kgtoGg,"ERROR"))</f>
        <v>2.6493519467488225E-2</v>
      </c>
      <c r="AC1204" s="94">
        <f>IF('Net zero activities &amp; levers'!$C$14="Off",Constants!$H66*'Activity data'!AV8*Constants!$H84*FracLEACHMM*MMLeachEF*NtoN2O*kgtoGg,IF('Net zero activities &amp; levers'!$C$14="On",Constants!$H66*'Net zero Activity data'!AV8*Constants!$H84*FracLEACHMM*MMLeachEF*NtoN2O*kgtoGg,"ERROR"))</f>
        <v>2.7043622150726768E-2</v>
      </c>
      <c r="AD1204" s="94">
        <f>IF('Net zero activities &amp; levers'!$C$14="Off",Constants!$H66*'Activity data'!AW8*Constants!$H84*FracLEACHMM*MMLeachEF*NtoN2O*kgtoGg,IF('Net zero activities &amp; levers'!$C$14="On",Constants!$H66*'Net zero Activity data'!AW8*Constants!$H84*FracLEACHMM*MMLeachEF*NtoN2O*kgtoGg,"ERROR"))</f>
        <v>2.7427151031194422E-2</v>
      </c>
      <c r="AE1204" s="94">
        <f>IF('Net zero activities &amp; levers'!$C$14="Off",Constants!$H66*'Activity data'!AX8*Constants!$H84*FracLEACHMM*MMLeachEF*NtoN2O*kgtoGg,IF('Net zero activities &amp; levers'!$C$14="On",Constants!$H66*'Net zero Activity data'!AX8*Constants!$H84*FracLEACHMM*MMLeachEF*NtoN2O*kgtoGg,"ERROR"))</f>
        <v>2.7855985588875625E-2</v>
      </c>
      <c r="AF1204" s="94">
        <f>IF('Net zero activities &amp; levers'!$C$14="Off",Constants!$H66*'Activity data'!AY8*Constants!$H84*FracLEACHMM*MMLeachEF*NtoN2O*kgtoGg,IF('Net zero activities &amp; levers'!$C$14="On",Constants!$H66*'Net zero Activity data'!AY8*Constants!$H84*FracLEACHMM*MMLeachEF*NtoN2O*kgtoGg,"ERROR"))</f>
        <v>2.8297808294208047E-2</v>
      </c>
      <c r="AG1204" s="94">
        <f>IF('Net zero activities &amp; levers'!$C$14="Off",Constants!$H66*'Activity data'!AZ8*Constants!$H84*FracLEACHMM*MMLeachEF*NtoN2O*kgtoGg,IF('Net zero activities &amp; levers'!$C$14="On",Constants!$H66*'Net zero Activity data'!AZ8*Constants!$H84*FracLEACHMM*MMLeachEF*NtoN2O*kgtoGg,"ERROR"))</f>
        <v>2.8762433728203925E-2</v>
      </c>
      <c r="AH1204" s="94">
        <f>IF('Net zero activities &amp; levers'!$C$14="Off",Constants!$H66*'Activity data'!BA8*Constants!$H84*FracLEACHMM*MMLeachEF*NtoN2O*kgtoGg,IF('Net zero activities &amp; levers'!$C$14="On",Constants!$H66*'Net zero Activity data'!BA8*Constants!$H84*FracLEACHMM*MMLeachEF*NtoN2O*kgtoGg,"ERROR"))</f>
        <v>2.9234018291177721E-2</v>
      </c>
      <c r="AI1204" s="94">
        <f>IF('Net zero activities &amp; levers'!$C$14="Off",Constants!$H66*'Activity data'!BB8*Constants!$H84*FracLEACHMM*MMLeachEF*NtoN2O*kgtoGg,IF('Net zero activities &amp; levers'!$C$14="On",Constants!$H66*'Net zero Activity data'!BB8*Constants!$H84*FracLEACHMM*MMLeachEF*NtoN2O*kgtoGg,"ERROR"))</f>
        <v>2.9664658796070921E-2</v>
      </c>
      <c r="AJ1204" s="94">
        <f>IF('Net zero activities &amp; levers'!$C$14="Off",Constants!$H66*'Activity data'!BC8*Constants!$H84*FracLEACHMM*MMLeachEF*NtoN2O*kgtoGg,IF('Net zero activities &amp; levers'!$C$14="On",Constants!$H66*'Net zero Activity data'!BC8*Constants!$H84*FracLEACHMM*MMLeachEF*NtoN2O*kgtoGg,"ERROR"))</f>
        <v>3.0118905492871519E-2</v>
      </c>
      <c r="AK1204" s="94">
        <f>IF('Net zero activities &amp; levers'!$C$14="Off",Constants!$H66*'Activity data'!BD8*Constants!$H84*FracLEACHMM*MMLeachEF*NtoN2O*kgtoGg,IF('Net zero activities &amp; levers'!$C$14="On",Constants!$H66*'Net zero Activity data'!BD8*Constants!$H84*FracLEACHMM*MMLeachEF*NtoN2O*kgtoGg,"ERROR"))</f>
        <v>3.0552583954684191E-2</v>
      </c>
      <c r="AL1204" s="94">
        <f>IF('Net zero activities &amp; levers'!$C$14="Off",Constants!$H66*'Activity data'!BE8*Constants!$H84*FracLEACHMM*MMLeachEF*NtoN2O*kgtoGg,IF('Net zero activities &amp; levers'!$C$14="On",Constants!$H66*'Net zero Activity data'!BE8*Constants!$H84*FracLEACHMM*MMLeachEF*NtoN2O*kgtoGg,"ERROR"))</f>
        <v>3.0961516168479985E-2</v>
      </c>
      <c r="AM1204" s="94">
        <f>IF('Net zero activities &amp; levers'!$C$14="Off",Constants!$H66*'Activity data'!BF8*Constants!$H84*FracLEACHMM*MMLeachEF*NtoN2O*kgtoGg,IF('Net zero activities &amp; levers'!$C$14="On",Constants!$H66*'Net zero Activity data'!BF8*Constants!$H84*FracLEACHMM*MMLeachEF*NtoN2O*kgtoGg,"ERROR"))</f>
        <v>3.1363182487267389E-2</v>
      </c>
      <c r="AN1204" s="94">
        <f>IF('Net zero activities &amp; levers'!$C$14="Off",Constants!$H66*'Activity data'!BG8*Constants!$H84*FracLEACHMM*MMLeachEF*NtoN2O*kgtoGg,IF('Net zero activities &amp; levers'!$C$14="On",Constants!$H66*'Net zero Activity data'!BG8*Constants!$H84*FracLEACHMM*MMLeachEF*NtoN2O*kgtoGg,"ERROR"))</f>
        <v>3.1873237924965422E-2</v>
      </c>
      <c r="AO1204" s="94">
        <f>IF('Net zero activities &amp; levers'!$C$14="Off",Constants!$H66*'Activity data'!BH8*Constants!$H84*FracLEACHMM*MMLeachEF*NtoN2O*kgtoGg,IF('Net zero activities &amp; levers'!$C$14="On",Constants!$H66*'Net zero Activity data'!BH8*Constants!$H84*FracLEACHMM*MMLeachEF*NtoN2O*kgtoGg,"ERROR"))</f>
        <v>3.2400793328725176E-2</v>
      </c>
      <c r="AP1204" s="94">
        <f>IF('Net zero activities &amp; levers'!$C$14="Off",Constants!$H66*'Activity data'!BI8*Constants!$H84*FracLEACHMM*MMLeachEF*NtoN2O*kgtoGg,IF('Net zero activities &amp; levers'!$C$14="On",Constants!$H66*'Net zero Activity data'!BI8*Constants!$H84*FracLEACHMM*MMLeachEF*NtoN2O*kgtoGg,"ERROR"))</f>
        <v>3.2965020652190688E-2</v>
      </c>
      <c r="AQ1204" s="94">
        <f>IF('Net zero activities &amp; levers'!$C$14="Off",Constants!$H66*'Activity data'!BJ8*Constants!$H84*FracLEACHMM*MMLeachEF*NtoN2O*kgtoGg,IF('Net zero activities &amp; levers'!$C$14="On",Constants!$H66*'Net zero Activity data'!BJ8*Constants!$H84*FracLEACHMM*MMLeachEF*NtoN2O*kgtoGg,"ERROR"))</f>
        <v>3.3527052752866549E-2</v>
      </c>
      <c r="AR1204" s="94">
        <f>IF('Net zero activities &amp; levers'!$C$14="Off",Constants!$H66*'Activity data'!BK8*Constants!$H84*FracLEACHMM*MMLeachEF*NtoN2O*kgtoGg,IF('Net zero activities &amp; levers'!$C$14="On",Constants!$H66*'Net zero Activity data'!BK8*Constants!$H84*FracLEACHMM*MMLeachEF*NtoN2O*kgtoGg,"ERROR"))</f>
        <v>3.4087619114860586E-2</v>
      </c>
      <c r="AS1204" s="94">
        <f>IF('Net zero activities &amp; levers'!$C$14="Off",Constants!$H66*'Activity data'!BL8*Constants!$H84*FracLEACHMM*MMLeachEF*NtoN2O*kgtoGg,IF('Net zero activities &amp; levers'!$C$14="On",Constants!$H66*'Net zero Activity data'!BL8*Constants!$H84*FracLEACHMM*MMLeachEF*NtoN2O*kgtoGg,"ERROR"))</f>
        <v>3.4683560205557983E-2</v>
      </c>
      <c r="AT1204" s="94">
        <f>IF('Net zero activities &amp; levers'!$C$14="Off",Constants!$H66*'Activity data'!BM8*Constants!$H84*FracLEACHMM*MMLeachEF*NtoN2O*kgtoGg,IF('Net zero activities &amp; levers'!$C$14="On",Constants!$H66*'Net zero Activity data'!BM8*Constants!$H84*FracLEACHMM*MMLeachEF*NtoN2O*kgtoGg,"ERROR"))</f>
        <v>3.5299445606795467E-2</v>
      </c>
      <c r="AU1204" s="94">
        <f>IF('Net zero activities &amp; levers'!$C$14="Off",Constants!$H66*'Activity data'!BN8*Constants!$H84*FracLEACHMM*MMLeachEF*NtoN2O*kgtoGg,IF('Net zero activities &amp; levers'!$C$14="On",Constants!$H66*'Net zero Activity data'!BN8*Constants!$H84*FracLEACHMM*MMLeachEF*NtoN2O*kgtoGg,"ERROR"))</f>
        <v>3.5924567561005115E-2</v>
      </c>
      <c r="AV1204" s="94">
        <f>IF('Net zero activities &amp; levers'!$C$14="Off",Constants!$H66*'Activity data'!BO8*Constants!$H84*FracLEACHMM*MMLeachEF*NtoN2O*kgtoGg,IF('Net zero activities &amp; levers'!$C$14="On",Constants!$H66*'Net zero Activity data'!BO8*Constants!$H84*FracLEACHMM*MMLeachEF*NtoN2O*kgtoGg,"ERROR"))</f>
        <v>3.6580199359184239E-2</v>
      </c>
      <c r="AW1204" s="94">
        <f>IF('Net zero activities &amp; levers'!$C$14="Off",Constants!$H66*'Activity data'!BP8*Constants!$H84*FracLEACHMM*MMLeachEF*NtoN2O*kgtoGg,IF('Net zero activities &amp; levers'!$C$14="On",Constants!$H66*'Net zero Activity data'!BP8*Constants!$H84*FracLEACHMM*MMLeachEF*NtoN2O*kgtoGg,"ERROR"))</f>
        <v>3.712986506477154E-2</v>
      </c>
      <c r="AY1204" s="79"/>
    </row>
    <row r="1205" spans="1:51" x14ac:dyDescent="0.25">
      <c r="A1205" s="95" t="str">
        <f t="shared" si="380"/>
        <v>CM MM Leaching</v>
      </c>
      <c r="B1205" s="95" t="s">
        <v>1321</v>
      </c>
      <c r="C1205" s="95" t="s">
        <v>1332</v>
      </c>
      <c r="D1205" t="s">
        <v>369</v>
      </c>
      <c r="E1205" t="s">
        <v>64</v>
      </c>
      <c r="F1205" t="s">
        <v>63</v>
      </c>
      <c r="G1205" t="s">
        <v>1159</v>
      </c>
      <c r="H1205" t="s">
        <v>1309</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4.0226293185258916E-2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3.9213881856453713E-2</v>
      </c>
      <c r="O1205" s="94">
        <f>IF('Net zero activities &amp; levers'!$C$14="Off",Constants!$H67*'Activity data'!AH9*Constants!$H85*FracLEACHMM*MMLeachEF*NtoN2O*kgtoGg,IF('Net zero activities &amp; levers'!$C$14="On",Constants!$H67*'Net zero Activity data'!AH9*Constants!$H85*FracLEACHMM*MMLeachEF*NtoN2O*kgtoGg,"ERROR"))</f>
        <v>3.8443503609481136E-2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3.20780786603799E-2</v>
      </c>
      <c r="T1205" s="94">
        <f>IF('Net zero activities &amp; levers'!$C$14="Off",Constants!$H67*'Activity data'!AM9*Constants!$H85*FracLEACHMM*MMLeachEF*NtoN2O*kgtoGg,IF('Net zero activities &amp; levers'!$C$14="On",Constants!$H67*'Net zero Activity data'!AM9*Constants!$H85*FracLEACHMM*MMLeachEF*NtoN2O*kgtoGg,"ERROR"))</f>
        <v>3.3611741282111272E-2</v>
      </c>
      <c r="U1205" s="94">
        <f>IF('Net zero activities &amp; levers'!$C$14="Off",Constants!$H67*'Activity data'!AN9*Constants!$H85*FracLEACHMM*MMLeachEF*NtoN2O*kgtoGg,IF('Net zero activities &amp; levers'!$C$14="On",Constants!$H67*'Net zero Activity data'!AN9*Constants!$H85*FracLEACHMM*MMLeachEF*NtoN2O*kgtoGg,"ERROR"))</f>
        <v>3.414269557690279E-2</v>
      </c>
      <c r="V1205" s="94">
        <f>IF('Net zero activities &amp; levers'!$C$14="Off",Constants!$H67*'Activity data'!AO9*Constants!$H85*FracLEACHMM*MMLeachEF*NtoN2O*kgtoGg,IF('Net zero activities &amp; levers'!$C$14="On",Constants!$H67*'Net zero Activity data'!AO9*Constants!$H85*FracLEACHMM*MMLeachEF*NtoN2O*kgtoGg,"ERROR"))</f>
        <v>3.3912120619849585E-2</v>
      </c>
      <c r="W1205" s="94">
        <f>IF('Net zero activities &amp; levers'!$C$14="Off",Constants!$H67*'Activity data'!AP9*Constants!$H85*FracLEACHMM*MMLeachEF*NtoN2O*kgtoGg,IF('Net zero activities &amp; levers'!$C$14="On",Constants!$H67*'Net zero Activity data'!AP9*Constants!$H85*FracLEACHMM*MMLeachEF*NtoN2O*kgtoGg,"ERROR"))</f>
        <v>3.372456412776409E-2</v>
      </c>
      <c r="X1205" s="94">
        <f>IF('Net zero activities &amp; levers'!$C$14="Off",Constants!$H67*'Activity data'!AQ9*Constants!$H85*FracLEACHMM*MMLeachEF*NtoN2O*kgtoGg,IF('Net zero activities &amp; levers'!$C$14="On",Constants!$H67*'Net zero Activity data'!AQ9*Constants!$H85*FracLEACHMM*MMLeachEF*NtoN2O*kgtoGg,"ERROR"))</f>
        <v>3.3736884520024282E-2</v>
      </c>
      <c r="Y1205" s="94">
        <f>IF('Net zero activities &amp; levers'!$C$14="Off",Constants!$H67*'Activity data'!AR9*Constants!$H85*FracLEACHMM*MMLeachEF*NtoN2O*kgtoGg,IF('Net zero activities &amp; levers'!$C$14="On",Constants!$H67*'Net zero Activity data'!AR9*Constants!$H85*FracLEACHMM*MMLeachEF*NtoN2O*kgtoGg,"ERROR"))</f>
        <v>3.3934990086252545E-2</v>
      </c>
      <c r="Z1205" s="94">
        <f>IF('Net zero activities &amp; levers'!$C$14="Off",Constants!$H67*'Activity data'!AS9*Constants!$H85*FracLEACHMM*MMLeachEF*NtoN2O*kgtoGg,IF('Net zero activities &amp; levers'!$C$14="On",Constants!$H67*'Net zero Activity data'!AS9*Constants!$H85*FracLEACHMM*MMLeachEF*NtoN2O*kgtoGg,"ERROR"))</f>
        <v>3.4216088288381921E-2</v>
      </c>
      <c r="AA1205" s="94">
        <f>IF('Net zero activities &amp; levers'!$C$14="Off",Constants!$H67*'Activity data'!AT9*Constants!$H85*FracLEACHMM*MMLeachEF*NtoN2O*kgtoGg,IF('Net zero activities &amp; levers'!$C$14="On",Constants!$H67*'Net zero Activity data'!AT9*Constants!$H85*FracLEACHMM*MMLeachEF*NtoN2O*kgtoGg,"ERROR"))</f>
        <v>3.4602821254116366E-2</v>
      </c>
      <c r="AB1205" s="94">
        <f>IF('Net zero activities &amp; levers'!$C$14="Off",Constants!$H67*'Activity data'!AU9*Constants!$H85*FracLEACHMM*MMLeachEF*NtoN2O*kgtoGg,IF('Net zero activities &amp; levers'!$C$14="On",Constants!$H67*'Net zero Activity data'!AU9*Constants!$H85*FracLEACHMM*MMLeachEF*NtoN2O*kgtoGg,"ERROR"))</f>
        <v>3.5169309158418066E-2</v>
      </c>
      <c r="AC1205" s="94">
        <f>IF('Net zero activities &amp; levers'!$C$14="Off",Constants!$H67*'Activity data'!AV9*Constants!$H85*FracLEACHMM*MMLeachEF*NtoN2O*kgtoGg,IF('Net zero activities &amp; levers'!$C$14="On",Constants!$H67*'Net zero Activity data'!AV9*Constants!$H85*FracLEACHMM*MMLeachEF*NtoN2O*kgtoGg,"ERROR"))</f>
        <v>3.589955307181858E-2</v>
      </c>
      <c r="AD1205" s="94">
        <f>IF('Net zero activities &amp; levers'!$C$14="Off",Constants!$H67*'Activity data'!AW9*Constants!$H85*FracLEACHMM*MMLeachEF*NtoN2O*kgtoGg,IF('Net zero activities &amp; levers'!$C$14="On",Constants!$H67*'Net zero Activity data'!AW9*Constants!$H85*FracLEACHMM*MMLeachEF*NtoN2O*kgtoGg,"ERROR"))</f>
        <v>3.6408675530422145E-2</v>
      </c>
      <c r="AE1205" s="94">
        <f>IF('Net zero activities &amp; levers'!$C$14="Off",Constants!$H67*'Activity data'!AX9*Constants!$H85*FracLEACHMM*MMLeachEF*NtoN2O*kgtoGg,IF('Net zero activities &amp; levers'!$C$14="On",Constants!$H67*'Net zero Activity data'!AX9*Constants!$H85*FracLEACHMM*MMLeachEF*NtoN2O*kgtoGg,"ERROR"))</f>
        <v>3.6977939842602774E-2</v>
      </c>
      <c r="AF1205" s="94">
        <f>IF('Net zero activities &amp; levers'!$C$14="Off",Constants!$H67*'Activity data'!AY9*Constants!$H85*FracLEACHMM*MMLeachEF*NtoN2O*kgtoGg,IF('Net zero activities &amp; levers'!$C$14="On",Constants!$H67*'Net zero Activity data'!AY9*Constants!$H85*FracLEACHMM*MMLeachEF*NtoN2O*kgtoGg,"ERROR"))</f>
        <v>3.7564445510002403E-2</v>
      </c>
      <c r="AG1205" s="94">
        <f>IF('Net zero activities &amp; levers'!$C$14="Off",Constants!$H67*'Activity data'!AZ9*Constants!$H85*FracLEACHMM*MMLeachEF*NtoN2O*kgtoGg,IF('Net zero activities &amp; levers'!$C$14="On",Constants!$H67*'Net zero Activity data'!AZ9*Constants!$H85*FracLEACHMM*MMLeachEF*NtoN2O*kgtoGg,"ERROR"))</f>
        <v>3.8181221078500117E-2</v>
      </c>
      <c r="AH1205" s="94">
        <f>IF('Net zero activities &amp; levers'!$C$14="Off",Constants!$H67*'Activity data'!BA9*Constants!$H85*FracLEACHMM*MMLeachEF*NtoN2O*kgtoGg,IF('Net zero activities &amp; levers'!$C$14="On",Constants!$H67*'Net zero Activity data'!BA9*Constants!$H85*FracLEACHMM*MMLeachEF*NtoN2O*kgtoGg,"ERROR"))</f>
        <v>3.8807234670613311E-2</v>
      </c>
      <c r="AI1205" s="94">
        <f>IF('Net zero activities &amp; levers'!$C$14="Off",Constants!$H67*'Activity data'!BB9*Constants!$H85*FracLEACHMM*MMLeachEF*NtoN2O*kgtoGg,IF('Net zero activities &amp; levers'!$C$14="On",Constants!$H67*'Net zero Activity data'!BB9*Constants!$H85*FracLEACHMM*MMLeachEF*NtoN2O*kgtoGg,"ERROR"))</f>
        <v>3.9378896320599516E-2</v>
      </c>
      <c r="AJ1205" s="94">
        <f>IF('Net zero activities &amp; levers'!$C$14="Off",Constants!$H67*'Activity data'!BC9*Constants!$H85*FracLEACHMM*MMLeachEF*NtoN2O*kgtoGg,IF('Net zero activities &amp; levers'!$C$14="On",Constants!$H67*'Net zero Activity data'!BC9*Constants!$H85*FracLEACHMM*MMLeachEF*NtoN2O*kgtoGg,"ERROR"))</f>
        <v>3.9981894443728266E-2</v>
      </c>
      <c r="AK1205" s="94">
        <f>IF('Net zero activities &amp; levers'!$C$14="Off",Constants!$H67*'Activity data'!BD9*Constants!$H85*FracLEACHMM*MMLeachEF*NtoN2O*kgtoGg,IF('Net zero activities &amp; levers'!$C$14="On",Constants!$H67*'Net zero Activity data'!BD9*Constants!$H85*FracLEACHMM*MMLeachEF*NtoN2O*kgtoGg,"ERROR"))</f>
        <v>4.0557588885440844E-2</v>
      </c>
      <c r="AL1205" s="94">
        <f>IF('Net zero activities &amp; levers'!$C$14="Off",Constants!$H67*'Activity data'!BE9*Constants!$H85*FracLEACHMM*MMLeachEF*NtoN2O*kgtoGg,IF('Net zero activities &amp; levers'!$C$14="On",Constants!$H67*'Net zero Activity data'!BE9*Constants!$H85*FracLEACHMM*MMLeachEF*NtoN2O*kgtoGg,"ERROR"))</f>
        <v>4.1100433465583154E-2</v>
      </c>
      <c r="AM1205" s="94">
        <f>IF('Net zero activities &amp; levers'!$C$14="Off",Constants!$H67*'Activity data'!BF9*Constants!$H85*FracLEACHMM*MMLeachEF*NtoN2O*kgtoGg,IF('Net zero activities &amp; levers'!$C$14="On",Constants!$H67*'Net zero Activity data'!BF9*Constants!$H85*FracLEACHMM*MMLeachEF*NtoN2O*kgtoGg,"ERROR"))</f>
        <v>4.1633632799906894E-2</v>
      </c>
      <c r="AN1205" s="94">
        <f>IF('Net zero activities &amp; levers'!$C$14="Off",Constants!$H67*'Activity data'!BG9*Constants!$H85*FracLEACHMM*MMLeachEF*NtoN2O*kgtoGg,IF('Net zero activities &amp; levers'!$C$14="On",Constants!$H67*'Net zero Activity data'!BG9*Constants!$H85*FracLEACHMM*MMLeachEF*NtoN2O*kgtoGg,"ERROR"))</f>
        <v>4.23107152614631E-2</v>
      </c>
      <c r="AO1205" s="94">
        <f>IF('Net zero activities &amp; levers'!$C$14="Off",Constants!$H67*'Activity data'!BH9*Constants!$H85*FracLEACHMM*MMLeachEF*NtoN2O*kgtoGg,IF('Net zero activities &amp; levers'!$C$14="On",Constants!$H67*'Net zero Activity data'!BH9*Constants!$H85*FracLEACHMM*MMLeachEF*NtoN2O*kgtoGg,"ERROR"))</f>
        <v>4.3011028374478885E-2</v>
      </c>
      <c r="AP1205" s="94">
        <f>IF('Net zero activities &amp; levers'!$C$14="Off",Constants!$H67*'Activity data'!BI9*Constants!$H85*FracLEACHMM*MMLeachEF*NtoN2O*kgtoGg,IF('Net zero activities &amp; levers'!$C$14="On",Constants!$H67*'Net zero Activity data'!BI9*Constants!$H85*FracLEACHMM*MMLeachEF*NtoN2O*kgtoGg,"ERROR"))</f>
        <v>4.3760022301047856E-2</v>
      </c>
      <c r="AQ1205" s="94">
        <f>IF('Net zero activities &amp; levers'!$C$14="Off",Constants!$H67*'Activity data'!BJ9*Constants!$H85*FracLEACHMM*MMLeachEF*NtoN2O*kgtoGg,IF('Net zero activities &amp; levers'!$C$14="On",Constants!$H67*'Net zero Activity data'!BJ9*Constants!$H85*FracLEACHMM*MMLeachEF*NtoN2O*kgtoGg,"ERROR"))</f>
        <v>4.4506102138793871E-2</v>
      </c>
      <c r="AR1205" s="94">
        <f>IF('Net zero activities &amp; levers'!$C$14="Off",Constants!$H67*'Activity data'!BK9*Constants!$H85*FracLEACHMM*MMLeachEF*NtoN2O*kgtoGg,IF('Net zero activities &amp; levers'!$C$14="On",Constants!$H67*'Net zero Activity data'!BK9*Constants!$H85*FracLEACHMM*MMLeachEF*NtoN2O*kgtoGg,"ERROR"))</f>
        <v>4.5250236254798015E-2</v>
      </c>
      <c r="AS1205" s="94">
        <f>IF('Net zero activities &amp; levers'!$C$14="Off",Constants!$H67*'Activity data'!BL9*Constants!$H85*FracLEACHMM*MMLeachEF*NtoN2O*kgtoGg,IF('Net zero activities &amp; levers'!$C$14="On",Constants!$H67*'Net zero Activity data'!BL9*Constants!$H85*FracLEACHMM*MMLeachEF*NtoN2O*kgtoGg,"ERROR"))</f>
        <v>4.6041329204327096E-2</v>
      </c>
      <c r="AT1205" s="94">
        <f>IF('Net zero activities &amp; levers'!$C$14="Off",Constants!$H67*'Activity data'!BM9*Constants!$H85*FracLEACHMM*MMLeachEF*NtoN2O*kgtoGg,IF('Net zero activities &amp; levers'!$C$14="On",Constants!$H67*'Net zero Activity data'!BM9*Constants!$H85*FracLEACHMM*MMLeachEF*NtoN2O*kgtoGg,"ERROR"))</f>
        <v>4.6858897595301277E-2</v>
      </c>
      <c r="AU1205" s="94">
        <f>IF('Net zero activities &amp; levers'!$C$14="Off",Constants!$H67*'Activity data'!BN9*Constants!$H85*FracLEACHMM*MMLeachEF*NtoN2O*kgtoGg,IF('Net zero activities &amp; levers'!$C$14="On",Constants!$H67*'Net zero Activity data'!BN9*Constants!$H85*FracLEACHMM*MMLeachEF*NtoN2O*kgtoGg,"ERROR"))</f>
        <v>4.7688727218213149E-2</v>
      </c>
      <c r="AV1205" s="94">
        <f>IF('Net zero activities &amp; levers'!$C$14="Off",Constants!$H67*'Activity data'!BO9*Constants!$H85*FracLEACHMM*MMLeachEF*NtoN2O*kgtoGg,IF('Net zero activities &amp; levers'!$C$14="On",Constants!$H67*'Net zero Activity data'!BO9*Constants!$H85*FracLEACHMM*MMLeachEF*NtoN2O*kgtoGg,"ERROR"))</f>
        <v>4.8559057694031842E-2</v>
      </c>
      <c r="AW1205" s="94">
        <f>IF('Net zero activities &amp; levers'!$C$14="Off",Constants!$H67*'Activity data'!BP9*Constants!$H85*FracLEACHMM*MMLeachEF*NtoN2O*kgtoGg,IF('Net zero activities &amp; levers'!$C$14="On",Constants!$H67*'Net zero Activity data'!BP9*Constants!$H85*FracLEACHMM*MMLeachEF*NtoN2O*kgtoGg,"ERROR"))</f>
        <v>4.928872153342103E-2</v>
      </c>
      <c r="AY1205" s="79"/>
    </row>
    <row r="1206" spans="1:51" x14ac:dyDescent="0.25">
      <c r="A1206" s="95" t="str">
        <f t="shared" si="380"/>
        <v>CM MM Leaching</v>
      </c>
      <c r="B1206" s="95" t="s">
        <v>1321</v>
      </c>
      <c r="C1206" s="95" t="s">
        <v>1332</v>
      </c>
      <c r="D1206" t="s">
        <v>369</v>
      </c>
      <c r="E1206" t="s">
        <v>64</v>
      </c>
      <c r="F1206" t="s">
        <v>63</v>
      </c>
      <c r="G1206" t="s">
        <v>1161</v>
      </c>
      <c r="H1206" t="s">
        <v>1310</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4.1968337096859189E-2</v>
      </c>
      <c r="L1206" s="94">
        <f>IF('Net zero activities &amp; levers'!$C$14="Off",Constants!$H68*'Activity data'!AE10*Constants!$H86*FracLEACHMM*MMLeachEF*NtoN2O*kgtoGg,IF('Net zero activities &amp; levers'!$C$14="On",Constants!$H68*'Net zero Activity data'!AE10*Constants!$H86*FracLEACHMM*MMLeachEF*NtoN2O*kgtoGg,"ERROR"))</f>
        <v>4.3383434779753448E-2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4.6315596244033488E-2</v>
      </c>
      <c r="O1206" s="94">
        <f>IF('Net zero activities &amp; levers'!$C$14="Off",Constants!$H68*'Activity data'!AH10*Constants!$H86*FracLEACHMM*MMLeachEF*NtoN2O*kgtoGg,IF('Net zero activities &amp; levers'!$C$14="On",Constants!$H68*'Net zero Activity data'!AH10*Constants!$H86*FracLEACHMM*MMLeachEF*NtoN2O*kgtoGg,"ERROR"))</f>
        <v>4.7281576900430174E-2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4.6274354518489276E-2</v>
      </c>
      <c r="T1206" s="94">
        <f>IF('Net zero activities &amp; levers'!$C$14="Off",Constants!$H68*'Activity data'!AM10*Constants!$H86*FracLEACHMM*MMLeachEF*NtoN2O*kgtoGg,IF('Net zero activities &amp; levers'!$C$14="On",Constants!$H68*'Net zero Activity data'!AM10*Constants!$H86*FracLEACHMM*MMLeachEF*NtoN2O*kgtoGg,"ERROR"))</f>
        <v>4.9654921678945953E-2</v>
      </c>
      <c r="U1206" s="94">
        <f>IF('Net zero activities &amp; levers'!$C$14="Off",Constants!$H68*'Activity data'!AN10*Constants!$H86*FracLEACHMM*MMLeachEF*NtoN2O*kgtoGg,IF('Net zero activities &amp; levers'!$C$14="On",Constants!$H68*'Net zero Activity data'!AN10*Constants!$H86*FracLEACHMM*MMLeachEF*NtoN2O*kgtoGg,"ERROR"))</f>
        <v>5.1637836574471289E-2</v>
      </c>
      <c r="V1206" s="94">
        <f>IF('Net zero activities &amp; levers'!$C$14="Off",Constants!$H68*'Activity data'!AO10*Constants!$H86*FracLEACHMM*MMLeachEF*NtoN2O*kgtoGg,IF('Net zero activities &amp; levers'!$C$14="On",Constants!$H68*'Net zero Activity data'!AO10*Constants!$H86*FracLEACHMM*MMLeachEF*NtoN2O*kgtoGg,"ERROR"))</f>
        <v>5.2492346966759522E-2</v>
      </c>
      <c r="W1206" s="94">
        <f>IF('Net zero activities &amp; levers'!$C$14="Off",Constants!$H68*'Activity data'!AP10*Constants!$H86*FracLEACHMM*MMLeachEF*NtoN2O*kgtoGg,IF('Net zero activities &amp; levers'!$C$14="On",Constants!$H68*'Net zero Activity data'!AP10*Constants!$H86*FracLEACHMM*MMLeachEF*NtoN2O*kgtoGg,"ERROR"))</f>
        <v>5.3412266292045346E-2</v>
      </c>
      <c r="X1206" s="94">
        <f>IF('Net zero activities &amp; levers'!$C$14="Off",Constants!$H68*'Activity data'!AQ10*Constants!$H86*FracLEACHMM*MMLeachEF*NtoN2O*kgtoGg,IF('Net zero activities &amp; levers'!$C$14="On",Constants!$H68*'Net zero Activity data'!AQ10*Constants!$H86*FracLEACHMM*MMLeachEF*NtoN2O*kgtoGg,"ERROR"))</f>
        <v>5.4657017670669474E-2</v>
      </c>
      <c r="Y1206" s="94">
        <f>IF('Net zero activities &amp; levers'!$C$14="Off",Constants!$H68*'Activity data'!AR10*Constants!$H86*FracLEACHMM*MMLeachEF*NtoN2O*kgtoGg,IF('Net zero activities &amp; levers'!$C$14="On",Constants!$H68*'Net zero Activity data'!AR10*Constants!$H86*FracLEACHMM*MMLeachEF*NtoN2O*kgtoGg,"ERROR"))</f>
        <v>5.6225924185537776E-2</v>
      </c>
      <c r="Z1206" s="94">
        <f>IF('Net zero activities &amp; levers'!$C$14="Off",Constants!$H68*'Activity data'!AS10*Constants!$H86*FracLEACHMM*MMLeachEF*NtoN2O*kgtoGg,IF('Net zero activities &amp; levers'!$C$14="On",Constants!$H68*'Net zero Activity data'!AS10*Constants!$H86*FracLEACHMM*MMLeachEF*NtoN2O*kgtoGg,"ERROR"))</f>
        <v>5.7966478629194101E-2</v>
      </c>
      <c r="AA1206" s="94">
        <f>IF('Net zero activities &amp; levers'!$C$14="Off",Constants!$H68*'Activity data'!AT10*Constants!$H86*FracLEACHMM*MMLeachEF*NtoN2O*kgtoGg,IF('Net zero activities &amp; levers'!$C$14="On",Constants!$H68*'Net zero Activity data'!AT10*Constants!$H86*FracLEACHMM*MMLeachEF*NtoN2O*kgtoGg,"ERROR"))</f>
        <v>5.9928438330955298E-2</v>
      </c>
      <c r="AB1206" s="94">
        <f>IF('Net zero activities &amp; levers'!$C$14="Off",Constants!$H68*'Activity data'!AU10*Constants!$H86*FracLEACHMM*MMLeachEF*NtoN2O*kgtoGg,IF('Net zero activities &amp; levers'!$C$14="On",Constants!$H68*'Net zero Activity data'!AU10*Constants!$H86*FracLEACHMM*MMLeachEF*NtoN2O*kgtoGg,"ERROR"))</f>
        <v>6.2256429990458134E-2</v>
      </c>
      <c r="AC1206" s="94">
        <f>IF('Net zero activities &amp; levers'!$C$14="Off",Constants!$H68*'Activity data'!AV10*Constants!$H86*FracLEACHMM*MMLeachEF*NtoN2O*kgtoGg,IF('Net zero activities &amp; levers'!$C$14="On",Constants!$H68*'Net zero Activity data'!AV10*Constants!$H86*FracLEACHMM*MMLeachEF*NtoN2O*kgtoGg,"ERROR"))</f>
        <v>6.4943944669320713E-2</v>
      </c>
      <c r="AD1206" s="94">
        <f>IF('Net zero activities &amp; levers'!$C$14="Off",Constants!$H68*'Activity data'!AW10*Constants!$H86*FracLEACHMM*MMLeachEF*NtoN2O*kgtoGg,IF('Net zero activities &amp; levers'!$C$14="On",Constants!$H68*'Net zero Activity data'!AW10*Constants!$H86*FracLEACHMM*MMLeachEF*NtoN2O*kgtoGg,"ERROR"))</f>
        <v>6.8049231515403694E-2</v>
      </c>
      <c r="AE1206" s="94">
        <f>IF('Net zero activities &amp; levers'!$C$14="Off",Constants!$H68*'Activity data'!AX10*Constants!$H86*FracLEACHMM*MMLeachEF*NtoN2O*kgtoGg,IF('Net zero activities &amp; levers'!$C$14="On",Constants!$H68*'Net zero Activity data'!AX10*Constants!$H86*FracLEACHMM*MMLeachEF*NtoN2O*kgtoGg,"ERROR"))</f>
        <v>7.140958377080403E-2</v>
      </c>
      <c r="AF1206" s="94">
        <f>IF('Net zero activities &amp; levers'!$C$14="Off",Constants!$H68*'Activity data'!AY10*Constants!$H86*FracLEACHMM*MMLeachEF*NtoN2O*kgtoGg,IF('Net zero activities &amp; levers'!$C$14="On",Constants!$H68*'Net zero Activity data'!AY10*Constants!$H86*FracLEACHMM*MMLeachEF*NtoN2O*kgtoGg,"ERROR"))</f>
        <v>7.4958672292987819E-2</v>
      </c>
      <c r="AG1206" s="94">
        <f>IF('Net zero activities &amp; levers'!$C$14="Off",Constants!$H68*'Activity data'!AZ10*Constants!$H86*FracLEACHMM*MMLeachEF*NtoN2O*kgtoGg,IF('Net zero activities &amp; levers'!$C$14="On",Constants!$H68*'Net zero Activity data'!AZ10*Constants!$H86*FracLEACHMM*MMLeachEF*NtoN2O*kgtoGg,"ERROR"))</f>
        <v>7.8735451654029412E-2</v>
      </c>
      <c r="AH1206" s="94">
        <f>IF('Net zero activities &amp; levers'!$C$14="Off",Constants!$H68*'Activity data'!BA10*Constants!$H86*FracLEACHMM*MMLeachEF*NtoN2O*kgtoGg,IF('Net zero activities &amp; levers'!$C$14="On",Constants!$H68*'Net zero Activity data'!BA10*Constants!$H86*FracLEACHMM*MMLeachEF*NtoN2O*kgtoGg,"ERROR"))</f>
        <v>8.2710770800306643E-2</v>
      </c>
      <c r="AI1206" s="94">
        <f>IF('Net zero activities &amp; levers'!$C$14="Off",Constants!$H68*'Activity data'!BB10*Constants!$H86*FracLEACHMM*MMLeachEF*NtoN2O*kgtoGg,IF('Net zero activities &amp; levers'!$C$14="On",Constants!$H68*'Net zero Activity data'!BB10*Constants!$H86*FracLEACHMM*MMLeachEF*NtoN2O*kgtoGg,"ERROR"))</f>
        <v>8.6756849519810442E-2</v>
      </c>
      <c r="AJ1206" s="94">
        <f>IF('Net zero activities &amp; levers'!$C$14="Off",Constants!$H68*'Activity data'!BC10*Constants!$H86*FracLEACHMM*MMLeachEF*NtoN2O*kgtoGg,IF('Net zero activities &amp; levers'!$C$14="On",Constants!$H68*'Net zero Activity data'!BC10*Constants!$H86*FracLEACHMM*MMLeachEF*NtoN2O*kgtoGg,"ERROR"))</f>
        <v>9.1067882332403163E-2</v>
      </c>
      <c r="AK1206" s="94">
        <f>IF('Net zero activities &amp; levers'!$C$14="Off",Constants!$H68*'Activity data'!BD10*Constants!$H86*FracLEACHMM*MMLeachEF*NtoN2O*kgtoGg,IF('Net zero activities &amp; levers'!$C$14="On",Constants!$H68*'Net zero Activity data'!BD10*Constants!$H86*FracLEACHMM*MMLeachEF*NtoN2O*kgtoGg,"ERROR"))</f>
        <v>9.5524607474435114E-2</v>
      </c>
      <c r="AL1206" s="94">
        <f>IF('Net zero activities &amp; levers'!$C$14="Off",Constants!$H68*'Activity data'!BE10*Constants!$H86*FracLEACHMM*MMLeachEF*NtoN2O*kgtoGg,IF('Net zero activities &amp; levers'!$C$14="On",Constants!$H68*'Net zero Activity data'!BE10*Constants!$H86*FracLEACHMM*MMLeachEF*NtoN2O*kgtoGg,"ERROR"))</f>
        <v>0.10011966756252628</v>
      </c>
      <c r="AM1206" s="94">
        <f>IF('Net zero activities &amp; levers'!$C$14="Off",Constants!$H68*'Activity data'!BF10*Constants!$H86*FracLEACHMM*MMLeachEF*NtoN2O*kgtoGg,IF('Net zero activities &amp; levers'!$C$14="On",Constants!$H68*'Net zero Activity data'!BF10*Constants!$H86*FracLEACHMM*MMLeachEF*NtoN2O*kgtoGg,"ERROR"))</f>
        <v>0.10491676883738305</v>
      </c>
      <c r="AN1206" s="94">
        <f>IF('Net zero activities &amp; levers'!$C$14="Off",Constants!$H68*'Activity data'!BG10*Constants!$H86*FracLEACHMM*MMLeachEF*NtoN2O*kgtoGg,IF('Net zero activities &amp; levers'!$C$14="On",Constants!$H68*'Net zero Activity data'!BG10*Constants!$H86*FracLEACHMM*MMLeachEF*NtoN2O*kgtoGg,"ERROR"))</f>
        <v>0.10963141037847199</v>
      </c>
      <c r="AO1206" s="94">
        <f>IF('Net zero activities &amp; levers'!$C$14="Off",Constants!$H68*'Activity data'!BH10*Constants!$H86*FracLEACHMM*MMLeachEF*NtoN2O*kgtoGg,IF('Net zero activities &amp; levers'!$C$14="On",Constants!$H68*'Net zero Activity data'!BH10*Constants!$H86*FracLEACHMM*MMLeachEF*NtoN2O*kgtoGg,"ERROR"))</f>
        <v>0.11460133874628856</v>
      </c>
      <c r="AP1206" s="94">
        <f>IF('Net zero activities &amp; levers'!$C$14="Off",Constants!$H68*'Activity data'!BI10*Constants!$H86*FracLEACHMM*MMLeachEF*NtoN2O*kgtoGg,IF('Net zero activities &amp; levers'!$C$14="On",Constants!$H68*'Net zero Activity data'!BI10*Constants!$H86*FracLEACHMM*MMLeachEF*NtoN2O*kgtoGg,"ERROR"))</f>
        <v>0.11991104885412743</v>
      </c>
      <c r="AQ1206" s="94">
        <f>IF('Net zero activities &amp; levers'!$C$14="Off",Constants!$H68*'Activity data'!BJ10*Constants!$H86*FracLEACHMM*MMLeachEF*NtoN2O*kgtoGg,IF('Net zero activities &amp; levers'!$C$14="On",Constants!$H68*'Net zero Activity data'!BJ10*Constants!$H86*FracLEACHMM*MMLeachEF*NtoN2O*kgtoGg,"ERROR"))</f>
        <v>0.12543680820975456</v>
      </c>
      <c r="AR1206" s="94">
        <f>IF('Net zero activities &amp; levers'!$C$14="Off",Constants!$H68*'Activity data'!BK10*Constants!$H86*FracLEACHMM*MMLeachEF*NtoN2O*kgtoGg,IF('Net zero activities &amp; levers'!$C$14="On",Constants!$H68*'Net zero Activity data'!BK10*Constants!$H86*FracLEACHMM*MMLeachEF*NtoN2O*kgtoGg,"ERROR"))</f>
        <v>0.13119202833792193</v>
      </c>
      <c r="AS1206" s="94">
        <f>IF('Net zero activities &amp; levers'!$C$14="Off",Constants!$H68*'Activity data'!BL10*Constants!$H86*FracLEACHMM*MMLeachEF*NtoN2O*kgtoGg,IF('Net zero activities &amp; levers'!$C$14="On",Constants!$H68*'Net zero Activity data'!BL10*Constants!$H86*FracLEACHMM*MMLeachEF*NtoN2O*kgtoGg,"ERROR"))</f>
        <v>0.13733413284188337</v>
      </c>
      <c r="AT1206" s="94">
        <f>IF('Net zero activities &amp; levers'!$C$14="Off",Constants!$H68*'Activity data'!BM10*Constants!$H86*FracLEACHMM*MMLeachEF*NtoN2O*kgtoGg,IF('Net zero activities &amp; levers'!$C$14="On",Constants!$H68*'Net zero Activity data'!BM10*Constants!$H86*FracLEACHMM*MMLeachEF*NtoN2O*kgtoGg,"ERROR"))</f>
        <v>0.14382526611180527</v>
      </c>
      <c r="AU1206" s="94">
        <f>IF('Net zero activities &amp; levers'!$C$14="Off",Constants!$H68*'Activity data'!BN10*Constants!$H86*FracLEACHMM*MMLeachEF*NtoN2O*kgtoGg,IF('Net zero activities &amp; levers'!$C$14="On",Constants!$H68*'Net zero Activity data'!BN10*Constants!$H86*FracLEACHMM*MMLeachEF*NtoN2O*kgtoGg,"ERROR"))</f>
        <v>0.15064177825264938</v>
      </c>
      <c r="AV1206" s="94">
        <f>IF('Net zero activities &amp; levers'!$C$14="Off",Constants!$H68*'Activity data'!BO10*Constants!$H86*FracLEACHMM*MMLeachEF*NtoN2O*kgtoGg,IF('Net zero activities &amp; levers'!$C$14="On",Constants!$H68*'Net zero Activity data'!BO10*Constants!$H86*FracLEACHMM*MMLeachEF*NtoN2O*kgtoGg,"ERROR"))</f>
        <v>0.15789428521651691</v>
      </c>
      <c r="AW1206" s="94">
        <f>IF('Net zero activities &amp; levers'!$C$14="Off",Constants!$H68*'Activity data'!BP10*Constants!$H86*FracLEACHMM*MMLeachEF*NtoN2O*kgtoGg,IF('Net zero activities &amp; levers'!$C$14="On",Constants!$H68*'Net zero Activity data'!BP10*Constants!$H86*FracLEACHMM*MMLeachEF*NtoN2O*kgtoGg,"ERROR"))</f>
        <v>0.16500456611205044</v>
      </c>
      <c r="AY1206" s="79"/>
    </row>
    <row r="1207" spans="1:51" x14ac:dyDescent="0.25">
      <c r="A1207" s="95" t="str">
        <f t="shared" si="380"/>
        <v>CM MM Leaching</v>
      </c>
      <c r="B1207" s="95" t="s">
        <v>1321</v>
      </c>
      <c r="C1207" s="95" t="s">
        <v>1332</v>
      </c>
      <c r="D1207" t="s">
        <v>369</v>
      </c>
      <c r="E1207" t="s">
        <v>64</v>
      </c>
      <c r="F1207" t="s">
        <v>63</v>
      </c>
      <c r="G1207" t="s">
        <v>1163</v>
      </c>
      <c r="H1207" t="s">
        <v>1311</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4.4583317952924901E-3</v>
      </c>
      <c r="T1207" s="94">
        <f>IF('Net zero activities &amp; levers'!$C$14="Off",Constants!$H69*'Activity data'!AM11*Constants!$H87*FracLEACHMM*MMLeachEF*NtoN2O*kgtoGg,IF('Net zero activities &amp; levers'!$C$14="On",Constants!$H69*'Net zero Activity data'!AM11*Constants!$H87*FracLEACHMM*MMLeachEF*NtoN2O*kgtoGg,"ERROR"))</f>
        <v>4.461540810317099E-3</v>
      </c>
      <c r="U1207" s="94">
        <f>IF('Net zero activities &amp; levers'!$C$14="Off",Constants!$H69*'Activity data'!AN11*Constants!$H87*FracLEACHMM*MMLeachEF*NtoN2O*kgtoGg,IF('Net zero activities &amp; levers'!$C$14="On",Constants!$H69*'Net zero Activity data'!AN11*Constants!$H87*FracLEACHMM*MMLeachEF*NtoN2O*kgtoGg,"ERROR"))</f>
        <v>4.460412588981404E-3</v>
      </c>
      <c r="V1207" s="94">
        <f>IF('Net zero activities &amp; levers'!$C$14="Off",Constants!$H69*'Activity data'!AO11*Constants!$H87*FracLEACHMM*MMLeachEF*NtoN2O*kgtoGg,IF('Net zero activities &amp; levers'!$C$14="On",Constants!$H69*'Net zero Activity data'!AO11*Constants!$H87*FracLEACHMM*MMLeachEF*NtoN2O*kgtoGg,"ERROR"))</f>
        <v>4.4603313660439596E-3</v>
      </c>
      <c r="W1207" s="94">
        <f>IF('Net zero activities &amp; levers'!$C$14="Off",Constants!$H69*'Activity data'!AP11*Constants!$H87*FracLEACHMM*MMLeachEF*NtoN2O*kgtoGg,IF('Net zero activities &amp; levers'!$C$14="On",Constants!$H69*'Net zero Activity data'!AP11*Constants!$H87*FracLEACHMM*MMLeachEF*NtoN2O*kgtoGg,"ERROR"))</f>
        <v>4.4650624817454574E-3</v>
      </c>
      <c r="X1207" s="94">
        <f>IF('Net zero activities &amp; levers'!$C$14="Off",Constants!$H69*'Activity data'!AQ11*Constants!$H87*FracLEACHMM*MMLeachEF*NtoN2O*kgtoGg,IF('Net zero activities &amp; levers'!$C$14="On",Constants!$H69*'Net zero Activity data'!AQ11*Constants!$H87*FracLEACHMM*MMLeachEF*NtoN2O*kgtoGg,"ERROR"))</f>
        <v>4.472805388518619E-3</v>
      </c>
      <c r="Y1207" s="94">
        <f>IF('Net zero activities &amp; levers'!$C$14="Off",Constants!$H69*'Activity data'!AR11*Constants!$H87*FracLEACHMM*MMLeachEF*NtoN2O*kgtoGg,IF('Net zero activities &amp; levers'!$C$14="On",Constants!$H69*'Net zero Activity data'!AR11*Constants!$H87*FracLEACHMM*MMLeachEF*NtoN2O*kgtoGg,"ERROR"))</f>
        <v>4.480234793471081E-3</v>
      </c>
      <c r="Z1207" s="94">
        <f>IF('Net zero activities &amp; levers'!$C$14="Off",Constants!$H69*'Activity data'!AS11*Constants!$H87*FracLEACHMM*MMLeachEF*NtoN2O*kgtoGg,IF('Net zero activities &amp; levers'!$C$14="On",Constants!$H69*'Net zero Activity data'!AS11*Constants!$H87*FracLEACHMM*MMLeachEF*NtoN2O*kgtoGg,"ERROR"))</f>
        <v>4.4873746654050216E-3</v>
      </c>
      <c r="AA1207" s="94">
        <f>IF('Net zero activities &amp; levers'!$C$14="Off",Constants!$H69*'Activity data'!AT11*Constants!$H87*FracLEACHMM*MMLeachEF*NtoN2O*kgtoGg,IF('Net zero activities &amp; levers'!$C$14="On",Constants!$H69*'Net zero Activity data'!AT11*Constants!$H87*FracLEACHMM*MMLeachEF*NtoN2O*kgtoGg,"ERROR"))</f>
        <v>4.494215260234709E-3</v>
      </c>
      <c r="AB1207" s="94">
        <f>IF('Net zero activities &amp; levers'!$C$14="Off",Constants!$H69*'Activity data'!AU11*Constants!$H87*FracLEACHMM*MMLeachEF*NtoN2O*kgtoGg,IF('Net zero activities &amp; levers'!$C$14="On",Constants!$H69*'Net zero Activity data'!AU11*Constants!$H87*FracLEACHMM*MMLeachEF*NtoN2O*kgtoGg,"ERROR"))</f>
        <v>4.5008991343885481E-3</v>
      </c>
      <c r="AC1207" s="94">
        <f>IF('Net zero activities &amp; levers'!$C$14="Off",Constants!$H69*'Activity data'!AV11*Constants!$H87*FracLEACHMM*MMLeachEF*NtoN2O*kgtoGg,IF('Net zero activities &amp; levers'!$C$14="On",Constants!$H69*'Net zero Activity data'!AV11*Constants!$H87*FracLEACHMM*MMLeachEF*NtoN2O*kgtoGg,"ERROR"))</f>
        <v>4.5075239217344356E-3</v>
      </c>
      <c r="AD1207" s="94">
        <f>IF('Net zero activities &amp; levers'!$C$14="Off",Constants!$H69*'Activity data'!AW11*Constants!$H87*FracLEACHMM*MMLeachEF*NtoN2O*kgtoGg,IF('Net zero activities &amp; levers'!$C$14="On",Constants!$H69*'Net zero Activity data'!AW11*Constants!$H87*FracLEACHMM*MMLeachEF*NtoN2O*kgtoGg,"ERROR"))</f>
        <v>4.5140231510574953E-3</v>
      </c>
      <c r="AE1207" s="94">
        <f>IF('Net zero activities &amp; levers'!$C$14="Off",Constants!$H69*'Activity data'!AX11*Constants!$H87*FracLEACHMM*MMLeachEF*NtoN2O*kgtoGg,IF('Net zero activities &amp; levers'!$C$14="On",Constants!$H69*'Net zero Activity data'!AX11*Constants!$H87*FracLEACHMM*MMLeachEF*NtoN2O*kgtoGg,"ERROR"))</f>
        <v>4.5204902706730936E-3</v>
      </c>
      <c r="AF1207" s="94">
        <f>IF('Net zero activities &amp; levers'!$C$14="Off",Constants!$H69*'Activity data'!AY11*Constants!$H87*FracLEACHMM*MMLeachEF*NtoN2O*kgtoGg,IF('Net zero activities &amp; levers'!$C$14="On",Constants!$H69*'Net zero Activity data'!AY11*Constants!$H87*FracLEACHMM*MMLeachEF*NtoN2O*kgtoGg,"ERROR"))</f>
        <v>4.5269049079044851E-3</v>
      </c>
      <c r="AG1207" s="94">
        <f>IF('Net zero activities &amp; levers'!$C$14="Off",Constants!$H69*'Activity data'!AZ11*Constants!$H87*FracLEACHMM*MMLeachEF*NtoN2O*kgtoGg,IF('Net zero activities &amp; levers'!$C$14="On",Constants!$H69*'Net zero Activity data'!AZ11*Constants!$H87*FracLEACHMM*MMLeachEF*NtoN2O*kgtoGg,"ERROR"))</f>
        <v>4.5332156646464309E-3</v>
      </c>
      <c r="AH1207" s="94">
        <f>IF('Net zero activities &amp; levers'!$C$14="Off",Constants!$H69*'Activity data'!BA11*Constants!$H87*FracLEACHMM*MMLeachEF*NtoN2O*kgtoGg,IF('Net zero activities &amp; levers'!$C$14="On",Constants!$H69*'Net zero Activity data'!BA11*Constants!$H87*FracLEACHMM*MMLeachEF*NtoN2O*kgtoGg,"ERROR"))</f>
        <v>4.5394503254180246E-3</v>
      </c>
      <c r="AI1207" s="94">
        <f>IF('Net zero activities &amp; levers'!$C$14="Off",Constants!$H69*'Activity data'!BB11*Constants!$H87*FracLEACHMM*MMLeachEF*NtoN2O*kgtoGg,IF('Net zero activities &amp; levers'!$C$14="On",Constants!$H69*'Net zero Activity data'!BB11*Constants!$H87*FracLEACHMM*MMLeachEF*NtoN2O*kgtoGg,"ERROR"))</f>
        <v>4.5456155434925177E-3</v>
      </c>
      <c r="AJ1207" s="94">
        <f>IF('Net zero activities &amp; levers'!$C$14="Off",Constants!$H69*'Activity data'!BC11*Constants!$H87*FracLEACHMM*MMLeachEF*NtoN2O*kgtoGg,IF('Net zero activities &amp; levers'!$C$14="On",Constants!$H69*'Net zero Activity data'!BC11*Constants!$H87*FracLEACHMM*MMLeachEF*NtoN2O*kgtoGg,"ERROR"))</f>
        <v>4.5517322494299031E-3</v>
      </c>
      <c r="AK1207" s="94">
        <f>IF('Net zero activities &amp; levers'!$C$14="Off",Constants!$H69*'Activity data'!BD11*Constants!$H87*FracLEACHMM*MMLeachEF*NtoN2O*kgtoGg,IF('Net zero activities &amp; levers'!$C$14="On",Constants!$H69*'Net zero Activity data'!BD11*Constants!$H87*FracLEACHMM*MMLeachEF*NtoN2O*kgtoGg,"ERROR"))</f>
        <v>4.5576132842011325E-3</v>
      </c>
      <c r="AL1207" s="94">
        <f>IF('Net zero activities &amp; levers'!$C$14="Off",Constants!$H69*'Activity data'!BE11*Constants!$H87*FracLEACHMM*MMLeachEF*NtoN2O*kgtoGg,IF('Net zero activities &amp; levers'!$C$14="On",Constants!$H69*'Net zero Activity data'!BE11*Constants!$H87*FracLEACHMM*MMLeachEF*NtoN2O*kgtoGg,"ERROR"))</f>
        <v>4.5632517671133398E-3</v>
      </c>
      <c r="AM1207" s="94">
        <f>IF('Net zero activities &amp; levers'!$C$14="Off",Constants!$H69*'Activity data'!BF11*Constants!$H87*FracLEACHMM*MMLeachEF*NtoN2O*kgtoGg,IF('Net zero activities &amp; levers'!$C$14="On",Constants!$H69*'Net zero Activity data'!BF11*Constants!$H87*FracLEACHMM*MMLeachEF*NtoN2O*kgtoGg,"ERROR"))</f>
        <v>4.5687003958982874E-3</v>
      </c>
      <c r="AN1207" s="94">
        <f>IF('Net zero activities &amp; levers'!$C$14="Off",Constants!$H69*'Activity data'!BG11*Constants!$H87*FracLEACHMM*MMLeachEF*NtoN2O*kgtoGg,IF('Net zero activities &amp; levers'!$C$14="On",Constants!$H69*'Net zero Activity data'!BG11*Constants!$H87*FracLEACHMM*MMLeachEF*NtoN2O*kgtoGg,"ERROR"))</f>
        <v>4.5739172155363928E-3</v>
      </c>
      <c r="AO1207" s="94">
        <f>IF('Net zero activities &amp; levers'!$C$14="Off",Constants!$H69*'Activity data'!BH11*Constants!$H87*FracLEACHMM*MMLeachEF*NtoN2O*kgtoGg,IF('Net zero activities &amp; levers'!$C$14="On",Constants!$H69*'Net zero Activity data'!BH11*Constants!$H87*FracLEACHMM*MMLeachEF*NtoN2O*kgtoGg,"ERROR"))</f>
        <v>4.5789116897468072E-3</v>
      </c>
      <c r="AP1207" s="94">
        <f>IF('Net zero activities &amp; levers'!$C$14="Off",Constants!$H69*'Activity data'!BI11*Constants!$H87*FracLEACHMM*MMLeachEF*NtoN2O*kgtoGg,IF('Net zero activities &amp; levers'!$C$14="On",Constants!$H69*'Net zero Activity data'!BI11*Constants!$H87*FracLEACHMM*MMLeachEF*NtoN2O*kgtoGg,"ERROR"))</f>
        <v>4.5836613233262938E-3</v>
      </c>
      <c r="AQ1207" s="94">
        <f>IF('Net zero activities &amp; levers'!$C$14="Off",Constants!$H69*'Activity data'!BJ11*Constants!$H87*FracLEACHMM*MMLeachEF*NtoN2O*kgtoGg,IF('Net zero activities &amp; levers'!$C$14="On",Constants!$H69*'Net zero Activity data'!BJ11*Constants!$H87*FracLEACHMM*MMLeachEF*NtoN2O*kgtoGg,"ERROR"))</f>
        <v>4.5880981486463275E-3</v>
      </c>
      <c r="AR1207" s="94">
        <f>IF('Net zero activities &amp; levers'!$C$14="Off",Constants!$H69*'Activity data'!BK11*Constants!$H87*FracLEACHMM*MMLeachEF*NtoN2O*kgtoGg,IF('Net zero activities &amp; levers'!$C$14="On",Constants!$H69*'Net zero Activity data'!BK11*Constants!$H87*FracLEACHMM*MMLeachEF*NtoN2O*kgtoGg,"ERROR"))</f>
        <v>4.592159181597999E-3</v>
      </c>
      <c r="AS1207" s="94">
        <f>IF('Net zero activities &amp; levers'!$C$14="Off",Constants!$H69*'Activity data'!BL11*Constants!$H87*FracLEACHMM*MMLeachEF*NtoN2O*kgtoGg,IF('Net zero activities &amp; levers'!$C$14="On",Constants!$H69*'Net zero Activity data'!BL11*Constants!$H87*FracLEACHMM*MMLeachEF*NtoN2O*kgtoGg,"ERROR"))</f>
        <v>4.5958403193991975E-3</v>
      </c>
      <c r="AT1207" s="94">
        <f>IF('Net zero activities &amp; levers'!$C$14="Off",Constants!$H69*'Activity data'!BM11*Constants!$H87*FracLEACHMM*MMLeachEF*NtoN2O*kgtoGg,IF('Net zero activities &amp; levers'!$C$14="On",Constants!$H69*'Net zero Activity data'!BM11*Constants!$H87*FracLEACHMM*MMLeachEF*NtoN2O*kgtoGg,"ERROR"))</f>
        <v>4.5991133923720465E-3</v>
      </c>
      <c r="AU1207" s="94">
        <f>IF('Net zero activities &amp; levers'!$C$14="Off",Constants!$H69*'Activity data'!BN11*Constants!$H87*FracLEACHMM*MMLeachEF*NtoN2O*kgtoGg,IF('Net zero activities &amp; levers'!$C$14="On",Constants!$H69*'Net zero Activity data'!BN11*Constants!$H87*FracLEACHMM*MMLeachEF*NtoN2O*kgtoGg,"ERROR"))</f>
        <v>4.6019768219588081E-3</v>
      </c>
      <c r="AV1207" s="94">
        <f>IF('Net zero activities &amp; levers'!$C$14="Off",Constants!$H69*'Activity data'!BO11*Constants!$H87*FracLEACHMM*MMLeachEF*NtoN2O*kgtoGg,IF('Net zero activities &amp; levers'!$C$14="On",Constants!$H69*'Net zero Activity data'!BO11*Constants!$H87*FracLEACHMM*MMLeachEF*NtoN2O*kgtoGg,"ERROR"))</f>
        <v>4.6044854054681089E-3</v>
      </c>
      <c r="AW1207" s="94">
        <f>IF('Net zero activities &amp; levers'!$C$14="Off",Constants!$H69*'Activity data'!BP11*Constants!$H87*FracLEACHMM*MMLeachEF*NtoN2O*kgtoGg,IF('Net zero activities &amp; levers'!$C$14="On",Constants!$H69*'Net zero Activity data'!BP11*Constants!$H87*FracLEACHMM*MMLeachEF*NtoN2O*kgtoGg,"ERROR"))</f>
        <v>4.6063133110806655E-3</v>
      </c>
      <c r="AY1207" s="79"/>
    </row>
    <row r="1208" spans="1:51" x14ac:dyDescent="0.25">
      <c r="A1208" s="95" t="str">
        <f t="shared" si="380"/>
        <v>CM MM Leaching</v>
      </c>
      <c r="B1208" s="95" t="s">
        <v>1321</v>
      </c>
      <c r="C1208" s="95" t="s">
        <v>1332</v>
      </c>
      <c r="D1208" t="s">
        <v>369</v>
      </c>
      <c r="E1208" t="s">
        <v>64</v>
      </c>
      <c r="F1208" t="s">
        <v>63</v>
      </c>
      <c r="G1208" t="s">
        <v>1165</v>
      </c>
      <c r="H1208" t="s">
        <v>1312</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3.7085296571107255E-3</v>
      </c>
      <c r="T1208" s="94">
        <f>IF('Net zero activities &amp; levers'!$C$14="Off",Constants!$H70*'Activity data'!AM12*Constants!$H88*FracLEACHMM*MMLeachEF*NtoN2O*kgtoGg,IF('Net zero activities &amp; levers'!$C$14="On",Constants!$H70*'Net zero Activity data'!AM12*Constants!$H88*FracLEACHMM*MMLeachEF*NtoN2O*kgtoGg,"ERROR"))</f>
        <v>3.7111989800627421E-3</v>
      </c>
      <c r="U1208" s="94">
        <f>IF('Net zero activities &amp; levers'!$C$14="Off",Constants!$H70*'Activity data'!AN12*Constants!$H88*FracLEACHMM*MMLeachEF*NtoN2O*kgtoGg,IF('Net zero activities &amp; levers'!$C$14="On",Constants!$H70*'Net zero Activity data'!AN12*Constants!$H88*FracLEACHMM*MMLeachEF*NtoN2O*kgtoGg,"ERROR"))</f>
        <v>3.7102605029651799E-3</v>
      </c>
      <c r="V1208" s="94">
        <f>IF('Net zero activities &amp; levers'!$C$14="Off",Constants!$H70*'Activity data'!AO12*Constants!$H88*FracLEACHMM*MMLeachEF*NtoN2O*kgtoGg,IF('Net zero activities &amp; levers'!$C$14="On",Constants!$H70*'Net zero Activity data'!AO12*Constants!$H88*FracLEACHMM*MMLeachEF*NtoN2O*kgtoGg,"ERROR"))</f>
        <v>3.7101929400994759E-3</v>
      </c>
      <c r="W1208" s="94">
        <f>IF('Net zero activities &amp; levers'!$C$14="Off",Constants!$H70*'Activity data'!AP12*Constants!$H88*FracLEACHMM*MMLeachEF*NtoN2O*kgtoGg,IF('Net zero activities &amp; levers'!$C$14="On",Constants!$H70*'Net zero Activity data'!AP12*Constants!$H88*FracLEACHMM*MMLeachEF*NtoN2O*kgtoGg,"ERROR"))</f>
        <v>3.7141283768717579E-3</v>
      </c>
      <c r="X1208" s="94">
        <f>IF('Net zero activities &amp; levers'!$C$14="Off",Constants!$H70*'Activity data'!AQ12*Constants!$H88*FracLEACHMM*MMLeachEF*NtoN2O*kgtoGg,IF('Net zero activities &amp; levers'!$C$14="On",Constants!$H70*'Net zero Activity data'!AQ12*Constants!$H88*FracLEACHMM*MMLeachEF*NtoN2O*kgtoGg,"ERROR"))</f>
        <v>3.7205690817629544E-3</v>
      </c>
      <c r="Y1208" s="94">
        <f>IF('Net zero activities &amp; levers'!$C$14="Off",Constants!$H70*'Activity data'!AR12*Constants!$H88*FracLEACHMM*MMLeachEF*NtoN2O*kgtoGg,IF('Net zero activities &amp; levers'!$C$14="On",Constants!$H70*'Net zero Activity data'!AR12*Constants!$H88*FracLEACHMM*MMLeachEF*NtoN2O*kgtoGg,"ERROR"))</f>
        <v>3.7267490095624013E-3</v>
      </c>
      <c r="Z1208" s="94">
        <f>IF('Net zero activities &amp; levers'!$C$14="Off",Constants!$H70*'Activity data'!AS12*Constants!$H88*FracLEACHMM*MMLeachEF*NtoN2O*kgtoGg,IF('Net zero activities &amp; levers'!$C$14="On",Constants!$H70*'Net zero Activity data'!AS12*Constants!$H88*FracLEACHMM*MMLeachEF*NtoN2O*kgtoGg,"ERROR"))</f>
        <v>3.732688097999684E-3</v>
      </c>
      <c r="AA1208" s="94">
        <f>IF('Net zero activities &amp; levers'!$C$14="Off",Constants!$H70*'Activity data'!AT12*Constants!$H88*FracLEACHMM*MMLeachEF*NtoN2O*kgtoGg,IF('Net zero activities &amp; levers'!$C$14="On",Constants!$H70*'Net zero Activity data'!AT12*Constants!$H88*FracLEACHMM*MMLeachEF*NtoN2O*kgtoGg,"ERROR"))</f>
        <v>3.7383782417491837E-3</v>
      </c>
      <c r="AB1208" s="94">
        <f>IF('Net zero activities &amp; levers'!$C$14="Off",Constants!$H70*'Activity data'!AU12*Constants!$H88*FracLEACHMM*MMLeachEF*NtoN2O*kgtoGg,IF('Net zero activities &amp; levers'!$C$14="On",Constants!$H70*'Net zero Activity data'!AU12*Constants!$H88*FracLEACHMM*MMLeachEF*NtoN2O*kgtoGg,"ERROR"))</f>
        <v>3.7439380221024701E-3</v>
      </c>
      <c r="AC1208" s="94">
        <f>IF('Net zero activities &amp; levers'!$C$14="Off",Constants!$H70*'Activity data'!AV12*Constants!$H88*FracLEACHMM*MMLeachEF*NtoN2O*kgtoGg,IF('Net zero activities &amp; levers'!$C$14="On",Constants!$H70*'Net zero Activity data'!AV12*Constants!$H88*FracLEACHMM*MMLeachEF*NtoN2O*kgtoGg,"ERROR"))</f>
        <v>3.7494486528658025E-3</v>
      </c>
      <c r="AD1208" s="94">
        <f>IF('Net zero activities &amp; levers'!$C$14="Off",Constants!$H70*'Activity data'!AW12*Constants!$H88*FracLEACHMM*MMLeachEF*NtoN2O*kgtoGg,IF('Net zero activities &amp; levers'!$C$14="On",Constants!$H70*'Net zero Activity data'!AW12*Constants!$H88*FracLEACHMM*MMLeachEF*NtoN2O*kgtoGg,"ERROR"))</f>
        <v>3.7548548419516796E-3</v>
      </c>
      <c r="AE1208" s="94">
        <f>IF('Net zero activities &amp; levers'!$C$14="Off",Constants!$H70*'Activity data'!AX12*Constants!$H88*FracLEACHMM*MMLeachEF*NtoN2O*kgtoGg,IF('Net zero activities &amp; levers'!$C$14="On",Constants!$H70*'Net zero Activity data'!AX12*Constants!$H88*FracLEACHMM*MMLeachEF*NtoN2O*kgtoGg,"ERROR"))</f>
        <v>3.7602343215399525E-3</v>
      </c>
      <c r="AF1208" s="94">
        <f>IF('Net zero activities &amp; levers'!$C$14="Off",Constants!$H70*'Activity data'!AY12*Constants!$H88*FracLEACHMM*MMLeachEF*NtoN2O*kgtoGg,IF('Net zero activities &amp; levers'!$C$14="On",Constants!$H70*'Net zero Activity data'!AY12*Constants!$H88*FracLEACHMM*MMLeachEF*NtoN2O*kgtoGg,"ERROR"))</f>
        <v>3.7655701452301818E-3</v>
      </c>
      <c r="AG1208" s="94">
        <f>IF('Net zero activities &amp; levers'!$C$14="Off",Constants!$H70*'Activity data'!AZ12*Constants!$H88*FracLEACHMM*MMLeachEF*NtoN2O*kgtoGg,IF('Net zero activities &amp; levers'!$C$14="On",Constants!$H70*'Net zero Activity data'!AZ12*Constants!$H88*FracLEACHMM*MMLeachEF*NtoN2O*kgtoGg,"ERROR"))</f>
        <v>3.7708195590492773E-3</v>
      </c>
      <c r="AH1208" s="94">
        <f>IF('Net zero activities &amp; levers'!$C$14="Off",Constants!$H70*'Activity data'!BA12*Constants!$H88*FracLEACHMM*MMLeachEF*NtoN2O*kgtoGg,IF('Net zero activities &amp; levers'!$C$14="On",Constants!$H70*'Net zero Activity data'!BA12*Constants!$H88*FracLEACHMM*MMLeachEF*NtoN2O*kgtoGg,"ERROR"))</f>
        <v>3.7760056747165515E-3</v>
      </c>
      <c r="AI1208" s="94">
        <f>IF('Net zero activities &amp; levers'!$C$14="Off",Constants!$H70*'Activity data'!BB12*Constants!$H88*FracLEACHMM*MMLeachEF*NtoN2O*kgtoGg,IF('Net zero activities &amp; levers'!$C$14="On",Constants!$H70*'Net zero Activity data'!BB12*Constants!$H88*FracLEACHMM*MMLeachEF*NtoN2O*kgtoGg,"ERROR"))</f>
        <v>3.7811340265579189E-3</v>
      </c>
      <c r="AJ1208" s="94">
        <f>IF('Net zero activities &amp; levers'!$C$14="Off",Constants!$H70*'Activity data'!BC12*Constants!$H88*FracLEACHMM*MMLeachEF*NtoN2O*kgtoGg,IF('Net zero activities &amp; levers'!$C$14="On",Constants!$H70*'Net zero Activity data'!BC12*Constants!$H88*FracLEACHMM*MMLeachEF*NtoN2O*kgtoGg,"ERROR"))</f>
        <v>3.7862220250322745E-3</v>
      </c>
      <c r="AK1208" s="94">
        <f>IF('Net zero activities &amp; levers'!$C$14="Off",Constants!$H70*'Activity data'!BD12*Constants!$H88*FracLEACHMM*MMLeachEF*NtoN2O*kgtoGg,IF('Net zero activities &amp; levers'!$C$14="On",Constants!$H70*'Net zero Activity data'!BD12*Constants!$H88*FracLEACHMM*MMLeachEF*NtoN2O*kgtoGg,"ERROR"))</f>
        <v>3.791113987511746E-3</v>
      </c>
      <c r="AL1208" s="94">
        <f>IF('Net zero activities &amp; levers'!$C$14="Off",Constants!$H70*'Activity data'!BE12*Constants!$H88*FracLEACHMM*MMLeachEF*NtoN2O*kgtoGg,IF('Net zero activities &amp; levers'!$C$14="On",Constants!$H70*'Net zero Activity data'!BE12*Constants!$H88*FracLEACHMM*MMLeachEF*NtoN2O*kgtoGg,"ERROR"))</f>
        <v>3.7958041904982334E-3</v>
      </c>
      <c r="AM1208" s="94">
        <f>IF('Net zero activities &amp; levers'!$C$14="Off",Constants!$H70*'Activity data'!BF12*Constants!$H88*FracLEACHMM*MMLeachEF*NtoN2O*kgtoGg,IF('Net zero activities &amp; levers'!$C$14="On",Constants!$H70*'Net zero Activity data'!BF12*Constants!$H88*FracLEACHMM*MMLeachEF*NtoN2O*kgtoGg,"ERROR"))</f>
        <v>3.8003364690201913E-3</v>
      </c>
      <c r="AN1208" s="94">
        <f>IF('Net zero activities &amp; levers'!$C$14="Off",Constants!$H70*'Activity data'!BG12*Constants!$H88*FracLEACHMM*MMLeachEF*NtoN2O*kgtoGg,IF('Net zero activities &amp; levers'!$C$14="On",Constants!$H70*'Net zero Activity data'!BG12*Constants!$H88*FracLEACHMM*MMLeachEF*NtoN2O*kgtoGg,"ERROR"))</f>
        <v>3.8046759240522587E-3</v>
      </c>
      <c r="AO1208" s="94">
        <f>IF('Net zero activities &amp; levers'!$C$14="Off",Constants!$H70*'Activity data'!BH12*Constants!$H88*FracLEACHMM*MMLeachEF*NtoN2O*kgtoGg,IF('Net zero activities &amp; levers'!$C$14="On",Constants!$H70*'Net zero Activity data'!BH12*Constants!$H88*FracLEACHMM*MMLeachEF*NtoN2O*kgtoGg,"ERROR"))</f>
        <v>3.8088304277055216E-3</v>
      </c>
      <c r="AP1208" s="94">
        <f>IF('Net zero activities &amp; levers'!$C$14="Off",Constants!$H70*'Activity data'!BI12*Constants!$H88*FracLEACHMM*MMLeachEF*NtoN2O*kgtoGg,IF('Net zero activities &amp; levers'!$C$14="On",Constants!$H70*'Net zero Activity data'!BI12*Constants!$H88*FracLEACHMM*MMLeachEF*NtoN2O*kgtoGg,"ERROR"))</f>
        <v>3.8127812680195002E-3</v>
      </c>
      <c r="AQ1208" s="94">
        <f>IF('Net zero activities &amp; levers'!$C$14="Off",Constants!$H70*'Activity data'!BJ12*Constants!$H88*FracLEACHMM*MMLeachEF*NtoN2O*kgtoGg,IF('Net zero activities &amp; levers'!$C$14="On",Constants!$H70*'Net zero Activity data'!BJ12*Constants!$H88*FracLEACHMM*MMLeachEF*NtoN2O*kgtoGg,"ERROR"))</f>
        <v>3.8164719081598638E-3</v>
      </c>
      <c r="AR1208" s="94">
        <f>IF('Net zero activities &amp; levers'!$C$14="Off",Constants!$H70*'Activity data'!BK12*Constants!$H88*FracLEACHMM*MMLeachEF*NtoN2O*kgtoGg,IF('Net zero activities &amp; levers'!$C$14="On",Constants!$H70*'Net zero Activity data'!BK12*Constants!$H88*FracLEACHMM*MMLeachEF*NtoN2O*kgtoGg,"ERROR"))</f>
        <v>3.8198499566836808E-3</v>
      </c>
      <c r="AS1208" s="94">
        <f>IF('Net zero activities &amp; levers'!$C$14="Off",Constants!$H70*'Activity data'!BL12*Constants!$H88*FracLEACHMM*MMLeachEF*NtoN2O*kgtoGg,IF('Net zero activities &amp; levers'!$C$14="On",Constants!$H70*'Net zero Activity data'!BL12*Constants!$H88*FracLEACHMM*MMLeachEF*NtoN2O*kgtoGg,"ERROR"))</f>
        <v>3.822912000814643E-3</v>
      </c>
      <c r="AT1208" s="94">
        <f>IF('Net zero activities &amp; levers'!$C$14="Off",Constants!$H70*'Activity data'!BM12*Constants!$H88*FracLEACHMM*MMLeachEF*NtoN2O*kgtoGg,IF('Net zero activities &amp; levers'!$C$14="On",Constants!$H70*'Net zero Activity data'!BM12*Constants!$H88*FracLEACHMM*MMLeachEF*NtoN2O*kgtoGg,"ERROR"))</f>
        <v>3.8256346084506454E-3</v>
      </c>
      <c r="AU1208" s="94">
        <f>IF('Net zero activities &amp; levers'!$C$14="Off",Constants!$H70*'Activity data'!BN12*Constants!$H88*FracLEACHMM*MMLeachEF*NtoN2O*kgtoGg,IF('Net zero activities &amp; levers'!$C$14="On",Constants!$H70*'Net zero Activity data'!BN12*Constants!$H88*FracLEACHMM*MMLeachEF*NtoN2O*kgtoGg,"ERROR"))</f>
        <v>3.8280164665157558E-3</v>
      </c>
      <c r="AV1208" s="94">
        <f>IF('Net zero activities &amp; levers'!$C$14="Off",Constants!$H70*'Activity data'!BO12*Constants!$H88*FracLEACHMM*MMLeachEF*NtoN2O*kgtoGg,IF('Net zero activities &amp; levers'!$C$14="On",Constants!$H70*'Net zero Activity data'!BO12*Constants!$H88*FracLEACHMM*MMLeachEF*NtoN2O*kgtoGg,"ERROR"))</f>
        <v>3.830103156508502E-3</v>
      </c>
      <c r="AW1208" s="94">
        <f>IF('Net zero activities &amp; levers'!$C$14="Off",Constants!$H70*'Activity data'!BP12*Constants!$H88*FracLEACHMM*MMLeachEF*NtoN2O*kgtoGg,IF('Net zero activities &amp; levers'!$C$14="On",Constants!$H70*'Net zero Activity data'!BP12*Constants!$H88*FracLEACHMM*MMLeachEF*NtoN2O*kgtoGg,"ERROR"))</f>
        <v>3.831623644997431E-3</v>
      </c>
      <c r="AY1208" s="79"/>
    </row>
    <row r="1209" spans="1:51" x14ac:dyDescent="0.25">
      <c r="A1209" s="95" t="str">
        <f t="shared" si="380"/>
        <v>CM MM Leaching</v>
      </c>
      <c r="B1209" s="95" t="s">
        <v>1321</v>
      </c>
      <c r="C1209" s="95" t="s">
        <v>1332</v>
      </c>
      <c r="D1209" t="s">
        <v>369</v>
      </c>
      <c r="E1209" t="s">
        <v>64</v>
      </c>
      <c r="F1209" t="s">
        <v>63</v>
      </c>
      <c r="G1209" t="s">
        <v>1167</v>
      </c>
      <c r="H1209" t="s">
        <v>1313</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5.4322987485311551E-4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5.5840147541839707E-4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5.6069712046990367E-4</v>
      </c>
      <c r="T1209" s="94">
        <f>IF('Net zero activities &amp; levers'!$C$14="Off",Constants!$H71*'Activity data'!AM13*Constants!$H89*FracLEACHMM*MMLeachEF*NtoN2O*kgtoGg,IF('Net zero activities &amp; levers'!$C$14="On",Constants!$H71*'Net zero Activity data'!AM13*Constants!$H89*FracLEACHMM*MMLeachEF*NtoN2O*kgtoGg,"ERROR"))</f>
        <v>5.6166095935732032E-4</v>
      </c>
      <c r="U1209" s="94">
        <f>IF('Net zero activities &amp; levers'!$C$14="Off",Constants!$H71*'Activity data'!AN13*Constants!$H89*FracLEACHMM*MMLeachEF*NtoN2O*kgtoGg,IF('Net zero activities &amp; levers'!$C$14="On",Constants!$H71*'Net zero Activity data'!AN13*Constants!$H89*FracLEACHMM*MMLeachEF*NtoN2O*kgtoGg,"ERROR"))</f>
        <v>5.6175448886496286E-4</v>
      </c>
      <c r="V1209" s="94">
        <f>IF('Net zero activities &amp; levers'!$C$14="Off",Constants!$H71*'Activity data'!AO13*Constants!$H89*FracLEACHMM*MMLeachEF*NtoN2O*kgtoGg,IF('Net zero activities &amp; levers'!$C$14="On",Constants!$H71*'Net zero Activity data'!AO13*Constants!$H89*FracLEACHMM*MMLeachEF*NtoN2O*kgtoGg,"ERROR"))</f>
        <v>5.6201163535097535E-4</v>
      </c>
      <c r="W1209" s="94">
        <f>IF('Net zero activities &amp; levers'!$C$14="Off",Constants!$H71*'Activity data'!AP13*Constants!$H89*FracLEACHMM*MMLeachEF*NtoN2O*kgtoGg,IF('Net zero activities &amp; levers'!$C$14="On",Constants!$H71*'Net zero Activity data'!AP13*Constants!$H89*FracLEACHMM*MMLeachEF*NtoN2O*kgtoGg,"ERROR"))</f>
        <v>5.6314854989012028E-4</v>
      </c>
      <c r="X1209" s="94">
        <f>IF('Net zero activities &amp; levers'!$C$14="Off",Constants!$H71*'Activity data'!AQ13*Constants!$H89*FracLEACHMM*MMLeachEF*NtoN2O*kgtoGg,IF('Net zero activities &amp; levers'!$C$14="On",Constants!$H71*'Net zero Activity data'!AQ13*Constants!$H89*FracLEACHMM*MMLeachEF*NtoN2O*kgtoGg,"ERROR"))</f>
        <v>5.6482088760724937E-4</v>
      </c>
      <c r="Y1209" s="94">
        <f>IF('Net zero activities &amp; levers'!$C$14="Off",Constants!$H71*'Activity data'!AR13*Constants!$H89*FracLEACHMM*MMLeachEF*NtoN2O*kgtoGg,IF('Net zero activities &amp; levers'!$C$14="On",Constants!$H71*'Net zero Activity data'!AR13*Constants!$H89*FracLEACHMM*MMLeachEF*NtoN2O*kgtoGg,"ERROR"))</f>
        <v>5.6639948615984891E-4</v>
      </c>
      <c r="Z1209" s="94">
        <f>IF('Net zero activities &amp; levers'!$C$14="Off",Constants!$H71*'Activity data'!AS13*Constants!$H89*FracLEACHMM*MMLeachEF*NtoN2O*kgtoGg,IF('Net zero activities &amp; levers'!$C$14="On",Constants!$H71*'Net zero Activity data'!AS13*Constants!$H89*FracLEACHMM*MMLeachEF*NtoN2O*kgtoGg,"ERROR"))</f>
        <v>5.6789176789216864E-4</v>
      </c>
      <c r="AA1209" s="94">
        <f>IF('Net zero activities &amp; levers'!$C$14="Off",Constants!$H71*'Activity data'!AT13*Constants!$H89*FracLEACHMM*MMLeachEF*NtoN2O*kgtoGg,IF('Net zero activities &amp; levers'!$C$14="On",Constants!$H71*'Net zero Activity data'!AT13*Constants!$H89*FracLEACHMM*MMLeachEF*NtoN2O*kgtoGg,"ERROR"))</f>
        <v>5.692984966381053E-4</v>
      </c>
      <c r="AB1209" s="94">
        <f>IF('Net zero activities &amp; levers'!$C$14="Off",Constants!$H71*'Activity data'!AU13*Constants!$H89*FracLEACHMM*MMLeachEF*NtoN2O*kgtoGg,IF('Net zero activities &amp; levers'!$C$14="On",Constants!$H71*'Net zero Activity data'!AU13*Constants!$H89*FracLEACHMM*MMLeachEF*NtoN2O*kgtoGg,"ERROR"))</f>
        <v>5.7064878025290242E-4</v>
      </c>
      <c r="AC1209" s="94">
        <f>IF('Net zero activities &amp; levers'!$C$14="Off",Constants!$H71*'Activity data'!AV13*Constants!$H89*FracLEACHMM*MMLeachEF*NtoN2O*kgtoGg,IF('Net zero activities &amp; levers'!$C$14="On",Constants!$H71*'Net zero Activity data'!AV13*Constants!$H89*FracLEACHMM*MMLeachEF*NtoN2O*kgtoGg,"ERROR"))</f>
        <v>5.7196287833233815E-4</v>
      </c>
      <c r="AD1209" s="94">
        <f>IF('Net zero activities &amp; levers'!$C$14="Off",Constants!$H71*'Activity data'!AW13*Constants!$H89*FracLEACHMM*MMLeachEF*NtoN2O*kgtoGg,IF('Net zero activities &amp; levers'!$C$14="On",Constants!$H71*'Net zero Activity data'!AW13*Constants!$H89*FracLEACHMM*MMLeachEF*NtoN2O*kgtoGg,"ERROR"))</f>
        <v>5.7323006225721597E-4</v>
      </c>
      <c r="AE1209" s="94">
        <f>IF('Net zero activities &amp; levers'!$C$14="Off",Constants!$H71*'Activity data'!AX13*Constants!$H89*FracLEACHMM*MMLeachEF*NtoN2O*kgtoGg,IF('Net zero activities &amp; levers'!$C$14="On",Constants!$H71*'Net zero Activity data'!AX13*Constants!$H89*FracLEACHMM*MMLeachEF*NtoN2O*kgtoGg,"ERROR"))</f>
        <v>5.7446936511734096E-4</v>
      </c>
      <c r="AF1209" s="94">
        <f>IF('Net zero activities &amp; levers'!$C$14="Off",Constants!$H71*'Activity data'!AY13*Constants!$H89*FracLEACHMM*MMLeachEF*NtoN2O*kgtoGg,IF('Net zero activities &amp; levers'!$C$14="On",Constants!$H71*'Net zero Activity data'!AY13*Constants!$H89*FracLEACHMM*MMLeachEF*NtoN2O*kgtoGg,"ERROR"))</f>
        <v>5.7567836458981281E-4</v>
      </c>
      <c r="AG1209" s="94">
        <f>IF('Net zero activities &amp; levers'!$C$14="Off",Constants!$H71*'Activity data'!AZ13*Constants!$H89*FracLEACHMM*MMLeachEF*NtoN2O*kgtoGg,IF('Net zero activities &amp; levers'!$C$14="On",Constants!$H71*'Net zero Activity data'!AZ13*Constants!$H89*FracLEACHMM*MMLeachEF*NtoN2O*kgtoGg,"ERROR"))</f>
        <v>5.7684878803825762E-4</v>
      </c>
      <c r="AH1209" s="94">
        <f>IF('Net zero activities &amp; levers'!$C$14="Off",Constants!$H71*'Activity data'!BA13*Constants!$H89*FracLEACHMM*MMLeachEF*NtoN2O*kgtoGg,IF('Net zero activities &amp; levers'!$C$14="On",Constants!$H71*'Net zero Activity data'!BA13*Constants!$H89*FracLEACHMM*MMLeachEF*NtoN2O*kgtoGg,"ERROR"))</f>
        <v>5.7798700555519505E-4</v>
      </c>
      <c r="AI1209" s="94">
        <f>IF('Net zero activities &amp; levers'!$C$14="Off",Constants!$H71*'Activity data'!BB13*Constants!$H89*FracLEACHMM*MMLeachEF*NtoN2O*kgtoGg,IF('Net zero activities &amp; levers'!$C$14="On",Constants!$H71*'Net zero Activity data'!BB13*Constants!$H89*FracLEACHMM*MMLeachEF*NtoN2O*kgtoGg,"ERROR"))</f>
        <v>5.7909534227176243E-4</v>
      </c>
      <c r="AJ1209" s="94">
        <f>IF('Net zero activities &amp; levers'!$C$14="Off",Constants!$H71*'Activity data'!BC13*Constants!$H89*FracLEACHMM*MMLeachEF*NtoN2O*kgtoGg,IF('Net zero activities &amp; levers'!$C$14="On",Constants!$H71*'Net zero Activity data'!BC13*Constants!$H89*FracLEACHMM*MMLeachEF*NtoN2O*kgtoGg,"ERROR"))</f>
        <v>5.8017866455598575E-4</v>
      </c>
      <c r="AK1209" s="94">
        <f>IF('Net zero activities &amp; levers'!$C$14="Off",Constants!$H71*'Activity data'!BD13*Constants!$H89*FracLEACHMM*MMLeachEF*NtoN2O*kgtoGg,IF('Net zero activities &amp; levers'!$C$14="On",Constants!$H71*'Net zero Activity data'!BD13*Constants!$H89*FracLEACHMM*MMLeachEF*NtoN2O*kgtoGg,"ERROR"))</f>
        <v>5.8120338345125585E-4</v>
      </c>
      <c r="AL1209" s="94">
        <f>IF('Net zero activities &amp; levers'!$C$14="Off",Constants!$H71*'Activity data'!BE13*Constants!$H89*FracLEACHMM*MMLeachEF*NtoN2O*kgtoGg,IF('Net zero activities &amp; levers'!$C$14="On",Constants!$H71*'Net zero Activity data'!BE13*Constants!$H89*FracLEACHMM*MMLeachEF*NtoN2O*kgtoGg,"ERROR"))</f>
        <v>5.8216925674029819E-4</v>
      </c>
      <c r="AM1209" s="94">
        <f>IF('Net zero activities &amp; levers'!$C$14="Off",Constants!$H71*'Activity data'!BF13*Constants!$H89*FracLEACHMM*MMLeachEF*NtoN2O*kgtoGg,IF('Net zero activities &amp; levers'!$C$14="On",Constants!$H71*'Net zero Activity data'!BF13*Constants!$H89*FracLEACHMM*MMLeachEF*NtoN2O*kgtoGg,"ERROR"))</f>
        <v>5.8308692423697495E-4</v>
      </c>
      <c r="AN1209" s="94">
        <f>IF('Net zero activities &amp; levers'!$C$14="Off",Constants!$H71*'Activity data'!BG13*Constants!$H89*FracLEACHMM*MMLeachEF*NtoN2O*kgtoGg,IF('Net zero activities &amp; levers'!$C$14="On",Constants!$H71*'Net zero Activity data'!BG13*Constants!$H89*FracLEACHMM*MMLeachEF*NtoN2O*kgtoGg,"ERROR"))</f>
        <v>5.839495453276261E-4</v>
      </c>
      <c r="AO1209" s="94">
        <f>IF('Net zero activities &amp; levers'!$C$14="Off",Constants!$H71*'Activity data'!BH13*Constants!$H89*FracLEACHMM*MMLeachEF*NtoN2O*kgtoGg,IF('Net zero activities &amp; levers'!$C$14="On",Constants!$H71*'Net zero Activity data'!BH13*Constants!$H89*FracLEACHMM*MMLeachEF*NtoN2O*kgtoGg,"ERROR"))</f>
        <v>5.8475968776002874E-4</v>
      </c>
      <c r="AP1209" s="94">
        <f>IF('Net zero activities &amp; levers'!$C$14="Off",Constants!$H71*'Activity data'!BI13*Constants!$H89*FracLEACHMM*MMLeachEF*NtoN2O*kgtoGg,IF('Net zero activities &amp; levers'!$C$14="On",Constants!$H71*'Net zero Activity data'!BI13*Constants!$H89*FracLEACHMM*MMLeachEF*NtoN2O*kgtoGg,"ERROR"))</f>
        <v>5.8551401869501036E-4</v>
      </c>
      <c r="AQ1209" s="94">
        <f>IF('Net zero activities &amp; levers'!$C$14="Off",Constants!$H71*'Activity data'!BJ13*Constants!$H89*FracLEACHMM*MMLeachEF*NtoN2O*kgtoGg,IF('Net zero activities &amp; levers'!$C$14="On",Constants!$H71*'Net zero Activity data'!BJ13*Constants!$H89*FracLEACHMM*MMLeachEF*NtoN2O*kgtoGg,"ERROR"))</f>
        <v>5.8620089468398309E-4</v>
      </c>
      <c r="AR1209" s="94">
        <f>IF('Net zero activities &amp; levers'!$C$14="Off",Constants!$H71*'Activity data'!BK13*Constants!$H89*FracLEACHMM*MMLeachEF*NtoN2O*kgtoGg,IF('Net zero activities &amp; levers'!$C$14="On",Constants!$H71*'Net zero Activity data'!BK13*Constants!$H89*FracLEACHMM*MMLeachEF*NtoN2O*kgtoGg,"ERROR"))</f>
        <v>5.868096200135702E-4</v>
      </c>
      <c r="AS1209" s="94">
        <f>IF('Net zero activities &amp; levers'!$C$14="Off",Constants!$H71*'Activity data'!BL13*Constants!$H89*FracLEACHMM*MMLeachEF*NtoN2O*kgtoGg,IF('Net zero activities &amp; levers'!$C$14="On",Constants!$H71*'Net zero Activity data'!BL13*Constants!$H89*FracLEACHMM*MMLeachEF*NtoN2O*kgtoGg,"ERROR"))</f>
        <v>5.87340236215825E-4</v>
      </c>
      <c r="AT1209" s="94">
        <f>IF('Net zero activities &amp; levers'!$C$14="Off",Constants!$H71*'Activity data'!BM13*Constants!$H89*FracLEACHMM*MMLeachEF*NtoN2O*kgtoGg,IF('Net zero activities &amp; levers'!$C$14="On",Constants!$H71*'Net zero Activity data'!BM13*Constants!$H89*FracLEACHMM*MMLeachEF*NtoN2O*kgtoGg,"ERROR"))</f>
        <v>5.8778838343391971E-4</v>
      </c>
      <c r="AU1209" s="94">
        <f>IF('Net zero activities &amp; levers'!$C$14="Off",Constants!$H71*'Activity data'!BN13*Constants!$H89*FracLEACHMM*MMLeachEF*NtoN2O*kgtoGg,IF('Net zero activities &amp; levers'!$C$14="On",Constants!$H71*'Net zero Activity data'!BN13*Constants!$H89*FracLEACHMM*MMLeachEF*NtoN2O*kgtoGg,"ERROR"))</f>
        <v>5.8815451618636234E-4</v>
      </c>
      <c r="AV1209" s="94">
        <f>IF('Net zero activities &amp; levers'!$C$14="Off",Constants!$H71*'Activity data'!BO13*Constants!$H89*FracLEACHMM*MMLeachEF*NtoN2O*kgtoGg,IF('Net zero activities &amp; levers'!$C$14="On",Constants!$H71*'Net zero Activity data'!BO13*Constants!$H89*FracLEACHMM*MMLeachEF*NtoN2O*kgtoGg,"ERROR"))</f>
        <v>5.8844925401827929E-4</v>
      </c>
      <c r="AW1209" s="94">
        <f>IF('Net zero activities &amp; levers'!$C$14="Off",Constants!$H71*'Activity data'!BP13*Constants!$H89*FracLEACHMM*MMLeachEF*NtoN2O*kgtoGg,IF('Net zero activities &amp; levers'!$C$14="On",Constants!$H71*'Net zero Activity data'!BP13*Constants!$H89*FracLEACHMM*MMLeachEF*NtoN2O*kgtoGg,"ERROR"))</f>
        <v>5.8861438328620193E-4</v>
      </c>
      <c r="AY1209" s="79"/>
    </row>
    <row r="1210" spans="1:51" x14ac:dyDescent="0.25">
      <c r="A1210" s="95" t="str">
        <f t="shared" si="380"/>
        <v>CM MM Leaching</v>
      </c>
      <c r="B1210" s="95" t="s">
        <v>1321</v>
      </c>
      <c r="C1210" s="95" t="s">
        <v>1332</v>
      </c>
      <c r="D1210" t="s">
        <v>369</v>
      </c>
      <c r="E1210" t="s">
        <v>64</v>
      </c>
      <c r="F1210" t="s">
        <v>63</v>
      </c>
      <c r="G1210" t="s">
        <v>1169</v>
      </c>
      <c r="H1210" t="s">
        <v>1314</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6.6992563985089938E-3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6.8863566425632549E-3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6.9146671525553097E-3</v>
      </c>
      <c r="T1210" s="94">
        <f>IF('Net zero activities &amp; levers'!$C$14="Off",Constants!$H72*'Activity data'!AM14*Constants!$H90*FracLEACHMM*MMLeachEF*NtoN2O*kgtoGg,IF('Net zero activities &amp; levers'!$C$14="On",Constants!$H72*'Net zero Activity data'!AM14*Constants!$H90*FracLEACHMM*MMLeachEF*NtoN2O*kgtoGg,"ERROR"))</f>
        <v>6.9265534720170359E-3</v>
      </c>
      <c r="U1210" s="94">
        <f>IF('Net zero activities &amp; levers'!$C$14="Off",Constants!$H72*'Activity data'!AN14*Constants!$H90*FracLEACHMM*MMLeachEF*NtoN2O*kgtoGg,IF('Net zero activities &amp; levers'!$C$14="On",Constants!$H72*'Net zero Activity data'!AN14*Constants!$H90*FracLEACHMM*MMLeachEF*NtoN2O*kgtoGg,"ERROR"))</f>
        <v>6.92770690297054E-3</v>
      </c>
      <c r="V1210" s="94">
        <f>IF('Net zero activities &amp; levers'!$C$14="Off",Constants!$H72*'Activity data'!AO14*Constants!$H90*FracLEACHMM*MMLeachEF*NtoN2O*kgtoGg,IF('Net zero activities &amp; levers'!$C$14="On",Constants!$H72*'Net zero Activity data'!AO14*Constants!$H90*FracLEACHMM*MMLeachEF*NtoN2O*kgtoGg,"ERROR"))</f>
        <v>6.9308781023495105E-3</v>
      </c>
      <c r="W1210" s="94">
        <f>IF('Net zero activities &amp; levers'!$C$14="Off",Constants!$H72*'Activity data'!AP14*Constants!$H90*FracLEACHMM*MMLeachEF*NtoN2O*kgtoGg,IF('Net zero activities &amp; levers'!$C$14="On",Constants!$H72*'Net zero Activity data'!AP14*Constants!$H90*FracLEACHMM*MMLeachEF*NtoN2O*kgtoGg,"ERROR"))</f>
        <v>6.9448988371314212E-3</v>
      </c>
      <c r="X1210" s="94">
        <f>IF('Net zero activities &amp; levers'!$C$14="Off",Constants!$H72*'Activity data'!AQ14*Constants!$H90*FracLEACHMM*MMLeachEF*NtoN2O*kgtoGg,IF('Net zero activities &amp; levers'!$C$14="On",Constants!$H72*'Net zero Activity data'!AQ14*Constants!$H90*FracLEACHMM*MMLeachEF*NtoN2O*kgtoGg,"ERROR"))</f>
        <v>6.9655225540339091E-3</v>
      </c>
      <c r="Y1210" s="94">
        <f>IF('Net zero activities &amp; levers'!$C$14="Off",Constants!$H72*'Activity data'!AR14*Constants!$H90*FracLEACHMM*MMLeachEF*NtoN2O*kgtoGg,IF('Net zero activities &amp; levers'!$C$14="On",Constants!$H72*'Net zero Activity data'!AR14*Constants!$H90*FracLEACHMM*MMLeachEF*NtoN2O*kgtoGg,"ERROR"))</f>
        <v>6.9849902544379758E-3</v>
      </c>
      <c r="Z1210" s="94">
        <f>IF('Net zero activities &amp; levers'!$C$14="Off",Constants!$H72*'Activity data'!AS14*Constants!$H90*FracLEACHMM*MMLeachEF*NtoN2O*kgtoGg,IF('Net zero activities &amp; levers'!$C$14="On",Constants!$H72*'Net zero Activity data'!AS14*Constants!$H90*FracLEACHMM*MMLeachEF*NtoN2O*kgtoGg,"ERROR"))</f>
        <v>7.0033934726820464E-3</v>
      </c>
      <c r="AA1210" s="94">
        <f>IF('Net zero activities &amp; levers'!$C$14="Off",Constants!$H72*'Activity data'!AT14*Constants!$H90*FracLEACHMM*MMLeachEF*NtoN2O*kgtoGg,IF('Net zero activities &amp; levers'!$C$14="On",Constants!$H72*'Net zero Activity data'!AT14*Constants!$H90*FracLEACHMM*MMLeachEF*NtoN2O*kgtoGg,"ERROR"))</f>
        <v>7.0207416285704375E-3</v>
      </c>
      <c r="AB1210" s="94">
        <f>IF('Net zero activities &amp; levers'!$C$14="Off",Constants!$H72*'Activity data'!AU14*Constants!$H90*FracLEACHMM*MMLeachEF*NtoN2O*kgtoGg,IF('Net zero activities &amp; levers'!$C$14="On",Constants!$H72*'Net zero Activity data'!AU14*Constants!$H90*FracLEACHMM*MMLeachEF*NtoN2O*kgtoGg,"ERROR"))</f>
        <v>7.0373936879747148E-3</v>
      </c>
      <c r="AC1210" s="94">
        <f>IF('Net zero activities &amp; levers'!$C$14="Off",Constants!$H72*'Activity data'!AV14*Constants!$H90*FracLEACHMM*MMLeachEF*NtoN2O*kgtoGg,IF('Net zero activities &amp; levers'!$C$14="On",Constants!$H72*'Net zero Activity data'!AV14*Constants!$H90*FracLEACHMM*MMLeachEF*NtoN2O*kgtoGg,"ERROR"))</f>
        <v>7.0535994976594404E-3</v>
      </c>
      <c r="AD1210" s="94">
        <f>IF('Net zero activities &amp; levers'!$C$14="Off",Constants!$H72*'Activity data'!AW14*Constants!$H90*FracLEACHMM*MMLeachEF*NtoN2O*kgtoGg,IF('Net zero activities &amp; levers'!$C$14="On",Constants!$H72*'Net zero Activity data'!AW14*Constants!$H90*FracLEACHMM*MMLeachEF*NtoN2O*kgtoGg,"ERROR"))</f>
        <v>7.0692267494174947E-3</v>
      </c>
      <c r="AE1210" s="94">
        <f>IF('Net zero activities &amp; levers'!$C$14="Off",Constants!$H72*'Activity data'!AX14*Constants!$H90*FracLEACHMM*MMLeachEF*NtoN2O*kgtoGg,IF('Net zero activities &amp; levers'!$C$14="On",Constants!$H72*'Net zero Activity data'!AX14*Constants!$H90*FracLEACHMM*MMLeachEF*NtoN2O*kgtoGg,"ERROR"))</f>
        <v>7.0845101644130852E-3</v>
      </c>
      <c r="AF1210" s="94">
        <f>IF('Net zero activities &amp; levers'!$C$14="Off",Constants!$H72*'Activity data'!AY14*Constants!$H90*FracLEACHMM*MMLeachEF*NtoN2O*kgtoGg,IF('Net zero activities &amp; levers'!$C$14="On",Constants!$H72*'Net zero Activity data'!AY14*Constants!$H90*FracLEACHMM*MMLeachEF*NtoN2O*kgtoGg,"ERROR"))</f>
        <v>7.0994198699110417E-3</v>
      </c>
      <c r="AG1210" s="94">
        <f>IF('Net zero activities &amp; levers'!$C$14="Off",Constants!$H72*'Activity data'!AZ14*Constants!$H90*FracLEACHMM*MMLeachEF*NtoN2O*kgtoGg,IF('Net zero activities &amp; levers'!$C$14="On",Constants!$H72*'Net zero Activity data'!AZ14*Constants!$H90*FracLEACHMM*MMLeachEF*NtoN2O*kgtoGg,"ERROR"))</f>
        <v>7.113853845542588E-3</v>
      </c>
      <c r="AH1210" s="94">
        <f>IF('Net zero activities &amp; levers'!$C$14="Off",Constants!$H72*'Activity data'!BA14*Constants!$H90*FracLEACHMM*MMLeachEF*NtoN2O*kgtoGg,IF('Net zero activities &amp; levers'!$C$14="On",Constants!$H72*'Net zero Activity data'!BA14*Constants!$H90*FracLEACHMM*MMLeachEF*NtoN2O*kgtoGg,"ERROR"))</f>
        <v>7.1278906489958219E-3</v>
      </c>
      <c r="AI1210" s="94">
        <f>IF('Net zero activities &amp; levers'!$C$14="Off",Constants!$H72*'Activity data'!BB14*Constants!$H90*FracLEACHMM*MMLeachEF*NtoN2O*kgtoGg,IF('Net zero activities &amp; levers'!$C$14="On",Constants!$H72*'Net zero Activity data'!BB14*Constants!$H90*FracLEACHMM*MMLeachEF*NtoN2O*kgtoGg,"ERROR"))</f>
        <v>7.1415589544110468E-3</v>
      </c>
      <c r="AJ1210" s="94">
        <f>IF('Net zero activities &amp; levers'!$C$14="Off",Constants!$H72*'Activity data'!BC14*Constants!$H90*FracLEACHMM*MMLeachEF*NtoN2O*kgtoGg,IF('Net zero activities &amp; levers'!$C$14="On",Constants!$H72*'Net zero Activity data'!BC14*Constants!$H90*FracLEACHMM*MMLeachEF*NtoN2O*kgtoGg,"ERROR"))</f>
        <v>7.1549187751429096E-3</v>
      </c>
      <c r="AK1210" s="94">
        <f>IF('Net zero activities &amp; levers'!$C$14="Off",Constants!$H72*'Activity data'!BD14*Constants!$H90*FracLEACHMM*MMLeachEF*NtoN2O*kgtoGg,IF('Net zero activities &amp; levers'!$C$14="On",Constants!$H72*'Net zero Activity data'!BD14*Constants!$H90*FracLEACHMM*MMLeachEF*NtoN2O*kgtoGg,"ERROR"))</f>
        <v>7.1675558831769013E-3</v>
      </c>
      <c r="AL1210" s="94">
        <f>IF('Net zero activities &amp; levers'!$C$14="Off",Constants!$H72*'Activity data'!BE14*Constants!$H90*FracLEACHMM*MMLeachEF*NtoN2O*kgtoGg,IF('Net zero activities &amp; levers'!$C$14="On",Constants!$H72*'Net zero Activity data'!BE14*Constants!$H90*FracLEACHMM*MMLeachEF*NtoN2O*kgtoGg,"ERROR"))</f>
        <v>7.179467291424684E-3</v>
      </c>
      <c r="AM1210" s="94">
        <f>IF('Net zero activities &amp; levers'!$C$14="Off",Constants!$H72*'Activity data'!BF14*Constants!$H90*FracLEACHMM*MMLeachEF*NtoN2O*kgtoGg,IF('Net zero activities &amp; levers'!$C$14="On",Constants!$H72*'Net zero Activity data'!BF14*Constants!$H90*FracLEACHMM*MMLeachEF*NtoN2O*kgtoGg,"ERROR"))</f>
        <v>7.1907842129221942E-3</v>
      </c>
      <c r="AN1210" s="94">
        <f>IF('Net zero activities &amp; levers'!$C$14="Off",Constants!$H72*'Activity data'!BG14*Constants!$H90*FracLEACHMM*MMLeachEF*NtoN2O*kgtoGg,IF('Net zero activities &amp; levers'!$C$14="On",Constants!$H72*'Net zero Activity data'!BG14*Constants!$H90*FracLEACHMM*MMLeachEF*NtoN2O*kgtoGg,"ERROR"))</f>
        <v>7.2014222873885451E-3</v>
      </c>
      <c r="AO1210" s="94">
        <f>IF('Net zero activities &amp; levers'!$C$14="Off",Constants!$H72*'Activity data'!BH14*Constants!$H90*FracLEACHMM*MMLeachEF*NtoN2O*kgtoGg,IF('Net zero activities &amp; levers'!$C$14="On",Constants!$H72*'Net zero Activity data'!BH14*Constants!$H90*FracLEACHMM*MMLeachEF*NtoN2O*kgtoGg,"ERROR"))</f>
        <v>7.2114131809774594E-3</v>
      </c>
      <c r="AP1210" s="94">
        <f>IF('Net zero activities &amp; levers'!$C$14="Off",Constants!$H72*'Activity data'!BI14*Constants!$H90*FracLEACHMM*MMLeachEF*NtoN2O*kgtoGg,IF('Net zero activities &amp; levers'!$C$14="On",Constants!$H72*'Net zero Activity data'!BI14*Constants!$H90*FracLEACHMM*MMLeachEF*NtoN2O*kgtoGg,"ERROR"))</f>
        <v>7.2207157922230866E-3</v>
      </c>
      <c r="AQ1210" s="94">
        <f>IF('Net zero activities &amp; levers'!$C$14="Off",Constants!$H72*'Activity data'!BJ14*Constants!$H90*FracLEACHMM*MMLeachEF*NtoN2O*kgtoGg,IF('Net zero activities &amp; levers'!$C$14="On",Constants!$H72*'Net zero Activity data'!BJ14*Constants!$H90*FracLEACHMM*MMLeachEF*NtoN2O*kgtoGg,"ERROR"))</f>
        <v>7.2291865309970747E-3</v>
      </c>
      <c r="AR1210" s="94">
        <f>IF('Net zero activities &amp; levers'!$C$14="Off",Constants!$H72*'Activity data'!BK14*Constants!$H90*FracLEACHMM*MMLeachEF*NtoN2O*kgtoGg,IF('Net zero activities &amp; levers'!$C$14="On",Constants!$H72*'Net zero Activity data'!BK14*Constants!$H90*FracLEACHMM*MMLeachEF*NtoN2O*kgtoGg,"ERROR"))</f>
        <v>7.2366934948956893E-3</v>
      </c>
      <c r="AS1210" s="94">
        <f>IF('Net zero activities &amp; levers'!$C$14="Off",Constants!$H72*'Activity data'!BL14*Constants!$H90*FracLEACHMM*MMLeachEF*NtoN2O*kgtoGg,IF('Net zero activities &amp; levers'!$C$14="On",Constants!$H72*'Net zero Activity data'!BL14*Constants!$H90*FracLEACHMM*MMLeachEF*NtoN2O*kgtoGg,"ERROR"))</f>
        <v>7.2432371961033398E-3</v>
      </c>
      <c r="AT1210" s="94">
        <f>IF('Net zero activities &amp; levers'!$C$14="Off",Constants!$H72*'Activity data'!BM14*Constants!$H90*FracLEACHMM*MMLeachEF*NtoN2O*kgtoGg,IF('Net zero activities &amp; levers'!$C$14="On",Constants!$H72*'Net zero Activity data'!BM14*Constants!$H90*FracLEACHMM*MMLeachEF*NtoN2O*kgtoGg,"ERROR"))</f>
        <v>7.2487638676972145E-3</v>
      </c>
      <c r="AU1210" s="94">
        <f>IF('Net zero activities &amp; levers'!$C$14="Off",Constants!$H72*'Activity data'!BN14*Constants!$H90*FracLEACHMM*MMLeachEF*NtoN2O*kgtoGg,IF('Net zero activities &amp; levers'!$C$14="On",Constants!$H72*'Net zero Activity data'!BN14*Constants!$H90*FracLEACHMM*MMLeachEF*NtoN2O*kgtoGg,"ERROR"))</f>
        <v>7.2532791149213611E-3</v>
      </c>
      <c r="AV1210" s="94">
        <f>IF('Net zero activities &amp; levers'!$C$14="Off",Constants!$H72*'Activity data'!BO14*Constants!$H90*FracLEACHMM*MMLeachEF*NtoN2O*kgtoGg,IF('Net zero activities &amp; levers'!$C$14="On",Constants!$H72*'Net zero Activity data'!BO14*Constants!$H90*FracLEACHMM*MMLeachEF*NtoN2O*kgtoGg,"ERROR"))</f>
        <v>7.2569139008522455E-3</v>
      </c>
      <c r="AW1210" s="94">
        <f>IF('Net zero activities &amp; levers'!$C$14="Off",Constants!$H72*'Activity data'!BP14*Constants!$H90*FracLEACHMM*MMLeachEF*NtoN2O*kgtoGg,IF('Net zero activities &amp; levers'!$C$14="On",Constants!$H72*'Net zero Activity data'!BP14*Constants!$H90*FracLEACHMM*MMLeachEF*NtoN2O*kgtoGg,"ERROR"))</f>
        <v>7.258950319237764E-3</v>
      </c>
      <c r="AY1210" s="79"/>
    </row>
    <row r="1211" spans="1:51" x14ac:dyDescent="0.25">
      <c r="A1211" s="95" t="str">
        <f t="shared" si="380"/>
        <v>CM MM Leaching</v>
      </c>
      <c r="B1211" s="95" t="s">
        <v>1321</v>
      </c>
      <c r="C1211" s="95" t="s">
        <v>1332</v>
      </c>
      <c r="D1211" t="s">
        <v>369</v>
      </c>
      <c r="E1211" t="s">
        <v>64</v>
      </c>
      <c r="F1211" t="s">
        <v>63</v>
      </c>
      <c r="G1211" t="s">
        <v>1171</v>
      </c>
      <c r="H1211" t="s">
        <v>1315</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5">
      <c r="A1212" s="95" t="str">
        <f t="shared" si="380"/>
        <v>CM MM Leaching</v>
      </c>
      <c r="B1212" s="95" t="s">
        <v>1321</v>
      </c>
      <c r="C1212" s="95" t="s">
        <v>1332</v>
      </c>
      <c r="D1212" t="s">
        <v>369</v>
      </c>
      <c r="E1212" t="s">
        <v>64</v>
      </c>
      <c r="F1212" t="s">
        <v>63</v>
      </c>
      <c r="G1212" t="s">
        <v>1173</v>
      </c>
      <c r="H1212" t="s">
        <v>1316</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5">
      <c r="A1213" s="95" t="str">
        <f t="shared" si="380"/>
        <v>CM MM Leaching</v>
      </c>
      <c r="B1213" s="95" t="s">
        <v>1321</v>
      </c>
      <c r="C1213" s="95" t="s">
        <v>1332</v>
      </c>
      <c r="D1213" t="s">
        <v>369</v>
      </c>
      <c r="E1213" t="s">
        <v>64</v>
      </c>
      <c r="F1213" t="s">
        <v>63</v>
      </c>
      <c r="G1213" t="s">
        <v>1175</v>
      </c>
      <c r="H1213" t="s">
        <v>1317</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2.6729002214214575E-2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2.6495489531984436E-2</v>
      </c>
      <c r="O1213" s="94">
        <f>IF('Net zero activities &amp; levers'!$C$14="Off",Constants!$H75*'Activity data'!AH17*Constants!$H93*FracLEACHMM*MMLeachEF*NtoN2O*kgtoGg,IF('Net zero activities &amp; levers'!$C$14="On",Constants!$H75*'Net zero Activity data'!AH17*Constants!$H93*FracLEACHMM*MMLeachEF*NtoN2O*kgtoGg,"ERROR"))</f>
        <v>2.6094526833046999E-2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2.4781112413324518E-2</v>
      </c>
      <c r="S1213" s="94">
        <f>IF('Net zero activities &amp; levers'!$C$14="Off",Constants!$H75*'Activity data'!AL17*Constants!$H93*FracLEACHMM*MMLeachEF*NtoN2O*kgtoGg,IF('Net zero activities &amp; levers'!$C$14="On",Constants!$H75*'Net zero Activity data'!AL17*Constants!$H93*FracLEACHMM*MMLeachEF*NtoN2O*kgtoGg,"ERROR"))</f>
        <v>2.2261363297447542E-2</v>
      </c>
      <c r="T1213" s="94">
        <f>IF('Net zero activities &amp; levers'!$C$14="Off",Constants!$H75*'Activity data'!AM17*Constants!$H93*FracLEACHMM*MMLeachEF*NtoN2O*kgtoGg,IF('Net zero activities &amp; levers'!$C$14="On",Constants!$H75*'Net zero Activity data'!AM17*Constants!$H93*FracLEACHMM*MMLeachEF*NtoN2O*kgtoGg,"ERROR"))</f>
        <v>2.326732754049585E-2</v>
      </c>
      <c r="U1213" s="94">
        <f>IF('Net zero activities &amp; levers'!$C$14="Off",Constants!$H75*'Activity data'!AN17*Constants!$H93*FracLEACHMM*MMLeachEF*NtoN2O*kgtoGg,IF('Net zero activities &amp; levers'!$C$14="On",Constants!$H75*'Net zero Activity data'!AN17*Constants!$H93*FracLEACHMM*MMLeachEF*NtoN2O*kgtoGg,"ERROR"))</f>
        <v>2.3571460777264748E-2</v>
      </c>
      <c r="V1213" s="94">
        <f>IF('Net zero activities &amp; levers'!$C$14="Off",Constants!$H75*'Activity data'!AO17*Constants!$H93*FracLEACHMM*MMLeachEF*NtoN2O*kgtoGg,IF('Net zero activities &amp; levers'!$C$14="On",Constants!$H75*'Net zero Activity data'!AO17*Constants!$H93*FracLEACHMM*MMLeachEF*NtoN2O*kgtoGg,"ERROR"))</f>
        <v>2.3338833343161457E-2</v>
      </c>
      <c r="W1213" s="94">
        <f>IF('Net zero activities &amp; levers'!$C$14="Off",Constants!$H75*'Activity data'!AP17*Constants!$H93*FracLEACHMM*MMLeachEF*NtoN2O*kgtoGg,IF('Net zero activities &amp; levers'!$C$14="On",Constants!$H75*'Net zero Activity data'!AP17*Constants!$H93*FracLEACHMM*MMLeachEF*NtoN2O*kgtoGg,"ERROR"))</f>
        <v>2.3134238751808155E-2</v>
      </c>
      <c r="X1213" s="94">
        <f>IF('Net zero activities &amp; levers'!$C$14="Off",Constants!$H75*'Activity data'!AQ17*Constants!$H93*FracLEACHMM*MMLeachEF*NtoN2O*kgtoGg,IF('Net zero activities &amp; levers'!$C$14="On",Constants!$H75*'Net zero Activity data'!AQ17*Constants!$H93*FracLEACHMM*MMLeachEF*NtoN2O*kgtoGg,"ERROR"))</f>
        <v>2.3071008709265216E-2</v>
      </c>
      <c r="Y1213" s="94">
        <f>IF('Net zero activities &amp; levers'!$C$14="Off",Constants!$H75*'Activity data'!AR17*Constants!$H93*FracLEACHMM*MMLeachEF*NtoN2O*kgtoGg,IF('Net zero activities &amp; levers'!$C$14="On",Constants!$H75*'Net zero Activity data'!AR17*Constants!$H93*FracLEACHMM*MMLeachEF*NtoN2O*kgtoGg,"ERROR"))</f>
        <v>2.3143649238261243E-2</v>
      </c>
      <c r="Z1213" s="94">
        <f>IF('Net zero activities &amp; levers'!$C$14="Off",Constants!$H75*'Activity data'!AS17*Constants!$H93*FracLEACHMM*MMLeachEF*NtoN2O*kgtoGg,IF('Net zero activities &amp; levers'!$C$14="On",Constants!$H75*'Net zero Activity data'!AS17*Constants!$H93*FracLEACHMM*MMLeachEF*NtoN2O*kgtoGg,"ERROR"))</f>
        <v>2.3278949396695201E-2</v>
      </c>
      <c r="AA1213" s="94">
        <f>IF('Net zero activities &amp; levers'!$C$14="Off",Constants!$H75*'Activity data'!AT17*Constants!$H93*FracLEACHMM*MMLeachEF*NtoN2O*kgtoGg,IF('Net zero activities &amp; levers'!$C$14="On",Constants!$H75*'Net zero Activity data'!AT17*Constants!$H93*FracLEACHMM*MMLeachEF*NtoN2O*kgtoGg,"ERROR"))</f>
        <v>2.3492345128489588E-2</v>
      </c>
      <c r="AB1213" s="94">
        <f>IF('Net zero activities &amp; levers'!$C$14="Off",Constants!$H75*'Activity data'!AU17*Constants!$H93*FracLEACHMM*MMLeachEF*NtoN2O*kgtoGg,IF('Net zero activities &amp; levers'!$C$14="On",Constants!$H75*'Net zero Activity data'!AU17*Constants!$H93*FracLEACHMM*MMLeachEF*NtoN2O*kgtoGg,"ERROR"))</f>
        <v>2.3835144398287569E-2</v>
      </c>
      <c r="AC1213" s="94">
        <f>IF('Net zero activities &amp; levers'!$C$14="Off",Constants!$H75*'Activity data'!AV17*Constants!$H93*FracLEACHMM*MMLeachEF*NtoN2O*kgtoGg,IF('Net zero activities &amp; levers'!$C$14="On",Constants!$H75*'Net zero Activity data'!AV17*Constants!$H93*FracLEACHMM*MMLeachEF*NtoN2O*kgtoGg,"ERROR"))</f>
        <v>2.4295378697531386E-2</v>
      </c>
      <c r="AD1213" s="94">
        <f>IF('Net zero activities &amp; levers'!$C$14="Off",Constants!$H75*'Activity data'!AW17*Constants!$H93*FracLEACHMM*MMLeachEF*NtoN2O*kgtoGg,IF('Net zero activities &amp; levers'!$C$14="On",Constants!$H75*'Net zero Activity data'!AW17*Constants!$H93*FracLEACHMM*MMLeachEF*NtoN2O*kgtoGg,"ERROR"))</f>
        <v>2.4819194567643824E-2</v>
      </c>
      <c r="AE1213" s="94">
        <f>IF('Net zero activities &amp; levers'!$C$14="Off",Constants!$H75*'Activity data'!AX17*Constants!$H93*FracLEACHMM*MMLeachEF*NtoN2O*kgtoGg,IF('Net zero activities &amp; levers'!$C$14="On",Constants!$H75*'Net zero Activity data'!AX17*Constants!$H93*FracLEACHMM*MMLeachEF*NtoN2O*kgtoGg,"ERROR"))</f>
        <v>2.5401392072493423E-2</v>
      </c>
      <c r="AF1213" s="94">
        <f>IF('Net zero activities &amp; levers'!$C$14="Off",Constants!$H75*'Activity data'!AY17*Constants!$H93*FracLEACHMM*MMLeachEF*NtoN2O*kgtoGg,IF('Net zero activities &amp; levers'!$C$14="On",Constants!$H75*'Net zero Activity data'!AY17*Constants!$H93*FracLEACHMM*MMLeachEF*NtoN2O*kgtoGg,"ERROR"))</f>
        <v>2.6012849455983828E-2</v>
      </c>
      <c r="AG1213" s="94">
        <f>IF('Net zero activities &amp; levers'!$C$14="Off",Constants!$H75*'Activity data'!AZ17*Constants!$H93*FracLEACHMM*MMLeachEF*NtoN2O*kgtoGg,IF('Net zero activities &amp; levers'!$C$14="On",Constants!$H75*'Net zero Activity data'!AZ17*Constants!$H93*FracLEACHMM*MMLeachEF*NtoN2O*kgtoGg,"ERROR"))</f>
        <v>2.6664067926854041E-2</v>
      </c>
      <c r="AH1213" s="94">
        <f>IF('Net zero activities &amp; levers'!$C$14="Off",Constants!$H75*'Activity data'!BA17*Constants!$H93*FracLEACHMM*MMLeachEF*NtoN2O*kgtoGg,IF('Net zero activities &amp; levers'!$C$14="On",Constants!$H75*'Net zero Activity data'!BA17*Constants!$H93*FracLEACHMM*MMLeachEF*NtoN2O*kgtoGg,"ERROR"))</f>
        <v>2.734101119130557E-2</v>
      </c>
      <c r="AI1213" s="94">
        <f>IF('Net zero activities &amp; levers'!$C$14="Off",Constants!$H75*'Activity data'!BB17*Constants!$H93*FracLEACHMM*MMLeachEF*NtoN2O*kgtoGg,IF('Net zero activities &amp; levers'!$C$14="On",Constants!$H75*'Net zero Activity data'!BB17*Constants!$H93*FracLEACHMM*MMLeachEF*NtoN2O*kgtoGg,"ERROR"))</f>
        <v>2.7997936856370267E-2</v>
      </c>
      <c r="AJ1213" s="94">
        <f>IF('Net zero activities &amp; levers'!$C$14="Off",Constants!$H75*'Activity data'!BC17*Constants!$H93*FracLEACHMM*MMLeachEF*NtoN2O*kgtoGg,IF('Net zero activities &amp; levers'!$C$14="On",Constants!$H75*'Net zero Activity data'!BC17*Constants!$H93*FracLEACHMM*MMLeachEF*NtoN2O*kgtoGg,"ERROR"))</f>
        <v>2.8698310105033351E-2</v>
      </c>
      <c r="AK1213" s="94">
        <f>IF('Net zero activities &amp; levers'!$C$14="Off",Constants!$H75*'Activity data'!BD17*Constants!$H93*FracLEACHMM*MMLeachEF*NtoN2O*kgtoGg,IF('Net zero activities &amp; levers'!$C$14="On",Constants!$H75*'Net zero Activity data'!BD17*Constants!$H93*FracLEACHMM*MMLeachEF*NtoN2O*kgtoGg,"ERROR"))</f>
        <v>2.9400080296227163E-2</v>
      </c>
      <c r="AL1213" s="94">
        <f>IF('Net zero activities &amp; levers'!$C$14="Off",Constants!$H75*'Activity data'!BE17*Constants!$H93*FracLEACHMM*MMLeachEF*NtoN2O*kgtoGg,IF('Net zero activities &amp; levers'!$C$14="On",Constants!$H75*'Net zero Activity data'!BE17*Constants!$H93*FracLEACHMM*MMLeachEF*NtoN2O*kgtoGg,"ERROR"))</f>
        <v>3.0099562920322648E-2</v>
      </c>
      <c r="AM1213" s="94">
        <f>IF('Net zero activities &amp; levers'!$C$14="Off",Constants!$H75*'Activity data'!BF17*Constants!$H93*FracLEACHMM*MMLeachEF*NtoN2O*kgtoGg,IF('Net zero activities &amp; levers'!$C$14="On",Constants!$H75*'Net zero Activity data'!BF17*Constants!$H93*FracLEACHMM*MMLeachEF*NtoN2O*kgtoGg,"ERROR"))</f>
        <v>3.0814857244530154E-2</v>
      </c>
      <c r="AN1213" s="94">
        <f>IF('Net zero activities &amp; levers'!$C$14="Off",Constants!$H75*'Activity data'!BG17*Constants!$H93*FracLEACHMM*MMLeachEF*NtoN2O*kgtoGg,IF('Net zero activities &amp; levers'!$C$14="On",Constants!$H75*'Net zero Activity data'!BG17*Constants!$H93*FracLEACHMM*MMLeachEF*NtoN2O*kgtoGg,"ERROR"))</f>
        <v>3.1499706541710935E-2</v>
      </c>
      <c r="AO1213" s="94">
        <f>IF('Net zero activities &amp; levers'!$C$14="Off",Constants!$H75*'Activity data'!BH17*Constants!$H93*FracLEACHMM*MMLeachEF*NtoN2O*kgtoGg,IF('Net zero activities &amp; levers'!$C$14="On",Constants!$H75*'Net zero Activity data'!BH17*Constants!$H93*FracLEACHMM*MMLeachEF*NtoN2O*kgtoGg,"ERROR"))</f>
        <v>3.2216361362909209E-2</v>
      </c>
      <c r="AP1213" s="94">
        <f>IF('Net zero activities &amp; levers'!$C$14="Off",Constants!$H75*'Activity data'!BI17*Constants!$H93*FracLEACHMM*MMLeachEF*NtoN2O*kgtoGg,IF('Net zero activities &amp; levers'!$C$14="On",Constants!$H75*'Net zero Activity data'!BI17*Constants!$H93*FracLEACHMM*MMLeachEF*NtoN2O*kgtoGg,"ERROR"))</f>
        <v>3.2985480796324254E-2</v>
      </c>
      <c r="AQ1213" s="94">
        <f>IF('Net zero activities &amp; levers'!$C$14="Off",Constants!$H75*'Activity data'!BJ17*Constants!$H93*FracLEACHMM*MMLeachEF*NtoN2O*kgtoGg,IF('Net zero activities &amp; levers'!$C$14="On",Constants!$H75*'Net zero Activity data'!BJ17*Constants!$H93*FracLEACHMM*MMLeachEF*NtoN2O*kgtoGg,"ERROR"))</f>
        <v>3.376804159970731E-2</v>
      </c>
      <c r="AR1213" s="94">
        <f>IF('Net zero activities &amp; levers'!$C$14="Off",Constants!$H75*'Activity data'!BK17*Constants!$H93*FracLEACHMM*MMLeachEF*NtoN2O*kgtoGg,IF('Net zero activities &amp; levers'!$C$14="On",Constants!$H75*'Net zero Activity data'!BK17*Constants!$H93*FracLEACHMM*MMLeachEF*NtoN2O*kgtoGg,"ERROR"))</f>
        <v>3.4565482452675621E-2</v>
      </c>
      <c r="AS1213" s="94">
        <f>IF('Net zero activities &amp; levers'!$C$14="Off",Constants!$H75*'Activity data'!BL17*Constants!$H93*FracLEACHMM*MMLeachEF*NtoN2O*kgtoGg,IF('Net zero activities &amp; levers'!$C$14="On",Constants!$H75*'Net zero Activity data'!BL17*Constants!$H93*FracLEACHMM*MMLeachEF*NtoN2O*kgtoGg,"ERROR"))</f>
        <v>3.5417207872959197E-2</v>
      </c>
      <c r="AT1213" s="94">
        <f>IF('Net zero activities &amp; levers'!$C$14="Off",Constants!$H75*'Activity data'!BM17*Constants!$H93*FracLEACHMM*MMLeachEF*NtoN2O*kgtoGg,IF('Net zero activities &amp; levers'!$C$14="On",Constants!$H75*'Net zero Activity data'!BM17*Constants!$H93*FracLEACHMM*MMLeachEF*NtoN2O*kgtoGg,"ERROR"))</f>
        <v>3.6308390334093638E-2</v>
      </c>
      <c r="AU1213" s="94">
        <f>IF('Net zero activities &amp; levers'!$C$14="Off",Constants!$H75*'Activity data'!BN17*Constants!$H93*FracLEACHMM*MMLeachEF*NtoN2O*kgtoGg,IF('Net zero activities &amp; levers'!$C$14="On",Constants!$H75*'Net zero Activity data'!BN17*Constants!$H93*FracLEACHMM*MMLeachEF*NtoN2O*kgtoGg,"ERROR"))</f>
        <v>3.7228871549923839E-2</v>
      </c>
      <c r="AV1213" s="94">
        <f>IF('Net zero activities &amp; levers'!$C$14="Off",Constants!$H75*'Activity data'!BO17*Constants!$H93*FracLEACHMM*MMLeachEF*NtoN2O*kgtoGg,IF('Net zero activities &amp; levers'!$C$14="On",Constants!$H75*'Net zero Activity data'!BO17*Constants!$H93*FracLEACHMM*MMLeachEF*NtoN2O*kgtoGg,"ERROR"))</f>
        <v>3.8202529295473395E-2</v>
      </c>
      <c r="AW1213" s="94">
        <f>IF('Net zero activities &amp; levers'!$C$14="Off",Constants!$H75*'Activity data'!BP17*Constants!$H93*FracLEACHMM*MMLeachEF*NtoN2O*kgtoGg,IF('Net zero activities &amp; levers'!$C$14="On",Constants!$H75*'Net zero Activity data'!BP17*Constants!$H93*FracLEACHMM*MMLeachEF*NtoN2O*kgtoGg,"ERROR"))</f>
        <v>3.9083865804736009E-2</v>
      </c>
      <c r="AY1213" s="79"/>
    </row>
    <row r="1214" spans="1:51" x14ac:dyDescent="0.25">
      <c r="A1214" s="95" t="str">
        <f t="shared" si="380"/>
        <v>CM MM Leaching</v>
      </c>
      <c r="B1214" s="95" t="s">
        <v>1321</v>
      </c>
      <c r="C1214" s="95" t="s">
        <v>1332</v>
      </c>
      <c r="D1214" t="s">
        <v>369</v>
      </c>
      <c r="E1214" t="s">
        <v>64</v>
      </c>
      <c r="F1214" t="s">
        <v>63</v>
      </c>
      <c r="G1214" t="s">
        <v>1177</v>
      </c>
      <c r="H1214" t="s">
        <v>1318</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3.9947810410006978E-3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3.9598814204188986E-3</v>
      </c>
      <c r="O1214" s="94">
        <f>IF('Net zero activities &amp; levers'!$C$14="Off",Constants!$H76*'Activity data'!AH18*Constants!$H94*FracLEACHMM*MMLeachEF*NtoN2O*kgtoGg,IF('Net zero activities &amp; levers'!$C$14="On",Constants!$H76*'Net zero Activity data'!AH18*Constants!$H94*FracLEACHMM*MMLeachEF*NtoN2O*kgtoGg,"ERROR"))</f>
        <v>3.8999555700251287E-3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3.7580655955978051E-3</v>
      </c>
      <c r="R1214" s="94">
        <f>IF('Net zero activities &amp; levers'!$C$14="Off",Constants!$H76*'Activity data'!AK18*Constants!$H94*FracLEACHMM*MMLeachEF*NtoN2O*kgtoGg,IF('Net zero activities &amp; levers'!$C$14="On",Constants!$H76*'Net zero Activity data'!AK18*Constants!$H94*FracLEACHMM*MMLeachEF*NtoN2O*kgtoGg,"ERROR"))</f>
        <v>3.7036593154610876E-3</v>
      </c>
      <c r="S1214" s="94">
        <f>IF('Net zero activities &amp; levers'!$C$14="Off",Constants!$H76*'Activity data'!AL18*Constants!$H94*FracLEACHMM*MMLeachEF*NtoN2O*kgtoGg,IF('Net zero activities &amp; levers'!$C$14="On",Constants!$H76*'Net zero Activity data'!AL18*Constants!$H94*FracLEACHMM*MMLeachEF*NtoN2O*kgtoGg,"ERROR"))</f>
        <v>3.3270703984670008E-3</v>
      </c>
      <c r="T1214" s="94">
        <f>IF('Net zero activities &amp; levers'!$C$14="Off",Constants!$H76*'Activity data'!AM18*Constants!$H94*FracLEACHMM*MMLeachEF*NtoN2O*kgtoGg,IF('Net zero activities &amp; levers'!$C$14="On",Constants!$H76*'Net zero Activity data'!AM18*Constants!$H94*FracLEACHMM*MMLeachEF*NtoN2O*kgtoGg,"ERROR"))</f>
        <v>3.4774167097077883E-3</v>
      </c>
      <c r="U1214" s="94">
        <f>IF('Net zero activities &amp; levers'!$C$14="Off",Constants!$H76*'Activity data'!AN18*Constants!$H94*FracLEACHMM*MMLeachEF*NtoN2O*kgtoGg,IF('Net zero activities &amp; levers'!$C$14="On",Constants!$H76*'Net zero Activity data'!AN18*Constants!$H94*FracLEACHMM*MMLeachEF*NtoN2O*kgtoGg,"ERROR"))</f>
        <v>3.5228709200238193E-3</v>
      </c>
      <c r="V1214" s="94">
        <f>IF('Net zero activities &amp; levers'!$C$14="Off",Constants!$H76*'Activity data'!AO18*Constants!$H94*FracLEACHMM*MMLeachEF*NtoN2O*kgtoGg,IF('Net zero activities &amp; levers'!$C$14="On",Constants!$H76*'Net zero Activity data'!AO18*Constants!$H94*FracLEACHMM*MMLeachEF*NtoN2O*kgtoGg,"ERROR"))</f>
        <v>3.4881036041350764E-3</v>
      </c>
      <c r="W1214" s="94">
        <f>IF('Net zero activities &amp; levers'!$C$14="Off",Constants!$H76*'Activity data'!AP18*Constants!$H94*FracLEACHMM*MMLeachEF*NtoN2O*kgtoGg,IF('Net zero activities &amp; levers'!$C$14="On",Constants!$H76*'Net zero Activity data'!AP18*Constants!$H94*FracLEACHMM*MMLeachEF*NtoN2O*kgtoGg,"ERROR"))</f>
        <v>3.4575259346777865E-3</v>
      </c>
      <c r="X1214" s="94">
        <f>IF('Net zero activities &amp; levers'!$C$14="Off",Constants!$H76*'Activity data'!AQ18*Constants!$H94*FracLEACHMM*MMLeachEF*NtoN2O*kgtoGg,IF('Net zero activities &amp; levers'!$C$14="On",Constants!$H76*'Net zero Activity data'!AQ18*Constants!$H94*FracLEACHMM*MMLeachEF*NtoN2O*kgtoGg,"ERROR"))</f>
        <v>3.448075893365063E-3</v>
      </c>
      <c r="Y1214" s="94">
        <f>IF('Net zero activities &amp; levers'!$C$14="Off",Constants!$H76*'Activity data'!AR18*Constants!$H94*FracLEACHMM*MMLeachEF*NtoN2O*kgtoGg,IF('Net zero activities &amp; levers'!$C$14="On",Constants!$H76*'Net zero Activity data'!AR18*Constants!$H94*FracLEACHMM*MMLeachEF*NtoN2O*kgtoGg,"ERROR"))</f>
        <v>3.4589323782318001E-3</v>
      </c>
      <c r="Z1214" s="94">
        <f>IF('Net zero activities &amp; levers'!$C$14="Off",Constants!$H76*'Activity data'!AS18*Constants!$H94*FracLEACHMM*MMLeachEF*NtoN2O*kgtoGg,IF('Net zero activities &amp; levers'!$C$14="On",Constants!$H76*'Net zero Activity data'!AS18*Constants!$H94*FracLEACHMM*MMLeachEF*NtoN2O*kgtoGg,"ERROR"))</f>
        <v>3.4791536533630104E-3</v>
      </c>
      <c r="AA1214" s="94">
        <f>IF('Net zero activities &amp; levers'!$C$14="Off",Constants!$H76*'Activity data'!AT18*Constants!$H94*FracLEACHMM*MMLeachEF*NtoN2O*kgtoGg,IF('Net zero activities &amp; levers'!$C$14="On",Constants!$H76*'Net zero Activity data'!AT18*Constants!$H94*FracLEACHMM*MMLeachEF*NtoN2O*kgtoGg,"ERROR"))</f>
        <v>3.5110466966113414E-3</v>
      </c>
      <c r="AB1214" s="94">
        <f>IF('Net zero activities &amp; levers'!$C$14="Off",Constants!$H76*'Activity data'!AU18*Constants!$H94*FracLEACHMM*MMLeachEF*NtoN2O*kgtoGg,IF('Net zero activities &amp; levers'!$C$14="On",Constants!$H76*'Net zero Activity data'!AU18*Constants!$H94*FracLEACHMM*MMLeachEF*NtoN2O*kgtoGg,"ERROR"))</f>
        <v>3.5622797360223518E-3</v>
      </c>
      <c r="AC1214" s="94">
        <f>IF('Net zero activities &amp; levers'!$C$14="Off",Constants!$H76*'Activity data'!AV18*Constants!$H94*FracLEACHMM*MMLeachEF*NtoN2O*kgtoGg,IF('Net zero activities &amp; levers'!$C$14="On",Constants!$H76*'Net zero Activity data'!AV18*Constants!$H94*FracLEACHMM*MMLeachEF*NtoN2O*kgtoGg,"ERROR"))</f>
        <v>3.6310640190383376E-3</v>
      </c>
      <c r="AD1214" s="94">
        <f>IF('Net zero activities &amp; levers'!$C$14="Off",Constants!$H76*'Activity data'!AW18*Constants!$H94*FracLEACHMM*MMLeachEF*NtoN2O*kgtoGg,IF('Net zero activities &amp; levers'!$C$14="On",Constants!$H76*'Net zero Activity data'!AW18*Constants!$H94*FracLEACHMM*MMLeachEF*NtoN2O*kgtoGg,"ERROR"))</f>
        <v>3.7093508810068579E-3</v>
      </c>
      <c r="AE1214" s="94">
        <f>IF('Net zero activities &amp; levers'!$C$14="Off",Constants!$H76*'Activity data'!AX18*Constants!$H94*FracLEACHMM*MMLeachEF*NtoN2O*kgtoGg,IF('Net zero activities &amp; levers'!$C$14="On",Constants!$H76*'Net zero Activity data'!AX18*Constants!$H94*FracLEACHMM*MMLeachEF*NtoN2O*kgtoGg,"ERROR"))</f>
        <v>3.7963631658595345E-3</v>
      </c>
      <c r="AF1214" s="94">
        <f>IF('Net zero activities &amp; levers'!$C$14="Off",Constants!$H76*'Activity data'!AY18*Constants!$H94*FracLEACHMM*MMLeachEF*NtoN2O*kgtoGg,IF('Net zero activities &amp; levers'!$C$14="On",Constants!$H76*'Net zero Activity data'!AY18*Constants!$H94*FracLEACHMM*MMLeachEF*NtoN2O*kgtoGg,"ERROR"))</f>
        <v>3.8877484837016034E-3</v>
      </c>
      <c r="AG1214" s="94">
        <f>IF('Net zero activities &amp; levers'!$C$14="Off",Constants!$H76*'Activity data'!AZ18*Constants!$H94*FracLEACHMM*MMLeachEF*NtoN2O*kgtoGg,IF('Net zero activities &amp; levers'!$C$14="On",Constants!$H76*'Net zero Activity data'!AZ18*Constants!$H94*FracLEACHMM*MMLeachEF*NtoN2O*kgtoGg,"ERROR"))</f>
        <v>3.98507629190532E-3</v>
      </c>
      <c r="AH1214" s="94">
        <f>IF('Net zero activities &amp; levers'!$C$14="Off",Constants!$H76*'Activity data'!BA18*Constants!$H94*FracLEACHMM*MMLeachEF*NtoN2O*kgtoGg,IF('Net zero activities &amp; levers'!$C$14="On",Constants!$H76*'Net zero Activity data'!BA18*Constants!$H94*FracLEACHMM*MMLeachEF*NtoN2O*kgtoGg,"ERROR"))</f>
        <v>4.0862487972233809E-3</v>
      </c>
      <c r="AI1214" s="94">
        <f>IF('Net zero activities &amp; levers'!$C$14="Off",Constants!$H76*'Activity data'!BB18*Constants!$H94*FracLEACHMM*MMLeachEF*NtoN2O*kgtoGg,IF('Net zero activities &amp; levers'!$C$14="On",Constants!$H76*'Net zero Activity data'!BB18*Constants!$H94*FracLEACHMM*MMLeachEF*NtoN2O*kgtoGg,"ERROR"))</f>
        <v>4.1844295737116129E-3</v>
      </c>
      <c r="AJ1214" s="94">
        <f>IF('Net zero activities &amp; levers'!$C$14="Off",Constants!$H76*'Activity data'!BC18*Constants!$H94*FracLEACHMM*MMLeachEF*NtoN2O*kgtoGg,IF('Net zero activities &amp; levers'!$C$14="On",Constants!$H76*'Net zero Activity data'!BC18*Constants!$H94*FracLEACHMM*MMLeachEF*NtoN2O*kgtoGg,"ERROR"))</f>
        <v>4.2891038055800747E-3</v>
      </c>
      <c r="AK1214" s="94">
        <f>IF('Net zero activities &amp; levers'!$C$14="Off",Constants!$H76*'Activity data'!BD18*Constants!$H94*FracLEACHMM*MMLeachEF*NtoN2O*kgtoGg,IF('Net zero activities &amp; levers'!$C$14="On",Constants!$H76*'Net zero Activity data'!BD18*Constants!$H94*FracLEACHMM*MMLeachEF*NtoN2O*kgtoGg,"ERROR"))</f>
        <v>4.3939868173907288E-3</v>
      </c>
      <c r="AL1214" s="94">
        <f>IF('Net zero activities &amp; levers'!$C$14="Off",Constants!$H76*'Activity data'!BE18*Constants!$H94*FracLEACHMM*MMLeachEF*NtoN2O*kgtoGg,IF('Net zero activities &amp; levers'!$C$14="On",Constants!$H76*'Net zero Activity data'!BE18*Constants!$H94*FracLEACHMM*MMLeachEF*NtoN2O*kgtoGg,"ERROR"))</f>
        <v>4.4985279410305803E-3</v>
      </c>
      <c r="AM1214" s="94">
        <f>IF('Net zero activities &amp; levers'!$C$14="Off",Constants!$H76*'Activity data'!BF18*Constants!$H94*FracLEACHMM*MMLeachEF*NtoN2O*kgtoGg,IF('Net zero activities &amp; levers'!$C$14="On",Constants!$H76*'Net zero Activity data'!BF18*Constants!$H94*FracLEACHMM*MMLeachEF*NtoN2O*kgtoGg,"ERROR"))</f>
        <v>4.6054322011364794E-3</v>
      </c>
      <c r="AN1214" s="94">
        <f>IF('Net zero activities &amp; levers'!$C$14="Off",Constants!$H76*'Activity data'!BG18*Constants!$H94*FracLEACHMM*MMLeachEF*NtoN2O*kgtoGg,IF('Net zero activities &amp; levers'!$C$14="On",Constants!$H76*'Net zero Activity data'!BG18*Constants!$H94*FracLEACHMM*MMLeachEF*NtoN2O*kgtoGg,"ERROR"))</f>
        <v>4.707786301988981E-3</v>
      </c>
      <c r="AO1214" s="94">
        <f>IF('Net zero activities &amp; levers'!$C$14="Off",Constants!$H76*'Activity data'!BH18*Constants!$H94*FracLEACHMM*MMLeachEF*NtoN2O*kgtoGg,IF('Net zero activities &amp; levers'!$C$14="On",Constants!$H76*'Net zero Activity data'!BH18*Constants!$H94*FracLEACHMM*MMLeachEF*NtoN2O*kgtoGg,"ERROR"))</f>
        <v>4.8148938950716034E-3</v>
      </c>
      <c r="AP1214" s="94">
        <f>IF('Net zero activities &amp; levers'!$C$14="Off",Constants!$H76*'Activity data'!BI18*Constants!$H94*FracLEACHMM*MMLeachEF*NtoN2O*kgtoGg,IF('Net zero activities &amp; levers'!$C$14="On",Constants!$H76*'Net zero Activity data'!BI18*Constants!$H94*FracLEACHMM*MMLeachEF*NtoN2O*kgtoGg,"ERROR"))</f>
        <v>4.929842582877003E-3</v>
      </c>
      <c r="AQ1214" s="94">
        <f>IF('Net zero activities &amp; levers'!$C$14="Off",Constants!$H76*'Activity data'!BJ18*Constants!$H94*FracLEACHMM*MMLeachEF*NtoN2O*kgtoGg,IF('Net zero activities &amp; levers'!$C$14="On",Constants!$H76*'Net zero Activity data'!BJ18*Constants!$H94*FracLEACHMM*MMLeachEF*NtoN2O*kgtoGg,"ERROR"))</f>
        <v>5.046800149632805E-3</v>
      </c>
      <c r="AR1214" s="94">
        <f>IF('Net zero activities &amp; levers'!$C$14="Off",Constants!$H76*'Activity data'!BK18*Constants!$H94*FracLEACHMM*MMLeachEF*NtoN2O*kgtoGg,IF('Net zero activities &amp; levers'!$C$14="On",Constants!$H76*'Net zero Activity data'!BK18*Constants!$H94*FracLEACHMM*MMLeachEF*NtoN2O*kgtoGg,"ERROR"))</f>
        <v>5.1659816130943592E-3</v>
      </c>
      <c r="AS1214" s="94">
        <f>IF('Net zero activities &amp; levers'!$C$14="Off",Constants!$H76*'Activity data'!BL18*Constants!$H94*FracLEACHMM*MMLeachEF*NtoN2O*kgtoGg,IF('Net zero activities &amp; levers'!$C$14="On",Constants!$H76*'Net zero Activity data'!BL18*Constants!$H94*FracLEACHMM*MMLeachEF*NtoN2O*kgtoGg,"ERROR"))</f>
        <v>5.2932761725327836E-3</v>
      </c>
      <c r="AT1214" s="94">
        <f>IF('Net zero activities &amp; levers'!$C$14="Off",Constants!$H76*'Activity data'!BM18*Constants!$H94*FracLEACHMM*MMLeachEF*NtoN2O*kgtoGg,IF('Net zero activities &amp; levers'!$C$14="On",Constants!$H76*'Net zero Activity data'!BM18*Constants!$H94*FracLEACHMM*MMLeachEF*NtoN2O*kgtoGg,"ERROR"))</f>
        <v>5.4264677810814564E-3</v>
      </c>
      <c r="AU1214" s="94">
        <f>IF('Net zero activities &amp; levers'!$C$14="Off",Constants!$H76*'Activity data'!BN18*Constants!$H94*FracLEACHMM*MMLeachEF*NtoN2O*kgtoGg,IF('Net zero activities &amp; levers'!$C$14="On",Constants!$H76*'Net zero Activity data'!BN18*Constants!$H94*FracLEACHMM*MMLeachEF*NtoN2O*kgtoGg,"ERROR"))</f>
        <v>5.5640382328374224E-3</v>
      </c>
      <c r="AV1214" s="94">
        <f>IF('Net zero activities &amp; levers'!$C$14="Off",Constants!$H76*'Activity data'!BO18*Constants!$H94*FracLEACHMM*MMLeachEF*NtoN2O*kgtoGg,IF('Net zero activities &amp; levers'!$C$14="On",Constants!$H76*'Net zero Activity data'!BO18*Constants!$H94*FracLEACHMM*MMLeachEF*NtoN2O*kgtoGg,"ERROR"))</f>
        <v>5.7095561788936492E-3</v>
      </c>
      <c r="AW1214" s="94">
        <f>IF('Net zero activities &amp; levers'!$C$14="Off",Constants!$H76*'Activity data'!BP18*Constants!$H94*FracLEACHMM*MMLeachEF*NtoN2O*kgtoGg,IF('Net zero activities &amp; levers'!$C$14="On",Constants!$H76*'Net zero Activity data'!BP18*Constants!$H94*FracLEACHMM*MMLeachEF*NtoN2O*kgtoGg,"ERROR"))</f>
        <v>5.8412762614364865E-3</v>
      </c>
      <c r="AY1214" s="79"/>
    </row>
    <row r="1215" spans="1:51" x14ac:dyDescent="0.25">
      <c r="A1215" s="95" t="str">
        <f t="shared" si="380"/>
        <v>CM MM Leaching</v>
      </c>
      <c r="B1215" s="95" t="s">
        <v>1321</v>
      </c>
      <c r="C1215" s="95" t="s">
        <v>1332</v>
      </c>
      <c r="D1215" t="s">
        <v>369</v>
      </c>
      <c r="E1215" t="s">
        <v>64</v>
      </c>
      <c r="F1215" t="s">
        <v>63</v>
      </c>
      <c r="G1215" t="s">
        <v>1179</v>
      </c>
      <c r="H1215" t="s">
        <v>1319</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1.7926295011943302E-2</v>
      </c>
      <c r="T1215" s="94">
        <f>IF('Net zero activities &amp; levers'!$C$14="Off",Constants!$H77*'Activity data'!AM19*Constants!$H95*FracLEACHMM*MMLeachEF*NtoN2O*kgtoGg,IF('Net zero activities &amp; levers'!$C$14="On",Constants!$H77*'Net zero Activity data'!AM19*Constants!$H95*FracLEACHMM*MMLeachEF*NtoN2O*kgtoGg,"ERROR"))</f>
        <v>1.8674748698375012E-2</v>
      </c>
      <c r="U1215" s="94">
        <f>IF('Net zero activities &amp; levers'!$C$14="Off",Constants!$H77*'Activity data'!AN19*Constants!$H95*FracLEACHMM*MMLeachEF*NtoN2O*kgtoGg,IF('Net zero activities &amp; levers'!$C$14="On",Constants!$H77*'Net zero Activity data'!AN19*Constants!$H95*FracLEACHMM*MMLeachEF*NtoN2O*kgtoGg,"ERROR"))</f>
        <v>1.9119559955571311E-2</v>
      </c>
      <c r="V1215" s="94">
        <f>IF('Net zero activities &amp; levers'!$C$14="Off",Constants!$H77*'Activity data'!AO19*Constants!$H95*FracLEACHMM*MMLeachEF*NtoN2O*kgtoGg,IF('Net zero activities &amp; levers'!$C$14="On",Constants!$H77*'Net zero Activity data'!AO19*Constants!$H95*FracLEACHMM*MMLeachEF*NtoN2O*kgtoGg,"ERROR"))</f>
        <v>1.933187353292521E-2</v>
      </c>
      <c r="W1215" s="94">
        <f>IF('Net zero activities &amp; levers'!$C$14="Off",Constants!$H77*'Activity data'!AP19*Constants!$H95*FracLEACHMM*MMLeachEF*NtoN2O*kgtoGg,IF('Net zero activities &amp; levers'!$C$14="On",Constants!$H77*'Net zero Activity data'!AP19*Constants!$H95*FracLEACHMM*MMLeachEF*NtoN2O*kgtoGg,"ERROR"))</f>
        <v>1.9567336744090873E-2</v>
      </c>
      <c r="X1215" s="94">
        <f>IF('Net zero activities &amp; levers'!$C$14="Off",Constants!$H77*'Activity data'!AQ19*Constants!$H95*FracLEACHMM*MMLeachEF*NtoN2O*kgtoGg,IF('Net zero activities &amp; levers'!$C$14="On",Constants!$H77*'Net zero Activity data'!AQ19*Constants!$H95*FracLEACHMM*MMLeachEF*NtoN2O*kgtoGg,"ERROR"))</f>
        <v>1.9874405903185278E-2</v>
      </c>
      <c r="Y1215" s="94">
        <f>IF('Net zero activities &amp; levers'!$C$14="Off",Constants!$H77*'Activity data'!AR19*Constants!$H95*FracLEACHMM*MMLeachEF*NtoN2O*kgtoGg,IF('Net zero activities &amp; levers'!$C$14="On",Constants!$H77*'Net zero Activity data'!AR19*Constants!$H95*FracLEACHMM*MMLeachEF*NtoN2O*kgtoGg,"ERROR"))</f>
        <v>2.0244038198599948E-2</v>
      </c>
      <c r="Z1215" s="94">
        <f>IF('Net zero activities &amp; levers'!$C$14="Off",Constants!$H77*'Activity data'!AS19*Constants!$H95*FracLEACHMM*MMLeachEF*NtoN2O*kgtoGg,IF('Net zero activities &amp; levers'!$C$14="On",Constants!$H77*'Net zero Activity data'!AS19*Constants!$H95*FracLEACHMM*MMLeachEF*NtoN2O*kgtoGg,"ERROR"))</f>
        <v>2.064493630250834E-2</v>
      </c>
      <c r="AA1215" s="94">
        <f>IF('Net zero activities &amp; levers'!$C$14="Off",Constants!$H77*'Activity data'!AT19*Constants!$H95*FracLEACHMM*MMLeachEF*NtoN2O*kgtoGg,IF('Net zero activities &amp; levers'!$C$14="On",Constants!$H77*'Net zero Activity data'!AT19*Constants!$H95*FracLEACHMM*MMLeachEF*NtoN2O*kgtoGg,"ERROR"))</f>
        <v>2.1086941142640651E-2</v>
      </c>
      <c r="AB1215" s="94">
        <f>IF('Net zero activities &amp; levers'!$C$14="Off",Constants!$H77*'Activity data'!AU19*Constants!$H95*FracLEACHMM*MMLeachEF*NtoN2O*kgtoGg,IF('Net zero activities &amp; levers'!$C$14="On",Constants!$H77*'Net zero Activity data'!AU19*Constants!$H95*FracLEACHMM*MMLeachEF*NtoN2O*kgtoGg,"ERROR"))</f>
        <v>2.1599318957249428E-2</v>
      </c>
      <c r="AC1215" s="94">
        <f>IF('Net zero activities &amp; levers'!$C$14="Off",Constants!$H77*'Activity data'!AV19*Constants!$H95*FracLEACHMM*MMLeachEF*NtoN2O*kgtoGg,IF('Net zero activities &amp; levers'!$C$14="On",Constants!$H77*'Net zero Activity data'!AV19*Constants!$H95*FracLEACHMM*MMLeachEF*NtoN2O*kgtoGg,"ERROR"))</f>
        <v>2.2180513768392543E-2</v>
      </c>
      <c r="AD1215" s="94">
        <f>IF('Net zero activities &amp; levers'!$C$14="Off",Constants!$H77*'Activity data'!AW19*Constants!$H95*FracLEACHMM*MMLeachEF*NtoN2O*kgtoGg,IF('Net zero activities &amp; levers'!$C$14="On",Constants!$H77*'Net zero Activity data'!AW19*Constants!$H95*FracLEACHMM*MMLeachEF*NtoN2O*kgtoGg,"ERROR"))</f>
        <v>2.2805803764739216E-2</v>
      </c>
      <c r="AE1215" s="94">
        <f>IF('Net zero activities &amp; levers'!$C$14="Off",Constants!$H77*'Activity data'!AX19*Constants!$H95*FracLEACHMM*MMLeachEF*NtoN2O*kgtoGg,IF('Net zero activities &amp; levers'!$C$14="On",Constants!$H77*'Net zero Activity data'!AX19*Constants!$H95*FracLEACHMM*MMLeachEF*NtoN2O*kgtoGg,"ERROR"))</f>
        <v>2.3475090902088748E-2</v>
      </c>
      <c r="AF1215" s="94">
        <f>IF('Net zero activities &amp; levers'!$C$14="Off",Constants!$H77*'Activity data'!AY19*Constants!$H95*FracLEACHMM*MMLeachEF*NtoN2O*kgtoGg,IF('Net zero activities &amp; levers'!$C$14="On",Constants!$H77*'Net zero Activity data'!AY19*Constants!$H95*FracLEACHMM*MMLeachEF*NtoN2O*kgtoGg,"ERROR"))</f>
        <v>2.4174535529571241E-2</v>
      </c>
      <c r="AG1215" s="94">
        <f>IF('Net zero activities &amp; levers'!$C$14="Off",Constants!$H77*'Activity data'!AZ19*Constants!$H95*FracLEACHMM*MMLeachEF*NtoN2O*kgtoGg,IF('Net zero activities &amp; levers'!$C$14="On",Constants!$H77*'Net zero Activity data'!AZ19*Constants!$H95*FracLEACHMM*MMLeachEF*NtoN2O*kgtoGg,"ERROR"))</f>
        <v>2.4911238714913377E-2</v>
      </c>
      <c r="AH1215" s="94">
        <f>IF('Net zero activities &amp; levers'!$C$14="Off",Constants!$H77*'Activity data'!BA19*Constants!$H95*FracLEACHMM*MMLeachEF*NtoN2O*kgtoGg,IF('Net zero activities &amp; levers'!$C$14="On",Constants!$H77*'Net zero Activity data'!BA19*Constants!$H95*FracLEACHMM*MMLeachEF*NtoN2O*kgtoGg,"ERROR"))</f>
        <v>2.5679011663267932E-2</v>
      </c>
      <c r="AI1215" s="94">
        <f>IF('Net zero activities &amp; levers'!$C$14="Off",Constants!$H77*'Activity data'!BB19*Constants!$H95*FracLEACHMM*MMLeachEF*NtoN2O*kgtoGg,IF('Net zero activities &amp; levers'!$C$14="On",Constants!$H77*'Net zero Activity data'!BB19*Constants!$H95*FracLEACHMM*MMLeachEF*NtoN2O*kgtoGg,"ERROR"))</f>
        <v>2.645249874928041E-2</v>
      </c>
      <c r="AJ1215" s="94">
        <f>IF('Net zero activities &amp; levers'!$C$14="Off",Constants!$H77*'Activity data'!BC19*Constants!$H95*FracLEACHMM*MMLeachEF*NtoN2O*kgtoGg,IF('Net zero activities &amp; levers'!$C$14="On",Constants!$H77*'Net zero Activity data'!BC19*Constants!$H95*FracLEACHMM*MMLeachEF*NtoN2O*kgtoGg,"ERROR"))</f>
        <v>2.7269372865090267E-2</v>
      </c>
      <c r="AK1215" s="94">
        <f>IF('Net zero activities &amp; levers'!$C$14="Off",Constants!$H77*'Activity data'!BD19*Constants!$H95*FracLEACHMM*MMLeachEF*NtoN2O*kgtoGg,IF('Net zero activities &amp; levers'!$C$14="On",Constants!$H77*'Net zero Activity data'!BD19*Constants!$H95*FracLEACHMM*MMLeachEF*NtoN2O*kgtoGg,"ERROR"))</f>
        <v>2.8105461432882069E-2</v>
      </c>
      <c r="AL1215" s="94">
        <f>IF('Net zero activities &amp; levers'!$C$14="Off",Constants!$H77*'Activity data'!BE19*Constants!$H95*FracLEACHMM*MMLeachEF*NtoN2O*kgtoGg,IF('Net zero activities &amp; levers'!$C$14="On",Constants!$H77*'Net zero Activity data'!BE19*Constants!$H95*FracLEACHMM*MMLeachEF*NtoN2O*kgtoGg,"ERROR"))</f>
        <v>2.8959047781856831E-2</v>
      </c>
      <c r="AM1215" s="94">
        <f>IF('Net zero activities &amp; levers'!$C$14="Off",Constants!$H77*'Activity data'!BF19*Constants!$H95*FracLEACHMM*MMLeachEF*NtoN2O*kgtoGg,IF('Net zero activities &amp; levers'!$C$14="On",Constants!$H77*'Net zero Activity data'!BF19*Constants!$H95*FracLEACHMM*MMLeachEF*NtoN2O*kgtoGg,"ERROR"))</f>
        <v>2.9842194803075938E-2</v>
      </c>
      <c r="AN1215" s="94">
        <f>IF('Net zero activities &amp; levers'!$C$14="Off",Constants!$H77*'Activity data'!BG19*Constants!$H95*FracLEACHMM*MMLeachEF*NtoN2O*kgtoGg,IF('Net zero activities &amp; levers'!$C$14="On",Constants!$H77*'Net zero Activity data'!BG19*Constants!$H95*FracLEACHMM*MMLeachEF*NtoN2O*kgtoGg,"ERROR"))</f>
        <v>3.0726207525762706E-2</v>
      </c>
      <c r="AO1215" s="94">
        <f>IF('Net zero activities &amp; levers'!$C$14="Off",Constants!$H77*'Activity data'!BH19*Constants!$H95*FracLEACHMM*MMLeachEF*NtoN2O*kgtoGg,IF('Net zero activities &amp; levers'!$C$14="On",Constants!$H77*'Net zero Activity data'!BH19*Constants!$H95*FracLEACHMM*MMLeachEF*NtoN2O*kgtoGg,"ERROR"))</f>
        <v>3.1651324084180803E-2</v>
      </c>
      <c r="AP1215" s="94">
        <f>IF('Net zero activities &amp; levers'!$C$14="Off",Constants!$H77*'Activity data'!BI19*Constants!$H95*FracLEACHMM*MMLeachEF*NtoN2O*kgtoGg,IF('Net zero activities &amp; levers'!$C$14="On",Constants!$H77*'Net zero Activity data'!BI19*Constants!$H95*FracLEACHMM*MMLeachEF*NtoN2O*kgtoGg,"ERROR"))</f>
        <v>3.263300298507002E-2</v>
      </c>
      <c r="AQ1215" s="94">
        <f>IF('Net zero activities &amp; levers'!$C$14="Off",Constants!$H77*'Activity data'!BJ19*Constants!$H95*FracLEACHMM*MMLeachEF*NtoN2O*kgtoGg,IF('Net zero activities &amp; levers'!$C$14="On",Constants!$H77*'Net zero Activity data'!BJ19*Constants!$H95*FracLEACHMM*MMLeachEF*NtoN2O*kgtoGg,"ERROR"))</f>
        <v>3.3647129592199072E-2</v>
      </c>
      <c r="AR1215" s="94">
        <f>IF('Net zero activities &amp; levers'!$C$14="Off",Constants!$H77*'Activity data'!BK19*Constants!$H95*FracLEACHMM*MMLeachEF*NtoN2O*kgtoGg,IF('Net zero activities &amp; levers'!$C$14="On",Constants!$H77*'Net zero Activity data'!BK19*Constants!$H95*FracLEACHMM*MMLeachEF*NtoN2O*kgtoGg,"ERROR"))</f>
        <v>3.4695684340366462E-2</v>
      </c>
      <c r="AS1215" s="94">
        <f>IF('Net zero activities &amp; levers'!$C$14="Off",Constants!$H77*'Activity data'!BL19*Constants!$H95*FracLEACHMM*MMLeachEF*NtoN2O*kgtoGg,IF('Net zero activities &amp; levers'!$C$14="On",Constants!$H77*'Net zero Activity data'!BL19*Constants!$H95*FracLEACHMM*MMLeachEF*NtoN2O*kgtoGg,"ERROR"))</f>
        <v>3.5807702215394269E-2</v>
      </c>
      <c r="AT1215" s="94">
        <f>IF('Net zero activities &amp; levers'!$C$14="Off",Constants!$H77*'Activity data'!BM19*Constants!$H95*FracLEACHMM*MMLeachEF*NtoN2O*kgtoGg,IF('Net zero activities &amp; levers'!$C$14="On",Constants!$H77*'Net zero Activity data'!BM19*Constants!$H95*FracLEACHMM*MMLeachEF*NtoN2O*kgtoGg,"ERROR"))</f>
        <v>3.6975350864185588E-2</v>
      </c>
      <c r="AU1215" s="94">
        <f>IF('Net zero activities &amp; levers'!$C$14="Off",Constants!$H77*'Activity data'!BN19*Constants!$H95*FracLEACHMM*MMLeachEF*NtoN2O*kgtoGg,IF('Net zero activities &amp; levers'!$C$14="On",Constants!$H77*'Net zero Activity data'!BN19*Constants!$H95*FracLEACHMM*MMLeachEF*NtoN2O*kgtoGg,"ERROR"))</f>
        <v>3.8193620446260186E-2</v>
      </c>
      <c r="AV1215" s="94">
        <f>IF('Net zero activities &amp; levers'!$C$14="Off",Constants!$H77*'Activity data'!BO19*Constants!$H95*FracLEACHMM*MMLeachEF*NtoN2O*kgtoGg,IF('Net zero activities &amp; levers'!$C$14="On",Constants!$H77*'Net zero Activity data'!BO19*Constants!$H95*FracLEACHMM*MMLeachEF*NtoN2O*kgtoGg,"ERROR"))</f>
        <v>3.9482562307511335E-2</v>
      </c>
      <c r="AW1215" s="94">
        <f>IF('Net zero activities &amp; levers'!$C$14="Off",Constants!$H77*'Activity data'!BP19*Constants!$H95*FracLEACHMM*MMLeachEF*NtoN2O*kgtoGg,IF('Net zero activities &amp; levers'!$C$14="On",Constants!$H77*'Net zero Activity data'!BP19*Constants!$H95*FracLEACHMM*MMLeachEF*NtoN2O*kgtoGg,"ERROR"))</f>
        <v>4.0733932208981263E-2</v>
      </c>
      <c r="AY1215" s="79"/>
    </row>
    <row r="1216" spans="1:51" x14ac:dyDescent="0.25">
      <c r="A1216" s="95" t="str">
        <f t="shared" si="380"/>
        <v>CM MM Leaching</v>
      </c>
      <c r="B1216" s="95" t="s">
        <v>1321</v>
      </c>
      <c r="C1216" s="95" t="s">
        <v>1332</v>
      </c>
      <c r="D1216" t="s">
        <v>369</v>
      </c>
      <c r="E1216" t="s">
        <v>64</v>
      </c>
      <c r="F1216" t="s">
        <v>63</v>
      </c>
      <c r="G1216" t="s">
        <v>1181</v>
      </c>
      <c r="H1216" t="s">
        <v>1320</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8.024855331382115E-2</v>
      </c>
      <c r="N1216" s="94">
        <f>IF('Net zero activities &amp; levers'!$C$14="Off",Constants!$H78*'Activity data'!AG20*Constants!$H96*FracLEACHMM*MMLeachEF*NtoN2O*kgtoGg,IF('Net zero activities &amp; levers'!$C$14="On",Constants!$H78*'Net zero Activity data'!AG20*Constants!$H96*FracLEACHMM*MMLeachEF*NtoN2O*kgtoGg,"ERROR"))</f>
        <v>8.0719757945382262E-2</v>
      </c>
      <c r="O1216" s="94">
        <f>IF('Net zero activities &amp; levers'!$C$14="Off",Constants!$H78*'Activity data'!AH20*Constants!$H96*FracLEACHMM*MMLeachEF*NtoN2O*kgtoGg,IF('Net zero activities &amp; levers'!$C$14="On",Constants!$H78*'Net zero Activity data'!AH20*Constants!$H96*FracLEACHMM*MMLeachEF*NtoN2O*kgtoGg,"ERROR"))</f>
        <v>8.0430818839717685E-2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7.8944464359385597E-2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6.838761678762284E-2</v>
      </c>
      <c r="T1216" s="94">
        <f>IF('Net zero activities &amp; levers'!$C$14="Off",Constants!$H78*'Activity data'!AM20*Constants!$H96*FracLEACHMM*MMLeachEF*NtoN2O*kgtoGg,IF('Net zero activities &amp; levers'!$C$14="On",Constants!$H78*'Net zero Activity data'!AM20*Constants!$H96*FracLEACHMM*MMLeachEF*NtoN2O*kgtoGg,"ERROR"))</f>
        <v>7.4574992595892425E-2</v>
      </c>
      <c r="U1216" s="94">
        <f>IF('Net zero activities &amp; levers'!$C$14="Off",Constants!$H78*'Activity data'!AN20*Constants!$H96*FracLEACHMM*MMLeachEF*NtoN2O*kgtoGg,IF('Net zero activities &amp; levers'!$C$14="On",Constants!$H78*'Net zero Activity data'!AN20*Constants!$H96*FracLEACHMM*MMLeachEF*NtoN2O*kgtoGg,"ERROR"))</f>
        <v>7.755216316581004E-2</v>
      </c>
      <c r="V1216" s="94">
        <f>IF('Net zero activities &amp; levers'!$C$14="Off",Constants!$H78*'Activity data'!AO20*Constants!$H96*FracLEACHMM*MMLeachEF*NtoN2O*kgtoGg,IF('Net zero activities &amp; levers'!$C$14="On",Constants!$H78*'Net zero Activity data'!AO20*Constants!$H96*FracLEACHMM*MMLeachEF*NtoN2O*kgtoGg,"ERROR"))</f>
        <v>7.7924677783992133E-2</v>
      </c>
      <c r="W1216" s="94">
        <f>IF('Net zero activities &amp; levers'!$C$14="Off",Constants!$H78*'Activity data'!AP20*Constants!$H96*FracLEACHMM*MMLeachEF*NtoN2O*kgtoGg,IF('Net zero activities &amp; levers'!$C$14="On",Constants!$H78*'Net zero Activity data'!AP20*Constants!$H96*FracLEACHMM*MMLeachEF*NtoN2O*kgtoGg,"ERROR"))</f>
        <v>7.8354110824083251E-2</v>
      </c>
      <c r="X1216" s="94">
        <f>IF('Net zero activities &amp; levers'!$C$14="Off",Constants!$H78*'Activity data'!AQ20*Constants!$H96*FracLEACHMM*MMLeachEF*NtoN2O*kgtoGg,IF('Net zero activities &amp; levers'!$C$14="On",Constants!$H78*'Net zero Activity data'!AQ20*Constants!$H96*FracLEACHMM*MMLeachEF*NtoN2O*kgtoGg,"ERROR"))</f>
        <v>7.9443157162657083E-2</v>
      </c>
      <c r="Y1216" s="94">
        <f>IF('Net zero activities &amp; levers'!$C$14="Off",Constants!$H78*'Activity data'!AR20*Constants!$H96*FracLEACHMM*MMLeachEF*NtoN2O*kgtoGg,IF('Net zero activities &amp; levers'!$C$14="On",Constants!$H78*'Net zero Activity data'!AR20*Constants!$H96*FracLEACHMM*MMLeachEF*NtoN2O*kgtoGg,"ERROR"))</f>
        <v>8.1236326250134938E-2</v>
      </c>
      <c r="Z1216" s="94">
        <f>IF('Net zero activities &amp; levers'!$C$14="Off",Constants!$H78*'Activity data'!AS20*Constants!$H96*FracLEACHMM*MMLeachEF*NtoN2O*kgtoGg,IF('Net zero activities &amp; levers'!$C$14="On",Constants!$H78*'Net zero Activity data'!AS20*Constants!$H96*FracLEACHMM*MMLeachEF*NtoN2O*kgtoGg,"ERROR"))</f>
        <v>8.3381793031121837E-2</v>
      </c>
      <c r="AA1216" s="94">
        <f>IF('Net zero activities &amp; levers'!$C$14="Off",Constants!$H78*'Activity data'!AT20*Constants!$H96*FracLEACHMM*MMLeachEF*NtoN2O*kgtoGg,IF('Net zero activities &amp; levers'!$C$14="On",Constants!$H78*'Net zero Activity data'!AT20*Constants!$H96*FracLEACHMM*MMLeachEF*NtoN2O*kgtoGg,"ERROR"))</f>
        <v>8.5974252242443622E-2</v>
      </c>
      <c r="AB1216" s="94">
        <f>IF('Net zero activities &amp; levers'!$C$14="Off",Constants!$H78*'Activity data'!AU20*Constants!$H96*FracLEACHMM*MMLeachEF*NtoN2O*kgtoGg,IF('Net zero activities &amp; levers'!$C$14="On",Constants!$H78*'Net zero Activity data'!AU20*Constants!$H96*FracLEACHMM*MMLeachEF*NtoN2O*kgtoGg,"ERROR"))</f>
        <v>8.9301533057552729E-2</v>
      </c>
      <c r="AC1216" s="94">
        <f>IF('Net zero activities &amp; levers'!$C$14="Off",Constants!$H78*'Activity data'!AV20*Constants!$H96*FracLEACHMM*MMLeachEF*NtoN2O*kgtoGg,IF('Net zero activities &amp; levers'!$C$14="On",Constants!$H78*'Net zero Activity data'!AV20*Constants!$H96*FracLEACHMM*MMLeachEF*NtoN2O*kgtoGg,"ERROR"))</f>
        <v>9.3325676960655579E-2</v>
      </c>
      <c r="AD1216" s="94">
        <f>IF('Net zero activities &amp; levers'!$C$14="Off",Constants!$H78*'Activity data'!AW20*Constants!$H96*FracLEACHMM*MMLeachEF*NtoN2O*kgtoGg,IF('Net zero activities &amp; levers'!$C$14="On",Constants!$H78*'Net zero Activity data'!AW20*Constants!$H96*FracLEACHMM*MMLeachEF*NtoN2O*kgtoGg,"ERROR"))</f>
        <v>9.7779695826372345E-2</v>
      </c>
      <c r="AE1216" s="94">
        <f>IF('Net zero activities &amp; levers'!$C$14="Off",Constants!$H78*'Activity data'!AX20*Constants!$H96*FracLEACHMM*MMLeachEF*NtoN2O*kgtoGg,IF('Net zero activities &amp; levers'!$C$14="On",Constants!$H78*'Net zero Activity data'!AX20*Constants!$H96*FracLEACHMM*MMLeachEF*NtoN2O*kgtoGg,"ERROR"))</f>
        <v>0.10264881318689535</v>
      </c>
      <c r="AF1216" s="94">
        <f>IF('Net zero activities &amp; levers'!$C$14="Off",Constants!$H78*'Activity data'!AY20*Constants!$H96*FracLEACHMM*MMLeachEF*NtoN2O*kgtoGg,IF('Net zero activities &amp; levers'!$C$14="On",Constants!$H78*'Net zero Activity data'!AY20*Constants!$H96*FracLEACHMM*MMLeachEF*NtoN2O*kgtoGg,"ERROR"))</f>
        <v>0.1077848208225682</v>
      </c>
      <c r="AG1216" s="94">
        <f>IF('Net zero activities &amp; levers'!$C$14="Off",Constants!$H78*'Activity data'!AZ20*Constants!$H96*FracLEACHMM*MMLeachEF*NtoN2O*kgtoGg,IF('Net zero activities &amp; levers'!$C$14="On",Constants!$H78*'Net zero Activity data'!AZ20*Constants!$H96*FracLEACHMM*MMLeachEF*NtoN2O*kgtoGg,"ERROR"))</f>
        <v>0.11325644741449936</v>
      </c>
      <c r="AH1216" s="94">
        <f>IF('Net zero activities &amp; levers'!$C$14="Off",Constants!$H78*'Activity data'!BA20*Constants!$H96*FracLEACHMM*MMLeachEF*NtoN2O*kgtoGg,IF('Net zero activities &amp; levers'!$C$14="On",Constants!$H78*'Net zero Activity data'!BA20*Constants!$H96*FracLEACHMM*MMLeachEF*NtoN2O*kgtoGg,"ERROR"))</f>
        <v>0.11899390557339033</v>
      </c>
      <c r="AI1216" s="94">
        <f>IF('Net zero activities &amp; levers'!$C$14="Off",Constants!$H78*'Activity data'!BB20*Constants!$H96*FracLEACHMM*MMLeachEF*NtoN2O*kgtoGg,IF('Net zero activities &amp; levers'!$C$14="On",Constants!$H78*'Net zero Activity data'!BB20*Constants!$H96*FracLEACHMM*MMLeachEF*NtoN2O*kgtoGg,"ERROR"))</f>
        <v>0.12473968814681194</v>
      </c>
      <c r="AJ1216" s="94">
        <f>IF('Net zero activities &amp; levers'!$C$14="Off",Constants!$H78*'Activity data'!BC20*Constants!$H96*FracLEACHMM*MMLeachEF*NtoN2O*kgtoGg,IF('Net zero activities &amp; levers'!$C$14="On",Constants!$H78*'Net zero Activity data'!BC20*Constants!$H96*FracLEACHMM*MMLeachEF*NtoN2O*kgtoGg,"ERROR"))</f>
        <v>0.13086543937710404</v>
      </c>
      <c r="AK1216" s="94">
        <f>IF('Net zero activities &amp; levers'!$C$14="Off",Constants!$H78*'Activity data'!BD20*Constants!$H96*FracLEACHMM*MMLeachEF*NtoN2O*kgtoGg,IF('Net zero activities &amp; levers'!$C$14="On",Constants!$H78*'Net zero Activity data'!BD20*Constants!$H96*FracLEACHMM*MMLeachEF*NtoN2O*kgtoGg,"ERROR"))</f>
        <v>0.13713570688007848</v>
      </c>
      <c r="AL1216" s="94">
        <f>IF('Net zero activities &amp; levers'!$C$14="Off",Constants!$H78*'Activity data'!BE20*Constants!$H96*FracLEACHMM*MMLeachEF*NtoN2O*kgtoGg,IF('Net zero activities &amp; levers'!$C$14="On",Constants!$H78*'Net zero Activity data'!BE20*Constants!$H96*FracLEACHMM*MMLeachEF*NtoN2O*kgtoGg,"ERROR"))</f>
        <v>0.14353189422654788</v>
      </c>
      <c r="AM1216" s="94">
        <f>IF('Net zero activities &amp; levers'!$C$14="Off",Constants!$H78*'Activity data'!BF20*Constants!$H96*FracLEACHMM*MMLeachEF*NtoN2O*kgtoGg,IF('Net zero activities &amp; levers'!$C$14="On",Constants!$H78*'Net zero Activity data'!BF20*Constants!$H96*FracLEACHMM*MMLeachEF*NtoN2O*kgtoGg,"ERROR"))</f>
        <v>0.15016680935758497</v>
      </c>
      <c r="AN1216" s="94">
        <f>IF('Net zero activities &amp; levers'!$C$14="Off",Constants!$H78*'Activity data'!BG20*Constants!$H96*FracLEACHMM*MMLeachEF*NtoN2O*kgtoGg,IF('Net zero activities &amp; levers'!$C$14="On",Constants!$H78*'Net zero Activity data'!BG20*Constants!$H96*FracLEACHMM*MMLeachEF*NtoN2O*kgtoGg,"ERROR"))</f>
        <v>0.15676188787571166</v>
      </c>
      <c r="AO1216" s="94">
        <f>IF('Net zero activities &amp; levers'!$C$14="Off",Constants!$H78*'Activity data'!BH20*Constants!$H96*FracLEACHMM*MMLeachEF*NtoN2O*kgtoGg,IF('Net zero activities &amp; levers'!$C$14="On",Constants!$H78*'Net zero Activity data'!BH20*Constants!$H96*FracLEACHMM*MMLeachEF*NtoN2O*kgtoGg,"ERROR"))</f>
        <v>0.16370376989202984</v>
      </c>
      <c r="AP1216" s="94">
        <f>IF('Net zero activities &amp; levers'!$C$14="Off",Constants!$H78*'Activity data'!BI20*Constants!$H96*FracLEACHMM*MMLeachEF*NtoN2O*kgtoGg,IF('Net zero activities &amp; levers'!$C$14="On",Constants!$H78*'Net zero Activity data'!BI20*Constants!$H96*FracLEACHMM*MMLeachEF*NtoN2O*kgtoGg,"ERROR"))</f>
        <v>0.17113537656800237</v>
      </c>
      <c r="AQ1216" s="94">
        <f>IF('Net zero activities &amp; levers'!$C$14="Off",Constants!$H78*'Activity data'!BJ20*Constants!$H96*FracLEACHMM*MMLeachEF*NtoN2O*kgtoGg,IF('Net zero activities &amp; levers'!$C$14="On",Constants!$H78*'Net zero Activity data'!BJ20*Constants!$H96*FracLEACHMM*MMLeachEF*NtoN2O*kgtoGg,"ERROR"))</f>
        <v>0.17882351737077742</v>
      </c>
      <c r="AR1216" s="94">
        <f>IF('Net zero activities &amp; levers'!$C$14="Off",Constants!$H78*'Activity data'!BK20*Constants!$H96*FracLEACHMM*MMLeachEF*NtoN2O*kgtoGg,IF('Net zero activities &amp; levers'!$C$14="On",Constants!$H78*'Net zero Activity data'!BK20*Constants!$H96*FracLEACHMM*MMLeachEF*NtoN2O*kgtoGg,"ERROR"))</f>
        <v>0.18678614513935693</v>
      </c>
      <c r="AS1216" s="94">
        <f>IF('Net zero activities &amp; levers'!$C$14="Off",Constants!$H78*'Activity data'!BL20*Constants!$H96*FracLEACHMM*MMLeachEF*NtoN2O*kgtoGg,IF('Net zero activities &amp; levers'!$C$14="On",Constants!$H78*'Net zero Activity data'!BL20*Constants!$H96*FracLEACHMM*MMLeachEF*NtoN2O*kgtoGg,"ERROR"))</f>
        <v>0.19529177080691471</v>
      </c>
      <c r="AT1216" s="94">
        <f>IF('Net zero activities &amp; levers'!$C$14="Off",Constants!$H78*'Activity data'!BM20*Constants!$H96*FracLEACHMM*MMLeachEF*NtoN2O*kgtoGg,IF('Net zero activities &amp; levers'!$C$14="On",Constants!$H78*'Net zero Activity data'!BM20*Constants!$H96*FracLEACHMM*MMLeachEF*NtoN2O*kgtoGg,"ERROR"))</f>
        <v>0.20426055038144844</v>
      </c>
      <c r="AU1216" s="94">
        <f>IF('Net zero activities &amp; levers'!$C$14="Off",Constants!$H78*'Activity data'!BN20*Constants!$H96*FracLEACHMM*MMLeachEF*NtoN2O*kgtoGg,IF('Net zero activities &amp; levers'!$C$14="On",Constants!$H78*'Net zero Activity data'!BN20*Constants!$H96*FracLEACHMM*MMLeachEF*NtoN2O*kgtoGg,"ERROR"))</f>
        <v>0.21363944759847542</v>
      </c>
      <c r="AV1216" s="94">
        <f>IF('Net zero activities &amp; levers'!$C$14="Off",Constants!$H78*'Activity data'!BO20*Constants!$H96*FracLEACHMM*MMLeachEF*NtoN2O*kgtoGg,IF('Net zero activities &amp; levers'!$C$14="On",Constants!$H78*'Net zero Activity data'!BO20*Constants!$H96*FracLEACHMM*MMLeachEF*NtoN2O*kgtoGg,"ERROR"))</f>
        <v>0.2236051975341104</v>
      </c>
      <c r="AW1216" s="94">
        <f>IF('Net zero activities &amp; levers'!$C$14="Off",Constants!$H78*'Activity data'!BP20*Constants!$H96*FracLEACHMM*MMLeachEF*NtoN2O*kgtoGg,IF('Net zero activities &amp; levers'!$C$14="On",Constants!$H78*'Net zero Activity data'!BP20*Constants!$H96*FracLEACHMM*MMLeachEF*NtoN2O*kgtoGg,"ERROR"))</f>
        <v>0.23317129202372885</v>
      </c>
      <c r="AY1216" s="79"/>
    </row>
    <row r="1220" spans="1:52" x14ac:dyDescent="0.25">
      <c r="A1220" s="95" t="str">
        <f t="shared" ref="A1220:A1338" si="384">B1220&amp;" "&amp;C1220</f>
        <v>FSFAGSPQNIBDDSCM Cattle</v>
      </c>
      <c r="B1220" s="95" t="s">
        <v>1374</v>
      </c>
      <c r="C1220" s="95" t="s">
        <v>1107</v>
      </c>
      <c r="D1220" t="s">
        <v>15</v>
      </c>
      <c r="E1220" t="s">
        <v>16</v>
      </c>
      <c r="F1220" t="s">
        <v>6</v>
      </c>
      <c r="G1220" t="s">
        <v>136</v>
      </c>
      <c r="H1220" t="s">
        <v>1019</v>
      </c>
      <c r="I1220" t="s">
        <v>121</v>
      </c>
      <c r="J1220" t="s">
        <v>286</v>
      </c>
      <c r="K1220" s="27">
        <f t="shared" ref="K1220:AW1220" si="385">IFERROR(K1379-((K1379-K4)+(K1379-K157)+(K1379-K310)+(K1379-K462)+(K1379-K614)+(K1379-K765)+(K1379-K916)+(K1379-K1067)),0)</f>
        <v>72.246065125367707</v>
      </c>
      <c r="L1220" s="27">
        <f t="shared" si="385"/>
        <v>72.649957574793405</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74.518042528471327</v>
      </c>
      <c r="S1220" s="27">
        <f t="shared" si="385"/>
        <v>72.365714675231743</v>
      </c>
      <c r="T1220" s="27">
        <f t="shared" si="385"/>
        <v>73.825045522582627</v>
      </c>
      <c r="U1220" s="27">
        <f t="shared" si="385"/>
        <v>74.549470852823731</v>
      </c>
      <c r="V1220" s="27">
        <f t="shared" si="385"/>
        <v>74.73866134408884</v>
      </c>
      <c r="W1220" s="27">
        <f t="shared" si="385"/>
        <v>75.00766800235165</v>
      </c>
      <c r="X1220" s="27">
        <f t="shared" si="385"/>
        <v>75.45906320296173</v>
      </c>
      <c r="Y1220" s="27">
        <f t="shared" si="385"/>
        <v>76.055372148787171</v>
      </c>
      <c r="Z1220" s="27">
        <f t="shared" si="385"/>
        <v>76.723006485373944</v>
      </c>
      <c r="AA1220" s="27">
        <f t="shared" si="385"/>
        <v>77.482992951839307</v>
      </c>
      <c r="AB1220" s="27">
        <f t="shared" si="385"/>
        <v>78.40049292820909</v>
      </c>
      <c r="AC1220" s="27">
        <f t="shared" si="385"/>
        <v>79.470176515878649</v>
      </c>
      <c r="AD1220" s="27">
        <f t="shared" si="385"/>
        <v>80.634435222178453</v>
      </c>
      <c r="AE1220" s="27">
        <f t="shared" si="385"/>
        <v>81.892216807263921</v>
      </c>
      <c r="AF1220" s="27">
        <f t="shared" si="385"/>
        <v>83.211603764210864</v>
      </c>
      <c r="AG1220" s="27">
        <f t="shared" si="385"/>
        <v>84.607353188642591</v>
      </c>
      <c r="AH1220" s="27">
        <f t="shared" si="385"/>
        <v>86.06511371010545</v>
      </c>
      <c r="AI1220" s="27">
        <f t="shared" si="385"/>
        <v>87.52871170290878</v>
      </c>
      <c r="AJ1220" s="27">
        <f t="shared" si="385"/>
        <v>89.080470915368679</v>
      </c>
      <c r="AK1220" s="27">
        <f t="shared" si="385"/>
        <v>90.666146577204373</v>
      </c>
      <c r="AL1220" s="27">
        <f t="shared" si="385"/>
        <v>92.281705803455623</v>
      </c>
      <c r="AM1220" s="27">
        <f t="shared" si="385"/>
        <v>93.953177200375109</v>
      </c>
      <c r="AN1220" s="27">
        <f t="shared" si="385"/>
        <v>95.618162408652182</v>
      </c>
      <c r="AO1220" s="27">
        <f t="shared" si="385"/>
        <v>97.363125443895129</v>
      </c>
      <c r="AP1220" s="27">
        <f t="shared" si="385"/>
        <v>99.220282959393018</v>
      </c>
      <c r="AQ1220" s="27">
        <f t="shared" si="385"/>
        <v>101.13698373864543</v>
      </c>
      <c r="AR1220" s="27">
        <f t="shared" si="385"/>
        <v>103.1166953994274</v>
      </c>
      <c r="AS1220" s="27">
        <f t="shared" si="385"/>
        <v>105.22033839717858</v>
      </c>
      <c r="AT1220" s="27">
        <f t="shared" si="385"/>
        <v>107.43022097905694</v>
      </c>
      <c r="AU1220" s="27">
        <f t="shared" si="385"/>
        <v>109.73494167523042</v>
      </c>
      <c r="AV1220" s="27">
        <f t="shared" si="385"/>
        <v>112.1760298148465</v>
      </c>
      <c r="AW1220" s="27">
        <f t="shared" si="385"/>
        <v>114.52480661709059</v>
      </c>
      <c r="AY1220" s="79"/>
      <c r="AZ1220" s="79"/>
    </row>
    <row r="1221" spans="1:52" x14ac:dyDescent="0.25">
      <c r="A1221" s="95" t="str">
        <f t="shared" si="384"/>
        <v>FSFAGSPQNIBDDSCM Cattle</v>
      </c>
      <c r="B1221" s="95" t="s">
        <v>1374</v>
      </c>
      <c r="C1221" s="95" t="s">
        <v>1107</v>
      </c>
      <c r="D1221" t="s">
        <v>15</v>
      </c>
      <c r="E1221" t="s">
        <v>16</v>
      </c>
      <c r="F1221" t="s">
        <v>6</v>
      </c>
      <c r="G1221" t="s">
        <v>137</v>
      </c>
      <c r="H1221" t="s">
        <v>1019</v>
      </c>
      <c r="I1221" t="s">
        <v>121</v>
      </c>
      <c r="J1221" t="s">
        <v>286</v>
      </c>
      <c r="K1221" s="27">
        <f t="shared" ref="K1221:AW1221" si="386">IFERROR(K1380-((K1380-K5)+(K1380-K158)+(K1380-K311)+(K1380-K463)+(K1380-K615)+(K1380-K766)+(K1380-K917)+(K1380-K1068)),0)</f>
        <v>57.783598896292567</v>
      </c>
      <c r="L1221" s="27">
        <f t="shared" si="386"/>
        <v>58.1066387636453</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59.600764035107616</v>
      </c>
      <c r="S1221" s="27">
        <f t="shared" si="386"/>
        <v>57.879296587031398</v>
      </c>
      <c r="T1221" s="27">
        <f t="shared" si="386"/>
        <v>59.046493557468224</v>
      </c>
      <c r="U1221" s="27">
        <f t="shared" si="386"/>
        <v>59.625900929209891</v>
      </c>
      <c r="V1221" s="27">
        <f t="shared" si="386"/>
        <v>59.777218616107909</v>
      </c>
      <c r="W1221" s="27">
        <f t="shared" si="386"/>
        <v>59.992374594700195</v>
      </c>
      <c r="X1221" s="27">
        <f t="shared" si="386"/>
        <v>60.353407948842083</v>
      </c>
      <c r="Y1221" s="27">
        <f t="shared" si="386"/>
        <v>60.830345715404938</v>
      </c>
      <c r="Z1221" s="27">
        <f t="shared" si="386"/>
        <v>61.364330710266294</v>
      </c>
      <c r="AA1221" s="27">
        <f t="shared" si="386"/>
        <v>61.97218046746265</v>
      </c>
      <c r="AB1221" s="27">
        <f t="shared" si="386"/>
        <v>62.706012137463084</v>
      </c>
      <c r="AC1221" s="27">
        <f t="shared" si="386"/>
        <v>63.561562779128991</v>
      </c>
      <c r="AD1221" s="27">
        <f t="shared" si="386"/>
        <v>64.49275616633426</v>
      </c>
      <c r="AE1221" s="27">
        <f t="shared" si="386"/>
        <v>65.498750700231739</v>
      </c>
      <c r="AF1221" s="27">
        <f t="shared" si="386"/>
        <v>66.554018230400004</v>
      </c>
      <c r="AG1221" s="27">
        <f t="shared" si="386"/>
        <v>67.670361726217266</v>
      </c>
      <c r="AH1221" s="27">
        <f t="shared" si="386"/>
        <v>68.836302724012626</v>
      </c>
      <c r="AI1221" s="27">
        <f t="shared" si="386"/>
        <v>70.006912628023471</v>
      </c>
      <c r="AJ1221" s="27">
        <f t="shared" si="386"/>
        <v>71.248035334994583</v>
      </c>
      <c r="AK1221" s="27">
        <f t="shared" si="386"/>
        <v>72.516284979651772</v>
      </c>
      <c r="AL1221" s="27">
        <f t="shared" si="386"/>
        <v>73.808435993840746</v>
      </c>
      <c r="AM1221" s="27">
        <f t="shared" si="386"/>
        <v>75.145306487737145</v>
      </c>
      <c r="AN1221" s="27">
        <f t="shared" si="386"/>
        <v>76.476989220580691</v>
      </c>
      <c r="AO1221" s="27">
        <f t="shared" si="386"/>
        <v>77.872639543437259</v>
      </c>
      <c r="AP1221" s="27">
        <f t="shared" si="386"/>
        <v>79.358024868943161</v>
      </c>
      <c r="AQ1221" s="27">
        <f t="shared" si="386"/>
        <v>80.891033882518414</v>
      </c>
      <c r="AR1221" s="27">
        <f t="shared" si="386"/>
        <v>82.474440042264703</v>
      </c>
      <c r="AS1221" s="27">
        <f t="shared" si="386"/>
        <v>84.156968536960065</v>
      </c>
      <c r="AT1221" s="27">
        <f t="shared" si="386"/>
        <v>85.924469209800506</v>
      </c>
      <c r="AU1221" s="27">
        <f t="shared" si="386"/>
        <v>87.767822976466917</v>
      </c>
      <c r="AV1221" s="27">
        <f t="shared" si="386"/>
        <v>89.72024568191533</v>
      </c>
      <c r="AW1221" s="27">
        <f t="shared" si="386"/>
        <v>91.59883625155085</v>
      </c>
      <c r="AY1221" s="79"/>
      <c r="AZ1221" s="79"/>
    </row>
    <row r="1222" spans="1:52" x14ac:dyDescent="0.25">
      <c r="A1222" s="95" t="str">
        <f t="shared" si="384"/>
        <v>FSFAGSPQNIBDDSCM Cattle</v>
      </c>
      <c r="B1222" s="95" t="s">
        <v>1374</v>
      </c>
      <c r="C1222" s="95" t="s">
        <v>1107</v>
      </c>
      <c r="D1222" t="s">
        <v>15</v>
      </c>
      <c r="E1222" t="s">
        <v>16</v>
      </c>
      <c r="F1222" t="s">
        <v>67</v>
      </c>
      <c r="G1222" t="s">
        <v>307</v>
      </c>
      <c r="H1222" t="s">
        <v>1019</v>
      </c>
      <c r="I1222" t="s">
        <v>121</v>
      </c>
      <c r="J1222" t="s">
        <v>286</v>
      </c>
      <c r="K1222" s="27">
        <f t="shared" ref="K1222:AW1222" si="387">IFERROR(K1381-((K1381-K6)+(K1381-K159)+(K1381-K312)+(K1381-K464)+(K1381-K616)+(K1381-K767)+(K1381-K918)+(K1381-K1069)),0)</f>
        <v>26.126191807126649</v>
      </c>
      <c r="L1222" s="27">
        <f t="shared" si="387"/>
        <v>26.272250579806308</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26.947802192577253</v>
      </c>
      <c r="S1222" s="27">
        <f t="shared" si="387"/>
        <v>26.169460420911491</v>
      </c>
      <c r="T1222" s="27">
        <f t="shared" si="387"/>
        <v>26.697195150294817</v>
      </c>
      <c r="U1222" s="27">
        <f t="shared" si="387"/>
        <v>26.959167551075083</v>
      </c>
      <c r="V1222" s="27">
        <f t="shared" si="387"/>
        <v>27.027584108493112</v>
      </c>
      <c r="W1222" s="27">
        <f t="shared" si="387"/>
        <v>27.124864417655591</v>
      </c>
      <c r="X1222" s="27">
        <f t="shared" si="387"/>
        <v>27.288101509827889</v>
      </c>
      <c r="Y1222" s="27">
        <f t="shared" si="387"/>
        <v>27.503743453342821</v>
      </c>
      <c r="Z1222" s="27">
        <f t="shared" si="387"/>
        <v>27.745178647140875</v>
      </c>
      <c r="AA1222" s="27">
        <f t="shared" si="387"/>
        <v>28.020010946439662</v>
      </c>
      <c r="AB1222" s="27">
        <f t="shared" si="387"/>
        <v>28.351804523350385</v>
      </c>
      <c r="AC1222" s="27">
        <f t="shared" si="387"/>
        <v>28.738631937907769</v>
      </c>
      <c r="AD1222" s="27">
        <f t="shared" si="387"/>
        <v>29.159660352688871</v>
      </c>
      <c r="AE1222" s="27">
        <f t="shared" si="387"/>
        <v>29.614509248423072</v>
      </c>
      <c r="AF1222" s="27">
        <f t="shared" si="387"/>
        <v>30.09163636455321</v>
      </c>
      <c r="AG1222" s="27">
        <f t="shared" si="387"/>
        <v>30.596378278373869</v>
      </c>
      <c r="AH1222" s="27">
        <f t="shared" si="387"/>
        <v>31.123545134125884</v>
      </c>
      <c r="AI1222" s="27">
        <f t="shared" si="387"/>
        <v>31.652822982298673</v>
      </c>
      <c r="AJ1222" s="27">
        <f t="shared" si="387"/>
        <v>32.213982385967945</v>
      </c>
      <c r="AK1222" s="27">
        <f t="shared" si="387"/>
        <v>32.787406923527513</v>
      </c>
      <c r="AL1222" s="27">
        <f t="shared" si="387"/>
        <v>33.371638191314474</v>
      </c>
      <c r="AM1222" s="27">
        <f t="shared" si="387"/>
        <v>33.976088859184969</v>
      </c>
      <c r="AN1222" s="27">
        <f t="shared" si="387"/>
        <v>34.578193940368166</v>
      </c>
      <c r="AO1222" s="27">
        <f t="shared" si="387"/>
        <v>35.209221234048357</v>
      </c>
      <c r="AP1222" s="27">
        <f t="shared" si="387"/>
        <v>35.880821180450241</v>
      </c>
      <c r="AQ1222" s="27">
        <f t="shared" si="387"/>
        <v>36.573953631452547</v>
      </c>
      <c r="AR1222" s="27">
        <f t="shared" si="387"/>
        <v>37.289872574340869</v>
      </c>
      <c r="AS1222" s="27">
        <f t="shared" si="387"/>
        <v>38.050608544633441</v>
      </c>
      <c r="AT1222" s="27">
        <f t="shared" si="387"/>
        <v>38.849763711149343</v>
      </c>
      <c r="AU1222" s="27">
        <f t="shared" si="387"/>
        <v>39.683214984455297</v>
      </c>
      <c r="AV1222" s="27">
        <f t="shared" si="387"/>
        <v>40.565980528060209</v>
      </c>
      <c r="AW1222" s="27">
        <f t="shared" si="387"/>
        <v>41.415363717872332</v>
      </c>
      <c r="AY1222" s="79"/>
      <c r="AZ1222" s="79"/>
    </row>
    <row r="1223" spans="1:52" x14ac:dyDescent="0.25">
      <c r="A1223" s="95" t="str">
        <f t="shared" si="384"/>
        <v>FSFAGSPQNIBDDSCM Cattle</v>
      </c>
      <c r="B1223" s="95" t="s">
        <v>1374</v>
      </c>
      <c r="C1223" s="95" t="s">
        <v>1107</v>
      </c>
      <c r="D1223" t="s">
        <v>15</v>
      </c>
      <c r="E1223" t="s">
        <v>16</v>
      </c>
      <c r="F1223" t="s">
        <v>67</v>
      </c>
      <c r="G1223" t="s">
        <v>122</v>
      </c>
      <c r="H1223" t="s">
        <v>1019</v>
      </c>
      <c r="I1223" t="s">
        <v>121</v>
      </c>
      <c r="J1223" t="s">
        <v>286</v>
      </c>
      <c r="K1223" s="27">
        <f t="shared" ref="K1223:AW1223" si="388">IFERROR(K1382-((K1382-K7)+(K1382-K160)+(K1382-K313)+(K1382-K465)+(K1382-K617)+(K1382-K768)+(K1382-K919)+(K1382-K1070)),0)</f>
        <v>463.23498593143171</v>
      </c>
      <c r="L1223" s="27">
        <f t="shared" si="388"/>
        <v>459.2174968362159</v>
      </c>
      <c r="M1223" s="27">
        <f t="shared" si="388"/>
        <v>457.68816035731231</v>
      </c>
      <c r="N1223" s="27">
        <f t="shared" si="388"/>
        <v>451.57633407663525</v>
      </c>
      <c r="O1223" s="27">
        <f t="shared" si="388"/>
        <v>442.704868969107</v>
      </c>
      <c r="P1223" s="27">
        <f t="shared" si="388"/>
        <v>431.25721304480408</v>
      </c>
      <c r="Q1223" s="27">
        <f t="shared" si="388"/>
        <v>422.22811200839215</v>
      </c>
      <c r="R1223" s="27">
        <f t="shared" si="388"/>
        <v>413.68555596285586</v>
      </c>
      <c r="S1223" s="27">
        <f t="shared" si="388"/>
        <v>369.40237691087651</v>
      </c>
      <c r="T1223" s="27">
        <f t="shared" si="388"/>
        <v>387.06361603448636</v>
      </c>
      <c r="U1223" s="27">
        <f t="shared" si="388"/>
        <v>393.17794041792496</v>
      </c>
      <c r="V1223" s="27">
        <f t="shared" si="388"/>
        <v>390.52270230053807</v>
      </c>
      <c r="W1223" s="27">
        <f t="shared" si="388"/>
        <v>388.36285305535796</v>
      </c>
      <c r="X1223" s="27">
        <f t="shared" si="388"/>
        <v>388.50473132162119</v>
      </c>
      <c r="Y1223" s="27">
        <f t="shared" si="388"/>
        <v>390.78606081827786</v>
      </c>
      <c r="Z1223" s="27">
        <f t="shared" si="388"/>
        <v>394.02311080220409</v>
      </c>
      <c r="AA1223" s="27">
        <f t="shared" si="388"/>
        <v>398.47662182088436</v>
      </c>
      <c r="AB1223" s="27">
        <f t="shared" si="388"/>
        <v>405.00014152902594</v>
      </c>
      <c r="AC1223" s="27">
        <f t="shared" si="388"/>
        <v>413.40943063236716</v>
      </c>
      <c r="AD1223" s="27">
        <f t="shared" si="388"/>
        <v>419.27234556371411</v>
      </c>
      <c r="AE1223" s="27">
        <f t="shared" si="388"/>
        <v>425.8278376253316</v>
      </c>
      <c r="AF1223" s="27">
        <f t="shared" si="388"/>
        <v>432.58187641621225</v>
      </c>
      <c r="AG1223" s="27">
        <f t="shared" si="388"/>
        <v>439.68449510593507</v>
      </c>
      <c r="AH1223" s="27">
        <f t="shared" si="388"/>
        <v>446.893496347981</v>
      </c>
      <c r="AI1223" s="27">
        <f t="shared" si="388"/>
        <v>453.4765954958275</v>
      </c>
      <c r="AJ1223" s="27">
        <f t="shared" si="388"/>
        <v>460.42055689435347</v>
      </c>
      <c r="AK1223" s="27">
        <f t="shared" si="388"/>
        <v>467.05009656830129</v>
      </c>
      <c r="AL1223" s="27">
        <f t="shared" si="388"/>
        <v>473.30134622451675</v>
      </c>
      <c r="AM1223" s="27">
        <f t="shared" si="388"/>
        <v>479.44152386893921</v>
      </c>
      <c r="AN1223" s="27">
        <f t="shared" si="388"/>
        <v>487.2386202384439</v>
      </c>
      <c r="AO1223" s="27">
        <f t="shared" si="388"/>
        <v>495.30323443397566</v>
      </c>
      <c r="AP1223" s="27">
        <f t="shared" si="388"/>
        <v>503.92844355873905</v>
      </c>
      <c r="AQ1223" s="27">
        <f t="shared" si="388"/>
        <v>512.52009483394647</v>
      </c>
      <c r="AR1223" s="27">
        <f t="shared" si="388"/>
        <v>521.08933970994713</v>
      </c>
      <c r="AS1223" s="27">
        <f t="shared" si="388"/>
        <v>530.19934966432822</v>
      </c>
      <c r="AT1223" s="27">
        <f t="shared" si="388"/>
        <v>539.61424355839688</v>
      </c>
      <c r="AU1223" s="27">
        <f t="shared" si="388"/>
        <v>549.17033444464153</v>
      </c>
      <c r="AV1223" s="27">
        <f t="shared" si="388"/>
        <v>559.19282207144863</v>
      </c>
      <c r="AW1223" s="27">
        <f t="shared" si="388"/>
        <v>567.59543120119042</v>
      </c>
      <c r="AY1223" s="79"/>
      <c r="AZ1223" s="79"/>
    </row>
    <row r="1224" spans="1:52" x14ac:dyDescent="0.25">
      <c r="A1224" s="95" t="str">
        <f t="shared" si="384"/>
        <v>FSFAGSPQNIBDDSCM Cattle</v>
      </c>
      <c r="B1224" s="95" t="s">
        <v>1374</v>
      </c>
      <c r="C1224" s="95" t="s">
        <v>1107</v>
      </c>
      <c r="D1224" t="s">
        <v>15</v>
      </c>
      <c r="E1224" t="s">
        <v>16</v>
      </c>
      <c r="F1224" t="s">
        <v>67</v>
      </c>
      <c r="G1224" t="s">
        <v>123</v>
      </c>
      <c r="H1224" t="s">
        <v>1019</v>
      </c>
      <c r="I1224" t="s">
        <v>121</v>
      </c>
      <c r="J1224" t="s">
        <v>286</v>
      </c>
      <c r="K1224" s="27">
        <f t="shared" ref="K1224:AW1224" si="389">IFERROR(K1383-((K1383-K8)+(K1383-K161)+(K1383-K314)+(K1383-K466)+(K1383-K618)+(K1383-K769)+(K1383-K920)+(K1383-K1071)),0)</f>
        <v>326.20040935577725</v>
      </c>
      <c r="L1224" s="27">
        <f t="shared" si="389"/>
        <v>323.37137738012308</v>
      </c>
      <c r="M1224" s="27">
        <f t="shared" si="389"/>
        <v>322.29445054900742</v>
      </c>
      <c r="N1224" s="27">
        <f t="shared" si="389"/>
        <v>317.99063003627219</v>
      </c>
      <c r="O1224" s="27">
        <f t="shared" si="389"/>
        <v>311.74352945546775</v>
      </c>
      <c r="P1224" s="27">
        <f t="shared" si="389"/>
        <v>303.68232906672063</v>
      </c>
      <c r="Q1224" s="27">
        <f t="shared" si="389"/>
        <v>297.32422455466599</v>
      </c>
      <c r="R1224" s="27">
        <f t="shared" si="389"/>
        <v>291.30873487096773</v>
      </c>
      <c r="S1224" s="27">
        <f t="shared" si="389"/>
        <v>260.12544437470751</v>
      </c>
      <c r="T1224" s="27">
        <f t="shared" si="389"/>
        <v>272.56212037461688</v>
      </c>
      <c r="U1224" s="27">
        <f t="shared" si="389"/>
        <v>276.86769999918118</v>
      </c>
      <c r="V1224" s="27">
        <f t="shared" si="389"/>
        <v>274.99793673186855</v>
      </c>
      <c r="W1224" s="27">
        <f t="shared" si="389"/>
        <v>273.47701596957364</v>
      </c>
      <c r="X1224" s="27">
        <f t="shared" si="389"/>
        <v>273.5769236836698</v>
      </c>
      <c r="Y1224" s="27">
        <f t="shared" si="389"/>
        <v>275.18338830375563</v>
      </c>
      <c r="Z1224" s="27">
        <f t="shared" si="389"/>
        <v>277.46285134504268</v>
      </c>
      <c r="AA1224" s="27">
        <f t="shared" si="389"/>
        <v>280.59892085940152</v>
      </c>
      <c r="AB1224" s="27">
        <f t="shared" si="389"/>
        <v>285.19264729169487</v>
      </c>
      <c r="AC1224" s="27">
        <f t="shared" si="389"/>
        <v>291.11429317598692</v>
      </c>
      <c r="AD1224" s="27">
        <f t="shared" si="389"/>
        <v>295.24283551131606</v>
      </c>
      <c r="AE1224" s="27">
        <f t="shared" si="389"/>
        <v>299.85907620766255</v>
      </c>
      <c r="AF1224" s="27">
        <f t="shared" si="389"/>
        <v>304.61512936707601</v>
      </c>
      <c r="AG1224" s="27">
        <f t="shared" si="389"/>
        <v>309.61664521637437</v>
      </c>
      <c r="AH1224" s="27">
        <f t="shared" si="389"/>
        <v>314.69307343880962</v>
      </c>
      <c r="AI1224" s="27">
        <f t="shared" si="389"/>
        <v>319.32875446911731</v>
      </c>
      <c r="AJ1224" s="27">
        <f t="shared" si="389"/>
        <v>324.21854716514042</v>
      </c>
      <c r="AK1224" s="27">
        <f t="shared" si="389"/>
        <v>328.88693064471261</v>
      </c>
      <c r="AL1224" s="27">
        <f t="shared" si="389"/>
        <v>333.28893018872913</v>
      </c>
      <c r="AM1224" s="27">
        <f t="shared" si="389"/>
        <v>337.61271514011941</v>
      </c>
      <c r="AN1224" s="27">
        <f t="shared" si="389"/>
        <v>343.10326767773648</v>
      </c>
      <c r="AO1224" s="27">
        <f t="shared" si="389"/>
        <v>348.78220068533165</v>
      </c>
      <c r="AP1224" s="27">
        <f t="shared" si="389"/>
        <v>354.85589294244767</v>
      </c>
      <c r="AQ1224" s="27">
        <f t="shared" si="389"/>
        <v>360.90595446226047</v>
      </c>
      <c r="AR1224" s="27">
        <f t="shared" si="389"/>
        <v>366.94023786337442</v>
      </c>
      <c r="AS1224" s="27">
        <f t="shared" si="389"/>
        <v>373.35531674688991</v>
      </c>
      <c r="AT1224" s="27">
        <f t="shared" si="389"/>
        <v>379.98508853779043</v>
      </c>
      <c r="AU1224" s="27">
        <f t="shared" si="389"/>
        <v>386.71428830379313</v>
      </c>
      <c r="AV1224" s="27">
        <f t="shared" si="389"/>
        <v>393.77191492077668</v>
      </c>
      <c r="AW1224" s="27">
        <f t="shared" si="389"/>
        <v>399.6888569070714</v>
      </c>
      <c r="AY1224" s="79"/>
      <c r="AZ1224" s="79"/>
    </row>
    <row r="1225" spans="1:52" x14ac:dyDescent="0.25">
      <c r="A1225" s="95" t="str">
        <f t="shared" si="384"/>
        <v>FSFAGSPQNIBDDSCM Cattle</v>
      </c>
      <c r="B1225" s="95" t="s">
        <v>1374</v>
      </c>
      <c r="C1225" s="95" t="s">
        <v>1107</v>
      </c>
      <c r="D1225" t="s">
        <v>15</v>
      </c>
      <c r="E1225" t="s">
        <v>16</v>
      </c>
      <c r="F1225" t="s">
        <v>67</v>
      </c>
      <c r="G1225" t="s">
        <v>135</v>
      </c>
      <c r="H1225" t="s">
        <v>1019</v>
      </c>
      <c r="I1225" t="s">
        <v>121</v>
      </c>
      <c r="J1225" t="s">
        <v>286</v>
      </c>
      <c r="K1225" s="27">
        <f t="shared" ref="K1225:AW1225" si="390">IFERROR(K1384-((K1384-K9)+(K1384-K162)+(K1384-K315)+(K1384-K467)+(K1384-K619)+(K1384-K770)+(K1384-K921)+(K1384-K1072)),0)</f>
        <v>31.891995988947254</v>
      </c>
      <c r="L1225" s="27">
        <f t="shared" si="390"/>
        <v>32.967337371253521</v>
      </c>
      <c r="M1225" s="27">
        <f t="shared" si="390"/>
        <v>34.243655078433662</v>
      </c>
      <c r="N1225" s="27">
        <f t="shared" si="390"/>
        <v>35.195504797614646</v>
      </c>
      <c r="O1225" s="27">
        <f t="shared" si="390"/>
        <v>35.929559405213325</v>
      </c>
      <c r="P1225" s="27">
        <f t="shared" si="390"/>
        <v>36.435327957872907</v>
      </c>
      <c r="Q1225" s="27">
        <f t="shared" si="390"/>
        <v>37.125912791560339</v>
      </c>
      <c r="R1225" s="27">
        <f t="shared" si="390"/>
        <v>37.849847328761314</v>
      </c>
      <c r="S1225" s="27">
        <f t="shared" si="390"/>
        <v>35.164164958187662</v>
      </c>
      <c r="T1225" s="27">
        <f t="shared" si="390"/>
        <v>37.733078614995847</v>
      </c>
      <c r="U1225" s="27">
        <f t="shared" si="390"/>
        <v>39.239907769283455</v>
      </c>
      <c r="V1225" s="27">
        <f t="shared" si="390"/>
        <v>39.889255441564949</v>
      </c>
      <c r="W1225" s="27">
        <f t="shared" si="390"/>
        <v>40.588307761995488</v>
      </c>
      <c r="X1225" s="27">
        <f t="shared" si="390"/>
        <v>41.534201946049016</v>
      </c>
      <c r="Y1225" s="27">
        <f t="shared" si="390"/>
        <v>42.726423600286481</v>
      </c>
      <c r="Z1225" s="27">
        <f t="shared" si="390"/>
        <v>44.049081565207047</v>
      </c>
      <c r="AA1225" s="27">
        <f t="shared" si="390"/>
        <v>45.539986739615941</v>
      </c>
      <c r="AB1225" s="27">
        <f t="shared" si="390"/>
        <v>47.309041836934135</v>
      </c>
      <c r="AC1225" s="27">
        <f t="shared" si="390"/>
        <v>49.351300675084218</v>
      </c>
      <c r="AD1225" s="27">
        <f t="shared" si="390"/>
        <v>51.711027137708825</v>
      </c>
      <c r="AE1225" s="27">
        <f t="shared" si="390"/>
        <v>54.264579364554088</v>
      </c>
      <c r="AF1225" s="27">
        <f t="shared" si="390"/>
        <v>56.961553434617372</v>
      </c>
      <c r="AG1225" s="27">
        <f t="shared" si="390"/>
        <v>59.831551165418354</v>
      </c>
      <c r="AH1225" s="27">
        <f t="shared" si="390"/>
        <v>62.852420493056009</v>
      </c>
      <c r="AI1225" s="27">
        <f t="shared" si="390"/>
        <v>65.927060453070922</v>
      </c>
      <c r="AJ1225" s="27">
        <f t="shared" si="390"/>
        <v>69.203040648572085</v>
      </c>
      <c r="AK1225" s="27">
        <f t="shared" si="390"/>
        <v>72.58973333609724</v>
      </c>
      <c r="AL1225" s="27">
        <f t="shared" si="390"/>
        <v>76.081547595026791</v>
      </c>
      <c r="AM1225" s="27">
        <f t="shared" si="390"/>
        <v>79.726894187226051</v>
      </c>
      <c r="AN1225" s="27">
        <f t="shared" si="390"/>
        <v>83.3095791235083</v>
      </c>
      <c r="AO1225" s="27">
        <f t="shared" si="390"/>
        <v>87.086258080455181</v>
      </c>
      <c r="AP1225" s="27">
        <f t="shared" si="390"/>
        <v>91.121139259350954</v>
      </c>
      <c r="AQ1225" s="27">
        <f t="shared" si="390"/>
        <v>95.32019758274437</v>
      </c>
      <c r="AR1225" s="27">
        <f t="shared" si="390"/>
        <v>99.693624550303667</v>
      </c>
      <c r="AS1225" s="27">
        <f t="shared" si="390"/>
        <v>104.36104732075913</v>
      </c>
      <c r="AT1225" s="27">
        <f t="shared" si="390"/>
        <v>109.29369918471791</v>
      </c>
      <c r="AU1225" s="27">
        <f t="shared" si="390"/>
        <v>114.47360844232533</v>
      </c>
      <c r="AV1225" s="27">
        <f t="shared" si="390"/>
        <v>119.9848328319804</v>
      </c>
      <c r="AW1225" s="27">
        <f t="shared" si="390"/>
        <v>125.38797876262088</v>
      </c>
      <c r="AY1225" s="79"/>
      <c r="AZ1225" s="79"/>
    </row>
    <row r="1226" spans="1:52" x14ac:dyDescent="0.25">
      <c r="A1226" s="95" t="str">
        <f t="shared" si="384"/>
        <v>FSFAGSPQNIBDDSCM Sheep</v>
      </c>
      <c r="B1226" s="95" t="s">
        <v>1374</v>
      </c>
      <c r="C1226" s="95" t="s">
        <v>152</v>
      </c>
      <c r="D1226" t="s">
        <v>15</v>
      </c>
      <c r="E1226" t="s">
        <v>16</v>
      </c>
      <c r="F1226" t="s">
        <v>18</v>
      </c>
      <c r="G1226" t="s">
        <v>122</v>
      </c>
      <c r="H1226" t="s">
        <v>1019</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134.514372062219</v>
      </c>
      <c r="T1226" s="27">
        <f t="shared" si="391"/>
        <v>134.61119272537138</v>
      </c>
      <c r="U1226" s="27">
        <f t="shared" si="391"/>
        <v>134.57715264233437</v>
      </c>
      <c r="V1226" s="27">
        <f t="shared" si="391"/>
        <v>134.57470202786035</v>
      </c>
      <c r="W1226" s="27">
        <f t="shared" si="391"/>
        <v>134.71744668818661</v>
      </c>
      <c r="X1226" s="27">
        <f t="shared" si="391"/>
        <v>134.95106147738375</v>
      </c>
      <c r="Y1226" s="27">
        <f t="shared" si="391"/>
        <v>135.17521745945572</v>
      </c>
      <c r="Z1226" s="27">
        <f t="shared" si="391"/>
        <v>135.39063780811901</v>
      </c>
      <c r="AA1226" s="27">
        <f t="shared" si="391"/>
        <v>135.59702853009694</v>
      </c>
      <c r="AB1226" s="27">
        <f t="shared" si="391"/>
        <v>135.7986907607312</v>
      </c>
      <c r="AC1226" s="27">
        <f t="shared" si="391"/>
        <v>135.99857025620054</v>
      </c>
      <c r="AD1226" s="27">
        <f t="shared" si="391"/>
        <v>136.19466148301387</v>
      </c>
      <c r="AE1226" s="27">
        <f t="shared" si="391"/>
        <v>136.38978391312594</v>
      </c>
      <c r="AF1226" s="27">
        <f t="shared" si="391"/>
        <v>136.58332287316895</v>
      </c>
      <c r="AG1226" s="27">
        <f t="shared" si="391"/>
        <v>136.77372760735147</v>
      </c>
      <c r="AH1226" s="27">
        <f t="shared" si="391"/>
        <v>136.96183641513412</v>
      </c>
      <c r="AI1226" s="27">
        <f t="shared" si="391"/>
        <v>137.1478500354736</v>
      </c>
      <c r="AJ1226" s="27">
        <f t="shared" si="391"/>
        <v>137.33239997388901</v>
      </c>
      <c r="AK1226" s="27">
        <f t="shared" si="391"/>
        <v>137.50983936953097</v>
      </c>
      <c r="AL1226" s="27">
        <f t="shared" si="391"/>
        <v>137.67996062186128</v>
      </c>
      <c r="AM1226" s="27">
        <f t="shared" si="391"/>
        <v>137.84435369829882</v>
      </c>
      <c r="AN1226" s="27">
        <f t="shared" si="391"/>
        <v>138.00175275471773</v>
      </c>
      <c r="AO1226" s="27">
        <f t="shared" si="391"/>
        <v>138.15244332532626</v>
      </c>
      <c r="AP1226" s="27">
        <f t="shared" si="391"/>
        <v>138.29574669703695</v>
      </c>
      <c r="AQ1226" s="27">
        <f t="shared" si="391"/>
        <v>138.4296121873767</v>
      </c>
      <c r="AR1226" s="27">
        <f t="shared" si="391"/>
        <v>138.55213947392693</v>
      </c>
      <c r="AS1226" s="27">
        <f t="shared" si="391"/>
        <v>138.66320476976824</v>
      </c>
      <c r="AT1226" s="27">
        <f t="shared" si="391"/>
        <v>138.76195815463774</v>
      </c>
      <c r="AU1226" s="27">
        <f t="shared" si="391"/>
        <v>138.84835200114654</v>
      </c>
      <c r="AV1226" s="27">
        <f t="shared" si="391"/>
        <v>138.92403962400931</v>
      </c>
      <c r="AW1226" s="27">
        <f t="shared" si="391"/>
        <v>138.97919020206226</v>
      </c>
      <c r="AY1226" s="79"/>
      <c r="AZ1226" s="79"/>
    </row>
    <row r="1227" spans="1:52" x14ac:dyDescent="0.25">
      <c r="A1227" s="95" t="str">
        <f t="shared" si="384"/>
        <v>FSFAGSPQNIBDDSCM Sheep</v>
      </c>
      <c r="B1227" s="95" t="s">
        <v>1374</v>
      </c>
      <c r="C1227" s="95" t="s">
        <v>152</v>
      </c>
      <c r="D1227" t="s">
        <v>15</v>
      </c>
      <c r="E1227" t="s">
        <v>16</v>
      </c>
      <c r="F1227" t="s">
        <v>18</v>
      </c>
      <c r="G1227" t="s">
        <v>123</v>
      </c>
      <c r="H1227" t="s">
        <v>1019</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14.577835829783805</v>
      </c>
      <c r="T1227" s="27">
        <f t="shared" si="392"/>
        <v>14.588328654533516</v>
      </c>
      <c r="U1227" s="27">
        <f t="shared" si="392"/>
        <v>14.584639600832128</v>
      </c>
      <c r="V1227" s="27">
        <f t="shared" si="392"/>
        <v>14.584374018389626</v>
      </c>
      <c r="W1227" s="27">
        <f t="shared" si="392"/>
        <v>14.599843801966744</v>
      </c>
      <c r="X1227" s="27">
        <f t="shared" si="392"/>
        <v>14.625161528185249</v>
      </c>
      <c r="Y1227" s="27">
        <f t="shared" si="392"/>
        <v>14.649454167379202</v>
      </c>
      <c r="Z1227" s="27">
        <f t="shared" si="392"/>
        <v>14.672800092644023</v>
      </c>
      <c r="AA1227" s="27">
        <f t="shared" si="392"/>
        <v>14.695167442806378</v>
      </c>
      <c r="AB1227" s="27">
        <f t="shared" si="392"/>
        <v>14.717022348317101</v>
      </c>
      <c r="AC1227" s="27">
        <f t="shared" si="392"/>
        <v>14.738684052014786</v>
      </c>
      <c r="AD1227" s="27">
        <f t="shared" si="392"/>
        <v>14.759935206581549</v>
      </c>
      <c r="AE1227" s="27">
        <f t="shared" si="392"/>
        <v>14.781081368952709</v>
      </c>
      <c r="AF1227" s="27">
        <f t="shared" si="392"/>
        <v>14.802055924629695</v>
      </c>
      <c r="AG1227" s="27">
        <f t="shared" si="392"/>
        <v>14.822690812289457</v>
      </c>
      <c r="AH1227" s="27">
        <f t="shared" si="392"/>
        <v>14.843076881643613</v>
      </c>
      <c r="AI1227" s="27">
        <f t="shared" si="392"/>
        <v>14.863235887538975</v>
      </c>
      <c r="AJ1227" s="27">
        <f t="shared" si="392"/>
        <v>14.883236268638564</v>
      </c>
      <c r="AK1227" s="27">
        <f t="shared" si="392"/>
        <v>14.902466053082772</v>
      </c>
      <c r="AL1227" s="27">
        <f t="shared" si="392"/>
        <v>14.920902742409034</v>
      </c>
      <c r="AM1227" s="27">
        <f t="shared" si="392"/>
        <v>14.938718647454118</v>
      </c>
      <c r="AN1227" s="27">
        <f t="shared" si="392"/>
        <v>14.95577658385943</v>
      </c>
      <c r="AO1227" s="27">
        <f t="shared" si="392"/>
        <v>14.972107496056765</v>
      </c>
      <c r="AP1227" s="27">
        <f t="shared" si="392"/>
        <v>14.98763782931875</v>
      </c>
      <c r="AQ1227" s="27">
        <f t="shared" si="392"/>
        <v>15.002145343360027</v>
      </c>
      <c r="AR1227" s="27">
        <f t="shared" si="392"/>
        <v>15.015424092988152</v>
      </c>
      <c r="AS1227" s="27">
        <f t="shared" si="392"/>
        <v>15.027460662942268</v>
      </c>
      <c r="AT1227" s="27">
        <f t="shared" si="392"/>
        <v>15.038162944120053</v>
      </c>
      <c r="AU1227" s="27">
        <f t="shared" si="392"/>
        <v>15.047525774959613</v>
      </c>
      <c r="AV1227" s="27">
        <f t="shared" si="392"/>
        <v>15.055728331485913</v>
      </c>
      <c r="AW1227" s="27">
        <f t="shared" si="392"/>
        <v>15.061705210093363</v>
      </c>
      <c r="AY1227" s="79"/>
      <c r="AZ1227" s="79"/>
    </row>
    <row r="1228" spans="1:52" x14ac:dyDescent="0.25">
      <c r="A1228" s="95" t="str">
        <f t="shared" si="384"/>
        <v>FSFAGSPQNIBDDSCM Goats</v>
      </c>
      <c r="B1228" s="95" t="s">
        <v>1374</v>
      </c>
      <c r="C1228" s="95" t="s">
        <v>153</v>
      </c>
      <c r="D1228" t="s">
        <v>15</v>
      </c>
      <c r="E1228" t="s">
        <v>16</v>
      </c>
      <c r="F1228" t="s">
        <v>19</v>
      </c>
      <c r="G1228" t="s">
        <v>122</v>
      </c>
      <c r="H1228" t="s">
        <v>1019</v>
      </c>
      <c r="I1228" t="s">
        <v>121</v>
      </c>
      <c r="J1228" t="s">
        <v>286</v>
      </c>
      <c r="K1228" s="27">
        <f t="shared" ref="K1228:AW1228" si="393">IFERROR(K1387-((K1387-K12)+(K1387-K165)+(K1387-K318)+(K1387-K470)+(K1387-K622)+(K1387-K773)+(K1387-K924)+(K1387-K1075)),0)</f>
        <v>15.123414197798356</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15.545788610572219</v>
      </c>
      <c r="R1228" s="27">
        <f t="shared" si="393"/>
        <v>15.648067752449878</v>
      </c>
      <c r="S1228" s="27">
        <f t="shared" si="393"/>
        <v>15.609698922895241</v>
      </c>
      <c r="T1228" s="27">
        <f t="shared" si="393"/>
        <v>15.636532010302831</v>
      </c>
      <c r="U1228" s="27">
        <f t="shared" si="393"/>
        <v>15.639135853628233</v>
      </c>
      <c r="V1228" s="27">
        <f t="shared" si="393"/>
        <v>15.646294761850147</v>
      </c>
      <c r="W1228" s="27">
        <f t="shared" si="393"/>
        <v>15.677946241783271</v>
      </c>
      <c r="X1228" s="27">
        <f t="shared" si="393"/>
        <v>15.724503798989753</v>
      </c>
      <c r="Y1228" s="27">
        <f t="shared" si="393"/>
        <v>15.768451676063824</v>
      </c>
      <c r="Z1228" s="27">
        <f t="shared" si="393"/>
        <v>15.809996509627668</v>
      </c>
      <c r="AA1228" s="27">
        <f t="shared" si="393"/>
        <v>15.849159564668597</v>
      </c>
      <c r="AB1228" s="27">
        <f t="shared" si="393"/>
        <v>15.886751198222623</v>
      </c>
      <c r="AC1228" s="27">
        <f t="shared" si="393"/>
        <v>15.923335433500936</v>
      </c>
      <c r="AD1228" s="27">
        <f t="shared" si="393"/>
        <v>15.958613587829067</v>
      </c>
      <c r="AE1228" s="27">
        <f t="shared" si="393"/>
        <v>15.993115538730159</v>
      </c>
      <c r="AF1228" s="27">
        <f t="shared" si="393"/>
        <v>16.026773849205178</v>
      </c>
      <c r="AG1228" s="27">
        <f t="shared" si="393"/>
        <v>16.059358210664367</v>
      </c>
      <c r="AH1228" s="27">
        <f t="shared" si="393"/>
        <v>16.091045965246145</v>
      </c>
      <c r="AI1228" s="27">
        <f t="shared" si="393"/>
        <v>16.121901844149729</v>
      </c>
      <c r="AJ1228" s="27">
        <f t="shared" si="393"/>
        <v>16.152061326115707</v>
      </c>
      <c r="AK1228" s="27">
        <f t="shared" si="393"/>
        <v>16.180589301116473</v>
      </c>
      <c r="AL1228" s="27">
        <f t="shared" si="393"/>
        <v>16.207479025870157</v>
      </c>
      <c r="AM1228" s="27">
        <f t="shared" si="393"/>
        <v>16.233026710727977</v>
      </c>
      <c r="AN1228" s="27">
        <f t="shared" si="393"/>
        <v>16.257041914334369</v>
      </c>
      <c r="AO1228" s="27">
        <f t="shared" si="393"/>
        <v>16.279596122288691</v>
      </c>
      <c r="AP1228" s="27">
        <f t="shared" si="393"/>
        <v>16.300596548995752</v>
      </c>
      <c r="AQ1228" s="27">
        <f t="shared" si="393"/>
        <v>16.31971904310852</v>
      </c>
      <c r="AR1228" s="27">
        <f t="shared" si="393"/>
        <v>16.336665838044137</v>
      </c>
      <c r="AS1228" s="27">
        <f t="shared" si="393"/>
        <v>16.351438090046905</v>
      </c>
      <c r="AT1228" s="27">
        <f t="shared" si="393"/>
        <v>16.363914421549605</v>
      </c>
      <c r="AU1228" s="27">
        <f t="shared" si="393"/>
        <v>16.374107486259209</v>
      </c>
      <c r="AV1228" s="27">
        <f t="shared" si="393"/>
        <v>16.382312930249284</v>
      </c>
      <c r="AW1228" s="27">
        <f t="shared" si="393"/>
        <v>16.386910096993194</v>
      </c>
      <c r="AY1228" s="79"/>
      <c r="AZ1228" s="79"/>
    </row>
    <row r="1229" spans="1:52" x14ac:dyDescent="0.25">
      <c r="A1229" s="95" t="str">
        <f t="shared" si="384"/>
        <v>FSFAGSPQNIBDDSCM Goats</v>
      </c>
      <c r="B1229" s="95" t="s">
        <v>1374</v>
      </c>
      <c r="C1229" s="95" t="s">
        <v>153</v>
      </c>
      <c r="D1229" t="s">
        <v>15</v>
      </c>
      <c r="E1229" t="s">
        <v>16</v>
      </c>
      <c r="F1229" t="s">
        <v>19</v>
      </c>
      <c r="G1229" t="s">
        <v>123</v>
      </c>
      <c r="H1229" t="s">
        <v>1019</v>
      </c>
      <c r="I1229" t="s">
        <v>121</v>
      </c>
      <c r="J1229" t="s">
        <v>286</v>
      </c>
      <c r="K1229" s="27">
        <f t="shared" ref="K1229:AW1229" si="394">IFERROR(K1388-((K1388-K13)+(K1388-K166)+(K1388-K319)+(K1388-K471)+(K1388-K623)+(K1388-K774)+(K1388-K925)+(K1388-K1076)),0)</f>
        <v>22.381101687842737</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23.100753199022172</v>
      </c>
      <c r="T1229" s="27">
        <f t="shared" si="394"/>
        <v>23.140463415909274</v>
      </c>
      <c r="U1229" s="27">
        <f t="shared" si="394"/>
        <v>23.144316836934628</v>
      </c>
      <c r="V1229" s="27">
        <f t="shared" si="394"/>
        <v>23.154911286758789</v>
      </c>
      <c r="W1229" s="27">
        <f t="shared" si="394"/>
        <v>23.201752230324114</v>
      </c>
      <c r="X1229" s="27">
        <f t="shared" si="394"/>
        <v>23.270652639223016</v>
      </c>
      <c r="Y1229" s="27">
        <f t="shared" si="394"/>
        <v>23.335690989220911</v>
      </c>
      <c r="Z1229" s="27">
        <f t="shared" si="394"/>
        <v>23.397173081322329</v>
      </c>
      <c r="AA1229" s="27">
        <f t="shared" si="394"/>
        <v>23.455130385527173</v>
      </c>
      <c r="AB1229" s="27">
        <f t="shared" si="394"/>
        <v>23.510762147124183</v>
      </c>
      <c r="AC1229" s="27">
        <f t="shared" si="394"/>
        <v>23.564903062609726</v>
      </c>
      <c r="AD1229" s="27">
        <f t="shared" si="394"/>
        <v>23.617111112263775</v>
      </c>
      <c r="AE1229" s="27">
        <f t="shared" si="394"/>
        <v>23.668170460466953</v>
      </c>
      <c r="AF1229" s="27">
        <f t="shared" si="394"/>
        <v>23.717981307378224</v>
      </c>
      <c r="AG1229" s="27">
        <f t="shared" si="394"/>
        <v>23.766202819909285</v>
      </c>
      <c r="AH1229" s="27">
        <f t="shared" si="394"/>
        <v>23.813097446233641</v>
      </c>
      <c r="AI1229" s="27">
        <f t="shared" si="394"/>
        <v>23.858760981886149</v>
      </c>
      <c r="AJ1229" s="27">
        <f t="shared" si="394"/>
        <v>23.903393921505796</v>
      </c>
      <c r="AK1229" s="27">
        <f t="shared" si="394"/>
        <v>23.94561239817315</v>
      </c>
      <c r="AL1229" s="27">
        <f t="shared" si="394"/>
        <v>23.985406432522741</v>
      </c>
      <c r="AM1229" s="27">
        <f t="shared" si="394"/>
        <v>24.023214385489801</v>
      </c>
      <c r="AN1229" s="27">
        <f t="shared" si="394"/>
        <v>24.058754423403148</v>
      </c>
      <c r="AO1229" s="27">
        <f t="shared" si="394"/>
        <v>24.092132337616977</v>
      </c>
      <c r="AP1229" s="27">
        <f t="shared" si="394"/>
        <v>24.123210814968164</v>
      </c>
      <c r="AQ1229" s="27">
        <f t="shared" si="394"/>
        <v>24.151510144713775</v>
      </c>
      <c r="AR1229" s="27">
        <f t="shared" si="394"/>
        <v>24.176589662855413</v>
      </c>
      <c r="AS1229" s="27">
        <f t="shared" si="394"/>
        <v>24.198451080516016</v>
      </c>
      <c r="AT1229" s="27">
        <f t="shared" si="394"/>
        <v>24.21691477134674</v>
      </c>
      <c r="AU1229" s="27">
        <f t="shared" si="394"/>
        <v>24.231999461535917</v>
      </c>
      <c r="AV1229" s="27">
        <f t="shared" si="394"/>
        <v>24.244142676945735</v>
      </c>
      <c r="AW1229" s="27">
        <f t="shared" si="394"/>
        <v>24.250946012159979</v>
      </c>
      <c r="AY1229" s="79"/>
      <c r="AZ1229" s="79"/>
    </row>
    <row r="1230" spans="1:52" x14ac:dyDescent="0.25">
      <c r="A1230" s="95" t="str">
        <f t="shared" si="384"/>
        <v>FSFAGSPQNIBDDSCM Horses</v>
      </c>
      <c r="B1230" s="95" t="s">
        <v>1374</v>
      </c>
      <c r="C1230" s="95" t="s">
        <v>3</v>
      </c>
      <c r="D1230" t="s">
        <v>15</v>
      </c>
      <c r="E1230" t="s">
        <v>16</v>
      </c>
      <c r="F1230" t="s">
        <v>20</v>
      </c>
      <c r="G1230" t="s">
        <v>3</v>
      </c>
      <c r="H1230" t="s">
        <v>1019</v>
      </c>
      <c r="I1230" t="s">
        <v>121</v>
      </c>
      <c r="J1230" t="s">
        <v>286</v>
      </c>
      <c r="K1230" s="27">
        <f t="shared" ref="K1230:AW1230" si="395">IFERROR(K1389-((K1389-K14)+(K1389-K167)+(K1389-K320)+(K1389-K472)+(K1389-K624)+(K1389-K775)+(K1389-K926)+(K1389-K1077)),0)</f>
        <v>5.5526214800767892</v>
      </c>
      <c r="L1230" s="27">
        <f t="shared" si="395"/>
        <v>5.579523571019652</v>
      </c>
      <c r="M1230" s="27">
        <f t="shared" si="395"/>
        <v>5.6203482259438013</v>
      </c>
      <c r="N1230" s="27">
        <f t="shared" si="395"/>
        <v>5.629075655008374</v>
      </c>
      <c r="O1230" s="27">
        <f t="shared" si="395"/>
        <v>5.6165815405282276</v>
      </c>
      <c r="P1230" s="27">
        <f t="shared" si="395"/>
        <v>5.5833231296706103</v>
      </c>
      <c r="Q1230" s="27">
        <f t="shared" si="395"/>
        <v>5.5648827699457346</v>
      </c>
      <c r="R1230" s="27">
        <f t="shared" si="395"/>
        <v>5.5483103177944031</v>
      </c>
      <c r="S1230" s="27">
        <f t="shared" si="395"/>
        <v>5.2971852508905934</v>
      </c>
      <c r="T1230" s="27">
        <f t="shared" si="395"/>
        <v>5.4545032105207021</v>
      </c>
      <c r="U1230" s="27">
        <f t="shared" si="395"/>
        <v>5.5329638064801401</v>
      </c>
      <c r="V1230" s="27">
        <f t="shared" si="395"/>
        <v>5.544813640469159</v>
      </c>
      <c r="W1230" s="27">
        <f t="shared" si="395"/>
        <v>5.5552394312209037</v>
      </c>
      <c r="X1230" s="27">
        <f t="shared" si="395"/>
        <v>5.5805371243140618</v>
      </c>
      <c r="Y1230" s="27">
        <f t="shared" si="395"/>
        <v>5.6237182797404808</v>
      </c>
      <c r="Z1230" s="27">
        <f t="shared" si="395"/>
        <v>5.6758191216830927</v>
      </c>
      <c r="AA1230" s="27">
        <f t="shared" si="395"/>
        <v>5.7392036522982304</v>
      </c>
      <c r="AB1230" s="27">
        <f t="shared" si="395"/>
        <v>5.8209863133515896</v>
      </c>
      <c r="AC1230" s="27">
        <f t="shared" si="395"/>
        <v>5.9200988769206573</v>
      </c>
      <c r="AD1230" s="27">
        <f t="shared" si="395"/>
        <v>6.0298529321871719</v>
      </c>
      <c r="AE1230" s="27">
        <f t="shared" si="395"/>
        <v>6.1497995952254207</v>
      </c>
      <c r="AF1230" s="27">
        <f t="shared" si="395"/>
        <v>6.2762315807434783</v>
      </c>
      <c r="AG1230" s="27">
        <f t="shared" si="395"/>
        <v>6.4109152413607369</v>
      </c>
      <c r="AH1230" s="27">
        <f t="shared" si="395"/>
        <v>6.552086974601302</v>
      </c>
      <c r="AI1230" s="27">
        <f t="shared" si="395"/>
        <v>6.6933077398392395</v>
      </c>
      <c r="AJ1230" s="27">
        <f t="shared" si="395"/>
        <v>6.8438679121481307</v>
      </c>
      <c r="AK1230" s="27">
        <f t="shared" si="395"/>
        <v>6.9980784680830306</v>
      </c>
      <c r="AL1230" s="27">
        <f t="shared" si="395"/>
        <v>7.1555200224058177</v>
      </c>
      <c r="AM1230" s="27">
        <f t="shared" si="395"/>
        <v>7.3189945558292679</v>
      </c>
      <c r="AN1230" s="27">
        <f t="shared" si="395"/>
        <v>7.4816205294730294</v>
      </c>
      <c r="AO1230" s="27">
        <f t="shared" si="395"/>
        <v>7.6530966093944661</v>
      </c>
      <c r="AP1230" s="27">
        <f t="shared" si="395"/>
        <v>7.8370750081366163</v>
      </c>
      <c r="AQ1230" s="27">
        <f t="shared" si="395"/>
        <v>8.0278701064246079</v>
      </c>
      <c r="AR1230" s="27">
        <f t="shared" si="395"/>
        <v>8.2260903165664789</v>
      </c>
      <c r="AS1230" s="27">
        <f t="shared" si="395"/>
        <v>8.4385648916420113</v>
      </c>
      <c r="AT1230" s="27">
        <f t="shared" si="395"/>
        <v>8.6634503637197486</v>
      </c>
      <c r="AU1230" s="27">
        <f t="shared" si="395"/>
        <v>8.8995458740132776</v>
      </c>
      <c r="AV1230" s="27">
        <f t="shared" si="395"/>
        <v>9.151348341874078</v>
      </c>
      <c r="AW1230" s="27">
        <f t="shared" si="395"/>
        <v>9.3946927055732683</v>
      </c>
      <c r="AY1230" s="79"/>
      <c r="AZ1230" s="79"/>
    </row>
    <row r="1231" spans="1:52" x14ac:dyDescent="0.25">
      <c r="A1231" s="95" t="str">
        <f t="shared" si="384"/>
        <v>FSFAGSPQNIBDDSCM Mules&amp;Asses</v>
      </c>
      <c r="B1231" s="95" t="s">
        <v>1374</v>
      </c>
      <c r="C1231" s="95" t="s">
        <v>1322</v>
      </c>
      <c r="D1231" t="s">
        <v>15</v>
      </c>
      <c r="E1231" t="s">
        <v>16</v>
      </c>
      <c r="F1231" t="s">
        <v>140</v>
      </c>
      <c r="G1231" t="s">
        <v>124</v>
      </c>
      <c r="H1231" t="s">
        <v>1019</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5">
      <c r="A1232" s="95" t="str">
        <f t="shared" si="384"/>
        <v>FSFAGSPQNIBDDSCM Swine</v>
      </c>
      <c r="B1232" s="95" t="s">
        <v>1374</v>
      </c>
      <c r="C1232" s="95" t="s">
        <v>155</v>
      </c>
      <c r="D1232" t="s">
        <v>15</v>
      </c>
      <c r="E1232" t="s">
        <v>16</v>
      </c>
      <c r="F1232" t="s">
        <v>21</v>
      </c>
      <c r="G1232" t="s">
        <v>122</v>
      </c>
      <c r="H1232" t="s">
        <v>1019</v>
      </c>
      <c r="I1232" t="s">
        <v>121</v>
      </c>
      <c r="J1232" t="s">
        <v>286</v>
      </c>
      <c r="K1232" s="27">
        <f t="shared" ref="K1232:AW1232" si="397">IFERROR(K1391-((K1391-K16)+(K1391-K169)+(K1391-K322)+(K1391-K474)+(K1391-K626)+(K1391-K777)+(K1391-K928)+(K1391-K1079)),0)</f>
        <v>1.8400999552016302</v>
      </c>
      <c r="L1232" s="27">
        <f t="shared" si="397"/>
        <v>1.8300977880312248</v>
      </c>
      <c r="M1232" s="27">
        <f t="shared" si="397"/>
        <v>1.8309187348828144</v>
      </c>
      <c r="N1232" s="27">
        <f t="shared" si="397"/>
        <v>1.8141094978660446</v>
      </c>
      <c r="O1232" s="27">
        <f t="shared" si="397"/>
        <v>1.7866561368117291</v>
      </c>
      <c r="P1232" s="27">
        <f t="shared" si="397"/>
        <v>1.7489975228040082</v>
      </c>
      <c r="Q1232" s="27">
        <f t="shared" si="397"/>
        <v>1.7216531928010093</v>
      </c>
      <c r="R1232" s="27">
        <f t="shared" si="397"/>
        <v>1.6967284692901876</v>
      </c>
      <c r="S1232" s="27">
        <f t="shared" si="397"/>
        <v>1.524204734718916</v>
      </c>
      <c r="T1232" s="27">
        <f t="shared" si="397"/>
        <v>1.593081714161948</v>
      </c>
      <c r="U1232" s="27">
        <f t="shared" si="397"/>
        <v>1.6139052959558671</v>
      </c>
      <c r="V1232" s="27">
        <f t="shared" si="397"/>
        <v>1.5979776175047269</v>
      </c>
      <c r="W1232" s="27">
        <f t="shared" si="397"/>
        <v>1.5839693089985563</v>
      </c>
      <c r="X1232" s="27">
        <f t="shared" si="397"/>
        <v>1.5796400354975273</v>
      </c>
      <c r="Y1232" s="27">
        <f t="shared" si="397"/>
        <v>1.5846136319816619</v>
      </c>
      <c r="Z1232" s="27">
        <f t="shared" si="397"/>
        <v>1.5938774465709915</v>
      </c>
      <c r="AA1232" s="27">
        <f t="shared" si="397"/>
        <v>1.6084883569821753</v>
      </c>
      <c r="AB1232" s="27">
        <f t="shared" si="397"/>
        <v>1.6319593485428836</v>
      </c>
      <c r="AC1232" s="27">
        <f t="shared" si="397"/>
        <v>1.6634709540368702</v>
      </c>
      <c r="AD1232" s="27">
        <f t="shared" si="397"/>
        <v>1.6993359016898217</v>
      </c>
      <c r="AE1232" s="27">
        <f t="shared" si="397"/>
        <v>1.7391981590716521</v>
      </c>
      <c r="AF1232" s="27">
        <f t="shared" si="397"/>
        <v>1.7810637998476497</v>
      </c>
      <c r="AG1232" s="27">
        <f t="shared" si="397"/>
        <v>1.8256518272462501</v>
      </c>
      <c r="AH1232" s="27">
        <f t="shared" si="397"/>
        <v>1.8720011956576361</v>
      </c>
      <c r="AI1232" s="27">
        <f t="shared" si="397"/>
        <v>1.9169799867438404</v>
      </c>
      <c r="AJ1232" s="27">
        <f t="shared" si="397"/>
        <v>1.9649335737465348</v>
      </c>
      <c r="AK1232" s="27">
        <f t="shared" si="397"/>
        <v>2.0129828074709066</v>
      </c>
      <c r="AL1232" s="27">
        <f t="shared" si="397"/>
        <v>2.0608754146421031</v>
      </c>
      <c r="AM1232" s="27">
        <f t="shared" si="397"/>
        <v>2.1098506270361996</v>
      </c>
      <c r="AN1232" s="27">
        <f t="shared" si="397"/>
        <v>2.1567413105664199</v>
      </c>
      <c r="AO1232" s="27">
        <f t="shared" si="397"/>
        <v>2.2058096743065145</v>
      </c>
      <c r="AP1232" s="27">
        <f t="shared" si="397"/>
        <v>2.258470217432818</v>
      </c>
      <c r="AQ1232" s="27">
        <f t="shared" si="397"/>
        <v>2.3120510725576544</v>
      </c>
      <c r="AR1232" s="27">
        <f t="shared" si="397"/>
        <v>2.3666507440832505</v>
      </c>
      <c r="AS1232" s="27">
        <f t="shared" si="397"/>
        <v>2.4249672048017872</v>
      </c>
      <c r="AT1232" s="27">
        <f t="shared" si="397"/>
        <v>2.4859852344978988</v>
      </c>
      <c r="AU1232" s="27">
        <f t="shared" si="397"/>
        <v>2.5490093093778539</v>
      </c>
      <c r="AV1232" s="27">
        <f t="shared" si="397"/>
        <v>2.6156743076501083</v>
      </c>
      <c r="AW1232" s="27">
        <f t="shared" si="397"/>
        <v>2.6760181986485878</v>
      </c>
      <c r="AY1232" s="79"/>
      <c r="AZ1232" s="79"/>
    </row>
    <row r="1233" spans="1:52" x14ac:dyDescent="0.25">
      <c r="A1233" s="95" t="str">
        <f t="shared" si="384"/>
        <v>FSFAGSPQNIBDDSCM Swine</v>
      </c>
      <c r="B1233" s="95" t="s">
        <v>1374</v>
      </c>
      <c r="C1233" s="95" t="s">
        <v>155</v>
      </c>
      <c r="D1233" t="s">
        <v>15</v>
      </c>
      <c r="E1233" t="s">
        <v>16</v>
      </c>
      <c r="F1233" t="s">
        <v>21</v>
      </c>
      <c r="G1233" t="s">
        <v>123</v>
      </c>
      <c r="H1233" t="s">
        <v>1019</v>
      </c>
      <c r="I1233" t="s">
        <v>121</v>
      </c>
      <c r="J1233" t="s">
        <v>286</v>
      </c>
      <c r="K1233" s="27">
        <f t="shared" ref="K1233:AW1233" si="398">IFERROR(K1392-((K1392-K17)+(K1392-K170)+(K1392-K323)+(K1392-K475)+(K1392-K627)+(K1392-K778)+(K1392-K929)+(K1392-K1080)),0)</f>
        <v>0.25496723934882604</v>
      </c>
      <c r="L1233" s="27">
        <f t="shared" si="398"/>
        <v>0.25358132281546891</v>
      </c>
      <c r="M1233" s="27">
        <f t="shared" si="398"/>
        <v>0.25369507454499329</v>
      </c>
      <c r="N1233" s="27">
        <f t="shared" si="398"/>
        <v>0.25136595935447836</v>
      </c>
      <c r="O1233" s="27">
        <f t="shared" si="398"/>
        <v>0.24756197704412694</v>
      </c>
      <c r="P1233" s="27">
        <f t="shared" si="398"/>
        <v>0.24234393830437845</v>
      </c>
      <c r="Q1233" s="27">
        <f t="shared" si="398"/>
        <v>0.23855506351363698</v>
      </c>
      <c r="R1233" s="27">
        <f t="shared" si="398"/>
        <v>0.2351014533295149</v>
      </c>
      <c r="S1233" s="27">
        <f t="shared" si="398"/>
        <v>0.21119628437309981</v>
      </c>
      <c r="T1233" s="27">
        <f t="shared" si="398"/>
        <v>0.22073999054712201</v>
      </c>
      <c r="U1233" s="27">
        <f t="shared" si="398"/>
        <v>0.22362533987194619</v>
      </c>
      <c r="V1233" s="27">
        <f t="shared" si="398"/>
        <v>0.22141837486852711</v>
      </c>
      <c r="W1233" s="27">
        <f t="shared" si="398"/>
        <v>0.21947736088302675</v>
      </c>
      <c r="X1233" s="27">
        <f t="shared" si="398"/>
        <v>0.2188774897130813</v>
      </c>
      <c r="Y1233" s="27">
        <f t="shared" si="398"/>
        <v>0.21956663932237841</v>
      </c>
      <c r="Z1233" s="27">
        <f t="shared" si="398"/>
        <v>0.22085024852252202</v>
      </c>
      <c r="AA1233" s="27">
        <f t="shared" si="398"/>
        <v>0.22287476000701054</v>
      </c>
      <c r="AB1233" s="27">
        <f t="shared" si="398"/>
        <v>0.22612693873028961</v>
      </c>
      <c r="AC1233" s="27">
        <f t="shared" si="398"/>
        <v>0.23049323798351176</v>
      </c>
      <c r="AD1233" s="27">
        <f t="shared" si="398"/>
        <v>0.23546274339902665</v>
      </c>
      <c r="AE1233" s="27">
        <f t="shared" si="398"/>
        <v>0.24098612254488616</v>
      </c>
      <c r="AF1233" s="27">
        <f t="shared" si="398"/>
        <v>0.24678709374867933</v>
      </c>
      <c r="AG1233" s="27">
        <f t="shared" si="398"/>
        <v>0.25296528326588152</v>
      </c>
      <c r="AH1233" s="27">
        <f t="shared" si="398"/>
        <v>0.25938752705541407</v>
      </c>
      <c r="AI1233" s="27">
        <f t="shared" si="398"/>
        <v>0.26561986142403288</v>
      </c>
      <c r="AJ1233" s="27">
        <f t="shared" si="398"/>
        <v>0.27226438834790373</v>
      </c>
      <c r="AK1233" s="27">
        <f t="shared" si="398"/>
        <v>0.27892216823692451</v>
      </c>
      <c r="AL1233" s="27">
        <f t="shared" si="398"/>
        <v>0.28555824569627086</v>
      </c>
      <c r="AM1233" s="27">
        <f t="shared" si="398"/>
        <v>0.29234433069417909</v>
      </c>
      <c r="AN1233" s="27">
        <f t="shared" si="398"/>
        <v>0.298841579986036</v>
      </c>
      <c r="AO1233" s="27">
        <f t="shared" si="398"/>
        <v>0.30564057218578583</v>
      </c>
      <c r="AP1233" s="27">
        <f t="shared" si="398"/>
        <v>0.3129373025973966</v>
      </c>
      <c r="AQ1233" s="27">
        <f t="shared" si="398"/>
        <v>0.32036155293472796</v>
      </c>
      <c r="AR1233" s="27">
        <f t="shared" si="398"/>
        <v>0.32792697212778937</v>
      </c>
      <c r="AS1233" s="27">
        <f t="shared" si="398"/>
        <v>0.33600739566998233</v>
      </c>
      <c r="AT1233" s="27">
        <f t="shared" si="398"/>
        <v>0.34446215299886757</v>
      </c>
      <c r="AU1233" s="27">
        <f t="shared" si="398"/>
        <v>0.35319487120758841</v>
      </c>
      <c r="AV1233" s="27">
        <f t="shared" si="398"/>
        <v>0.3624320816768471</v>
      </c>
      <c r="AW1233" s="27">
        <f t="shared" si="398"/>
        <v>0.37079342925253511</v>
      </c>
      <c r="AY1233" s="79"/>
      <c r="AZ1233" s="79"/>
    </row>
    <row r="1234" spans="1:52" x14ac:dyDescent="0.25">
      <c r="A1234" s="95" t="str">
        <f t="shared" si="384"/>
        <v>FSFAGSPQNIBDDSCM Cattle MMCH4</v>
      </c>
      <c r="B1234" s="95" t="s">
        <v>1374</v>
      </c>
      <c r="C1234" s="95" t="s">
        <v>1228</v>
      </c>
      <c r="D1234" t="s">
        <v>15</v>
      </c>
      <c r="E1234" t="s">
        <v>22</v>
      </c>
      <c r="F1234" t="s">
        <v>6</v>
      </c>
      <c r="G1234" t="s">
        <v>136</v>
      </c>
      <c r="H1234" t="s">
        <v>1226</v>
      </c>
      <c r="I1234" t="s">
        <v>121</v>
      </c>
      <c r="J1234" t="s">
        <v>286</v>
      </c>
      <c r="K1234" s="27">
        <f t="shared" ref="K1234:AW1234" si="399">IFERROR(K1393-((K1393-K18)+(K1393-K171)+(K1393-K324)+(K1393-K476)+(K1393-K628)+(K1393-K779)+(K1393-K930)+(K1393-K1081)),0)</f>
        <v>7.351330651107908</v>
      </c>
      <c r="L1234" s="27">
        <f t="shared" si="399"/>
        <v>7.3924283487896005</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7.5825135825669054</v>
      </c>
      <c r="S1234" s="27">
        <f t="shared" si="399"/>
        <v>7.3635054789242087</v>
      </c>
      <c r="T1234" s="27">
        <f t="shared" si="399"/>
        <v>7.5119983216779529</v>
      </c>
      <c r="U1234" s="27">
        <f t="shared" si="399"/>
        <v>7.5857115422581893</v>
      </c>
      <c r="V1234" s="27">
        <f t="shared" si="399"/>
        <v>7.6049624433961522</v>
      </c>
      <c r="W1234" s="27">
        <f t="shared" si="399"/>
        <v>7.6323349638068887</v>
      </c>
      <c r="X1234" s="27">
        <f t="shared" si="399"/>
        <v>7.6782662594179314</v>
      </c>
      <c r="Y1234" s="27">
        <f t="shared" si="399"/>
        <v>7.7389431173667962</v>
      </c>
      <c r="Z1234" s="27">
        <f t="shared" si="399"/>
        <v>7.8068776236096697</v>
      </c>
      <c r="AA1234" s="27">
        <f t="shared" si="399"/>
        <v>7.88420933428013</v>
      </c>
      <c r="AB1234" s="27">
        <f t="shared" si="399"/>
        <v>7.9775686845364202</v>
      </c>
      <c r="AC1234" s="27">
        <f t="shared" si="399"/>
        <v>8.0864133355409642</v>
      </c>
      <c r="AD1234" s="27">
        <f t="shared" si="399"/>
        <v>8.2048813891102359</v>
      </c>
      <c r="AE1234" s="27">
        <f t="shared" si="399"/>
        <v>8.3328657755649527</v>
      </c>
      <c r="AF1234" s="27">
        <f t="shared" si="399"/>
        <v>8.4671187588996872</v>
      </c>
      <c r="AG1234" s="27">
        <f t="shared" si="399"/>
        <v>8.6091419335499069</v>
      </c>
      <c r="AH1234" s="27">
        <f t="shared" si="399"/>
        <v>8.7574749892645496</v>
      </c>
      <c r="AI1234" s="27">
        <f t="shared" si="399"/>
        <v>8.9064020314048324</v>
      </c>
      <c r="AJ1234" s="27">
        <f t="shared" si="399"/>
        <v>9.0642998358305835</v>
      </c>
      <c r="AK1234" s="27">
        <f t="shared" si="399"/>
        <v>9.2256487767776196</v>
      </c>
      <c r="AL1234" s="27">
        <f t="shared" si="399"/>
        <v>9.3900384918162416</v>
      </c>
      <c r="AM1234" s="27">
        <f t="shared" si="399"/>
        <v>9.5601174973828691</v>
      </c>
      <c r="AN1234" s="27">
        <f t="shared" si="399"/>
        <v>9.7295365069027504</v>
      </c>
      <c r="AO1234" s="27">
        <f t="shared" si="399"/>
        <v>9.9070935852539623</v>
      </c>
      <c r="AP1234" s="27">
        <f t="shared" si="399"/>
        <v>10.096066907799957</v>
      </c>
      <c r="AQ1234" s="27">
        <f t="shared" si="399"/>
        <v>10.291098999348057</v>
      </c>
      <c r="AR1234" s="27">
        <f t="shared" si="399"/>
        <v>10.492542704095264</v>
      </c>
      <c r="AS1234" s="27">
        <f t="shared" si="399"/>
        <v>10.706596925892969</v>
      </c>
      <c r="AT1234" s="27">
        <f t="shared" si="399"/>
        <v>10.931461457010631</v>
      </c>
      <c r="AU1234" s="27">
        <f t="shared" si="399"/>
        <v>11.165976151570428</v>
      </c>
      <c r="AV1234" s="27">
        <f t="shared" si="399"/>
        <v>11.414366787540366</v>
      </c>
      <c r="AW1234" s="27">
        <f t="shared" si="399"/>
        <v>11.653364369886001</v>
      </c>
      <c r="AY1234" s="79"/>
      <c r="AZ1234" s="79"/>
    </row>
    <row r="1235" spans="1:52" x14ac:dyDescent="0.25">
      <c r="A1235" s="95" t="str">
        <f t="shared" si="384"/>
        <v>FSFAGSPQNIBDDSCM Cattle MMCH4</v>
      </c>
      <c r="B1235" s="95" t="s">
        <v>1374</v>
      </c>
      <c r="C1235" s="95" t="s">
        <v>1228</v>
      </c>
      <c r="D1235" t="s">
        <v>15</v>
      </c>
      <c r="E1235" t="s">
        <v>22</v>
      </c>
      <c r="F1235" t="s">
        <v>6</v>
      </c>
      <c r="G1235" t="s">
        <v>137</v>
      </c>
      <c r="H1235" t="s">
        <v>1226</v>
      </c>
      <c r="I1235" t="s">
        <v>121</v>
      </c>
      <c r="J1235" t="s">
        <v>286</v>
      </c>
      <c r="K1235" s="27">
        <f t="shared" ref="K1235:AW1235" si="400">IFERROR(K1394-((K1394-K19)+(K1394-K172)+(K1394-K325)+(K1394-K477)+(K1394-K629)+(K1394-K780)+(K1394-K931)+(K1394-K1082)),0)</f>
        <v>2.0944490884992821</v>
      </c>
      <c r="L1235" s="27">
        <f t="shared" si="400"/>
        <v>2.1061581299686476</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2.1603148348588097</v>
      </c>
      <c r="S1235" s="27">
        <f t="shared" si="400"/>
        <v>2.0979177880086217</v>
      </c>
      <c r="T1235" s="27">
        <f t="shared" si="400"/>
        <v>2.1402245095961443</v>
      </c>
      <c r="U1235" s="27">
        <f t="shared" si="400"/>
        <v>2.1612259574947443</v>
      </c>
      <c r="V1235" s="27">
        <f t="shared" si="400"/>
        <v>2.1667106832205718</v>
      </c>
      <c r="W1235" s="27">
        <f t="shared" si="400"/>
        <v>2.1745093190247649</v>
      </c>
      <c r="X1235" s="27">
        <f t="shared" si="400"/>
        <v>2.1875954886982294</v>
      </c>
      <c r="Y1235" s="27">
        <f t="shared" si="400"/>
        <v>2.2048827793746253</v>
      </c>
      <c r="Z1235" s="27">
        <f t="shared" si="400"/>
        <v>2.224237828335264</v>
      </c>
      <c r="AA1235" s="27">
        <f t="shared" si="400"/>
        <v>2.2462702111259123</v>
      </c>
      <c r="AB1235" s="27">
        <f t="shared" si="400"/>
        <v>2.2728689883170463</v>
      </c>
      <c r="AC1235" s="27">
        <f t="shared" si="400"/>
        <v>2.3038796435172904</v>
      </c>
      <c r="AD1235" s="27">
        <f t="shared" si="400"/>
        <v>2.3376320780887165</v>
      </c>
      <c r="AE1235" s="27">
        <f t="shared" si="400"/>
        <v>2.3740957870788466</v>
      </c>
      <c r="AF1235" s="27">
        <f t="shared" si="400"/>
        <v>2.4123454662075314</v>
      </c>
      <c r="AG1235" s="27">
        <f t="shared" si="400"/>
        <v>2.4528089309609635</v>
      </c>
      <c r="AH1235" s="27">
        <f t="shared" si="400"/>
        <v>2.495070128025882</v>
      </c>
      <c r="AI1235" s="27">
        <f t="shared" si="400"/>
        <v>2.537500556266326</v>
      </c>
      <c r="AJ1235" s="27">
        <f t="shared" si="400"/>
        <v>2.5824868217808161</v>
      </c>
      <c r="AK1235" s="27">
        <f t="shared" si="400"/>
        <v>2.6284563419038043</v>
      </c>
      <c r="AL1235" s="27">
        <f t="shared" si="400"/>
        <v>2.6752922013096669</v>
      </c>
      <c r="AM1235" s="27">
        <f t="shared" si="400"/>
        <v>2.7237489821413385</v>
      </c>
      <c r="AN1235" s="27">
        <f t="shared" si="400"/>
        <v>2.772017725162697</v>
      </c>
      <c r="AO1235" s="27">
        <f t="shared" si="400"/>
        <v>2.8226050648646934</v>
      </c>
      <c r="AP1235" s="27">
        <f t="shared" si="400"/>
        <v>2.8764449779282546</v>
      </c>
      <c r="AQ1235" s="27">
        <f t="shared" si="400"/>
        <v>2.9320110795984959</v>
      </c>
      <c r="AR1235" s="27">
        <f t="shared" si="400"/>
        <v>2.989403897826326</v>
      </c>
      <c r="AS1235" s="27">
        <f t="shared" si="400"/>
        <v>3.0503895466851563</v>
      </c>
      <c r="AT1235" s="27">
        <f t="shared" si="400"/>
        <v>3.1144551335274819</v>
      </c>
      <c r="AU1235" s="27">
        <f t="shared" si="400"/>
        <v>3.1812701241151289</v>
      </c>
      <c r="AV1235" s="27">
        <f t="shared" si="400"/>
        <v>3.2520384741988773</v>
      </c>
      <c r="AW1235" s="27">
        <f t="shared" si="400"/>
        <v>3.3201306730475184</v>
      </c>
      <c r="AY1235" s="79"/>
      <c r="AZ1235" s="79"/>
    </row>
    <row r="1236" spans="1:52" x14ac:dyDescent="0.25">
      <c r="A1236" s="95" t="str">
        <f t="shared" si="384"/>
        <v>FSFAGSPQNIBDDSCM Cattle MMCH4</v>
      </c>
      <c r="B1236" s="95" t="s">
        <v>1374</v>
      </c>
      <c r="C1236" s="95" t="s">
        <v>1228</v>
      </c>
      <c r="D1236" t="s">
        <v>15</v>
      </c>
      <c r="E1236" t="s">
        <v>22</v>
      </c>
      <c r="F1236" t="s">
        <v>67</v>
      </c>
      <c r="G1236" t="s">
        <v>307</v>
      </c>
      <c r="H1236" t="s">
        <v>1226</v>
      </c>
      <c r="I1236" t="s">
        <v>121</v>
      </c>
      <c r="J1236" t="s">
        <v>286</v>
      </c>
      <c r="K1236" s="27">
        <f t="shared" ref="K1236:AW1236" si="401">IFERROR(K1395-((K1395-K20)+(K1395-K173)+(K1395-K326)+(K1395-K478)+(K1395-K630)+(K1395-K781)+(K1395-K932)+(K1395-K1083)),0)</f>
        <v>0.43258377187145641</v>
      </c>
      <c r="L1236" s="27">
        <f t="shared" si="401"/>
        <v>0.43500213637199753</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0.44618756541973903</v>
      </c>
      <c r="S1236" s="27">
        <f t="shared" si="401"/>
        <v>0.4333001908694058</v>
      </c>
      <c r="T1236" s="27">
        <f t="shared" si="401"/>
        <v>0.44203814554223075</v>
      </c>
      <c r="U1236" s="27">
        <f t="shared" si="401"/>
        <v>0.44637574706075117</v>
      </c>
      <c r="V1236" s="27">
        <f t="shared" si="401"/>
        <v>0.44750855251073168</v>
      </c>
      <c r="W1236" s="27">
        <f t="shared" si="401"/>
        <v>0.44911926881324493</v>
      </c>
      <c r="X1236" s="27">
        <f t="shared" si="401"/>
        <v>0.45182206291207566</v>
      </c>
      <c r="Y1236" s="27">
        <f t="shared" si="401"/>
        <v>0.45539254903527465</v>
      </c>
      <c r="Z1236" s="27">
        <f t="shared" si="401"/>
        <v>0.45939010625933163</v>
      </c>
      <c r="AA1236" s="27">
        <f t="shared" si="401"/>
        <v>0.46394063522813239</v>
      </c>
      <c r="AB1236" s="27">
        <f t="shared" si="401"/>
        <v>0.46943429913607365</v>
      </c>
      <c r="AC1236" s="27">
        <f t="shared" si="401"/>
        <v>0.47583918444380807</v>
      </c>
      <c r="AD1236" s="27">
        <f t="shared" si="401"/>
        <v>0.48281035196319333</v>
      </c>
      <c r="AE1236" s="27">
        <f t="shared" si="401"/>
        <v>0.49034150125585807</v>
      </c>
      <c r="AF1236" s="27">
        <f t="shared" si="401"/>
        <v>0.49824152162933733</v>
      </c>
      <c r="AG1236" s="27">
        <f t="shared" si="401"/>
        <v>0.50659877332962533</v>
      </c>
      <c r="AH1236" s="27">
        <f t="shared" si="401"/>
        <v>0.51532732544890569</v>
      </c>
      <c r="AI1236" s="27">
        <f t="shared" si="401"/>
        <v>0.52409083027275605</v>
      </c>
      <c r="AJ1236" s="27">
        <f t="shared" si="401"/>
        <v>0.53338221315980094</v>
      </c>
      <c r="AK1236" s="27">
        <f t="shared" si="401"/>
        <v>0.54287667569656828</v>
      </c>
      <c r="AL1236" s="27">
        <f t="shared" si="401"/>
        <v>0.55255007040063653</v>
      </c>
      <c r="AM1236" s="27">
        <f t="shared" si="401"/>
        <v>0.56255824731933757</v>
      </c>
      <c r="AN1236" s="27">
        <f t="shared" si="401"/>
        <v>0.57252758724472796</v>
      </c>
      <c r="AO1236" s="27">
        <f t="shared" si="401"/>
        <v>0.58297580598510912</v>
      </c>
      <c r="AP1236" s="27">
        <f t="shared" si="401"/>
        <v>0.59409580541510443</v>
      </c>
      <c r="AQ1236" s="27">
        <f t="shared" si="401"/>
        <v>0.60557232875515321</v>
      </c>
      <c r="AR1236" s="27">
        <f t="shared" si="401"/>
        <v>0.61742613886858821</v>
      </c>
      <c r="AS1236" s="27">
        <f t="shared" si="401"/>
        <v>0.63002200580001311</v>
      </c>
      <c r="AT1236" s="27">
        <f t="shared" si="401"/>
        <v>0.64325399761857238</v>
      </c>
      <c r="AU1236" s="27">
        <f t="shared" si="401"/>
        <v>0.65705384637339226</v>
      </c>
      <c r="AV1236" s="27">
        <f t="shared" si="401"/>
        <v>0.6716702149337197</v>
      </c>
      <c r="AW1236" s="27">
        <f t="shared" si="401"/>
        <v>0.6857338560003412</v>
      </c>
      <c r="AY1236" s="79"/>
      <c r="AZ1236" s="79"/>
    </row>
    <row r="1237" spans="1:52" x14ac:dyDescent="0.25">
      <c r="A1237" s="95" t="str">
        <f t="shared" si="384"/>
        <v>FSFAGSPQNIBDDSCM Cattle MMCH4</v>
      </c>
      <c r="B1237" s="95" t="s">
        <v>1374</v>
      </c>
      <c r="C1237" s="95" t="s">
        <v>1228</v>
      </c>
      <c r="D1237" t="s">
        <v>15</v>
      </c>
      <c r="E1237" t="s">
        <v>22</v>
      </c>
      <c r="F1237" t="s">
        <v>67</v>
      </c>
      <c r="G1237" t="s">
        <v>122</v>
      </c>
      <c r="H1237" t="s">
        <v>1226</v>
      </c>
      <c r="I1237" t="s">
        <v>121</v>
      </c>
      <c r="J1237" t="s">
        <v>286</v>
      </c>
      <c r="K1237" s="27">
        <f t="shared" ref="K1237:AW1237" si="402">IFERROR(K1396-((K1396-K21)+(K1396-K174)+(K1396-K327)+(K1396-K479)+(K1396-K631)+(K1396-K782)+(K1396-K933)+(K1396-K1084)),0)</f>
        <v>9.4871637196006511E-2</v>
      </c>
      <c r="L1237" s="27">
        <f t="shared" si="402"/>
        <v>9.404884578461549E-2</v>
      </c>
      <c r="M1237" s="27">
        <f t="shared" si="402"/>
        <v>9.3735634002294205E-2</v>
      </c>
      <c r="N1237" s="27">
        <f t="shared" si="402"/>
        <v>9.2483917307495084E-2</v>
      </c>
      <c r="O1237" s="27">
        <f t="shared" si="402"/>
        <v>9.0667019955957301E-2</v>
      </c>
      <c r="P1237" s="27">
        <f t="shared" si="402"/>
        <v>8.8322512540543865E-2</v>
      </c>
      <c r="Q1237" s="27">
        <f t="shared" si="402"/>
        <v>8.6473330972337892E-2</v>
      </c>
      <c r="R1237" s="27">
        <f t="shared" si="402"/>
        <v>8.4723794986300283E-2</v>
      </c>
      <c r="S1237" s="27">
        <f t="shared" si="402"/>
        <v>7.5654493606876719E-2</v>
      </c>
      <c r="T1237" s="27">
        <f t="shared" si="402"/>
        <v>7.9271557778310117E-2</v>
      </c>
      <c r="U1237" s="27">
        <f t="shared" si="402"/>
        <v>8.0523786090551941E-2</v>
      </c>
      <c r="V1237" s="27">
        <f t="shared" si="402"/>
        <v>7.9979986949743884E-2</v>
      </c>
      <c r="W1237" s="27">
        <f t="shared" si="402"/>
        <v>7.953764463923213E-2</v>
      </c>
      <c r="X1237" s="27">
        <f t="shared" si="402"/>
        <v>7.9566701648766641E-2</v>
      </c>
      <c r="Y1237" s="27">
        <f t="shared" si="402"/>
        <v>8.0033923406415561E-2</v>
      </c>
      <c r="Z1237" s="27">
        <f t="shared" si="402"/>
        <v>8.0696879014232822E-2</v>
      </c>
      <c r="AA1237" s="27">
        <f t="shared" si="402"/>
        <v>8.1608968762296855E-2</v>
      </c>
      <c r="AB1237" s="27">
        <f t="shared" si="402"/>
        <v>8.294500125938338E-2</v>
      </c>
      <c r="AC1237" s="27">
        <f t="shared" si="402"/>
        <v>8.4667243855728658E-2</v>
      </c>
      <c r="AD1237" s="27">
        <f t="shared" si="402"/>
        <v>8.5867982908629403E-2</v>
      </c>
      <c r="AE1237" s="27">
        <f t="shared" si="402"/>
        <v>8.7210563420463058E-2</v>
      </c>
      <c r="AF1237" s="27">
        <f t="shared" si="402"/>
        <v>8.8593806779096215E-2</v>
      </c>
      <c r="AG1237" s="27">
        <f t="shared" si="402"/>
        <v>9.0048440137839775E-2</v>
      </c>
      <c r="AH1237" s="27">
        <f t="shared" si="402"/>
        <v>9.1524860898689164E-2</v>
      </c>
      <c r="AI1237" s="27">
        <f t="shared" si="402"/>
        <v>9.2873095408058187E-2</v>
      </c>
      <c r="AJ1237" s="27">
        <f t="shared" si="402"/>
        <v>9.4295235372679823E-2</v>
      </c>
      <c r="AK1237" s="27">
        <f t="shared" si="402"/>
        <v>9.5652981013283067E-2</v>
      </c>
      <c r="AL1237" s="27">
        <f t="shared" si="402"/>
        <v>9.6933251950102856E-2</v>
      </c>
      <c r="AM1237" s="27">
        <f t="shared" si="402"/>
        <v>9.8190775072259484E-2</v>
      </c>
      <c r="AN1237" s="27">
        <f t="shared" si="402"/>
        <v>9.9787639127038461E-2</v>
      </c>
      <c r="AO1237" s="27">
        <f t="shared" si="402"/>
        <v>0.1014392914748115</v>
      </c>
      <c r="AP1237" s="27">
        <f t="shared" si="402"/>
        <v>0.10320575500989811</v>
      </c>
      <c r="AQ1237" s="27">
        <f t="shared" si="402"/>
        <v>0.10496534581683413</v>
      </c>
      <c r="AR1237" s="27">
        <f t="shared" si="402"/>
        <v>0.10672034773942209</v>
      </c>
      <c r="AS1237" s="27">
        <f t="shared" si="402"/>
        <v>0.10858609964826429</v>
      </c>
      <c r="AT1237" s="27">
        <f t="shared" si="402"/>
        <v>0.11051429251988212</v>
      </c>
      <c r="AU1237" s="27">
        <f t="shared" si="402"/>
        <v>0.11247140287446589</v>
      </c>
      <c r="AV1237" s="27">
        <f t="shared" si="402"/>
        <v>0.11452403240118444</v>
      </c>
      <c r="AW1237" s="27">
        <f t="shared" si="402"/>
        <v>0.1162449069229001</v>
      </c>
      <c r="AY1237" s="79"/>
      <c r="AZ1237" s="79"/>
    </row>
    <row r="1238" spans="1:52" x14ac:dyDescent="0.25">
      <c r="A1238" s="95" t="str">
        <f t="shared" si="384"/>
        <v>FSFAGSPQNIBDDSCM Cattle MMCH4</v>
      </c>
      <c r="B1238" s="95" t="s">
        <v>1374</v>
      </c>
      <c r="C1238" s="95" t="s">
        <v>1228</v>
      </c>
      <c r="D1238" t="s">
        <v>15</v>
      </c>
      <c r="E1238" t="s">
        <v>22</v>
      </c>
      <c r="F1238" t="s">
        <v>67</v>
      </c>
      <c r="G1238" t="s">
        <v>123</v>
      </c>
      <c r="H1238" t="s">
        <v>1226</v>
      </c>
      <c r="I1238" t="s">
        <v>121</v>
      </c>
      <c r="J1238" t="s">
        <v>286</v>
      </c>
      <c r="K1238" s="27">
        <f t="shared" ref="K1238:AW1238" si="403">IFERROR(K1397-((K1397-K22)+(K1397-K175)+(K1397-K328)+(K1397-K480)+(K1397-K632)+(K1397-K783)+(K1397-K934)+(K1397-K1085)),0)</f>
        <v>6.9689449734106276E-2</v>
      </c>
      <c r="L1238" s="27">
        <f t="shared" si="403"/>
        <v>6.9085055392440989E-2</v>
      </c>
      <c r="M1238" s="27">
        <f t="shared" si="403"/>
        <v>6.8854980763127779E-2</v>
      </c>
      <c r="N1238" s="27">
        <f t="shared" si="403"/>
        <v>6.7935512624264269E-2</v>
      </c>
      <c r="O1238" s="27">
        <f t="shared" si="403"/>
        <v>6.6600882165738229E-2</v>
      </c>
      <c r="P1238" s="27">
        <f t="shared" si="403"/>
        <v>6.4878687456057696E-2</v>
      </c>
      <c r="Q1238" s="27">
        <f t="shared" si="403"/>
        <v>6.3520342119606069E-2</v>
      </c>
      <c r="R1238" s="27">
        <f t="shared" si="403"/>
        <v>6.2235193009075998E-2</v>
      </c>
      <c r="S1238" s="27">
        <f t="shared" si="403"/>
        <v>5.5573195374324494E-2</v>
      </c>
      <c r="T1238" s="27">
        <f t="shared" si="403"/>
        <v>5.8230166616839892E-2</v>
      </c>
      <c r="U1238" s="27">
        <f t="shared" si="403"/>
        <v>5.9150010572323733E-2</v>
      </c>
      <c r="V1238" s="27">
        <f t="shared" si="403"/>
        <v>5.8750554380685591E-2</v>
      </c>
      <c r="W1238" s="27">
        <f t="shared" si="403"/>
        <v>5.8425624895701689E-2</v>
      </c>
      <c r="X1238" s="27">
        <f t="shared" si="403"/>
        <v>5.8446969177989083E-2</v>
      </c>
      <c r="Y1238" s="27">
        <f t="shared" si="403"/>
        <v>5.8790174251251236E-2</v>
      </c>
      <c r="Z1238" s="27">
        <f t="shared" si="403"/>
        <v>5.9277158695416256E-2</v>
      </c>
      <c r="AA1238" s="27">
        <f t="shared" si="403"/>
        <v>5.9947148531465801E-2</v>
      </c>
      <c r="AB1238" s="27">
        <f t="shared" si="403"/>
        <v>6.0928552165899576E-2</v>
      </c>
      <c r="AC1238" s="27">
        <f t="shared" si="403"/>
        <v>6.2193652488770283E-2</v>
      </c>
      <c r="AD1238" s="27">
        <f t="shared" si="403"/>
        <v>6.3075674200886653E-2</v>
      </c>
      <c r="AE1238" s="27">
        <f t="shared" si="403"/>
        <v>6.4061887782297905E-2</v>
      </c>
      <c r="AF1238" s="27">
        <f t="shared" si="403"/>
        <v>6.5077970895866852E-2</v>
      </c>
      <c r="AG1238" s="27">
        <f t="shared" si="403"/>
        <v>6.6146494654198057E-2</v>
      </c>
      <c r="AH1238" s="27">
        <f t="shared" si="403"/>
        <v>6.7231022690612471E-2</v>
      </c>
      <c r="AI1238" s="27">
        <f t="shared" si="403"/>
        <v>6.8221389504630262E-2</v>
      </c>
      <c r="AJ1238" s="27">
        <f t="shared" si="403"/>
        <v>6.9266044730455056E-2</v>
      </c>
      <c r="AK1238" s="27">
        <f t="shared" si="403"/>
        <v>7.026339809516019E-2</v>
      </c>
      <c r="AL1238" s="27">
        <f t="shared" si="403"/>
        <v>7.1203841200544876E-2</v>
      </c>
      <c r="AM1238" s="27">
        <f t="shared" si="403"/>
        <v>7.2127574541732534E-2</v>
      </c>
      <c r="AN1238" s="27">
        <f t="shared" si="403"/>
        <v>7.3300576089579794E-2</v>
      </c>
      <c r="AO1238" s="27">
        <f t="shared" si="403"/>
        <v>7.4513823237729482E-2</v>
      </c>
      <c r="AP1238" s="27">
        <f t="shared" si="403"/>
        <v>7.5811406745023818E-2</v>
      </c>
      <c r="AQ1238" s="27">
        <f t="shared" si="403"/>
        <v>7.7103941782015115E-2</v>
      </c>
      <c r="AR1238" s="27">
        <f t="shared" si="403"/>
        <v>7.8393105982004302E-2</v>
      </c>
      <c r="AS1238" s="27">
        <f t="shared" si="403"/>
        <v>7.9763623322175625E-2</v>
      </c>
      <c r="AT1238" s="27">
        <f t="shared" si="403"/>
        <v>8.1180007651315583E-2</v>
      </c>
      <c r="AU1238" s="27">
        <f t="shared" si="403"/>
        <v>8.2617633771312649E-2</v>
      </c>
      <c r="AV1238" s="27">
        <f t="shared" si="403"/>
        <v>8.4125424997993567E-2</v>
      </c>
      <c r="AW1238" s="27">
        <f t="shared" si="403"/>
        <v>8.5389520380178607E-2</v>
      </c>
      <c r="AY1238" s="79"/>
      <c r="AZ1238" s="79"/>
    </row>
    <row r="1239" spans="1:52" x14ac:dyDescent="0.25">
      <c r="A1239" s="95" t="str">
        <f t="shared" si="384"/>
        <v>FSFAGSPQNIBDDSCM Cattle MMCH4</v>
      </c>
      <c r="B1239" s="95" t="s">
        <v>1374</v>
      </c>
      <c r="C1239" s="95" t="s">
        <v>1228</v>
      </c>
      <c r="D1239" t="s">
        <v>15</v>
      </c>
      <c r="E1239" t="s">
        <v>22</v>
      </c>
      <c r="F1239" t="s">
        <v>67</v>
      </c>
      <c r="G1239" t="s">
        <v>135</v>
      </c>
      <c r="H1239" t="s">
        <v>1226</v>
      </c>
      <c r="I1239" t="s">
        <v>121</v>
      </c>
      <c r="J1239" t="s">
        <v>286</v>
      </c>
      <c r="K1239" s="27">
        <f t="shared" ref="K1239:AW1239" si="404">IFERROR(K1398-((K1398-K23)+(K1398-K176)+(K1398-K329)+(K1398-K481)+(K1398-K633)+(K1398-K784)+(K1398-K935)+(K1398-K1086)),0)</f>
        <v>0.47107022937833815</v>
      </c>
      <c r="L1239" s="27">
        <f t="shared" si="404"/>
        <v>0.48695387967725917</v>
      </c>
      <c r="M1239" s="27">
        <f t="shared" si="404"/>
        <v>0.50580611066616787</v>
      </c>
      <c r="N1239" s="27">
        <f t="shared" si="404"/>
        <v>0.5198656905589939</v>
      </c>
      <c r="O1239" s="27">
        <f t="shared" si="404"/>
        <v>0.53070826286138517</v>
      </c>
      <c r="P1239" s="27">
        <f t="shared" si="404"/>
        <v>0.53817886796858128</v>
      </c>
      <c r="Q1239" s="27">
        <f t="shared" si="404"/>
        <v>0.54837935702304741</v>
      </c>
      <c r="R1239" s="27">
        <f t="shared" si="404"/>
        <v>0.55907244781022658</v>
      </c>
      <c r="S1239" s="27">
        <f t="shared" si="404"/>
        <v>0.51940277612263608</v>
      </c>
      <c r="T1239" s="27">
        <f t="shared" si="404"/>
        <v>0.55734768073083851</v>
      </c>
      <c r="U1239" s="27">
        <f t="shared" si="404"/>
        <v>0.57960474973304943</v>
      </c>
      <c r="V1239" s="27">
        <f t="shared" si="404"/>
        <v>0.58919613300783547</v>
      </c>
      <c r="W1239" s="27">
        <f t="shared" si="404"/>
        <v>0.59952169359823548</v>
      </c>
      <c r="X1239" s="27">
        <f t="shared" si="404"/>
        <v>0.61349330548493453</v>
      </c>
      <c r="Y1239" s="27">
        <f t="shared" si="404"/>
        <v>0.63110337066637079</v>
      </c>
      <c r="Z1239" s="27">
        <f t="shared" si="404"/>
        <v>0.65064008423990027</v>
      </c>
      <c r="AA1239" s="27">
        <f t="shared" si="404"/>
        <v>0.67266194335256146</v>
      </c>
      <c r="AB1239" s="27">
        <f t="shared" si="404"/>
        <v>0.69879229877984206</v>
      </c>
      <c r="AC1239" s="27">
        <f t="shared" si="404"/>
        <v>0.72895809146559021</v>
      </c>
      <c r="AD1239" s="27">
        <f t="shared" si="404"/>
        <v>0.76381313429213382</v>
      </c>
      <c r="AE1239" s="27">
        <f t="shared" si="404"/>
        <v>0.80153113832193645</v>
      </c>
      <c r="AF1239" s="27">
        <f t="shared" si="404"/>
        <v>0.84136759742134326</v>
      </c>
      <c r="AG1239" s="27">
        <f t="shared" si="404"/>
        <v>0.88375975405626439</v>
      </c>
      <c r="AH1239" s="27">
        <f t="shared" si="404"/>
        <v>0.92838040456636217</v>
      </c>
      <c r="AI1239" s="27">
        <f t="shared" si="404"/>
        <v>0.97379529022362832</v>
      </c>
      <c r="AJ1239" s="27">
        <f t="shared" si="404"/>
        <v>1.0221841318210139</v>
      </c>
      <c r="AK1239" s="27">
        <f t="shared" si="404"/>
        <v>1.072208285270027</v>
      </c>
      <c r="AL1239" s="27">
        <f t="shared" si="404"/>
        <v>1.123785168211771</v>
      </c>
      <c r="AM1239" s="27">
        <f t="shared" si="404"/>
        <v>1.1776298462289758</v>
      </c>
      <c r="AN1239" s="27">
        <f t="shared" si="404"/>
        <v>1.2305489615866252</v>
      </c>
      <c r="AO1239" s="27">
        <f t="shared" si="404"/>
        <v>1.2863335234294737</v>
      </c>
      <c r="AP1239" s="27">
        <f t="shared" si="404"/>
        <v>1.3459319381262367</v>
      </c>
      <c r="AQ1239" s="27">
        <f t="shared" si="404"/>
        <v>1.4079553802544587</v>
      </c>
      <c r="AR1239" s="27">
        <f t="shared" si="404"/>
        <v>1.4725543863966755</v>
      </c>
      <c r="AS1239" s="27">
        <f t="shared" si="404"/>
        <v>1.5414959451453387</v>
      </c>
      <c r="AT1239" s="27">
        <f t="shared" si="404"/>
        <v>1.6143551492479555</v>
      </c>
      <c r="AU1239" s="27">
        <f t="shared" si="404"/>
        <v>1.6908665423569276</v>
      </c>
      <c r="AV1239" s="27">
        <f t="shared" si="404"/>
        <v>1.7722717243433437</v>
      </c>
      <c r="AW1239" s="27">
        <f t="shared" si="404"/>
        <v>1.852080501247541</v>
      </c>
      <c r="AY1239" s="79"/>
      <c r="AZ1239" s="79"/>
    </row>
    <row r="1240" spans="1:52" x14ac:dyDescent="0.25">
      <c r="A1240" s="95" t="str">
        <f t="shared" si="384"/>
        <v>FSFAGSPQNIBDDSCM Sheep MMCH4</v>
      </c>
      <c r="B1240" s="95" t="s">
        <v>1374</v>
      </c>
      <c r="C1240" s="95" t="s">
        <v>1323</v>
      </c>
      <c r="D1240" t="s">
        <v>15</v>
      </c>
      <c r="E1240" t="s">
        <v>22</v>
      </c>
      <c r="F1240" t="s">
        <v>18</v>
      </c>
      <c r="G1240" t="s">
        <v>122</v>
      </c>
      <c r="H1240" t="s">
        <v>1226</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3.6577867645106926E-2</v>
      </c>
      <c r="T1240" s="27">
        <f t="shared" si="405"/>
        <v>3.6604195637780168E-2</v>
      </c>
      <c r="U1240" s="27">
        <f t="shared" si="405"/>
        <v>3.6594939276300961E-2</v>
      </c>
      <c r="V1240" s="27">
        <f t="shared" si="405"/>
        <v>3.6594272892103465E-2</v>
      </c>
      <c r="W1240" s="27">
        <f t="shared" si="405"/>
        <v>3.663308878376182E-2</v>
      </c>
      <c r="X1240" s="27">
        <f t="shared" si="405"/>
        <v>3.66966145669788E-2</v>
      </c>
      <c r="Y1240" s="27">
        <f t="shared" si="405"/>
        <v>3.6757568260761757E-2</v>
      </c>
      <c r="Z1240" s="27">
        <f t="shared" si="405"/>
        <v>3.6816146514376355E-2</v>
      </c>
      <c r="AA1240" s="27">
        <f t="shared" si="405"/>
        <v>3.6872269383598041E-2</v>
      </c>
      <c r="AB1240" s="27">
        <f t="shared" si="405"/>
        <v>3.6927106456158189E-2</v>
      </c>
      <c r="AC1240" s="27">
        <f t="shared" si="405"/>
        <v>3.6981458757835407E-2</v>
      </c>
      <c r="AD1240" s="27">
        <f t="shared" si="405"/>
        <v>3.7034780933234084E-2</v>
      </c>
      <c r="AE1240" s="27">
        <f t="shared" si="405"/>
        <v>3.7087839668251105E-2</v>
      </c>
      <c r="AF1240" s="27">
        <f t="shared" si="405"/>
        <v>3.7140467817616069E-2</v>
      </c>
      <c r="AG1240" s="27">
        <f t="shared" si="405"/>
        <v>3.7192243691518308E-2</v>
      </c>
      <c r="AH1240" s="27">
        <f t="shared" si="405"/>
        <v>3.7243395244831647E-2</v>
      </c>
      <c r="AI1240" s="27">
        <f t="shared" si="405"/>
        <v>3.7293977063567109E-2</v>
      </c>
      <c r="AJ1240" s="27">
        <f t="shared" si="405"/>
        <v>3.7344160870083701E-2</v>
      </c>
      <c r="AK1240" s="27">
        <f t="shared" si="405"/>
        <v>3.7392411139770994E-2</v>
      </c>
      <c r="AL1240" s="27">
        <f t="shared" si="405"/>
        <v>3.743867142078007E-2</v>
      </c>
      <c r="AM1240" s="27">
        <f t="shared" si="405"/>
        <v>3.7483374065557115E-2</v>
      </c>
      <c r="AN1240" s="27">
        <f t="shared" si="405"/>
        <v>3.7526174858995696E-2</v>
      </c>
      <c r="AO1240" s="27">
        <f t="shared" si="405"/>
        <v>3.7567151445085212E-2</v>
      </c>
      <c r="AP1240" s="27">
        <f t="shared" si="405"/>
        <v>3.7606119264532091E-2</v>
      </c>
      <c r="AQ1240" s="27">
        <f t="shared" si="405"/>
        <v>3.7642520684787982E-2</v>
      </c>
      <c r="AR1240" s="27">
        <f t="shared" si="405"/>
        <v>3.7675838960014932E-2</v>
      </c>
      <c r="AS1240" s="27">
        <f t="shared" si="405"/>
        <v>3.7706040429411586E-2</v>
      </c>
      <c r="AT1240" s="27">
        <f t="shared" si="405"/>
        <v>3.7732893978113372E-2</v>
      </c>
      <c r="AU1240" s="27">
        <f t="shared" si="405"/>
        <v>3.7756386655025911E-2</v>
      </c>
      <c r="AV1240" s="27">
        <f t="shared" si="405"/>
        <v>3.7776968038330937E-2</v>
      </c>
      <c r="AW1240" s="27">
        <f t="shared" si="405"/>
        <v>3.7791964878546927E-2</v>
      </c>
      <c r="AY1240" s="79"/>
      <c r="AZ1240" s="79"/>
    </row>
    <row r="1241" spans="1:52" x14ac:dyDescent="0.25">
      <c r="A1241" s="95" t="str">
        <f t="shared" si="384"/>
        <v>FSFAGSPQNIBDDSCM Sheep MMCH4</v>
      </c>
      <c r="B1241" s="95" t="s">
        <v>1374</v>
      </c>
      <c r="C1241" s="95" t="s">
        <v>1323</v>
      </c>
      <c r="D1241" t="s">
        <v>15</v>
      </c>
      <c r="E1241" t="s">
        <v>22</v>
      </c>
      <c r="F1241" t="s">
        <v>18</v>
      </c>
      <c r="G1241" t="s">
        <v>123</v>
      </c>
      <c r="H1241" t="s">
        <v>1226</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4.1773668344855536E-3</v>
      </c>
      <c r="T1241" s="27">
        <f t="shared" si="406"/>
        <v>4.1803736167419408E-3</v>
      </c>
      <c r="U1241" s="27">
        <f t="shared" si="406"/>
        <v>4.1793164961403135E-3</v>
      </c>
      <c r="V1241" s="27">
        <f t="shared" si="406"/>
        <v>4.1792403918886204E-3</v>
      </c>
      <c r="W1241" s="27">
        <f t="shared" si="406"/>
        <v>4.1836733517330218E-3</v>
      </c>
      <c r="X1241" s="27">
        <f t="shared" si="406"/>
        <v>4.190928298973798E-3</v>
      </c>
      <c r="Y1241" s="27">
        <f t="shared" si="406"/>
        <v>4.197889501341273E-3</v>
      </c>
      <c r="Z1241" s="27">
        <f t="shared" si="406"/>
        <v>4.204579417118921E-3</v>
      </c>
      <c r="AA1241" s="27">
        <f t="shared" si="406"/>
        <v>4.2109889162952416E-3</v>
      </c>
      <c r="AB1241" s="27">
        <f t="shared" si="406"/>
        <v>4.2172515713640264E-3</v>
      </c>
      <c r="AC1241" s="27">
        <f t="shared" si="406"/>
        <v>4.2234588632873099E-3</v>
      </c>
      <c r="AD1241" s="27">
        <f t="shared" si="406"/>
        <v>4.2295485098794577E-3</v>
      </c>
      <c r="AE1241" s="27">
        <f t="shared" si="406"/>
        <v>4.2356080703243246E-3</v>
      </c>
      <c r="AF1241" s="27">
        <f t="shared" si="406"/>
        <v>4.2416184558353278E-3</v>
      </c>
      <c r="AG1241" s="27">
        <f t="shared" si="406"/>
        <v>4.247531507426093E-3</v>
      </c>
      <c r="AH1241" s="27">
        <f t="shared" si="406"/>
        <v>4.2533732586297656E-3</v>
      </c>
      <c r="AI1241" s="27">
        <f t="shared" si="406"/>
        <v>4.2591499434289888E-3</v>
      </c>
      <c r="AJ1241" s="27">
        <f t="shared" si="406"/>
        <v>4.2648811733356808E-3</v>
      </c>
      <c r="AK1241" s="27">
        <f t="shared" si="406"/>
        <v>4.2703915841202098E-3</v>
      </c>
      <c r="AL1241" s="27">
        <f t="shared" si="406"/>
        <v>4.2756747287123493E-3</v>
      </c>
      <c r="AM1241" s="27">
        <f t="shared" si="406"/>
        <v>4.2807799838222773E-3</v>
      </c>
      <c r="AN1241" s="27">
        <f t="shared" si="406"/>
        <v>4.2856680384441249E-3</v>
      </c>
      <c r="AO1241" s="27">
        <f t="shared" si="406"/>
        <v>4.2903477598915749E-3</v>
      </c>
      <c r="AP1241" s="27">
        <f t="shared" si="406"/>
        <v>4.2947980706135938E-3</v>
      </c>
      <c r="AQ1241" s="27">
        <f t="shared" si="406"/>
        <v>4.2989552863151904E-3</v>
      </c>
      <c r="AR1241" s="27">
        <f t="shared" si="406"/>
        <v>4.3027603921585852E-3</v>
      </c>
      <c r="AS1241" s="27">
        <f t="shared" si="406"/>
        <v>4.3062095439198199E-3</v>
      </c>
      <c r="AT1241" s="27">
        <f t="shared" si="406"/>
        <v>4.3092763471797441E-3</v>
      </c>
      <c r="AU1241" s="27">
        <f t="shared" si="406"/>
        <v>4.3119593228616469E-3</v>
      </c>
      <c r="AV1241" s="27">
        <f t="shared" si="406"/>
        <v>4.3143098149368113E-3</v>
      </c>
      <c r="AW1241" s="27">
        <f t="shared" si="406"/>
        <v>4.3160225255723297E-3</v>
      </c>
      <c r="AY1241" s="79"/>
      <c r="AZ1241" s="79"/>
    </row>
    <row r="1242" spans="1:52" x14ac:dyDescent="0.25">
      <c r="A1242" s="95" t="str">
        <f t="shared" si="384"/>
        <v>FSFAGSPQNIBDDSCM Goats MMCH4</v>
      </c>
      <c r="B1242" s="95" t="s">
        <v>1374</v>
      </c>
      <c r="C1242" s="95" t="s">
        <v>1324</v>
      </c>
      <c r="D1242" t="s">
        <v>15</v>
      </c>
      <c r="E1242" t="s">
        <v>22</v>
      </c>
      <c r="F1242" t="s">
        <v>19</v>
      </c>
      <c r="G1242" t="s">
        <v>122</v>
      </c>
      <c r="H1242" t="s">
        <v>1226</v>
      </c>
      <c r="I1242" t="s">
        <v>121</v>
      </c>
      <c r="J1242" t="s">
        <v>286</v>
      </c>
      <c r="K1242" s="27">
        <f t="shared" ref="K1242:AW1242" si="407">IFERROR(K1401-((K1401-K26)+(K1401-K179)+(K1401-K332)+(K1401-K484)+(K1401-K636)+(K1401-K787)+(K1401-K938)+(K1401-K1089)),0)</f>
        <v>1.5789672763163298E-2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1.623065478441902E-2</v>
      </c>
      <c r="R1242" s="27">
        <f t="shared" si="407"/>
        <v>1.6337439810579345E-2</v>
      </c>
      <c r="S1242" s="27">
        <f t="shared" si="407"/>
        <v>1.6297380650984187E-2</v>
      </c>
      <c r="T1242" s="27">
        <f t="shared" si="407"/>
        <v>1.6325395863941383E-2</v>
      </c>
      <c r="U1242" s="27">
        <f t="shared" si="407"/>
        <v>1.6328114418990985E-2</v>
      </c>
      <c r="V1242" s="27">
        <f t="shared" si="407"/>
        <v>1.6335588711282864E-2</v>
      </c>
      <c r="W1242" s="27">
        <f t="shared" si="407"/>
        <v>1.6368634589950044E-2</v>
      </c>
      <c r="X1242" s="27">
        <f t="shared" si="407"/>
        <v>1.641724322972727E-2</v>
      </c>
      <c r="Y1242" s="27">
        <f t="shared" si="407"/>
        <v>1.6463127220508685E-2</v>
      </c>
      <c r="Z1242" s="27">
        <f t="shared" si="407"/>
        <v>1.6506502302245762E-2</v>
      </c>
      <c r="AA1242" s="27">
        <f t="shared" si="407"/>
        <v>1.6547390676749981E-2</v>
      </c>
      <c r="AB1242" s="27">
        <f t="shared" si="407"/>
        <v>1.6586638401151873E-2</v>
      </c>
      <c r="AC1242" s="27">
        <f t="shared" si="407"/>
        <v>1.6624834346576634E-2</v>
      </c>
      <c r="AD1242" s="27">
        <f t="shared" si="407"/>
        <v>1.6661666671952648E-2</v>
      </c>
      <c r="AE1242" s="27">
        <f t="shared" si="407"/>
        <v>1.669768859843657E-2</v>
      </c>
      <c r="AF1242" s="27">
        <f t="shared" si="407"/>
        <v>1.6732829718107738E-2</v>
      </c>
      <c r="AG1242" s="27">
        <f t="shared" si="407"/>
        <v>1.6766849576183976E-2</v>
      </c>
      <c r="AH1242" s="27">
        <f t="shared" si="407"/>
        <v>1.6799933327571178E-2</v>
      </c>
      <c r="AI1242" s="27">
        <f t="shared" si="407"/>
        <v>1.6832148555186801E-2</v>
      </c>
      <c r="AJ1242" s="27">
        <f t="shared" si="407"/>
        <v>1.6863636706256461E-2</v>
      </c>
      <c r="AK1242" s="27">
        <f t="shared" si="407"/>
        <v>1.6893421474693429E-2</v>
      </c>
      <c r="AL1242" s="27">
        <f t="shared" si="407"/>
        <v>1.6921495820142095E-2</v>
      </c>
      <c r="AM1242" s="27">
        <f t="shared" si="407"/>
        <v>1.6948169002433171E-2</v>
      </c>
      <c r="AN1242" s="27">
        <f t="shared" si="407"/>
        <v>1.6973242190360595E-2</v>
      </c>
      <c r="AO1242" s="27">
        <f t="shared" si="407"/>
        <v>1.699679001880551E-2</v>
      </c>
      <c r="AP1242" s="27">
        <f t="shared" si="407"/>
        <v>1.701871561452447E-2</v>
      </c>
      <c r="AQ1242" s="27">
        <f t="shared" si="407"/>
        <v>1.7038680545756732E-2</v>
      </c>
      <c r="AR1242" s="27">
        <f t="shared" si="407"/>
        <v>1.7056373927880512E-2</v>
      </c>
      <c r="AS1242" s="27">
        <f t="shared" si="407"/>
        <v>1.7071796968078184E-2</v>
      </c>
      <c r="AT1242" s="27">
        <f t="shared" si="407"/>
        <v>1.7084822941521471E-2</v>
      </c>
      <c r="AU1242" s="27">
        <f t="shared" si="407"/>
        <v>1.7095465059373528E-2</v>
      </c>
      <c r="AV1242" s="27">
        <f t="shared" si="407"/>
        <v>1.7104031992328298E-2</v>
      </c>
      <c r="AW1242" s="27">
        <f t="shared" si="407"/>
        <v>1.7108831686205268E-2</v>
      </c>
      <c r="AY1242" s="79"/>
      <c r="AZ1242" s="79"/>
    </row>
    <row r="1243" spans="1:52" x14ac:dyDescent="0.25">
      <c r="A1243" s="95" t="str">
        <f t="shared" si="384"/>
        <v>FSFAGSPQNIBDDSCM Goats MMCH4</v>
      </c>
      <c r="B1243" s="95" t="s">
        <v>1374</v>
      </c>
      <c r="C1243" s="95" t="s">
        <v>1324</v>
      </c>
      <c r="D1243" t="s">
        <v>15</v>
      </c>
      <c r="E1243" t="s">
        <v>22</v>
      </c>
      <c r="F1243" t="s">
        <v>19</v>
      </c>
      <c r="G1243" t="s">
        <v>123</v>
      </c>
      <c r="H1243" t="s">
        <v>1226</v>
      </c>
      <c r="I1243" t="s">
        <v>121</v>
      </c>
      <c r="J1243" t="s">
        <v>286</v>
      </c>
      <c r="K1243" s="27">
        <f t="shared" ref="K1243:AW1243" si="408">IFERROR(K1402-((K1402-K27)+(K1402-K180)+(K1402-K333)+(K1402-K485)+(K1402-K637)+(K1402-K788)+(K1402-K939)+(K1402-K1090)),0)</f>
        <v>2.6592218800664796E-2</v>
      </c>
      <c r="L1243" s="27">
        <f t="shared" si="408"/>
        <v>2.6661345733624896E-2</v>
      </c>
      <c r="M1243" s="27">
        <f t="shared" si="408"/>
        <v>2.6756703894783639E-2</v>
      </c>
      <c r="N1243" s="27">
        <f t="shared" si="408"/>
        <v>2.6872875319249701E-2</v>
      </c>
      <c r="O1243" s="27">
        <f t="shared" si="408"/>
        <v>2.7009694315810229E-2</v>
      </c>
      <c r="P1243" s="27">
        <f t="shared" si="408"/>
        <v>2.7166328132291764E-2</v>
      </c>
      <c r="Q1243" s="27">
        <f t="shared" si="408"/>
        <v>2.7334899828466049E-2</v>
      </c>
      <c r="R1243" s="27">
        <f t="shared" si="408"/>
        <v>2.7514742110372921E-2</v>
      </c>
      <c r="S1243" s="27">
        <f t="shared" si="408"/>
        <v>2.7447276371664872E-2</v>
      </c>
      <c r="T1243" s="27">
        <f t="shared" si="408"/>
        <v>2.7494458266051122E-2</v>
      </c>
      <c r="U1243" s="27">
        <f t="shared" si="408"/>
        <v>2.7499036727668718E-2</v>
      </c>
      <c r="V1243" s="27">
        <f t="shared" si="408"/>
        <v>2.7511624576637288E-2</v>
      </c>
      <c r="W1243" s="27">
        <f t="shared" si="408"/>
        <v>2.7567278879874528E-2</v>
      </c>
      <c r="X1243" s="27">
        <f t="shared" si="408"/>
        <v>2.7649143248056639E-2</v>
      </c>
      <c r="Y1243" s="27">
        <f t="shared" si="408"/>
        <v>2.7726418891485655E-2</v>
      </c>
      <c r="Z1243" s="27">
        <f t="shared" si="408"/>
        <v>2.7799469149166745E-2</v>
      </c>
      <c r="AA1243" s="27">
        <f t="shared" si="408"/>
        <v>2.7868331412338937E-2</v>
      </c>
      <c r="AB1243" s="27">
        <f t="shared" si="408"/>
        <v>2.7934430570337832E-2</v>
      </c>
      <c r="AC1243" s="27">
        <f t="shared" si="408"/>
        <v>2.7998758372013564E-2</v>
      </c>
      <c r="AD1243" s="27">
        <f t="shared" si="408"/>
        <v>2.8060789629407407E-2</v>
      </c>
      <c r="AE1243" s="27">
        <f t="shared" si="408"/>
        <v>2.8121456051381433E-2</v>
      </c>
      <c r="AF1243" s="27">
        <f t="shared" si="408"/>
        <v>2.8180639060251388E-2</v>
      </c>
      <c r="AG1243" s="27">
        <f t="shared" si="408"/>
        <v>2.8237933693465157E-2</v>
      </c>
      <c r="AH1243" s="27">
        <f t="shared" si="408"/>
        <v>2.8293651780143172E-2</v>
      </c>
      <c r="AI1243" s="27">
        <f t="shared" si="408"/>
        <v>2.8347907140233115E-2</v>
      </c>
      <c r="AJ1243" s="27">
        <f t="shared" si="408"/>
        <v>2.8400937992451046E-2</v>
      </c>
      <c r="AK1243" s="27">
        <f t="shared" si="408"/>
        <v>2.845110008834013E-2</v>
      </c>
      <c r="AL1243" s="27">
        <f t="shared" si="408"/>
        <v>2.8498381570866985E-2</v>
      </c>
      <c r="AM1243" s="27">
        <f t="shared" si="408"/>
        <v>2.8543303280786723E-2</v>
      </c>
      <c r="AN1243" s="27">
        <f t="shared" si="408"/>
        <v>2.8585530356002101E-2</v>
      </c>
      <c r="AO1243" s="27">
        <f t="shared" si="408"/>
        <v>2.8625188493043956E-2</v>
      </c>
      <c r="AP1243" s="27">
        <f t="shared" si="408"/>
        <v>2.8662114542585253E-2</v>
      </c>
      <c r="AQ1243" s="27">
        <f t="shared" si="408"/>
        <v>2.8695738533888428E-2</v>
      </c>
      <c r="AR1243" s="27">
        <f t="shared" si="408"/>
        <v>2.8725536889802242E-2</v>
      </c>
      <c r="AS1243" s="27">
        <f t="shared" si="408"/>
        <v>2.8751511643406051E-2</v>
      </c>
      <c r="AT1243" s="27">
        <f t="shared" si="408"/>
        <v>2.8773449370747915E-2</v>
      </c>
      <c r="AU1243" s="27">
        <f t="shared" si="408"/>
        <v>2.8791372321442913E-2</v>
      </c>
      <c r="AV1243" s="27">
        <f t="shared" si="408"/>
        <v>2.8805800344049892E-2</v>
      </c>
      <c r="AW1243" s="27">
        <f t="shared" si="408"/>
        <v>2.8813883761082477E-2</v>
      </c>
      <c r="AY1243" s="79"/>
      <c r="AZ1243" s="79"/>
    </row>
    <row r="1244" spans="1:52" x14ac:dyDescent="0.25">
      <c r="A1244" s="95" t="str">
        <f t="shared" si="384"/>
        <v>FSFAGSPQNIBDDSCM Horses MMCH4</v>
      </c>
      <c r="B1244" s="95" t="s">
        <v>1374</v>
      </c>
      <c r="C1244" s="95" t="s">
        <v>1325</v>
      </c>
      <c r="D1244" t="s">
        <v>15</v>
      </c>
      <c r="E1244" t="s">
        <v>22</v>
      </c>
      <c r="F1244" t="s">
        <v>20</v>
      </c>
      <c r="G1244" t="s">
        <v>3</v>
      </c>
      <c r="H1244" t="s">
        <v>1226</v>
      </c>
      <c r="I1244" t="s">
        <v>121</v>
      </c>
      <c r="J1244" t="s">
        <v>286</v>
      </c>
      <c r="K1244" s="27">
        <f t="shared" ref="K1244:AW1244" si="409">IFERROR(K1403-((K1403-K28)+(K1403-K181)+(K1403-K334)+(K1403-K486)+(K1403-K638)+(K1403-K789)+(K1403-K940)+(K1403-K1091)),0)</f>
        <v>4.1336182129460544E-3</v>
      </c>
      <c r="L1244" s="27">
        <f t="shared" si="409"/>
        <v>4.1536453250924079E-3</v>
      </c>
      <c r="M1244" s="27">
        <f t="shared" si="409"/>
        <v>4.1840370126470525E-3</v>
      </c>
      <c r="N1244" s="27">
        <f t="shared" si="409"/>
        <v>4.1905340987284569E-3</v>
      </c>
      <c r="O1244" s="27">
        <f t="shared" si="409"/>
        <v>4.1812329246154589E-3</v>
      </c>
      <c r="P1244" s="27">
        <f t="shared" si="409"/>
        <v>4.1564738854214548E-3</v>
      </c>
      <c r="Q1244" s="27">
        <f t="shared" si="409"/>
        <v>4.1427460620707141E-3</v>
      </c>
      <c r="R1244" s="27">
        <f t="shared" si="409"/>
        <v>4.130408792135833E-3</v>
      </c>
      <c r="S1244" s="27">
        <f t="shared" si="409"/>
        <v>3.9434601312185527E-3</v>
      </c>
      <c r="T1244" s="27">
        <f t="shared" si="409"/>
        <v>4.0605746122765228E-3</v>
      </c>
      <c r="U1244" s="27">
        <f t="shared" si="409"/>
        <v>4.1189841670463273E-3</v>
      </c>
      <c r="V1244" s="27">
        <f t="shared" si="409"/>
        <v>4.1278057101270405E-3</v>
      </c>
      <c r="W1244" s="27">
        <f t="shared" si="409"/>
        <v>4.1355671321311174E-3</v>
      </c>
      <c r="X1244" s="27">
        <f t="shared" si="409"/>
        <v>4.1543998592115791E-3</v>
      </c>
      <c r="Y1244" s="27">
        <f t="shared" si="409"/>
        <v>4.1865458304734694E-3</v>
      </c>
      <c r="Z1244" s="27">
        <f t="shared" si="409"/>
        <v>4.2253320128085251E-3</v>
      </c>
      <c r="AA1244" s="27">
        <f t="shared" si="409"/>
        <v>4.272518274488683E-3</v>
      </c>
      <c r="AB1244" s="27">
        <f t="shared" si="409"/>
        <v>4.3334009221617396E-3</v>
      </c>
      <c r="AC1244" s="27">
        <f t="shared" si="409"/>
        <v>4.4071847194853781E-3</v>
      </c>
      <c r="AD1244" s="27">
        <f t="shared" si="409"/>
        <v>4.4888905161837847E-3</v>
      </c>
      <c r="AE1244" s="27">
        <f t="shared" si="409"/>
        <v>4.5781841431122572E-3</v>
      </c>
      <c r="AF1244" s="27">
        <f t="shared" si="409"/>
        <v>4.6723057323312554E-3</v>
      </c>
      <c r="AG1244" s="27">
        <f t="shared" si="409"/>
        <v>4.7725702352352153E-3</v>
      </c>
      <c r="AH1244" s="27">
        <f t="shared" si="409"/>
        <v>4.8776647477587476E-3</v>
      </c>
      <c r="AI1244" s="27">
        <f t="shared" si="409"/>
        <v>4.9827957618803235E-3</v>
      </c>
      <c r="AJ1244" s="27">
        <f t="shared" si="409"/>
        <v>5.0948794457102743E-3</v>
      </c>
      <c r="AK1244" s="27">
        <f t="shared" si="409"/>
        <v>5.2096806373507004E-3</v>
      </c>
      <c r="AL1244" s="27">
        <f t="shared" si="409"/>
        <v>5.326887127790998E-3</v>
      </c>
      <c r="AM1244" s="27">
        <f t="shared" si="409"/>
        <v>5.4485848360062324E-3</v>
      </c>
      <c r="AN1244" s="27">
        <f t="shared" si="409"/>
        <v>5.5696508386077004E-3</v>
      </c>
      <c r="AO1244" s="27">
        <f t="shared" si="409"/>
        <v>5.6973052536603251E-3</v>
      </c>
      <c r="AP1244" s="27">
        <f t="shared" si="409"/>
        <v>5.8342669505017037E-3</v>
      </c>
      <c r="AQ1244" s="27">
        <f t="shared" si="409"/>
        <v>5.9763033014494302E-3</v>
      </c>
      <c r="AR1244" s="27">
        <f t="shared" si="409"/>
        <v>6.1238672356661557E-3</v>
      </c>
      <c r="AS1244" s="27">
        <f t="shared" si="409"/>
        <v>6.2820427526668306E-3</v>
      </c>
      <c r="AT1244" s="27">
        <f t="shared" si="409"/>
        <v>6.4494574929913678E-3</v>
      </c>
      <c r="AU1244" s="27">
        <f t="shared" si="409"/>
        <v>6.6252174839876625E-3</v>
      </c>
      <c r="AV1244" s="27">
        <f t="shared" si="409"/>
        <v>6.8126704322840365E-3</v>
      </c>
      <c r="AW1244" s="27">
        <f t="shared" si="409"/>
        <v>6.9938267919267671E-3</v>
      </c>
      <c r="AY1244" s="79"/>
      <c r="AZ1244" s="79"/>
    </row>
    <row r="1245" spans="1:52" x14ac:dyDescent="0.25">
      <c r="A1245" s="95" t="str">
        <f t="shared" si="384"/>
        <v>FSFAGSPQNIBDDSCM Mules MMCH4</v>
      </c>
      <c r="B1245" s="95" t="s">
        <v>1374</v>
      </c>
      <c r="C1245" s="95" t="s">
        <v>1326</v>
      </c>
      <c r="D1245" t="s">
        <v>15</v>
      </c>
      <c r="E1245" t="s">
        <v>22</v>
      </c>
      <c r="F1245" t="s">
        <v>140</v>
      </c>
      <c r="G1245" t="s">
        <v>124</v>
      </c>
      <c r="H1245" t="s">
        <v>1226</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5">
      <c r="A1246" s="95" t="str">
        <f t="shared" si="384"/>
        <v>FSFAGSPQNIBDDSCM Swine MMCH4</v>
      </c>
      <c r="B1246" s="95" t="s">
        <v>1374</v>
      </c>
      <c r="C1246" s="95" t="s">
        <v>1229</v>
      </c>
      <c r="D1246" t="s">
        <v>15</v>
      </c>
      <c r="E1246" t="s">
        <v>22</v>
      </c>
      <c r="F1246" t="s">
        <v>21</v>
      </c>
      <c r="G1246" t="s">
        <v>122</v>
      </c>
      <c r="H1246" t="s">
        <v>1226</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v>
      </c>
      <c r="N1246" s="27">
        <f t="shared" si="411"/>
        <v>22.950263110497293</v>
      </c>
      <c r="O1246" s="27">
        <f t="shared" si="411"/>
        <v>22.60295118682059</v>
      </c>
      <c r="P1246" s="27">
        <f t="shared" si="411"/>
        <v>22.12653281137495</v>
      </c>
      <c r="Q1246" s="27">
        <f t="shared" si="411"/>
        <v>21.780600237355966</v>
      </c>
      <c r="R1246" s="27">
        <f t="shared" si="411"/>
        <v>21.465278056857684</v>
      </c>
      <c r="S1246" s="27">
        <f t="shared" si="411"/>
        <v>19.28268372841509</v>
      </c>
      <c r="T1246" s="27">
        <f t="shared" si="411"/>
        <v>20.154045022941879</v>
      </c>
      <c r="U1246" s="27">
        <f t="shared" si="411"/>
        <v>20.417483741296842</v>
      </c>
      <c r="V1246" s="27">
        <f t="shared" si="411"/>
        <v>20.215982998578138</v>
      </c>
      <c r="W1246" s="27">
        <f t="shared" si="411"/>
        <v>20.038764166788877</v>
      </c>
      <c r="X1246" s="27">
        <f t="shared" si="411"/>
        <v>19.983994613990216</v>
      </c>
      <c r="Y1246" s="27">
        <f t="shared" si="411"/>
        <v>20.046915484009698</v>
      </c>
      <c r="Z1246" s="27">
        <f t="shared" si="411"/>
        <v>20.164111817793334</v>
      </c>
      <c r="AA1246" s="27">
        <f t="shared" si="411"/>
        <v>20.348954154275784</v>
      </c>
      <c r="AB1246" s="27">
        <f t="shared" si="411"/>
        <v>20.645885200839494</v>
      </c>
      <c r="AC1246" s="27">
        <f t="shared" si="411"/>
        <v>21.044537894059989</v>
      </c>
      <c r="AD1246" s="27">
        <f t="shared" si="411"/>
        <v>21.498264632191113</v>
      </c>
      <c r="AE1246" s="27">
        <f t="shared" si="411"/>
        <v>22.002561256053959</v>
      </c>
      <c r="AF1246" s="27">
        <f t="shared" si="411"/>
        <v>22.532202643318037</v>
      </c>
      <c r="AG1246" s="27">
        <f t="shared" si="411"/>
        <v>23.096284889499795</v>
      </c>
      <c r="AH1246" s="27">
        <f t="shared" si="411"/>
        <v>23.682649825738739</v>
      </c>
      <c r="AI1246" s="27">
        <f t="shared" si="411"/>
        <v>24.251675615546215</v>
      </c>
      <c r="AJ1246" s="27">
        <f t="shared" si="411"/>
        <v>24.858335489218973</v>
      </c>
      <c r="AK1246" s="27">
        <f t="shared" si="411"/>
        <v>25.466205387661859</v>
      </c>
      <c r="AL1246" s="27">
        <f t="shared" si="411"/>
        <v>26.072093806701385</v>
      </c>
      <c r="AM1246" s="27">
        <f t="shared" si="411"/>
        <v>26.691678242844393</v>
      </c>
      <c r="AN1246" s="27">
        <f t="shared" si="411"/>
        <v>27.284891345865745</v>
      </c>
      <c r="AO1246" s="27">
        <f t="shared" si="411"/>
        <v>27.905654237830884</v>
      </c>
      <c r="AP1246" s="27">
        <f t="shared" si="411"/>
        <v>28.571861719635045</v>
      </c>
      <c r="AQ1246" s="27">
        <f t="shared" si="411"/>
        <v>29.249712050194997</v>
      </c>
      <c r="AR1246" s="27">
        <f t="shared" si="411"/>
        <v>29.940451406740536</v>
      </c>
      <c r="AS1246" s="27">
        <f t="shared" si="411"/>
        <v>30.678211789307159</v>
      </c>
      <c r="AT1246" s="27">
        <f t="shared" si="411"/>
        <v>31.450149667179016</v>
      </c>
      <c r="AU1246" s="27">
        <f t="shared" si="411"/>
        <v>32.247465982700263</v>
      </c>
      <c r="AV1246" s="27">
        <f t="shared" si="411"/>
        <v>33.090843547510339</v>
      </c>
      <c r="AW1246" s="27">
        <f t="shared" si="411"/>
        <v>33.85425291015099</v>
      </c>
      <c r="AY1246" s="79"/>
      <c r="AZ1246" s="79"/>
    </row>
    <row r="1247" spans="1:52" x14ac:dyDescent="0.25">
      <c r="A1247" s="95" t="str">
        <f t="shared" si="384"/>
        <v>FSFAGSPQNIBDDSCM Swine MMCH4</v>
      </c>
      <c r="B1247" s="95" t="s">
        <v>1374</v>
      </c>
      <c r="C1247" s="95" t="s">
        <v>1229</v>
      </c>
      <c r="D1247" t="s">
        <v>15</v>
      </c>
      <c r="E1247" t="s">
        <v>22</v>
      </c>
      <c r="F1247" t="s">
        <v>21</v>
      </c>
      <c r="G1247" t="s">
        <v>123</v>
      </c>
      <c r="H1247" t="s">
        <v>1226</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7.7543217949140569E-2</v>
      </c>
      <c r="N1247" s="27">
        <f t="shared" si="412"/>
        <v>7.6831311787104603E-2</v>
      </c>
      <c r="O1247" s="27">
        <f t="shared" si="412"/>
        <v>7.5668604825231994E-2</v>
      </c>
      <c r="P1247" s="27">
        <f t="shared" si="412"/>
        <v>7.4073684167079393E-2</v>
      </c>
      <c r="Q1247" s="27">
        <f t="shared" si="412"/>
        <v>7.291559489708703E-2</v>
      </c>
      <c r="R1247" s="27">
        <f t="shared" si="412"/>
        <v>7.1859980996426709E-2</v>
      </c>
      <c r="S1247" s="27">
        <f t="shared" si="412"/>
        <v>6.455324187339509E-2</v>
      </c>
      <c r="T1247" s="27">
        <f t="shared" si="412"/>
        <v>6.7470325262664888E-2</v>
      </c>
      <c r="U1247" s="27">
        <f t="shared" si="412"/>
        <v>6.8352247278516104E-2</v>
      </c>
      <c r="V1247" s="27">
        <f t="shared" si="412"/>
        <v>6.767767695596183E-2</v>
      </c>
      <c r="W1247" s="27">
        <f t="shared" si="412"/>
        <v>6.7084395944141104E-2</v>
      </c>
      <c r="X1247" s="27">
        <f t="shared" si="412"/>
        <v>6.6901042203608638E-2</v>
      </c>
      <c r="Y1247" s="27">
        <f t="shared" si="412"/>
        <v>6.7111684363095322E-2</v>
      </c>
      <c r="Z1247" s="27">
        <f t="shared" si="412"/>
        <v>6.7504026185839727E-2</v>
      </c>
      <c r="AA1247" s="27">
        <f t="shared" si="412"/>
        <v>6.8122828642149871E-2</v>
      </c>
      <c r="AB1247" s="27">
        <f t="shared" si="412"/>
        <v>6.9116873969995066E-2</v>
      </c>
      <c r="AC1247" s="27">
        <f t="shared" si="412"/>
        <v>7.0451456027731174E-2</v>
      </c>
      <c r="AD1247" s="27">
        <f t="shared" si="412"/>
        <v>7.1970411183742145E-2</v>
      </c>
      <c r="AE1247" s="27">
        <f t="shared" si="412"/>
        <v>7.3658660723829941E-2</v>
      </c>
      <c r="AF1247" s="27">
        <f t="shared" si="412"/>
        <v>7.5431757719028575E-2</v>
      </c>
      <c r="AG1247" s="27">
        <f t="shared" si="412"/>
        <v>7.7320153452066526E-2</v>
      </c>
      <c r="AH1247" s="27">
        <f t="shared" si="412"/>
        <v>7.9283145641754912E-2</v>
      </c>
      <c r="AI1247" s="27">
        <f t="shared" si="412"/>
        <v>8.1188091030010831E-2</v>
      </c>
      <c r="AJ1247" s="27">
        <f t="shared" si="412"/>
        <v>8.3219025214881143E-2</v>
      </c>
      <c r="AK1247" s="27">
        <f t="shared" si="412"/>
        <v>8.525401023742317E-2</v>
      </c>
      <c r="AL1247" s="27">
        <f t="shared" si="412"/>
        <v>8.7282361799551011E-2</v>
      </c>
      <c r="AM1247" s="27">
        <f t="shared" si="412"/>
        <v>8.9356563945406475E-2</v>
      </c>
      <c r="AN1247" s="27">
        <f t="shared" si="412"/>
        <v>9.1342481956672425E-2</v>
      </c>
      <c r="AO1247" s="27">
        <f t="shared" si="412"/>
        <v>9.3420629255847557E-2</v>
      </c>
      <c r="AP1247" s="27">
        <f t="shared" si="412"/>
        <v>9.5650912826147239E-2</v>
      </c>
      <c r="AQ1247" s="27">
        <f t="shared" si="412"/>
        <v>9.7920173524444973E-2</v>
      </c>
      <c r="AR1247" s="27">
        <f t="shared" si="412"/>
        <v>0.10023258321712952</v>
      </c>
      <c r="AS1247" s="27">
        <f t="shared" si="412"/>
        <v>0.1027024066655249</v>
      </c>
      <c r="AT1247" s="27">
        <f t="shared" si="412"/>
        <v>0.10528664718117813</v>
      </c>
      <c r="AU1247" s="27">
        <f t="shared" si="412"/>
        <v>0.10795584788427327</v>
      </c>
      <c r="AV1247" s="27">
        <f t="shared" si="412"/>
        <v>0.11077924926857086</v>
      </c>
      <c r="AW1247" s="27">
        <f t="shared" si="412"/>
        <v>0.11333493860772317</v>
      </c>
      <c r="AY1247" s="79"/>
      <c r="AZ1247" s="79"/>
    </row>
    <row r="1248" spans="1:52" x14ac:dyDescent="0.25">
      <c r="A1248" s="95" t="str">
        <f t="shared" si="384"/>
        <v>FSFAGSPQNIBDDSCM Poultry MMCH4</v>
      </c>
      <c r="B1248" s="95" t="s">
        <v>1374</v>
      </c>
      <c r="C1248" s="95" t="s">
        <v>1230</v>
      </c>
      <c r="D1248" t="s">
        <v>15</v>
      </c>
      <c r="E1248" t="s">
        <v>22</v>
      </c>
      <c r="F1248" t="s">
        <v>28</v>
      </c>
      <c r="G1248" t="s">
        <v>131</v>
      </c>
      <c r="H1248" t="s">
        <v>1226</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0.62068986953889782</v>
      </c>
      <c r="S1248" s="27">
        <f t="shared" si="413"/>
        <v>0.59573243019488353</v>
      </c>
      <c r="T1248" s="27">
        <f t="shared" si="413"/>
        <v>0.62060528502680601</v>
      </c>
      <c r="U1248" s="27">
        <f t="shared" si="413"/>
        <v>0.63538739650332932</v>
      </c>
      <c r="V1248" s="27">
        <f t="shared" si="413"/>
        <v>0.64244306993256506</v>
      </c>
      <c r="W1248" s="27">
        <f t="shared" si="413"/>
        <v>0.65026805947534316</v>
      </c>
      <c r="X1248" s="27">
        <f t="shared" si="413"/>
        <v>0.66047268102504608</v>
      </c>
      <c r="Y1248" s="27">
        <f t="shared" si="413"/>
        <v>0.67275642094337218</v>
      </c>
      <c r="Z1248" s="27">
        <f t="shared" si="413"/>
        <v>0.68607919631568115</v>
      </c>
      <c r="AA1248" s="27">
        <f t="shared" si="413"/>
        <v>0.70076804403320936</v>
      </c>
      <c r="AB1248" s="27">
        <f t="shared" si="413"/>
        <v>0.71779554918535993</v>
      </c>
      <c r="AC1248" s="27">
        <f t="shared" si="413"/>
        <v>0.73711000301021679</v>
      </c>
      <c r="AD1248" s="27">
        <f t="shared" si="413"/>
        <v>0.75788984228274747</v>
      </c>
      <c r="AE1248" s="27">
        <f t="shared" si="413"/>
        <v>0.78013180876638377</v>
      </c>
      <c r="AF1248" s="27">
        <f t="shared" si="413"/>
        <v>0.80337597870999389</v>
      </c>
      <c r="AG1248" s="27">
        <f t="shared" si="413"/>
        <v>0.82785833709156575</v>
      </c>
      <c r="AH1248" s="27">
        <f t="shared" si="413"/>
        <v>0.85337321588031811</v>
      </c>
      <c r="AI1248" s="27">
        <f t="shared" si="413"/>
        <v>0.87907798873871268</v>
      </c>
      <c r="AJ1248" s="27">
        <f t="shared" si="413"/>
        <v>0.90622461339542404</v>
      </c>
      <c r="AK1248" s="27">
        <f t="shared" si="413"/>
        <v>0.93400977893113157</v>
      </c>
      <c r="AL1248" s="27">
        <f t="shared" si="413"/>
        <v>0.96237643638695936</v>
      </c>
      <c r="AM1248" s="27">
        <f t="shared" si="413"/>
        <v>0.99172546365777581</v>
      </c>
      <c r="AN1248" s="27">
        <f t="shared" si="413"/>
        <v>1.0211032601995891</v>
      </c>
      <c r="AO1248" s="27">
        <f t="shared" si="413"/>
        <v>1.0518470326965137</v>
      </c>
      <c r="AP1248" s="27">
        <f t="shared" si="413"/>
        <v>1.0844705032412159</v>
      </c>
      <c r="AQ1248" s="27">
        <f t="shared" si="413"/>
        <v>1.1181722864478278</v>
      </c>
      <c r="AR1248" s="27">
        <f t="shared" si="413"/>
        <v>1.1530181967657136</v>
      </c>
      <c r="AS1248" s="27">
        <f t="shared" si="413"/>
        <v>1.1899731342287589</v>
      </c>
      <c r="AT1248" s="27">
        <f t="shared" si="413"/>
        <v>1.2287768115471775</v>
      </c>
      <c r="AU1248" s="27">
        <f t="shared" si="413"/>
        <v>1.2692627400827883</v>
      </c>
      <c r="AV1248" s="27">
        <f t="shared" si="413"/>
        <v>1.3120972726435587</v>
      </c>
      <c r="AW1248" s="27">
        <f t="shared" si="413"/>
        <v>1.3536832016924076</v>
      </c>
      <c r="AY1248" s="79"/>
      <c r="AZ1248" s="79"/>
    </row>
    <row r="1249" spans="1:52" x14ac:dyDescent="0.25">
      <c r="A1249" s="95" t="str">
        <f t="shared" si="384"/>
        <v>FSFAGSPQNIBDDSCM Poultry MMCH4</v>
      </c>
      <c r="B1249" s="95" t="s">
        <v>1374</v>
      </c>
      <c r="C1249" s="95" t="s">
        <v>1230</v>
      </c>
      <c r="D1249" t="s">
        <v>15</v>
      </c>
      <c r="E1249" t="s">
        <v>22</v>
      </c>
      <c r="F1249" t="s">
        <v>28</v>
      </c>
      <c r="G1249" t="s">
        <v>132</v>
      </c>
      <c r="H1249" t="s">
        <v>1226</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2.2858678822724814</v>
      </c>
      <c r="N1249" s="27">
        <f t="shared" si="414"/>
        <v>2.2992900748078591</v>
      </c>
      <c r="O1249" s="27">
        <f t="shared" si="414"/>
        <v>2.2910596881616558</v>
      </c>
      <c r="P1249" s="27">
        <f t="shared" si="414"/>
        <v>2.2612642885898917</v>
      </c>
      <c r="Q1249" s="27">
        <f t="shared" si="414"/>
        <v>2.2487211059946204</v>
      </c>
      <c r="R1249" s="27">
        <f t="shared" si="414"/>
        <v>2.2390235702415184</v>
      </c>
      <c r="S1249" s="27">
        <f t="shared" si="414"/>
        <v>1.9480109024353172</v>
      </c>
      <c r="T1249" s="27">
        <f t="shared" si="414"/>
        <v>2.1242573648526935</v>
      </c>
      <c r="U1249" s="27">
        <f t="shared" si="414"/>
        <v>2.2090616174503466</v>
      </c>
      <c r="V1249" s="27">
        <f t="shared" si="414"/>
        <v>2.219672639907655</v>
      </c>
      <c r="W1249" s="27">
        <f t="shared" si="414"/>
        <v>2.2319049749890385</v>
      </c>
      <c r="X1249" s="27">
        <f t="shared" si="414"/>
        <v>2.2629262949362925</v>
      </c>
      <c r="Y1249" s="27">
        <f t="shared" si="414"/>
        <v>2.3140044447008137</v>
      </c>
      <c r="Z1249" s="27">
        <f t="shared" si="414"/>
        <v>2.3751177408865005</v>
      </c>
      <c r="AA1249" s="27">
        <f t="shared" si="414"/>
        <v>2.4489635487241519</v>
      </c>
      <c r="AB1249" s="27">
        <f t="shared" si="414"/>
        <v>2.5437406386090786</v>
      </c>
      <c r="AC1249" s="27">
        <f t="shared" si="414"/>
        <v>2.6583677679701894</v>
      </c>
      <c r="AD1249" s="27">
        <f t="shared" si="414"/>
        <v>2.7852398205087883</v>
      </c>
      <c r="AE1249" s="27">
        <f t="shared" si="414"/>
        <v>2.9239358907782309</v>
      </c>
      <c r="AF1249" s="27">
        <f t="shared" si="414"/>
        <v>3.0702342900973978</v>
      </c>
      <c r="AG1249" s="27">
        <f t="shared" si="414"/>
        <v>3.2260927445342245</v>
      </c>
      <c r="AH1249" s="27">
        <f t="shared" si="414"/>
        <v>3.3895233708783912</v>
      </c>
      <c r="AI1249" s="27">
        <f t="shared" si="414"/>
        <v>3.5531911169091885</v>
      </c>
      <c r="AJ1249" s="27">
        <f t="shared" si="414"/>
        <v>3.7276822125599338</v>
      </c>
      <c r="AK1249" s="27">
        <f t="shared" si="414"/>
        <v>3.9062898323416295</v>
      </c>
      <c r="AL1249" s="27">
        <f t="shared" si="414"/>
        <v>4.0884842597865152</v>
      </c>
      <c r="AM1249" s="27">
        <f t="shared" si="414"/>
        <v>4.2774788120039364</v>
      </c>
      <c r="AN1249" s="27">
        <f t="shared" si="414"/>
        <v>4.4653386243384539</v>
      </c>
      <c r="AO1249" s="27">
        <f t="shared" si="414"/>
        <v>4.6630770817729719</v>
      </c>
      <c r="AP1249" s="27">
        <f t="shared" si="414"/>
        <v>4.8747652719370373</v>
      </c>
      <c r="AQ1249" s="27">
        <f t="shared" si="414"/>
        <v>5.0937607978342658</v>
      </c>
      <c r="AR1249" s="27">
        <f t="shared" si="414"/>
        <v>5.3205750433635002</v>
      </c>
      <c r="AS1249" s="27">
        <f t="shared" si="414"/>
        <v>5.5628565017727221</v>
      </c>
      <c r="AT1249" s="27">
        <f t="shared" si="414"/>
        <v>5.8183308290473201</v>
      </c>
      <c r="AU1249" s="27">
        <f t="shared" si="414"/>
        <v>6.0854872952292993</v>
      </c>
      <c r="AV1249" s="27">
        <f t="shared" si="414"/>
        <v>6.3693601721837521</v>
      </c>
      <c r="AW1249" s="27">
        <f t="shared" si="414"/>
        <v>6.641848924312276</v>
      </c>
      <c r="AY1249" s="79"/>
      <c r="AZ1249" s="79"/>
    </row>
    <row r="1250" spans="1:52" x14ac:dyDescent="0.25">
      <c r="A1250" s="95" t="str">
        <f t="shared" si="384"/>
        <v>FSFAGSPQNIBDDSCM Poultry MMCH4</v>
      </c>
      <c r="B1250" s="95" t="s">
        <v>1374</v>
      </c>
      <c r="C1250" s="95" t="s">
        <v>1230</v>
      </c>
      <c r="D1250" t="s">
        <v>15</v>
      </c>
      <c r="E1250" t="s">
        <v>22</v>
      </c>
      <c r="F1250" t="s">
        <v>28</v>
      </c>
      <c r="G1250" t="s">
        <v>134</v>
      </c>
      <c r="H1250" t="s">
        <v>1226</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2.4944242822745922E-2</v>
      </c>
      <c r="P1250" s="27">
        <f t="shared" si="415"/>
        <v>2.5198104828966561E-2</v>
      </c>
      <c r="Q1250" s="27">
        <f t="shared" si="415"/>
        <v>2.5523625995077459E-2</v>
      </c>
      <c r="R1250" s="27">
        <f t="shared" si="415"/>
        <v>2.5862077897454101E-2</v>
      </c>
      <c r="S1250" s="27">
        <f t="shared" si="415"/>
        <v>2.4822184591453505E-2</v>
      </c>
      <c r="T1250" s="27">
        <f t="shared" si="415"/>
        <v>2.5858553542783609E-2</v>
      </c>
      <c r="U1250" s="27">
        <f t="shared" si="415"/>
        <v>2.6474474854305419E-2</v>
      </c>
      <c r="V1250" s="27">
        <f t="shared" si="415"/>
        <v>2.6768461247190234E-2</v>
      </c>
      <c r="W1250" s="27">
        <f t="shared" si="415"/>
        <v>2.709450247813933E-2</v>
      </c>
      <c r="X1250" s="27">
        <f t="shared" si="415"/>
        <v>2.751969504271028E-2</v>
      </c>
      <c r="Y1250" s="27">
        <f t="shared" si="415"/>
        <v>2.8031517539307202E-2</v>
      </c>
      <c r="Z1250" s="27">
        <f t="shared" si="415"/>
        <v>2.8586633179820076E-2</v>
      </c>
      <c r="AA1250" s="27">
        <f t="shared" si="415"/>
        <v>2.9198668501383751E-2</v>
      </c>
      <c r="AB1250" s="27">
        <f t="shared" si="415"/>
        <v>2.9908147882723356E-2</v>
      </c>
      <c r="AC1250" s="27">
        <f t="shared" si="415"/>
        <v>3.0712916792092395E-2</v>
      </c>
      <c r="AD1250" s="27">
        <f t="shared" si="415"/>
        <v>3.1578743428447839E-2</v>
      </c>
      <c r="AE1250" s="27">
        <f t="shared" si="415"/>
        <v>3.250549203193269E-2</v>
      </c>
      <c r="AF1250" s="27">
        <f t="shared" si="415"/>
        <v>3.3473999112916437E-2</v>
      </c>
      <c r="AG1250" s="27">
        <f t="shared" si="415"/>
        <v>3.4494097378815265E-2</v>
      </c>
      <c r="AH1250" s="27">
        <f t="shared" si="415"/>
        <v>3.5557217328346623E-2</v>
      </c>
      <c r="AI1250" s="27">
        <f t="shared" si="415"/>
        <v>3.6628249530779734E-2</v>
      </c>
      <c r="AJ1250" s="27">
        <f t="shared" si="415"/>
        <v>3.7759358891476039E-2</v>
      </c>
      <c r="AK1250" s="27">
        <f t="shared" si="415"/>
        <v>3.8917074122130517E-2</v>
      </c>
      <c r="AL1250" s="27">
        <f t="shared" si="415"/>
        <v>4.0099018182790006E-2</v>
      </c>
      <c r="AM1250" s="27">
        <f t="shared" si="415"/>
        <v>4.1321894319074036E-2</v>
      </c>
      <c r="AN1250" s="27">
        <f t="shared" si="415"/>
        <v>4.2545969174982913E-2</v>
      </c>
      <c r="AO1250" s="27">
        <f t="shared" si="415"/>
        <v>4.382695969568811E-2</v>
      </c>
      <c r="AP1250" s="27">
        <f t="shared" si="415"/>
        <v>4.5186270968384026E-2</v>
      </c>
      <c r="AQ1250" s="27">
        <f t="shared" si="415"/>
        <v>4.6590511935326193E-2</v>
      </c>
      <c r="AR1250" s="27">
        <f t="shared" si="415"/>
        <v>4.8042424865238111E-2</v>
      </c>
      <c r="AS1250" s="27">
        <f t="shared" si="415"/>
        <v>4.958221392619834E-2</v>
      </c>
      <c r="AT1250" s="27">
        <f t="shared" si="415"/>
        <v>5.1199033814465784E-2</v>
      </c>
      <c r="AU1250" s="27">
        <f t="shared" si="415"/>
        <v>5.2885947503449555E-2</v>
      </c>
      <c r="AV1250" s="27">
        <f t="shared" si="415"/>
        <v>5.4670719693481661E-2</v>
      </c>
      <c r="AW1250" s="27">
        <f t="shared" si="415"/>
        <v>5.6403466737183702E-2</v>
      </c>
      <c r="AY1250" s="79"/>
      <c r="AZ1250" s="79"/>
    </row>
    <row r="1251" spans="1:52" x14ac:dyDescent="0.25">
      <c r="A1251" s="95" t="str">
        <f t="shared" si="384"/>
        <v>FSFAGSPQNIBDDSCM Poultry MMCH4</v>
      </c>
      <c r="B1251" s="95" t="s">
        <v>1374</v>
      </c>
      <c r="C1251" s="95" t="s">
        <v>1230</v>
      </c>
      <c r="D1251" t="s">
        <v>15</v>
      </c>
      <c r="E1251" t="s">
        <v>22</v>
      </c>
      <c r="F1251" t="s">
        <v>28</v>
      </c>
      <c r="G1251" t="s">
        <v>133</v>
      </c>
      <c r="H1251" t="s">
        <v>1226</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9.5244495094686812E-2</v>
      </c>
      <c r="N1251" s="27">
        <f t="shared" si="416"/>
        <v>9.5803753116994184E-2</v>
      </c>
      <c r="O1251" s="27">
        <f t="shared" si="416"/>
        <v>9.5460820340069058E-2</v>
      </c>
      <c r="P1251" s="27">
        <f t="shared" si="416"/>
        <v>9.4219345357912251E-2</v>
      </c>
      <c r="Q1251" s="27">
        <f t="shared" si="416"/>
        <v>9.3696712749775937E-2</v>
      </c>
      <c r="R1251" s="27">
        <f t="shared" si="416"/>
        <v>9.3292648760063338E-2</v>
      </c>
      <c r="S1251" s="27">
        <f t="shared" si="416"/>
        <v>8.1167120934804951E-2</v>
      </c>
      <c r="T1251" s="27">
        <f t="shared" si="416"/>
        <v>8.8510723535528968E-2</v>
      </c>
      <c r="U1251" s="27">
        <f t="shared" si="416"/>
        <v>9.2044234060431204E-2</v>
      </c>
      <c r="V1251" s="27">
        <f t="shared" si="416"/>
        <v>9.2486359996152387E-2</v>
      </c>
      <c r="W1251" s="27">
        <f t="shared" si="416"/>
        <v>9.299604062454335E-2</v>
      </c>
      <c r="X1251" s="27">
        <f t="shared" si="416"/>
        <v>9.4288595622345608E-2</v>
      </c>
      <c r="Y1251" s="27">
        <f t="shared" si="416"/>
        <v>9.6416851862533987E-2</v>
      </c>
      <c r="Z1251" s="27">
        <f t="shared" si="416"/>
        <v>9.8963239203604281E-2</v>
      </c>
      <c r="AA1251" s="27">
        <f t="shared" si="416"/>
        <v>0.1020401478635064</v>
      </c>
      <c r="AB1251" s="27">
        <f t="shared" si="416"/>
        <v>0.10598919327537835</v>
      </c>
      <c r="AC1251" s="27">
        <f t="shared" si="416"/>
        <v>0.11076532366542467</v>
      </c>
      <c r="AD1251" s="27">
        <f t="shared" si="416"/>
        <v>0.11605165918786628</v>
      </c>
      <c r="AE1251" s="27">
        <f t="shared" si="416"/>
        <v>0.12183066211575974</v>
      </c>
      <c r="AF1251" s="27">
        <f t="shared" si="416"/>
        <v>0.12792642875405835</v>
      </c>
      <c r="AG1251" s="27">
        <f t="shared" si="416"/>
        <v>0.13442053102225948</v>
      </c>
      <c r="AH1251" s="27">
        <f t="shared" si="416"/>
        <v>0.1412301404532664</v>
      </c>
      <c r="AI1251" s="27">
        <f t="shared" si="416"/>
        <v>0.14804962987121634</v>
      </c>
      <c r="AJ1251" s="27">
        <f t="shared" si="416"/>
        <v>0.15532009218999737</v>
      </c>
      <c r="AK1251" s="27">
        <f t="shared" si="416"/>
        <v>0.16276207634756804</v>
      </c>
      <c r="AL1251" s="27">
        <f t="shared" si="416"/>
        <v>0.17035351082443828</v>
      </c>
      <c r="AM1251" s="27">
        <f t="shared" si="416"/>
        <v>0.17822828383349751</v>
      </c>
      <c r="AN1251" s="27">
        <f t="shared" si="416"/>
        <v>0.18605577601410239</v>
      </c>
      <c r="AO1251" s="27">
        <f t="shared" si="416"/>
        <v>0.19429487840720733</v>
      </c>
      <c r="AP1251" s="27">
        <f t="shared" si="416"/>
        <v>0.20311521966404342</v>
      </c>
      <c r="AQ1251" s="27">
        <f t="shared" si="416"/>
        <v>0.21224003324309459</v>
      </c>
      <c r="AR1251" s="27">
        <f t="shared" si="416"/>
        <v>0.22169062680681273</v>
      </c>
      <c r="AS1251" s="27">
        <f t="shared" si="416"/>
        <v>0.23178568757386364</v>
      </c>
      <c r="AT1251" s="27">
        <f t="shared" si="416"/>
        <v>0.24243045121030524</v>
      </c>
      <c r="AU1251" s="27">
        <f t="shared" si="416"/>
        <v>0.25356197063455443</v>
      </c>
      <c r="AV1251" s="27">
        <f t="shared" si="416"/>
        <v>0.26539000717432326</v>
      </c>
      <c r="AW1251" s="27">
        <f t="shared" si="416"/>
        <v>0.27674370517967845</v>
      </c>
      <c r="AY1251" s="79"/>
      <c r="AZ1251" s="79"/>
    </row>
    <row r="1252" spans="1:52" x14ac:dyDescent="0.25">
      <c r="A1252" s="95" t="str">
        <f t="shared" si="384"/>
        <v>FSFAGSPQNIBDDSCM Cattle MMN2O</v>
      </c>
      <c r="B1252" s="95" t="s">
        <v>1374</v>
      </c>
      <c r="C1252" s="95" t="s">
        <v>1231</v>
      </c>
      <c r="D1252" t="s">
        <v>15</v>
      </c>
      <c r="E1252" t="s">
        <v>657</v>
      </c>
      <c r="F1252" t="s">
        <v>6</v>
      </c>
      <c r="G1252" t="s">
        <v>136</v>
      </c>
      <c r="H1252" t="s">
        <v>1226</v>
      </c>
      <c r="I1252" t="s">
        <v>139</v>
      </c>
      <c r="J1252" t="s">
        <v>287</v>
      </c>
      <c r="K1252" s="27">
        <f t="shared" ref="K1252:AW1252" si="417">IFERROR(K1411-((K1411-K36)+(K1411-K189)+(K1411-K342)+(K1411-K494)+(K1411-K646)+(K1411-K797)+(K1411-K948)+(K1411-K1099)),0)</f>
        <v>5.9474079071945893E-2</v>
      </c>
      <c r="L1252" s="27">
        <f t="shared" si="417"/>
        <v>5.9806569587962537E-2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6.1344406036983781E-2</v>
      </c>
      <c r="S1252" s="27">
        <f t="shared" si="417"/>
        <v>5.9572576433389555E-2</v>
      </c>
      <c r="T1252" s="27">
        <f t="shared" si="417"/>
        <v>6.0773920175181823E-2</v>
      </c>
      <c r="U1252" s="27">
        <f t="shared" si="417"/>
        <v>6.1370278320054004E-2</v>
      </c>
      <c r="V1252" s="27">
        <f t="shared" si="417"/>
        <v>6.1526022860848524E-2</v>
      </c>
      <c r="W1252" s="27">
        <f t="shared" si="417"/>
        <v>6.174747330575011E-2</v>
      </c>
      <c r="X1252" s="27">
        <f t="shared" si="417"/>
        <v>6.2119068821813103E-2</v>
      </c>
      <c r="Y1252" s="27">
        <f t="shared" si="417"/>
        <v>6.2609959575984822E-2</v>
      </c>
      <c r="Z1252" s="27">
        <f t="shared" si="417"/>
        <v>6.3159566495841341E-2</v>
      </c>
      <c r="AA1252" s="27">
        <f t="shared" si="417"/>
        <v>6.3785199118486416E-2</v>
      </c>
      <c r="AB1252" s="27">
        <f t="shared" si="417"/>
        <v>6.4540499300557705E-2</v>
      </c>
      <c r="AC1252" s="27">
        <f t="shared" si="417"/>
        <v>6.5421079387025072E-2</v>
      </c>
      <c r="AD1252" s="27">
        <f t="shared" si="417"/>
        <v>6.6379515175029838E-2</v>
      </c>
      <c r="AE1252" s="27">
        <f t="shared" si="417"/>
        <v>6.7414940444444876E-2</v>
      </c>
      <c r="AF1252" s="27">
        <f t="shared" si="417"/>
        <v>6.8501080209535048E-2</v>
      </c>
      <c r="AG1252" s="27">
        <f t="shared" si="417"/>
        <v>6.9650082739835181E-2</v>
      </c>
      <c r="AH1252" s="27">
        <f t="shared" si="417"/>
        <v>7.085013376505013E-2</v>
      </c>
      <c r="AI1252" s="27">
        <f t="shared" si="417"/>
        <v>7.2054990287027845E-2</v>
      </c>
      <c r="AJ1252" s="27">
        <f t="shared" si="417"/>
        <v>7.3332422489630317E-2</v>
      </c>
      <c r="AK1252" s="27">
        <f t="shared" si="417"/>
        <v>7.4637775238334716E-2</v>
      </c>
      <c r="AL1252" s="27">
        <f t="shared" si="417"/>
        <v>7.596772859981879E-2</v>
      </c>
      <c r="AM1252" s="27">
        <f t="shared" si="417"/>
        <v>7.734370972563348E-2</v>
      </c>
      <c r="AN1252" s="27">
        <f t="shared" si="417"/>
        <v>7.871435132056126E-2</v>
      </c>
      <c r="AO1252" s="27">
        <f t="shared" si="417"/>
        <v>8.0150831900584182E-2</v>
      </c>
      <c r="AP1252" s="27">
        <f t="shared" si="417"/>
        <v>8.1679672713355286E-2</v>
      </c>
      <c r="AQ1252" s="27">
        <f t="shared" si="417"/>
        <v>8.3257530462489515E-2</v>
      </c>
      <c r="AR1252" s="27">
        <f t="shared" si="417"/>
        <v>8.4887259744612836E-2</v>
      </c>
      <c r="AS1252" s="27">
        <f t="shared" si="417"/>
        <v>8.6619011221600456E-2</v>
      </c>
      <c r="AT1252" s="27">
        <f t="shared" si="417"/>
        <v>8.8438220768671E-2</v>
      </c>
      <c r="AU1252" s="27">
        <f t="shared" si="417"/>
        <v>9.0335502519381064E-2</v>
      </c>
      <c r="AV1252" s="27">
        <f t="shared" si="417"/>
        <v>9.2345044060296602E-2</v>
      </c>
      <c r="AW1252" s="27">
        <f t="shared" si="417"/>
        <v>9.4278593479446449E-2</v>
      </c>
      <c r="AY1252" s="79"/>
      <c r="AZ1252" s="79"/>
    </row>
    <row r="1253" spans="1:52" x14ac:dyDescent="0.25">
      <c r="A1253" s="95" t="str">
        <f t="shared" si="384"/>
        <v>FSFAGSPQNIBDDSCM Cattle MMN2O</v>
      </c>
      <c r="B1253" s="95" t="s">
        <v>1374</v>
      </c>
      <c r="C1253" s="95" t="s">
        <v>1231</v>
      </c>
      <c r="D1253" t="s">
        <v>15</v>
      </c>
      <c r="E1253" t="s">
        <v>657</v>
      </c>
      <c r="F1253" t="s">
        <v>6</v>
      </c>
      <c r="G1253" t="s">
        <v>137</v>
      </c>
      <c r="H1253" t="s">
        <v>1226</v>
      </c>
      <c r="I1253" t="s">
        <v>139</v>
      </c>
      <c r="J1253" t="s">
        <v>287</v>
      </c>
      <c r="K1253" s="27">
        <f t="shared" ref="K1253:AW1253" si="418">IFERROR(K1412-((K1412-K37)+(K1412-K190)+(K1412-K343)+(K1412-K495)+(K1412-K647)+(K1412-K798)+(K1412-K949)+(K1412-K1100)),0)</f>
        <v>0.26041511380118898</v>
      </c>
      <c r="L1253" s="27">
        <f t="shared" si="418"/>
        <v>0.26187096745907495</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0.26860458755254507</v>
      </c>
      <c r="S1253" s="27">
        <f t="shared" si="418"/>
        <v>0.26084639751318123</v>
      </c>
      <c r="T1253" s="27">
        <f t="shared" si="418"/>
        <v>0.26610663982571414</v>
      </c>
      <c r="U1253" s="27">
        <f t="shared" si="418"/>
        <v>0.26871787276259229</v>
      </c>
      <c r="V1253" s="27">
        <f t="shared" si="418"/>
        <v>0.26939982081370628</v>
      </c>
      <c r="W1253" s="27">
        <f t="shared" si="418"/>
        <v>0.27036947084797774</v>
      </c>
      <c r="X1253" s="27">
        <f t="shared" si="418"/>
        <v>0.27199655091569075</v>
      </c>
      <c r="Y1253" s="27">
        <f t="shared" si="418"/>
        <v>0.27414598094649351</v>
      </c>
      <c r="Z1253" s="27">
        <f t="shared" si="418"/>
        <v>0.27655250746718535</v>
      </c>
      <c r="AA1253" s="27">
        <f t="shared" si="418"/>
        <v>0.27929192257316399</v>
      </c>
      <c r="AB1253" s="27">
        <f t="shared" si="418"/>
        <v>0.28259910422166357</v>
      </c>
      <c r="AC1253" s="27">
        <f t="shared" si="418"/>
        <v>0.28645484048537356</v>
      </c>
      <c r="AD1253" s="27">
        <f t="shared" si="418"/>
        <v>0.29065147822569842</v>
      </c>
      <c r="AE1253" s="27">
        <f t="shared" si="418"/>
        <v>0.29518522458335378</v>
      </c>
      <c r="AF1253" s="27">
        <f t="shared" si="418"/>
        <v>0.2999410310614633</v>
      </c>
      <c r="AG1253" s="27">
        <f t="shared" si="418"/>
        <v>0.30497209046339202</v>
      </c>
      <c r="AH1253" s="27">
        <f t="shared" si="418"/>
        <v>0.31022667244557844</v>
      </c>
      <c r="AI1253" s="27">
        <f t="shared" si="418"/>
        <v>0.31550229593031343</v>
      </c>
      <c r="AJ1253" s="27">
        <f t="shared" si="418"/>
        <v>0.32109570162242335</v>
      </c>
      <c r="AK1253" s="27">
        <f t="shared" si="418"/>
        <v>0.32681136111491149</v>
      </c>
      <c r="AL1253" s="27">
        <f t="shared" si="418"/>
        <v>0.33263473764104773</v>
      </c>
      <c r="AM1253" s="27">
        <f t="shared" si="418"/>
        <v>0.33865965281516675</v>
      </c>
      <c r="AN1253" s="27">
        <f t="shared" si="418"/>
        <v>0.34466118814776064</v>
      </c>
      <c r="AO1253" s="27">
        <f t="shared" si="418"/>
        <v>0.35095100817620256</v>
      </c>
      <c r="AP1253" s="27">
        <f t="shared" si="418"/>
        <v>0.35764523968771644</v>
      </c>
      <c r="AQ1253" s="27">
        <f t="shared" si="418"/>
        <v>0.36455409833193048</v>
      </c>
      <c r="AR1253" s="27">
        <f t="shared" si="418"/>
        <v>0.37169008333736225</v>
      </c>
      <c r="AS1253" s="27">
        <f t="shared" si="418"/>
        <v>0.37927278600367109</v>
      </c>
      <c r="AT1253" s="27">
        <f t="shared" si="418"/>
        <v>0.38723843538607666</v>
      </c>
      <c r="AU1253" s="27">
        <f t="shared" si="418"/>
        <v>0.39554593422815865</v>
      </c>
      <c r="AV1253" s="27">
        <f t="shared" si="418"/>
        <v>0.4043449773950597</v>
      </c>
      <c r="AW1253" s="27">
        <f t="shared" si="418"/>
        <v>0.41281127901561981</v>
      </c>
      <c r="AY1253" s="79"/>
      <c r="AZ1253" s="79"/>
    </row>
    <row r="1254" spans="1:52" x14ac:dyDescent="0.25">
      <c r="A1254" s="95" t="str">
        <f t="shared" si="384"/>
        <v>FSFAGSPQNIBDDSCM Cattle MMN2O</v>
      </c>
      <c r="B1254" s="95" t="s">
        <v>1374</v>
      </c>
      <c r="C1254" s="95" t="s">
        <v>1231</v>
      </c>
      <c r="D1254" t="s">
        <v>15</v>
      </c>
      <c r="E1254" t="s">
        <v>657</v>
      </c>
      <c r="F1254" t="s">
        <v>67</v>
      </c>
      <c r="G1254" t="s">
        <v>307</v>
      </c>
      <c r="H1254" t="s">
        <v>1226</v>
      </c>
      <c r="I1254" t="s">
        <v>139</v>
      </c>
      <c r="J1254" t="s">
        <v>287</v>
      </c>
      <c r="K1254" s="27">
        <f t="shared" ref="K1254:AW1254" si="419">IFERROR(K1413-((K1413-K38)+(K1413-K191)+(K1413-K344)+(K1413-K496)+(K1413-K648)+(K1413-K799)+(K1413-K950)+(K1413-K1101)),0)</f>
        <v>1.1586934798802538E-2</v>
      </c>
      <c r="L1254" s="27">
        <f t="shared" si="419"/>
        <v>1.1651711689683767E-2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1.1951318021451862E-2</v>
      </c>
      <c r="S1254" s="27">
        <f t="shared" si="419"/>
        <v>1.1606124377232515E-2</v>
      </c>
      <c r="T1254" s="27">
        <f t="shared" si="419"/>
        <v>1.1840174098124497E-2</v>
      </c>
      <c r="U1254" s="27">
        <f t="shared" si="419"/>
        <v>1.1956358544343662E-2</v>
      </c>
      <c r="V1254" s="27">
        <f t="shared" si="419"/>
        <v>1.198670120567806E-2</v>
      </c>
      <c r="W1254" s="27">
        <f t="shared" si="419"/>
        <v>1.2029844906367174E-2</v>
      </c>
      <c r="X1254" s="27">
        <f t="shared" si="419"/>
        <v>1.2102240361384485E-2</v>
      </c>
      <c r="Y1254" s="27">
        <f t="shared" si="419"/>
        <v>1.2197877305254469E-2</v>
      </c>
      <c r="Z1254" s="27">
        <f t="shared" si="419"/>
        <v>1.2304953524755821E-2</v>
      </c>
      <c r="AA1254" s="27">
        <f t="shared" si="419"/>
        <v>1.2426841320577307E-2</v>
      </c>
      <c r="AB1254" s="27">
        <f t="shared" si="419"/>
        <v>1.2573991374848796E-2</v>
      </c>
      <c r="AC1254" s="27">
        <f t="shared" si="419"/>
        <v>1.2745548870252437E-2</v>
      </c>
      <c r="AD1254" s="27">
        <f t="shared" si="419"/>
        <v>1.2932274468323759E-2</v>
      </c>
      <c r="AE1254" s="27">
        <f t="shared" si="419"/>
        <v>1.3133999409221648E-2</v>
      </c>
      <c r="AF1254" s="27">
        <f t="shared" si="419"/>
        <v>1.3345604714202703E-2</v>
      </c>
      <c r="AG1254" s="27">
        <f t="shared" si="419"/>
        <v>1.3569457148910296E-2</v>
      </c>
      <c r="AH1254" s="27">
        <f t="shared" si="419"/>
        <v>1.3803255018526413E-2</v>
      </c>
      <c r="AI1254" s="27">
        <f t="shared" si="419"/>
        <v>1.4037989110754724E-2</v>
      </c>
      <c r="AJ1254" s="27">
        <f t="shared" si="419"/>
        <v>1.4286862634690086E-2</v>
      </c>
      <c r="AK1254" s="27">
        <f t="shared" si="419"/>
        <v>1.4541175730826956E-2</v>
      </c>
      <c r="AL1254" s="27">
        <f t="shared" si="419"/>
        <v>1.4800281598886257E-2</v>
      </c>
      <c r="AM1254" s="27">
        <f t="shared" si="419"/>
        <v>1.5068354746684156E-2</v>
      </c>
      <c r="AN1254" s="27">
        <f t="shared" si="419"/>
        <v>1.533538762959342E-2</v>
      </c>
      <c r="AO1254" s="27">
        <f t="shared" si="419"/>
        <v>1.5615247479131181E-2</v>
      </c>
      <c r="AP1254" s="27">
        <f t="shared" si="419"/>
        <v>1.5913101251593929E-2</v>
      </c>
      <c r="AQ1254" s="27">
        <f t="shared" si="419"/>
        <v>1.6220504664076991E-2</v>
      </c>
      <c r="AR1254" s="27">
        <f t="shared" si="419"/>
        <v>1.6538013858440784E-2</v>
      </c>
      <c r="AS1254" s="27">
        <f t="shared" si="419"/>
        <v>1.6875399350821628E-2</v>
      </c>
      <c r="AT1254" s="27">
        <f t="shared" si="419"/>
        <v>1.7229823710747674E-2</v>
      </c>
      <c r="AU1254" s="27">
        <f t="shared" si="419"/>
        <v>1.7599458352989747E-2</v>
      </c>
      <c r="AV1254" s="27">
        <f t="shared" si="419"/>
        <v>1.7990963815090407E-2</v>
      </c>
      <c r="AW1254" s="27">
        <f t="shared" si="419"/>
        <v>1.836766424323575E-2</v>
      </c>
      <c r="AY1254" s="79"/>
      <c r="AZ1254" s="79"/>
    </row>
    <row r="1255" spans="1:52" x14ac:dyDescent="0.25">
      <c r="A1255" s="95" t="str">
        <f t="shared" si="384"/>
        <v>FSFAGSPQNIBDDSCM Cattle MMN2O</v>
      </c>
      <c r="B1255" s="95" t="s">
        <v>1374</v>
      </c>
      <c r="C1255" s="95" t="s">
        <v>1231</v>
      </c>
      <c r="D1255" t="s">
        <v>15</v>
      </c>
      <c r="E1255" t="s">
        <v>657</v>
      </c>
      <c r="F1255" t="s">
        <v>67</v>
      </c>
      <c r="G1255" t="s">
        <v>122</v>
      </c>
      <c r="H1255" t="s">
        <v>1226</v>
      </c>
      <c r="I1255" t="s">
        <v>139</v>
      </c>
      <c r="J1255" t="s">
        <v>287</v>
      </c>
      <c r="K1255" s="27">
        <f t="shared" ref="K1255:AW1255" si="420">IFERROR(K1414-((K1414-K39)+(K1414-K192)+(K1414-K345)+(K1414-K497)+(K1414-K649)+(K1414-K800)+(K1414-K951)+(K1414-K1102)),0)</f>
        <v>0.52525224947331295</v>
      </c>
      <c r="L1255" s="27">
        <f t="shared" si="420"/>
        <v>0.52069690445710348</v>
      </c>
      <c r="M1255" s="27">
        <f t="shared" si="420"/>
        <v>0.51896282251134851</v>
      </c>
      <c r="N1255" s="27">
        <f t="shared" si="420"/>
        <v>0.51203275332440912</v>
      </c>
      <c r="O1255" s="27">
        <f t="shared" si="420"/>
        <v>0.50197358865556663</v>
      </c>
      <c r="P1255" s="27">
        <f t="shared" si="420"/>
        <v>0.48899333628247271</v>
      </c>
      <c r="Q1255" s="27">
        <f t="shared" si="420"/>
        <v>0.47875543160314177</v>
      </c>
      <c r="R1255" s="27">
        <f t="shared" si="420"/>
        <v>0.46906920988966794</v>
      </c>
      <c r="S1255" s="27">
        <f t="shared" si="420"/>
        <v>0.41885745966075799</v>
      </c>
      <c r="T1255" s="27">
        <f t="shared" si="420"/>
        <v>0.43888316121589754</v>
      </c>
      <c r="U1255" s="27">
        <f t="shared" si="420"/>
        <v>0.44581606294816456</v>
      </c>
      <c r="V1255" s="27">
        <f t="shared" si="420"/>
        <v>0.4428053451992871</v>
      </c>
      <c r="W1255" s="27">
        <f t="shared" si="420"/>
        <v>0.44035633830428106</v>
      </c>
      <c r="X1255" s="27">
        <f t="shared" si="420"/>
        <v>0.44051721103792468</v>
      </c>
      <c r="Y1255" s="27">
        <f t="shared" si="420"/>
        <v>0.44310396179359002</v>
      </c>
      <c r="Z1255" s="27">
        <f t="shared" si="420"/>
        <v>0.4467743835824281</v>
      </c>
      <c r="AA1255" s="27">
        <f t="shared" si="420"/>
        <v>0.45182412453822507</v>
      </c>
      <c r="AB1255" s="27">
        <f t="shared" si="420"/>
        <v>0.4592210041031291</v>
      </c>
      <c r="AC1255" s="27">
        <f t="shared" si="420"/>
        <v>0.46875611727926397</v>
      </c>
      <c r="AD1255" s="27">
        <f t="shared" si="420"/>
        <v>0.47540395120736983</v>
      </c>
      <c r="AE1255" s="27">
        <f t="shared" si="420"/>
        <v>0.48283708354051091</v>
      </c>
      <c r="AF1255" s="27">
        <f t="shared" si="420"/>
        <v>0.49049534376627268</v>
      </c>
      <c r="AG1255" s="27">
        <f t="shared" si="420"/>
        <v>0.49854885128886806</v>
      </c>
      <c r="AH1255" s="27">
        <f t="shared" si="420"/>
        <v>0.50672298371374713</v>
      </c>
      <c r="AI1255" s="27">
        <f t="shared" si="420"/>
        <v>0.51418741913189581</v>
      </c>
      <c r="AJ1255" s="27">
        <f t="shared" si="420"/>
        <v>0.52206102854310632</v>
      </c>
      <c r="AK1255" s="27">
        <f t="shared" si="420"/>
        <v>0.52957812188119258</v>
      </c>
      <c r="AL1255" s="27">
        <f t="shared" si="420"/>
        <v>0.53666628025365293</v>
      </c>
      <c r="AM1255" s="27">
        <f t="shared" si="420"/>
        <v>0.543628496445968</v>
      </c>
      <c r="AN1255" s="27">
        <f t="shared" si="420"/>
        <v>0.55246945736606723</v>
      </c>
      <c r="AO1255" s="27">
        <f t="shared" si="420"/>
        <v>0.56161375103123634</v>
      </c>
      <c r="AP1255" s="27">
        <f t="shared" si="420"/>
        <v>0.57139369130463846</v>
      </c>
      <c r="AQ1255" s="27">
        <f t="shared" si="420"/>
        <v>0.58113558104968666</v>
      </c>
      <c r="AR1255" s="27">
        <f t="shared" si="420"/>
        <v>0.59085206465758344</v>
      </c>
      <c r="AS1255" s="27">
        <f t="shared" si="420"/>
        <v>0.6011817102296716</v>
      </c>
      <c r="AT1255" s="27">
        <f t="shared" si="420"/>
        <v>0.61185705718445471</v>
      </c>
      <c r="AU1255" s="27">
        <f t="shared" si="420"/>
        <v>0.6226925043907553</v>
      </c>
      <c r="AV1255" s="27">
        <f t="shared" si="420"/>
        <v>0.63405678889252681</v>
      </c>
      <c r="AW1255" s="27">
        <f t="shared" si="420"/>
        <v>0.64358432778937325</v>
      </c>
      <c r="AY1255" s="79"/>
      <c r="AZ1255" s="79"/>
    </row>
    <row r="1256" spans="1:52" x14ac:dyDescent="0.25">
      <c r="A1256" s="95" t="str">
        <f t="shared" si="384"/>
        <v>FSFAGSPQNIBDDSCM Cattle MMN2O</v>
      </c>
      <c r="B1256" s="95" t="s">
        <v>1374</v>
      </c>
      <c r="C1256" s="95" t="s">
        <v>1231</v>
      </c>
      <c r="D1256" t="s">
        <v>15</v>
      </c>
      <c r="E1256" t="s">
        <v>657</v>
      </c>
      <c r="F1256" t="s">
        <v>67</v>
      </c>
      <c r="G1256" t="s">
        <v>123</v>
      </c>
      <c r="H1256" t="s">
        <v>1226</v>
      </c>
      <c r="I1256" t="s">
        <v>139</v>
      </c>
      <c r="J1256" t="s">
        <v>287</v>
      </c>
      <c r="K1256" s="27">
        <f t="shared" ref="K1256:AW1256" si="421">IFERROR(K1415-((K1415-K40)+(K1415-K193)+(K1415-K346)+(K1415-K498)+(K1415-K650)+(K1415-K801)+(K1415-K952)+(K1415-K1103)),0)</f>
        <v>0.80452586370517842</v>
      </c>
      <c r="L1256" s="27">
        <f t="shared" si="421"/>
        <v>0.79754846782098032</v>
      </c>
      <c r="M1256" s="27">
        <f t="shared" si="421"/>
        <v>0.79489238443144161</v>
      </c>
      <c r="N1256" s="27">
        <f t="shared" si="421"/>
        <v>0.78427763712907439</v>
      </c>
      <c r="O1256" s="27">
        <f t="shared" si="421"/>
        <v>0.76887007218962278</v>
      </c>
      <c r="P1256" s="27">
        <f t="shared" si="421"/>
        <v>0.74898829393537225</v>
      </c>
      <c r="Q1256" s="27">
        <f t="shared" si="421"/>
        <v>0.73330695394505496</v>
      </c>
      <c r="R1256" s="27">
        <f t="shared" si="421"/>
        <v>0.71847062359542491</v>
      </c>
      <c r="S1256" s="27">
        <f t="shared" si="421"/>
        <v>0.64156157320759799</v>
      </c>
      <c r="T1256" s="27">
        <f t="shared" si="421"/>
        <v>0.67223482564222559</v>
      </c>
      <c r="U1256" s="27">
        <f t="shared" si="421"/>
        <v>0.68285391153805586</v>
      </c>
      <c r="V1256" s="27">
        <f t="shared" si="421"/>
        <v>0.67824241239699168</v>
      </c>
      <c r="W1256" s="27">
        <f t="shared" si="421"/>
        <v>0.67449128255528179</v>
      </c>
      <c r="X1256" s="27">
        <f t="shared" si="421"/>
        <v>0.67473769040048559</v>
      </c>
      <c r="Y1256" s="27">
        <f t="shared" si="421"/>
        <v>0.67869980172505096</v>
      </c>
      <c r="Z1256" s="27">
        <f t="shared" si="421"/>
        <v>0.68432176576763859</v>
      </c>
      <c r="AA1256" s="27">
        <f t="shared" si="421"/>
        <v>0.69205642508232745</v>
      </c>
      <c r="AB1256" s="27">
        <f t="shared" si="421"/>
        <v>0.70338618316836132</v>
      </c>
      <c r="AC1256" s="27">
        <f t="shared" si="421"/>
        <v>0.71799106143637159</v>
      </c>
      <c r="AD1256" s="27">
        <f t="shared" si="421"/>
        <v>0.72817351060844282</v>
      </c>
      <c r="AE1256" s="27">
        <f t="shared" si="421"/>
        <v>0.7395587968520555</v>
      </c>
      <c r="AF1256" s="27">
        <f t="shared" si="421"/>
        <v>0.75128891020004818</v>
      </c>
      <c r="AG1256" s="27">
        <f t="shared" si="421"/>
        <v>0.76362442157000243</v>
      </c>
      <c r="AH1256" s="27">
        <f t="shared" si="421"/>
        <v>0.77614469341226622</v>
      </c>
      <c r="AI1256" s="27">
        <f t="shared" si="421"/>
        <v>0.78757792641199043</v>
      </c>
      <c r="AJ1256" s="27">
        <f t="shared" si="421"/>
        <v>0.79963788887456544</v>
      </c>
      <c r="AK1256" s="27">
        <f t="shared" si="421"/>
        <v>0.81115177770881697</v>
      </c>
      <c r="AL1256" s="27">
        <f t="shared" si="421"/>
        <v>0.82200866931166305</v>
      </c>
      <c r="AM1256" s="27">
        <f t="shared" si="421"/>
        <v>0.83267265599813822</v>
      </c>
      <c r="AN1256" s="27">
        <f t="shared" si="421"/>
        <v>0.84621430522926222</v>
      </c>
      <c r="AO1256" s="27">
        <f t="shared" si="421"/>
        <v>0.86022056748957776</v>
      </c>
      <c r="AP1256" s="27">
        <f t="shared" si="421"/>
        <v>0.87520044602095726</v>
      </c>
      <c r="AQ1256" s="27">
        <f t="shared" si="421"/>
        <v>0.89012204277587748</v>
      </c>
      <c r="AR1256" s="27">
        <f t="shared" si="421"/>
        <v>0.90500472509596042</v>
      </c>
      <c r="AS1256" s="27">
        <f t="shared" si="421"/>
        <v>0.92082658408654217</v>
      </c>
      <c r="AT1256" s="27">
        <f t="shared" si="421"/>
        <v>0.93717795190602593</v>
      </c>
      <c r="AU1256" s="27">
        <f t="shared" si="421"/>
        <v>0.95377454436426301</v>
      </c>
      <c r="AV1256" s="27">
        <f t="shared" si="421"/>
        <v>0.97118115388063697</v>
      </c>
      <c r="AW1256" s="27">
        <f t="shared" si="421"/>
        <v>0.98577443066842085</v>
      </c>
      <c r="AY1256" s="79"/>
      <c r="AZ1256" s="79"/>
    </row>
    <row r="1257" spans="1:52" x14ac:dyDescent="0.25">
      <c r="A1257" s="95" t="str">
        <f t="shared" si="384"/>
        <v>FSFAGSPQNIBDDSCM Cattle MMN2O</v>
      </c>
      <c r="B1257" s="95" t="s">
        <v>1374</v>
      </c>
      <c r="C1257" s="95" t="s">
        <v>1231</v>
      </c>
      <c r="D1257" t="s">
        <v>15</v>
      </c>
      <c r="E1257" t="s">
        <v>657</v>
      </c>
      <c r="F1257" t="s">
        <v>67</v>
      </c>
      <c r="G1257" t="s">
        <v>135</v>
      </c>
      <c r="H1257" t="s">
        <v>1226</v>
      </c>
      <c r="I1257" t="s">
        <v>139</v>
      </c>
      <c r="J1257" t="s">
        <v>287</v>
      </c>
      <c r="K1257" s="27">
        <f t="shared" ref="K1257:AW1257" si="422">IFERROR(K1416-((K1416-K41)+(K1416-K194)+(K1416-K347)+(K1416-K499)+(K1416-K651)+(K1416-K802)+(K1416-K953)+(K1416-K1104)),0)</f>
        <v>0.97926119892671459</v>
      </c>
      <c r="L1257" s="27">
        <f t="shared" si="422"/>
        <v>1.0122801448609138</v>
      </c>
      <c r="M1257" s="27">
        <f t="shared" si="422"/>
        <v>1.0514701788925804</v>
      </c>
      <c r="N1257" s="27">
        <f t="shared" si="422"/>
        <v>1.0806972456941148</v>
      </c>
      <c r="O1257" s="27">
        <f t="shared" si="422"/>
        <v>1.103236794343371</v>
      </c>
      <c r="P1257" s="27">
        <f t="shared" si="422"/>
        <v>1.1187666946803865</v>
      </c>
      <c r="Q1257" s="27">
        <f t="shared" si="422"/>
        <v>1.1399714801203362</v>
      </c>
      <c r="R1257" s="27">
        <f t="shared" si="422"/>
        <v>1.1622002864669057</v>
      </c>
      <c r="S1257" s="27">
        <f t="shared" si="422"/>
        <v>1.0797349387647497</v>
      </c>
      <c r="T1257" s="27">
        <f t="shared" si="422"/>
        <v>1.1586148391754056</v>
      </c>
      <c r="U1257" s="27">
        <f t="shared" si="422"/>
        <v>1.2048828534043301</v>
      </c>
      <c r="V1257" s="27">
        <f t="shared" si="422"/>
        <v>1.2248214292243891</v>
      </c>
      <c r="W1257" s="27">
        <f t="shared" si="422"/>
        <v>1.2462862134810584</v>
      </c>
      <c r="X1257" s="27">
        <f t="shared" si="422"/>
        <v>1.2753304123156213</v>
      </c>
      <c r="Y1257" s="27">
        <f t="shared" si="422"/>
        <v>1.3119382309958816</v>
      </c>
      <c r="Z1257" s="27">
        <f t="shared" si="422"/>
        <v>1.352551168014529</v>
      </c>
      <c r="AA1257" s="27">
        <f t="shared" si="422"/>
        <v>1.3983302277222904</v>
      </c>
      <c r="AB1257" s="27">
        <f t="shared" si="422"/>
        <v>1.45265003311069</v>
      </c>
      <c r="AC1257" s="27">
        <f t="shared" si="422"/>
        <v>1.5153587089508171</v>
      </c>
      <c r="AD1257" s="27">
        <f t="shared" si="422"/>
        <v>1.5878154020260862</v>
      </c>
      <c r="AE1257" s="27">
        <f t="shared" si="422"/>
        <v>1.6662236213187609</v>
      </c>
      <c r="AF1257" s="27">
        <f t="shared" si="422"/>
        <v>1.7490356868363826</v>
      </c>
      <c r="AG1257" s="27">
        <f t="shared" si="422"/>
        <v>1.8371605385940195</v>
      </c>
      <c r="AH1257" s="27">
        <f t="shared" si="422"/>
        <v>1.9299179853404884</v>
      </c>
      <c r="AI1257" s="27">
        <f t="shared" si="422"/>
        <v>2.0243264887955772</v>
      </c>
      <c r="AJ1257" s="27">
        <f t="shared" si="422"/>
        <v>2.1249172544227406</v>
      </c>
      <c r="AK1257" s="27">
        <f t="shared" si="422"/>
        <v>2.2289075077368197</v>
      </c>
      <c r="AL1257" s="27">
        <f t="shared" si="422"/>
        <v>2.3361255764589468</v>
      </c>
      <c r="AM1257" s="27">
        <f t="shared" si="422"/>
        <v>2.4480579395389377</v>
      </c>
      <c r="AN1257" s="27">
        <f t="shared" si="422"/>
        <v>2.5580662421643461</v>
      </c>
      <c r="AO1257" s="27">
        <f t="shared" si="422"/>
        <v>2.6740312374133999</v>
      </c>
      <c r="AP1257" s="27">
        <f t="shared" si="422"/>
        <v>2.7979244732629738</v>
      </c>
      <c r="AQ1257" s="27">
        <f t="shared" si="422"/>
        <v>2.9268588582276069</v>
      </c>
      <c r="AR1257" s="27">
        <f t="shared" si="422"/>
        <v>3.0611473278848456</v>
      </c>
      <c r="AS1257" s="27">
        <f t="shared" si="422"/>
        <v>3.2044630996439452</v>
      </c>
      <c r="AT1257" s="27">
        <f t="shared" si="422"/>
        <v>3.3559228759421229</v>
      </c>
      <c r="AU1257" s="27">
        <f t="shared" si="422"/>
        <v>3.5149748258951519</v>
      </c>
      <c r="AV1257" s="27">
        <f t="shared" si="422"/>
        <v>3.6841999883853953</v>
      </c>
      <c r="AW1257" s="27">
        <f t="shared" si="422"/>
        <v>3.8501065426145096</v>
      </c>
      <c r="AY1257" s="79"/>
      <c r="AZ1257" s="79"/>
    </row>
    <row r="1258" spans="1:52" x14ac:dyDescent="0.25">
      <c r="A1258" s="95" t="str">
        <f t="shared" si="384"/>
        <v>FSFAGSPQNIBDDSCM Sheep MMN2O</v>
      </c>
      <c r="B1258" s="95" t="s">
        <v>1374</v>
      </c>
      <c r="C1258" s="95" t="s">
        <v>1327</v>
      </c>
      <c r="D1258" t="s">
        <v>15</v>
      </c>
      <c r="E1258" t="s">
        <v>657</v>
      </c>
      <c r="F1258" t="s">
        <v>18</v>
      </c>
      <c r="G1258" t="s">
        <v>122</v>
      </c>
      <c r="H1258" t="s">
        <v>1226</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0.11888884787446641</v>
      </c>
      <c r="T1258" s="27">
        <f t="shared" si="423"/>
        <v>0.11897442160845599</v>
      </c>
      <c r="U1258" s="27">
        <f t="shared" si="423"/>
        <v>0.11894433570617077</v>
      </c>
      <c r="V1258" s="27">
        <f t="shared" si="423"/>
        <v>0.11894216976117228</v>
      </c>
      <c r="W1258" s="27">
        <f t="shared" si="423"/>
        <v>0.11906833284654554</v>
      </c>
      <c r="X1258" s="27">
        <f t="shared" si="423"/>
        <v>0.1192748103604965</v>
      </c>
      <c r="Y1258" s="27">
        <f t="shared" si="423"/>
        <v>0.11947292782589553</v>
      </c>
      <c r="Z1258" s="27">
        <f t="shared" si="423"/>
        <v>0.11966332441080059</v>
      </c>
      <c r="AA1258" s="27">
        <f t="shared" si="423"/>
        <v>0.11984574027292559</v>
      </c>
      <c r="AB1258" s="27">
        <f t="shared" si="423"/>
        <v>0.12002397691702794</v>
      </c>
      <c r="AC1258" s="27">
        <f t="shared" si="423"/>
        <v>0.12020063791291828</v>
      </c>
      <c r="AD1258" s="27">
        <f t="shared" si="423"/>
        <v>0.12037395069486655</v>
      </c>
      <c r="AE1258" s="27">
        <f t="shared" si="423"/>
        <v>0.12054640721794915</v>
      </c>
      <c r="AF1258" s="27">
        <f t="shared" si="423"/>
        <v>0.12071746421078627</v>
      </c>
      <c r="AG1258" s="27">
        <f t="shared" si="423"/>
        <v>0.12088575105723816</v>
      </c>
      <c r="AH1258" s="27">
        <f t="shared" si="423"/>
        <v>0.12105200867781399</v>
      </c>
      <c r="AI1258" s="27">
        <f t="shared" si="423"/>
        <v>0.12121641449313381</v>
      </c>
      <c r="AJ1258" s="27">
        <f t="shared" si="423"/>
        <v>0.12137952665146406</v>
      </c>
      <c r="AK1258" s="27">
        <f t="shared" si="423"/>
        <v>0.12153635424536353</v>
      </c>
      <c r="AL1258" s="27">
        <f t="shared" si="423"/>
        <v>0.12168671378968904</v>
      </c>
      <c r="AM1258" s="27">
        <f t="shared" si="423"/>
        <v>0.12183201055728769</v>
      </c>
      <c r="AN1258" s="27">
        <f t="shared" si="423"/>
        <v>0.12197112574763715</v>
      </c>
      <c r="AO1258" s="27">
        <f t="shared" si="423"/>
        <v>0.12210431172658152</v>
      </c>
      <c r="AP1258" s="27">
        <f t="shared" si="423"/>
        <v>0.12223096862203452</v>
      </c>
      <c r="AQ1258" s="27">
        <f t="shared" si="423"/>
        <v>0.12234928396390207</v>
      </c>
      <c r="AR1258" s="27">
        <f t="shared" si="423"/>
        <v>0.12245757817594662</v>
      </c>
      <c r="AS1258" s="27">
        <f t="shared" si="423"/>
        <v>0.12255574185064526</v>
      </c>
      <c r="AT1258" s="27">
        <f t="shared" si="423"/>
        <v>0.12264302379658787</v>
      </c>
      <c r="AU1258" s="27">
        <f t="shared" si="423"/>
        <v>0.12271938191890155</v>
      </c>
      <c r="AV1258" s="27">
        <f t="shared" si="423"/>
        <v>0.12278627747914957</v>
      </c>
      <c r="AW1258" s="27">
        <f t="shared" si="423"/>
        <v>0.12283502162881774</v>
      </c>
      <c r="AY1258" s="79"/>
      <c r="AZ1258" s="79"/>
    </row>
    <row r="1259" spans="1:52" x14ac:dyDescent="0.25">
      <c r="A1259" s="95" t="str">
        <f t="shared" si="384"/>
        <v>FSFAGSPQNIBDDSCM Sheep MMN2O</v>
      </c>
      <c r="B1259" s="95" t="s">
        <v>1374</v>
      </c>
      <c r="C1259" s="95" t="s">
        <v>1327</v>
      </c>
      <c r="D1259" t="s">
        <v>15</v>
      </c>
      <c r="E1259" t="s">
        <v>657</v>
      </c>
      <c r="F1259" t="s">
        <v>18</v>
      </c>
      <c r="G1259" t="s">
        <v>123</v>
      </c>
      <c r="H1259" t="s">
        <v>1226</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6.3574794121898134E-2</v>
      </c>
      <c r="T1259" s="27">
        <f t="shared" si="424"/>
        <v>6.362055394393272E-2</v>
      </c>
      <c r="U1259" s="27">
        <f t="shared" si="424"/>
        <v>6.3604465765117371E-2</v>
      </c>
      <c r="V1259" s="27">
        <f t="shared" si="424"/>
        <v>6.3603307544562435E-2</v>
      </c>
      <c r="W1259" s="27">
        <f t="shared" si="424"/>
        <v>6.3670772174944407E-2</v>
      </c>
      <c r="X1259" s="27">
        <f t="shared" si="424"/>
        <v>6.3781184258793491E-2</v>
      </c>
      <c r="Y1259" s="27">
        <f t="shared" si="424"/>
        <v>6.3887125878212575E-2</v>
      </c>
      <c r="Z1259" s="27">
        <f t="shared" si="424"/>
        <v>6.3988938822851713E-2</v>
      </c>
      <c r="AA1259" s="27">
        <f t="shared" si="424"/>
        <v>6.4086484144271705E-2</v>
      </c>
      <c r="AB1259" s="27">
        <f t="shared" si="424"/>
        <v>6.4181794664613767E-2</v>
      </c>
      <c r="AC1259" s="27">
        <f t="shared" si="424"/>
        <v>6.4276262620556607E-2</v>
      </c>
      <c r="AD1259" s="27">
        <f t="shared" si="424"/>
        <v>6.4368940147743067E-2</v>
      </c>
      <c r="AE1259" s="27">
        <f t="shared" si="424"/>
        <v>6.4461159797827752E-2</v>
      </c>
      <c r="AF1259" s="27">
        <f t="shared" si="424"/>
        <v>6.4552631061088828E-2</v>
      </c>
      <c r="AG1259" s="27">
        <f t="shared" si="424"/>
        <v>6.4642621012273305E-2</v>
      </c>
      <c r="AH1259" s="27">
        <f t="shared" si="424"/>
        <v>6.4731525852283742E-2</v>
      </c>
      <c r="AI1259" s="27">
        <f t="shared" si="424"/>
        <v>6.4819440455278599E-2</v>
      </c>
      <c r="AJ1259" s="27">
        <f t="shared" si="424"/>
        <v>6.4906663286267555E-2</v>
      </c>
      <c r="AK1259" s="27">
        <f t="shared" si="424"/>
        <v>6.499052550020136E-2</v>
      </c>
      <c r="AL1259" s="27">
        <f t="shared" si="424"/>
        <v>6.5070928979969703E-2</v>
      </c>
      <c r="AM1259" s="27">
        <f t="shared" si="424"/>
        <v>6.5148625183203274E-2</v>
      </c>
      <c r="AN1259" s="27">
        <f t="shared" si="424"/>
        <v>6.5223015840895862E-2</v>
      </c>
      <c r="AO1259" s="27">
        <f t="shared" si="424"/>
        <v>6.5294235903523207E-2</v>
      </c>
      <c r="AP1259" s="27">
        <f t="shared" si="424"/>
        <v>6.5361964594620001E-2</v>
      </c>
      <c r="AQ1259" s="27">
        <f t="shared" si="424"/>
        <v>6.542523271131194E-2</v>
      </c>
      <c r="AR1259" s="27">
        <f t="shared" si="424"/>
        <v>6.548314211457737E-2</v>
      </c>
      <c r="AS1259" s="27">
        <f t="shared" si="424"/>
        <v>6.5535634299679582E-2</v>
      </c>
      <c r="AT1259" s="27">
        <f t="shared" si="424"/>
        <v>6.5582307573439622E-2</v>
      </c>
      <c r="AU1259" s="27">
        <f t="shared" si="424"/>
        <v>6.5623139425984384E-2</v>
      </c>
      <c r="AV1259" s="27">
        <f t="shared" si="424"/>
        <v>6.5658911254431448E-2</v>
      </c>
      <c r="AW1259" s="27">
        <f t="shared" si="424"/>
        <v>6.5684976771384518E-2</v>
      </c>
      <c r="AY1259" s="79"/>
      <c r="AZ1259" s="79"/>
    </row>
    <row r="1260" spans="1:52" x14ac:dyDescent="0.25">
      <c r="A1260" s="95" t="str">
        <f t="shared" si="384"/>
        <v>FSFAGSPQNIBDDSCM Goats MMN2O</v>
      </c>
      <c r="B1260" s="95" t="s">
        <v>1374</v>
      </c>
      <c r="C1260" s="95" t="s">
        <v>1328</v>
      </c>
      <c r="D1260" t="s">
        <v>15</v>
      </c>
      <c r="E1260" t="s">
        <v>657</v>
      </c>
      <c r="F1260" t="s">
        <v>19</v>
      </c>
      <c r="G1260" t="s">
        <v>122</v>
      </c>
      <c r="H1260" t="s">
        <v>1226</v>
      </c>
      <c r="I1260" t="s">
        <v>139</v>
      </c>
      <c r="J1260" t="s">
        <v>287</v>
      </c>
      <c r="K1260" s="27">
        <f t="shared" ref="K1260:AW1260" si="425">IFERROR(K1419-((K1419-K44)+(K1419-K197)+(K1419-K350)+(K1419-K502)+(K1419-K654)+(K1419-K805)+(K1419-K956)+(K1419-K1107)),0)</f>
        <v>1.4486129996083083E-2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1.4890706011157254E-2</v>
      </c>
      <c r="R1260" s="27">
        <f t="shared" si="425"/>
        <v>1.4988675221399694E-2</v>
      </c>
      <c r="S1260" s="27">
        <f t="shared" si="425"/>
        <v>1.4951923212530764E-2</v>
      </c>
      <c r="T1260" s="27">
        <f t="shared" si="425"/>
        <v>1.4977625582861876E-2</v>
      </c>
      <c r="U1260" s="27">
        <f t="shared" si="425"/>
        <v>1.4980119703065675E-2</v>
      </c>
      <c r="V1260" s="27">
        <f t="shared" si="425"/>
        <v>1.4986976942692673E-2</v>
      </c>
      <c r="W1260" s="27">
        <f t="shared" si="425"/>
        <v>1.5017294663736542E-2</v>
      </c>
      <c r="X1260" s="27">
        <f t="shared" si="425"/>
        <v>1.5061890336193319E-2</v>
      </c>
      <c r="Y1260" s="27">
        <f t="shared" si="425"/>
        <v>1.5103986297595969E-2</v>
      </c>
      <c r="Z1260" s="27">
        <f t="shared" si="425"/>
        <v>1.5143780477124499E-2</v>
      </c>
      <c r="AA1260" s="27">
        <f t="shared" si="425"/>
        <v>1.518129324368281E-2</v>
      </c>
      <c r="AB1260" s="27">
        <f t="shared" si="425"/>
        <v>1.5217300806744069E-2</v>
      </c>
      <c r="AC1260" s="27">
        <f t="shared" si="425"/>
        <v>1.5252343422195683E-2</v>
      </c>
      <c r="AD1260" s="27">
        <f t="shared" si="425"/>
        <v>1.528613499352576E-2</v>
      </c>
      <c r="AE1260" s="27">
        <f t="shared" si="425"/>
        <v>1.5319183069795761E-2</v>
      </c>
      <c r="AF1260" s="27">
        <f t="shared" si="425"/>
        <v>1.5351423055728343E-2</v>
      </c>
      <c r="AG1260" s="27">
        <f t="shared" si="425"/>
        <v>1.5382634347686872E-2</v>
      </c>
      <c r="AH1260" s="27">
        <f t="shared" si="425"/>
        <v>1.5412986814805201E-2</v>
      </c>
      <c r="AI1260" s="27">
        <f t="shared" si="425"/>
        <v>1.5442542460580333E-2</v>
      </c>
      <c r="AJ1260" s="27">
        <f t="shared" si="425"/>
        <v>1.5471431054826285E-2</v>
      </c>
      <c r="AK1260" s="27">
        <f t="shared" si="425"/>
        <v>1.5498756892033489E-2</v>
      </c>
      <c r="AL1260" s="27">
        <f t="shared" si="425"/>
        <v>1.5524513513074619E-2</v>
      </c>
      <c r="AM1260" s="27">
        <f t="shared" si="425"/>
        <v>1.5548984646319333E-2</v>
      </c>
      <c r="AN1260" s="27">
        <f t="shared" si="425"/>
        <v>1.5571987875403363E-2</v>
      </c>
      <c r="AO1260" s="27">
        <f t="shared" si="425"/>
        <v>1.5593591673600768E-2</v>
      </c>
      <c r="AP1260" s="27">
        <f t="shared" si="425"/>
        <v>1.5613707165200276E-2</v>
      </c>
      <c r="AQ1260" s="27">
        <f t="shared" si="425"/>
        <v>1.5632023858239551E-2</v>
      </c>
      <c r="AR1260" s="27">
        <f t="shared" si="425"/>
        <v>1.5648256533695205E-2</v>
      </c>
      <c r="AS1260" s="27">
        <f t="shared" si="425"/>
        <v>1.5662406299088667E-2</v>
      </c>
      <c r="AT1260" s="27">
        <f t="shared" si="425"/>
        <v>1.5674356891571192E-2</v>
      </c>
      <c r="AU1260" s="27">
        <f t="shared" si="425"/>
        <v>1.568412043163633E-2</v>
      </c>
      <c r="AV1260" s="27">
        <f t="shared" si="425"/>
        <v>1.5691980107154113E-2</v>
      </c>
      <c r="AW1260" s="27">
        <f t="shared" si="425"/>
        <v>1.5696383554298719E-2</v>
      </c>
      <c r="AY1260" s="79"/>
      <c r="AZ1260" s="79"/>
    </row>
    <row r="1261" spans="1:52" x14ac:dyDescent="0.25">
      <c r="A1261" s="95" t="str">
        <f t="shared" si="384"/>
        <v>FSFAGSPQNIBDDSCM Goats MMN2O</v>
      </c>
      <c r="B1261" s="95" t="s">
        <v>1374</v>
      </c>
      <c r="C1261" s="95" t="s">
        <v>1328</v>
      </c>
      <c r="D1261" t="s">
        <v>15</v>
      </c>
      <c r="E1261" t="s">
        <v>657</v>
      </c>
      <c r="F1261" t="s">
        <v>19</v>
      </c>
      <c r="G1261" t="s">
        <v>123</v>
      </c>
      <c r="H1261" t="s">
        <v>1226</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0.11664735601685972</v>
      </c>
      <c r="P1261" s="27">
        <f t="shared" si="426"/>
        <v>0.11732381389682567</v>
      </c>
      <c r="Q1261" s="27">
        <f t="shared" si="426"/>
        <v>0.11805182815822723</v>
      </c>
      <c r="R1261" s="27">
        <f t="shared" si="426"/>
        <v>0.11882851694408277</v>
      </c>
      <c r="S1261" s="27">
        <f t="shared" si="426"/>
        <v>0.11853715118666242</v>
      </c>
      <c r="T1261" s="27">
        <f t="shared" si="426"/>
        <v>0.11874091666314918</v>
      </c>
      <c r="U1261" s="27">
        <f t="shared" si="426"/>
        <v>0.11876068976520925</v>
      </c>
      <c r="V1261" s="27">
        <f t="shared" si="426"/>
        <v>0.11881505318313448</v>
      </c>
      <c r="W1261" s="27">
        <f t="shared" si="426"/>
        <v>0.11905540863653861</v>
      </c>
      <c r="X1261" s="27">
        <f t="shared" si="426"/>
        <v>0.11940895806915272</v>
      </c>
      <c r="Y1261" s="27">
        <f t="shared" si="426"/>
        <v>0.11974269007607956</v>
      </c>
      <c r="Z1261" s="27">
        <f t="shared" si="426"/>
        <v>0.12005817381740651</v>
      </c>
      <c r="AA1261" s="27">
        <f t="shared" si="426"/>
        <v>0.12035557077549322</v>
      </c>
      <c r="AB1261" s="27">
        <f t="shared" si="426"/>
        <v>0.12064103465099509</v>
      </c>
      <c r="AC1261" s="27">
        <f t="shared" si="426"/>
        <v>0.12091884853130468</v>
      </c>
      <c r="AD1261" s="27">
        <f t="shared" si="426"/>
        <v>0.12118674427572847</v>
      </c>
      <c r="AE1261" s="27">
        <f t="shared" si="426"/>
        <v>0.12144874567565288</v>
      </c>
      <c r="AF1261" s="27">
        <f t="shared" si="426"/>
        <v>0.1217043406270464</v>
      </c>
      <c r="AG1261" s="27">
        <f t="shared" si="426"/>
        <v>0.12195178020930149</v>
      </c>
      <c r="AH1261" s="27">
        <f t="shared" si="426"/>
        <v>0.12219241112564265</v>
      </c>
      <c r="AI1261" s="27">
        <f t="shared" si="426"/>
        <v>0.1224267249327608</v>
      </c>
      <c r="AJ1261" s="27">
        <f t="shared" si="426"/>
        <v>0.1226557504310213</v>
      </c>
      <c r="AK1261" s="27">
        <f t="shared" si="426"/>
        <v>0.12287238656874688</v>
      </c>
      <c r="AL1261" s="27">
        <f t="shared" si="426"/>
        <v>0.12307658213870883</v>
      </c>
      <c r="AM1261" s="27">
        <f t="shared" si="426"/>
        <v>0.1232705865072376</v>
      </c>
      <c r="AN1261" s="27">
        <f t="shared" si="426"/>
        <v>0.12345295349808931</v>
      </c>
      <c r="AO1261" s="27">
        <f t="shared" si="426"/>
        <v>0.12362422595961356</v>
      </c>
      <c r="AP1261" s="27">
        <f t="shared" si="426"/>
        <v>0.12378369929525287</v>
      </c>
      <c r="AQ1261" s="27">
        <f t="shared" si="426"/>
        <v>0.12392891195994982</v>
      </c>
      <c r="AR1261" s="27">
        <f t="shared" si="426"/>
        <v>0.12405760276964035</v>
      </c>
      <c r="AS1261" s="27">
        <f t="shared" si="426"/>
        <v>0.12416978050462869</v>
      </c>
      <c r="AT1261" s="27">
        <f t="shared" si="426"/>
        <v>0.12426452344623794</v>
      </c>
      <c r="AU1261" s="27">
        <f t="shared" si="426"/>
        <v>0.12434192768436619</v>
      </c>
      <c r="AV1261" s="27">
        <f t="shared" si="426"/>
        <v>0.1244042383003242</v>
      </c>
      <c r="AW1261" s="27">
        <f t="shared" si="426"/>
        <v>0.12443914832979021</v>
      </c>
      <c r="AY1261" s="79"/>
      <c r="AZ1261" s="79"/>
    </row>
    <row r="1262" spans="1:52" x14ac:dyDescent="0.25">
      <c r="A1262" s="95" t="str">
        <f t="shared" si="384"/>
        <v>FSFAGSPQNIBDDSCM Horses MMN2O</v>
      </c>
      <c r="B1262" s="95" t="s">
        <v>1374</v>
      </c>
      <c r="C1262" s="95" t="s">
        <v>1329</v>
      </c>
      <c r="D1262" t="s">
        <v>15</v>
      </c>
      <c r="E1262" t="s">
        <v>657</v>
      </c>
      <c r="F1262" t="s">
        <v>20</v>
      </c>
      <c r="G1262" t="s">
        <v>3</v>
      </c>
      <c r="H1262" t="s">
        <v>1226</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5">
      <c r="A1263" s="95" t="str">
        <f t="shared" si="384"/>
        <v>FSFAGSPQNIBDDSCM Mules MMN2O</v>
      </c>
      <c r="B1263" s="95" t="s">
        <v>1374</v>
      </c>
      <c r="C1263" s="95" t="s">
        <v>1330</v>
      </c>
      <c r="D1263" t="s">
        <v>15</v>
      </c>
      <c r="E1263" t="s">
        <v>657</v>
      </c>
      <c r="F1263" t="s">
        <v>140</v>
      </c>
      <c r="G1263" t="s">
        <v>124</v>
      </c>
      <c r="H1263" t="s">
        <v>1226</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5">
      <c r="A1264" s="95" t="str">
        <f t="shared" si="384"/>
        <v>FSFAGSPQNIBDDSCM Swine MMN2O</v>
      </c>
      <c r="B1264" s="95" t="s">
        <v>1374</v>
      </c>
      <c r="C1264" s="95" t="s">
        <v>1232</v>
      </c>
      <c r="D1264" t="s">
        <v>15</v>
      </c>
      <c r="E1264" t="s">
        <v>657</v>
      </c>
      <c r="F1264" t="s">
        <v>21</v>
      </c>
      <c r="G1264" t="s">
        <v>122</v>
      </c>
      <c r="H1264" t="s">
        <v>1226</v>
      </c>
      <c r="I1264" t="s">
        <v>139</v>
      </c>
      <c r="J1264" t="s">
        <v>287</v>
      </c>
      <c r="K1264" s="27">
        <f t="shared" ref="K1264:AW1264" si="429">IFERROR(K1423-((K1423-K48)+(K1423-K201)+(K1423-K354)+(K1423-K506)+(K1423-K658)+(K1423-K809)+(K1423-K960)+(K1423-K1111)),0)</f>
        <v>9.7466979224281824E-2</v>
      </c>
      <c r="L1264" s="27">
        <f t="shared" si="429"/>
        <v>9.6937181363551519E-2</v>
      </c>
      <c r="M1264" s="27">
        <f t="shared" si="429"/>
        <v>9.6980665528366566E-2</v>
      </c>
      <c r="N1264" s="27">
        <f t="shared" si="429"/>
        <v>9.6090308702663552E-2</v>
      </c>
      <c r="O1264" s="27">
        <f t="shared" si="429"/>
        <v>9.4636150647850456E-2</v>
      </c>
      <c r="P1264" s="27">
        <f t="shared" si="429"/>
        <v>9.2641437622218339E-2</v>
      </c>
      <c r="Q1264" s="27">
        <f t="shared" si="429"/>
        <v>9.1193054757597189E-2</v>
      </c>
      <c r="R1264" s="27">
        <f t="shared" si="429"/>
        <v>8.9872834352323586E-2</v>
      </c>
      <c r="S1264" s="27">
        <f t="shared" si="429"/>
        <v>8.0734544225409766E-2</v>
      </c>
      <c r="T1264" s="27">
        <f t="shared" si="429"/>
        <v>8.4382841213531623E-2</v>
      </c>
      <c r="U1264" s="27">
        <f t="shared" si="429"/>
        <v>8.5485831085546846E-2</v>
      </c>
      <c r="V1264" s="27">
        <f t="shared" si="429"/>
        <v>8.4642168924532232E-2</v>
      </c>
      <c r="W1264" s="27">
        <f t="shared" si="429"/>
        <v>8.3900172539890919E-2</v>
      </c>
      <c r="X1264" s="27">
        <f t="shared" si="429"/>
        <v>8.3670858252268526E-2</v>
      </c>
      <c r="Y1264" s="27">
        <f t="shared" si="429"/>
        <v>8.3934301237427442E-2</v>
      </c>
      <c r="Z1264" s="27">
        <f t="shared" si="429"/>
        <v>8.44249898120146E-2</v>
      </c>
      <c r="AA1264" s="27">
        <f t="shared" si="429"/>
        <v>8.5198904999322256E-2</v>
      </c>
      <c r="AB1264" s="27">
        <f t="shared" si="429"/>
        <v>8.6442123684456251E-2</v>
      </c>
      <c r="AC1264" s="27">
        <f t="shared" si="429"/>
        <v>8.8111240076380506E-2</v>
      </c>
      <c r="AD1264" s="27">
        <f t="shared" si="429"/>
        <v>9.001094563198829E-2</v>
      </c>
      <c r="AE1264" s="27">
        <f t="shared" si="429"/>
        <v>9.2122381916242821E-2</v>
      </c>
      <c r="AF1264" s="27">
        <f t="shared" si="429"/>
        <v>9.433993402703468E-2</v>
      </c>
      <c r="AG1264" s="27">
        <f t="shared" si="429"/>
        <v>9.6701686348057328E-2</v>
      </c>
      <c r="AH1264" s="27">
        <f t="shared" si="429"/>
        <v>9.9156733920468212E-2</v>
      </c>
      <c r="AI1264" s="27">
        <f t="shared" si="429"/>
        <v>0.10153918433243618</v>
      </c>
      <c r="AJ1264" s="27">
        <f t="shared" si="429"/>
        <v>0.10407920464758763</v>
      </c>
      <c r="AK1264" s="27">
        <f t="shared" si="429"/>
        <v>0.10662429120765052</v>
      </c>
      <c r="AL1264" s="27">
        <f t="shared" si="429"/>
        <v>0.10916108152437015</v>
      </c>
      <c r="AM1264" s="27">
        <f t="shared" si="429"/>
        <v>0.11175521560682936</v>
      </c>
      <c r="AN1264" s="27">
        <f t="shared" si="429"/>
        <v>0.11423893572460501</v>
      </c>
      <c r="AO1264" s="27">
        <f t="shared" si="429"/>
        <v>0.11683800387615073</v>
      </c>
      <c r="AP1264" s="27">
        <f t="shared" si="429"/>
        <v>0.11962734368800265</v>
      </c>
      <c r="AQ1264" s="27">
        <f t="shared" si="429"/>
        <v>0.12246543086827189</v>
      </c>
      <c r="AR1264" s="27">
        <f t="shared" si="429"/>
        <v>0.12535748302837027</v>
      </c>
      <c r="AS1264" s="27">
        <f t="shared" si="429"/>
        <v>0.12844640721926534</v>
      </c>
      <c r="AT1264" s="27">
        <f t="shared" si="429"/>
        <v>0.13167842894497958</v>
      </c>
      <c r="AU1264" s="27">
        <f t="shared" si="429"/>
        <v>0.13501670748772379</v>
      </c>
      <c r="AV1264" s="27">
        <f t="shared" si="429"/>
        <v>0.13854783957825018</v>
      </c>
      <c r="AW1264" s="27">
        <f t="shared" si="429"/>
        <v>0.14174415331850926</v>
      </c>
      <c r="AY1264" s="79"/>
      <c r="AZ1264" s="79"/>
    </row>
    <row r="1265" spans="1:52" x14ac:dyDescent="0.25">
      <c r="A1265" s="95" t="str">
        <f t="shared" si="384"/>
        <v>FSFAGSPQNIBDDSCM Swine MMN2O</v>
      </c>
      <c r="B1265" s="95" t="s">
        <v>1374</v>
      </c>
      <c r="C1265" s="95" t="s">
        <v>1232</v>
      </c>
      <c r="D1265" t="s">
        <v>15</v>
      </c>
      <c r="E1265" t="s">
        <v>657</v>
      </c>
      <c r="F1265" t="s">
        <v>21</v>
      </c>
      <c r="G1265" t="s">
        <v>123</v>
      </c>
      <c r="H1265" t="s">
        <v>1226</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3.794079990159023E-2</v>
      </c>
      <c r="N1265" s="27">
        <f t="shared" si="430"/>
        <v>3.7592474284510076E-2</v>
      </c>
      <c r="O1265" s="27">
        <f t="shared" si="430"/>
        <v>3.7023578211438556E-2</v>
      </c>
      <c r="P1265" s="27">
        <f t="shared" si="430"/>
        <v>3.6243206089281214E-2</v>
      </c>
      <c r="Q1265" s="27">
        <f t="shared" si="430"/>
        <v>3.5676569387541837E-2</v>
      </c>
      <c r="R1265" s="27">
        <f t="shared" si="430"/>
        <v>3.5160072434777263E-2</v>
      </c>
      <c r="S1265" s="27">
        <f t="shared" si="430"/>
        <v>3.1584988316113387E-2</v>
      </c>
      <c r="T1265" s="27">
        <f t="shared" si="430"/>
        <v>3.3012275964159274E-2</v>
      </c>
      <c r="U1265" s="27">
        <f t="shared" si="430"/>
        <v>3.3443787934092799E-2</v>
      </c>
      <c r="V1265" s="27">
        <f t="shared" si="430"/>
        <v>3.3113730215255661E-2</v>
      </c>
      <c r="W1265" s="27">
        <f t="shared" si="430"/>
        <v>3.2823446206541117E-2</v>
      </c>
      <c r="X1265" s="27">
        <f t="shared" si="430"/>
        <v>3.2733733814345668E-2</v>
      </c>
      <c r="Y1265" s="27">
        <f t="shared" si="430"/>
        <v>3.2836798044013883E-2</v>
      </c>
      <c r="Z1265" s="27">
        <f t="shared" si="430"/>
        <v>3.3028765349259512E-2</v>
      </c>
      <c r="AA1265" s="27">
        <f t="shared" si="430"/>
        <v>3.3331536639830336E-2</v>
      </c>
      <c r="AB1265" s="27">
        <f t="shared" si="430"/>
        <v>3.3817908960638868E-2</v>
      </c>
      <c r="AC1265" s="27">
        <f t="shared" si="430"/>
        <v>3.4470901087403957E-2</v>
      </c>
      <c r="AD1265" s="27">
        <f t="shared" si="430"/>
        <v>3.5214104363691767E-2</v>
      </c>
      <c r="AE1265" s="27">
        <f t="shared" si="430"/>
        <v>3.6040140987893189E-2</v>
      </c>
      <c r="AF1265" s="27">
        <f t="shared" si="430"/>
        <v>3.6907692271940552E-2</v>
      </c>
      <c r="AG1265" s="27">
        <f t="shared" si="430"/>
        <v>3.7831657597821179E-2</v>
      </c>
      <c r="AH1265" s="27">
        <f t="shared" si="430"/>
        <v>3.879212191497397E-2</v>
      </c>
      <c r="AI1265" s="27">
        <f t="shared" si="430"/>
        <v>3.9724184753102243E-2</v>
      </c>
      <c r="AJ1265" s="27">
        <f t="shared" si="430"/>
        <v>4.0717892127640175E-2</v>
      </c>
      <c r="AK1265" s="27">
        <f t="shared" si="430"/>
        <v>4.1713581519762656E-2</v>
      </c>
      <c r="AL1265" s="27">
        <f t="shared" si="430"/>
        <v>4.270602525351698E-2</v>
      </c>
      <c r="AM1265" s="27">
        <f t="shared" si="430"/>
        <v>4.3720903029455652E-2</v>
      </c>
      <c r="AN1265" s="27">
        <f t="shared" si="430"/>
        <v>4.4692584626882061E-2</v>
      </c>
      <c r="AO1265" s="27">
        <f t="shared" si="430"/>
        <v>4.5709392710546422E-2</v>
      </c>
      <c r="AP1265" s="27">
        <f t="shared" si="430"/>
        <v>4.6800638920112353E-2</v>
      </c>
      <c r="AQ1265" s="27">
        <f t="shared" si="430"/>
        <v>4.791095608718076E-2</v>
      </c>
      <c r="AR1265" s="27">
        <f t="shared" si="430"/>
        <v>4.9042385446975784E-2</v>
      </c>
      <c r="AS1265" s="27">
        <f t="shared" si="430"/>
        <v>5.0250835131244558E-2</v>
      </c>
      <c r="AT1265" s="27">
        <f t="shared" si="430"/>
        <v>5.1515267468399954E-2</v>
      </c>
      <c r="AU1265" s="27">
        <f t="shared" si="430"/>
        <v>5.2821269623736601E-2</v>
      </c>
      <c r="AV1265" s="27">
        <f t="shared" si="430"/>
        <v>5.4202719991630371E-2</v>
      </c>
      <c r="AW1265" s="27">
        <f t="shared" si="430"/>
        <v>5.5453182641903707E-2</v>
      </c>
      <c r="AY1265" s="79"/>
      <c r="AZ1265" s="79"/>
    </row>
    <row r="1266" spans="1:52" x14ac:dyDescent="0.25">
      <c r="A1266" s="95" t="str">
        <f t="shared" si="384"/>
        <v>FSFAGSPQNIBDDSCM Poultry MMN2O</v>
      </c>
      <c r="B1266" s="95" t="s">
        <v>1374</v>
      </c>
      <c r="C1266" s="95" t="s">
        <v>1233</v>
      </c>
      <c r="D1266" t="s">
        <v>15</v>
      </c>
      <c r="E1266" t="s">
        <v>657</v>
      </c>
      <c r="F1266" t="s">
        <v>28</v>
      </c>
      <c r="G1266" t="s">
        <v>131</v>
      </c>
      <c r="H1266" t="s">
        <v>1226</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0.36607496135357975</v>
      </c>
      <c r="S1266" s="27">
        <f t="shared" si="431"/>
        <v>0.35135538223408885</v>
      </c>
      <c r="T1266" s="27">
        <f t="shared" si="431"/>
        <v>0.3660250744881503</v>
      </c>
      <c r="U1266" s="27">
        <f t="shared" si="431"/>
        <v>0.3747433751291977</v>
      </c>
      <c r="V1266" s="27">
        <f t="shared" si="431"/>
        <v>0.37890472124533414</v>
      </c>
      <c r="W1266" s="27">
        <f t="shared" si="431"/>
        <v>0.38351980018418114</v>
      </c>
      <c r="X1266" s="27">
        <f t="shared" si="431"/>
        <v>0.38953835570243145</v>
      </c>
      <c r="Y1266" s="27">
        <f t="shared" si="431"/>
        <v>0.39678314869255904</v>
      </c>
      <c r="Z1266" s="27">
        <f t="shared" si="431"/>
        <v>0.40464075152916346</v>
      </c>
      <c r="AA1266" s="27">
        <f t="shared" si="431"/>
        <v>0.41330404639575669</v>
      </c>
      <c r="AB1266" s="27">
        <f t="shared" si="431"/>
        <v>0.42334665156208889</v>
      </c>
      <c r="AC1266" s="27">
        <f t="shared" si="431"/>
        <v>0.43473806986049379</v>
      </c>
      <c r="AD1266" s="27">
        <f t="shared" si="431"/>
        <v>0.44699375378888861</v>
      </c>
      <c r="AE1266" s="27">
        <f t="shared" si="431"/>
        <v>0.46011178168093952</v>
      </c>
      <c r="AF1266" s="27">
        <f t="shared" si="431"/>
        <v>0.47382089637959635</v>
      </c>
      <c r="AG1266" s="27">
        <f t="shared" si="431"/>
        <v>0.48826027881230222</v>
      </c>
      <c r="AH1266" s="27">
        <f t="shared" si="431"/>
        <v>0.50330862860005154</v>
      </c>
      <c r="AI1266" s="27">
        <f t="shared" si="431"/>
        <v>0.5184689754858961</v>
      </c>
      <c r="AJ1266" s="27">
        <f t="shared" si="431"/>
        <v>0.53447970815576928</v>
      </c>
      <c r="AK1266" s="27">
        <f t="shared" si="431"/>
        <v>0.55086704408448872</v>
      </c>
      <c r="AL1266" s="27">
        <f t="shared" si="431"/>
        <v>0.56759733652439393</v>
      </c>
      <c r="AM1266" s="27">
        <f t="shared" si="431"/>
        <v>0.58490701814028823</v>
      </c>
      <c r="AN1266" s="27">
        <f t="shared" si="431"/>
        <v>0.60223366750494911</v>
      </c>
      <c r="AO1266" s="27">
        <f t="shared" si="431"/>
        <v>0.62036595204994383</v>
      </c>
      <c r="AP1266" s="27">
        <f t="shared" si="431"/>
        <v>0.63960685850737242</v>
      </c>
      <c r="AQ1266" s="27">
        <f t="shared" si="431"/>
        <v>0.65948374000710175</v>
      </c>
      <c r="AR1266" s="27">
        <f t="shared" si="431"/>
        <v>0.68003541307118265</v>
      </c>
      <c r="AS1266" s="27">
        <f t="shared" si="431"/>
        <v>0.70183096342172768</v>
      </c>
      <c r="AT1266" s="27">
        <f t="shared" si="431"/>
        <v>0.72471687693803755</v>
      </c>
      <c r="AU1266" s="27">
        <f t="shared" si="431"/>
        <v>0.74859496074669962</v>
      </c>
      <c r="AV1266" s="27">
        <f t="shared" si="431"/>
        <v>0.77385822122722236</v>
      </c>
      <c r="AW1266" s="27">
        <f t="shared" si="431"/>
        <v>0.79838507129603287</v>
      </c>
      <c r="AY1266" s="79"/>
      <c r="AZ1266" s="79"/>
    </row>
    <row r="1267" spans="1:52" x14ac:dyDescent="0.25">
      <c r="A1267" s="95" t="str">
        <f t="shared" si="384"/>
        <v>FSFAGSPQNIBDDSCM Poultry MMN2O</v>
      </c>
      <c r="B1267" s="95" t="s">
        <v>1374</v>
      </c>
      <c r="C1267" s="95" t="s">
        <v>1233</v>
      </c>
      <c r="D1267" t="s">
        <v>15</v>
      </c>
      <c r="E1267" t="s">
        <v>657</v>
      </c>
      <c r="F1267" t="s">
        <v>28</v>
      </c>
      <c r="G1267" t="s">
        <v>132</v>
      </c>
      <c r="H1267" t="s">
        <v>1226</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1.7601182693498105</v>
      </c>
      <c r="N1267" s="27">
        <f t="shared" si="432"/>
        <v>1.7704533576020511</v>
      </c>
      <c r="O1267" s="27">
        <f t="shared" si="432"/>
        <v>1.7641159598844747</v>
      </c>
      <c r="P1267" s="27">
        <f t="shared" si="432"/>
        <v>1.7411735022142167</v>
      </c>
      <c r="Q1267" s="27">
        <f t="shared" si="432"/>
        <v>1.7315152516158574</v>
      </c>
      <c r="R1267" s="27">
        <f t="shared" si="432"/>
        <v>1.7240481490859689</v>
      </c>
      <c r="S1267" s="27">
        <f t="shared" si="432"/>
        <v>1.4999683948751941</v>
      </c>
      <c r="T1267" s="27">
        <f t="shared" si="432"/>
        <v>1.635678170936574</v>
      </c>
      <c r="U1267" s="27">
        <f t="shared" si="432"/>
        <v>1.7009774454367668</v>
      </c>
      <c r="V1267" s="27">
        <f t="shared" si="432"/>
        <v>1.7091479327288939</v>
      </c>
      <c r="W1267" s="27">
        <f t="shared" si="432"/>
        <v>1.7185668307415591</v>
      </c>
      <c r="X1267" s="27">
        <f t="shared" si="432"/>
        <v>1.7424532471009451</v>
      </c>
      <c r="Y1267" s="27">
        <f t="shared" si="432"/>
        <v>1.7817834224196265</v>
      </c>
      <c r="Z1267" s="27">
        <f t="shared" si="432"/>
        <v>1.8288406604826053</v>
      </c>
      <c r="AA1267" s="27">
        <f t="shared" si="432"/>
        <v>1.885701932517597</v>
      </c>
      <c r="AB1267" s="27">
        <f t="shared" si="432"/>
        <v>1.9586802917289898</v>
      </c>
      <c r="AC1267" s="27">
        <f t="shared" si="432"/>
        <v>2.0469431813370456</v>
      </c>
      <c r="AD1267" s="27">
        <f t="shared" si="432"/>
        <v>2.1446346617917671</v>
      </c>
      <c r="AE1267" s="27">
        <f t="shared" si="432"/>
        <v>2.2514306358992373</v>
      </c>
      <c r="AF1267" s="27">
        <f t="shared" si="432"/>
        <v>2.364080403374996</v>
      </c>
      <c r="AG1267" s="27">
        <f t="shared" si="432"/>
        <v>2.4840914132913525</v>
      </c>
      <c r="AH1267" s="27">
        <f t="shared" si="432"/>
        <v>2.609932995576361</v>
      </c>
      <c r="AI1267" s="27">
        <f t="shared" si="432"/>
        <v>2.7359571600200745</v>
      </c>
      <c r="AJ1267" s="27">
        <f t="shared" si="432"/>
        <v>2.870315303671148</v>
      </c>
      <c r="AK1267" s="27">
        <f t="shared" si="432"/>
        <v>3.0078431709030542</v>
      </c>
      <c r="AL1267" s="27">
        <f t="shared" si="432"/>
        <v>3.1481328800356168</v>
      </c>
      <c r="AM1267" s="27">
        <f t="shared" si="432"/>
        <v>3.293658685243031</v>
      </c>
      <c r="AN1267" s="27">
        <f t="shared" si="432"/>
        <v>3.4383107407406079</v>
      </c>
      <c r="AO1267" s="27">
        <f t="shared" si="432"/>
        <v>3.5905693529651876</v>
      </c>
      <c r="AP1267" s="27">
        <f t="shared" si="432"/>
        <v>3.7535692593915186</v>
      </c>
      <c r="AQ1267" s="27">
        <f t="shared" si="432"/>
        <v>3.922195814332385</v>
      </c>
      <c r="AR1267" s="27">
        <f t="shared" si="432"/>
        <v>4.0968427833898948</v>
      </c>
      <c r="AS1267" s="27">
        <f t="shared" si="432"/>
        <v>4.2833995063649954</v>
      </c>
      <c r="AT1267" s="27">
        <f t="shared" si="432"/>
        <v>4.4801147383664359</v>
      </c>
      <c r="AU1267" s="27">
        <f t="shared" si="432"/>
        <v>4.6858252173265607</v>
      </c>
      <c r="AV1267" s="27">
        <f t="shared" si="432"/>
        <v>4.9044073325814885</v>
      </c>
      <c r="AW1267" s="27">
        <f t="shared" si="432"/>
        <v>5.1142236717204526</v>
      </c>
      <c r="AY1267" s="79"/>
      <c r="AZ1267" s="79"/>
    </row>
    <row r="1268" spans="1:52" x14ac:dyDescent="0.25">
      <c r="A1268" s="95" t="str">
        <f t="shared" si="384"/>
        <v>FSFAGSPQNIBDDSCM Poultry MMN2O</v>
      </c>
      <c r="B1268" s="95" t="s">
        <v>1374</v>
      </c>
      <c r="C1268" s="95" t="s">
        <v>1233</v>
      </c>
      <c r="D1268" t="s">
        <v>15</v>
      </c>
      <c r="E1268" t="s">
        <v>657</v>
      </c>
      <c r="F1268" t="s">
        <v>28</v>
      </c>
      <c r="G1268" t="s">
        <v>134</v>
      </c>
      <c r="H1268" t="s">
        <v>1226</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1.4711795979713126E-2</v>
      </c>
      <c r="P1268" s="27">
        <f t="shared" si="433"/>
        <v>1.4861520550190493E-2</v>
      </c>
      <c r="Q1268" s="27">
        <f t="shared" si="433"/>
        <v>1.5053508778373347E-2</v>
      </c>
      <c r="R1268" s="27">
        <f t="shared" si="433"/>
        <v>1.5253123389732505E-2</v>
      </c>
      <c r="S1268" s="27">
        <f t="shared" si="433"/>
        <v>1.4639807593087044E-2</v>
      </c>
      <c r="T1268" s="27">
        <f t="shared" si="433"/>
        <v>1.525104477033961E-2</v>
      </c>
      <c r="U1268" s="27">
        <f t="shared" si="433"/>
        <v>1.5614307297049917E-2</v>
      </c>
      <c r="V1268" s="27">
        <f t="shared" si="433"/>
        <v>1.5787696718555604E-2</v>
      </c>
      <c r="W1268" s="27">
        <f t="shared" si="433"/>
        <v>1.5979991674340898E-2</v>
      </c>
      <c r="X1268" s="27">
        <f t="shared" si="433"/>
        <v>1.6230764820934659E-2</v>
      </c>
      <c r="Y1268" s="27">
        <f t="shared" si="433"/>
        <v>1.6532631195523312E-2</v>
      </c>
      <c r="Z1268" s="27">
        <f t="shared" si="433"/>
        <v>1.6860031313715163E-2</v>
      </c>
      <c r="AA1268" s="27">
        <f t="shared" si="433"/>
        <v>1.7221001933156545E-2</v>
      </c>
      <c r="AB1268" s="27">
        <f t="shared" si="433"/>
        <v>1.7639443815087055E-2</v>
      </c>
      <c r="AC1268" s="27">
        <f t="shared" si="433"/>
        <v>1.8114086244187262E-2</v>
      </c>
      <c r="AD1268" s="27">
        <f t="shared" si="433"/>
        <v>1.8624739741203704E-2</v>
      </c>
      <c r="AE1268" s="27">
        <f t="shared" si="433"/>
        <v>1.9171324236705832E-2</v>
      </c>
      <c r="AF1268" s="27">
        <f t="shared" si="433"/>
        <v>1.9742537349149866E-2</v>
      </c>
      <c r="AG1268" s="27">
        <f t="shared" si="433"/>
        <v>2.0344178283845944E-2</v>
      </c>
      <c r="AH1268" s="27">
        <f t="shared" si="433"/>
        <v>2.09711928583355E-2</v>
      </c>
      <c r="AI1268" s="27">
        <f t="shared" si="433"/>
        <v>2.1602873978579022E-2</v>
      </c>
      <c r="AJ1268" s="27">
        <f t="shared" si="433"/>
        <v>2.226998783982374E-2</v>
      </c>
      <c r="AK1268" s="27">
        <f t="shared" si="433"/>
        <v>2.2952793503520384E-2</v>
      </c>
      <c r="AL1268" s="27">
        <f t="shared" si="433"/>
        <v>2.3649889021849769E-2</v>
      </c>
      <c r="AM1268" s="27">
        <f t="shared" si="433"/>
        <v>2.4371125755845373E-2</v>
      </c>
      <c r="AN1268" s="27">
        <f t="shared" si="433"/>
        <v>2.5093069479372905E-2</v>
      </c>
      <c r="AO1268" s="27">
        <f t="shared" si="433"/>
        <v>2.5848581335414348E-2</v>
      </c>
      <c r="AP1268" s="27">
        <f t="shared" si="433"/>
        <v>2.665028577114054E-2</v>
      </c>
      <c r="AQ1268" s="27">
        <f t="shared" si="433"/>
        <v>2.7478489166962602E-2</v>
      </c>
      <c r="AR1268" s="27">
        <f t="shared" si="433"/>
        <v>2.8334808877965974E-2</v>
      </c>
      <c r="AS1268" s="27">
        <f t="shared" si="433"/>
        <v>2.924295680923868E-2</v>
      </c>
      <c r="AT1268" s="27">
        <f t="shared" si="433"/>
        <v>3.0196536539084926E-2</v>
      </c>
      <c r="AU1268" s="27">
        <f t="shared" si="433"/>
        <v>3.1191456697779184E-2</v>
      </c>
      <c r="AV1268" s="27">
        <f t="shared" si="433"/>
        <v>3.2244092551134286E-2</v>
      </c>
      <c r="AW1268" s="27">
        <f t="shared" si="433"/>
        <v>3.3266044637334728E-2</v>
      </c>
      <c r="AY1268" s="79"/>
      <c r="AZ1268" s="79"/>
    </row>
    <row r="1269" spans="1:52" x14ac:dyDescent="0.25">
      <c r="A1269" s="95" t="str">
        <f t="shared" si="384"/>
        <v>FSFAGSPQNIBDDSCM Poultry MMN2O</v>
      </c>
      <c r="B1269" s="95" t="s">
        <v>1374</v>
      </c>
      <c r="C1269" s="95" t="s">
        <v>1233</v>
      </c>
      <c r="D1269" t="s">
        <v>15</v>
      </c>
      <c r="E1269" t="s">
        <v>657</v>
      </c>
      <c r="F1269" t="s">
        <v>28</v>
      </c>
      <c r="G1269" t="s">
        <v>133</v>
      </c>
      <c r="H1269" t="s">
        <v>1226</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7.3338261222908846E-2</v>
      </c>
      <c r="N1269" s="27">
        <f t="shared" si="434"/>
        <v>7.3768889900085524E-2</v>
      </c>
      <c r="O1269" s="27">
        <f t="shared" si="434"/>
        <v>7.3504831661853176E-2</v>
      </c>
      <c r="P1269" s="27">
        <f t="shared" si="434"/>
        <v>7.2548895925592424E-2</v>
      </c>
      <c r="Q1269" s="27">
        <f t="shared" si="434"/>
        <v>7.2146468817327461E-2</v>
      </c>
      <c r="R1269" s="27">
        <f t="shared" si="434"/>
        <v>7.1835339545248775E-2</v>
      </c>
      <c r="S1269" s="27">
        <f t="shared" si="434"/>
        <v>6.2498683119799801E-2</v>
      </c>
      <c r="T1269" s="27">
        <f t="shared" si="434"/>
        <v>6.81532571223573E-2</v>
      </c>
      <c r="U1269" s="27">
        <f t="shared" si="434"/>
        <v>7.0874060226532018E-2</v>
      </c>
      <c r="V1269" s="27">
        <f t="shared" si="434"/>
        <v>7.1214497197037332E-2</v>
      </c>
      <c r="W1269" s="27">
        <f t="shared" si="434"/>
        <v>7.1606951280898362E-2</v>
      </c>
      <c r="X1269" s="27">
        <f t="shared" si="434"/>
        <v>7.26022186292061E-2</v>
      </c>
      <c r="Y1269" s="27">
        <f t="shared" si="434"/>
        <v>7.4240975934151174E-2</v>
      </c>
      <c r="Z1269" s="27">
        <f t="shared" si="434"/>
        <v>7.620169418677529E-2</v>
      </c>
      <c r="AA1269" s="27">
        <f t="shared" si="434"/>
        <v>7.8570913854899935E-2</v>
      </c>
      <c r="AB1269" s="27">
        <f t="shared" si="434"/>
        <v>8.1611678822041331E-2</v>
      </c>
      <c r="AC1269" s="27">
        <f t="shared" si="434"/>
        <v>8.5289299222376991E-2</v>
      </c>
      <c r="AD1269" s="27">
        <f t="shared" si="434"/>
        <v>8.9359777574657032E-2</v>
      </c>
      <c r="AE1269" s="27">
        <f t="shared" si="434"/>
        <v>9.3809609829134971E-2</v>
      </c>
      <c r="AF1269" s="27">
        <f t="shared" si="434"/>
        <v>9.8503350140624904E-2</v>
      </c>
      <c r="AG1269" s="27">
        <f t="shared" si="434"/>
        <v>0.10350380888713978</v>
      </c>
      <c r="AH1269" s="27">
        <f t="shared" si="434"/>
        <v>0.10874720814901513</v>
      </c>
      <c r="AI1269" s="27">
        <f t="shared" si="434"/>
        <v>0.11399821500083657</v>
      </c>
      <c r="AJ1269" s="27">
        <f t="shared" si="434"/>
        <v>0.11959647098629794</v>
      </c>
      <c r="AK1269" s="27">
        <f t="shared" si="434"/>
        <v>0.12532679878762737</v>
      </c>
      <c r="AL1269" s="27">
        <f t="shared" si="434"/>
        <v>0.13117220333481747</v>
      </c>
      <c r="AM1269" s="27">
        <f t="shared" si="434"/>
        <v>0.13723577855179306</v>
      </c>
      <c r="AN1269" s="27">
        <f t="shared" si="434"/>
        <v>0.1432629475308588</v>
      </c>
      <c r="AO1269" s="27">
        <f t="shared" si="434"/>
        <v>0.14960705637354962</v>
      </c>
      <c r="AP1269" s="27">
        <f t="shared" si="434"/>
        <v>0.15639871914131342</v>
      </c>
      <c r="AQ1269" s="27">
        <f t="shared" si="434"/>
        <v>0.16342482559718283</v>
      </c>
      <c r="AR1269" s="27">
        <f t="shared" si="434"/>
        <v>0.1707017826412458</v>
      </c>
      <c r="AS1269" s="27">
        <f t="shared" si="434"/>
        <v>0.17847497943187501</v>
      </c>
      <c r="AT1269" s="27">
        <f t="shared" si="434"/>
        <v>0.18667144743193501</v>
      </c>
      <c r="AU1269" s="27">
        <f t="shared" si="434"/>
        <v>0.19524271738860685</v>
      </c>
      <c r="AV1269" s="27">
        <f t="shared" si="434"/>
        <v>0.20435030552422884</v>
      </c>
      <c r="AW1269" s="27">
        <f t="shared" si="434"/>
        <v>0.21309265298835234</v>
      </c>
      <c r="AY1269" s="79"/>
      <c r="AZ1269" s="79"/>
    </row>
    <row r="1270" spans="1:52" x14ac:dyDescent="0.25">
      <c r="A1270" s="95" t="str">
        <f t="shared" si="384"/>
        <v>FSFAGSPQNIBDDSCM Synthetic</v>
      </c>
      <c r="B1270" s="95" t="s">
        <v>1374</v>
      </c>
      <c r="C1270" s="95" t="s">
        <v>1125</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6.603634243590573</v>
      </c>
      <c r="U1270" s="27">
        <f t="shared" si="435"/>
        <v>6.6004971859529533</v>
      </c>
      <c r="V1270" s="27">
        <f t="shared" si="435"/>
        <v>6.5987679285209158</v>
      </c>
      <c r="W1270" s="27">
        <f t="shared" si="435"/>
        <v>6.5980968039636112</v>
      </c>
      <c r="X1270" s="27">
        <f t="shared" si="435"/>
        <v>6.5973729403354264</v>
      </c>
      <c r="Y1270" s="27">
        <f t="shared" si="435"/>
        <v>6.5963716735135058</v>
      </c>
      <c r="Z1270" s="27">
        <f t="shared" si="435"/>
        <v>6.5951092743964939</v>
      </c>
      <c r="AA1270" s="27">
        <f t="shared" si="435"/>
        <v>6.5937292152761398</v>
      </c>
      <c r="AB1270" s="27">
        <f t="shared" si="435"/>
        <v>6.5921980493186423</v>
      </c>
      <c r="AC1270" s="27">
        <f t="shared" si="435"/>
        <v>6.5904099002136718</v>
      </c>
      <c r="AD1270" s="27">
        <f t="shared" si="435"/>
        <v>6.5883900774121225</v>
      </c>
      <c r="AE1270" s="27">
        <f t="shared" si="435"/>
        <v>6.5862502813307362</v>
      </c>
      <c r="AF1270" s="27">
        <f t="shared" si="435"/>
        <v>6.5840030111280692</v>
      </c>
      <c r="AG1270" s="27">
        <f t="shared" si="435"/>
        <v>6.5817083248767299</v>
      </c>
      <c r="AH1270" s="27">
        <f t="shared" si="435"/>
        <v>6.5793473576190653</v>
      </c>
      <c r="AI1270" s="27">
        <f t="shared" si="435"/>
        <v>6.5769490947439282</v>
      </c>
      <c r="AJ1270" s="27">
        <f t="shared" si="435"/>
        <v>6.5746015679174796</v>
      </c>
      <c r="AK1270" s="27">
        <f t="shared" si="435"/>
        <v>6.5721839556094164</v>
      </c>
      <c r="AL1270" s="27">
        <f t="shared" si="435"/>
        <v>6.5697772026100587</v>
      </c>
      <c r="AM1270" s="27">
        <f t="shared" si="435"/>
        <v>6.5673876647835385</v>
      </c>
      <c r="AN1270" s="27">
        <f t="shared" si="435"/>
        <v>6.5649818227366428</v>
      </c>
      <c r="AO1270" s="27">
        <f t="shared" si="435"/>
        <v>6.5626429517048157</v>
      </c>
      <c r="AP1270" s="27">
        <f t="shared" si="435"/>
        <v>6.5602587146144691</v>
      </c>
      <c r="AQ1270" s="27">
        <f t="shared" si="435"/>
        <v>6.557794751435325</v>
      </c>
      <c r="AR1270" s="27">
        <f t="shared" si="435"/>
        <v>6.5553213474499907</v>
      </c>
      <c r="AS1270" s="27">
        <f t="shared" si="435"/>
        <v>6.552836555002342</v>
      </c>
      <c r="AT1270" s="27">
        <f t="shared" si="435"/>
        <v>6.5502749591835583</v>
      </c>
      <c r="AU1270" s="27">
        <f t="shared" si="435"/>
        <v>6.5476643110027855</v>
      </c>
      <c r="AV1270" s="27">
        <f t="shared" si="435"/>
        <v>6.5450232737774749</v>
      </c>
      <c r="AW1270" s="27">
        <f t="shared" si="435"/>
        <v>6.5423151331477944</v>
      </c>
      <c r="AY1270" s="79"/>
      <c r="AZ1270" s="79"/>
    </row>
    <row r="1271" spans="1:52" x14ac:dyDescent="0.25">
      <c r="A1271" s="95" t="str">
        <f t="shared" si="384"/>
        <v>FSFAGSPQNIBDDSCM Organic</v>
      </c>
      <c r="B1271" s="95" t="s">
        <v>1374</v>
      </c>
      <c r="C1271" s="95" t="s">
        <v>1126</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4.3583986007697799E-2</v>
      </c>
      <c r="U1271" s="27">
        <f t="shared" si="436"/>
        <v>4.3563281427289505E-2</v>
      </c>
      <c r="V1271" s="27">
        <f t="shared" si="436"/>
        <v>4.3551868328238041E-2</v>
      </c>
      <c r="W1271" s="27">
        <f t="shared" si="436"/>
        <v>4.3547438906159849E-2</v>
      </c>
      <c r="X1271" s="27">
        <f t="shared" si="436"/>
        <v>4.3542661406213816E-2</v>
      </c>
      <c r="Y1271" s="27">
        <f t="shared" si="436"/>
        <v>4.3536053045189142E-2</v>
      </c>
      <c r="Z1271" s="27">
        <f t="shared" si="436"/>
        <v>4.3527721211016876E-2</v>
      </c>
      <c r="AA1271" s="27">
        <f t="shared" si="436"/>
        <v>4.3518612820822526E-2</v>
      </c>
      <c r="AB1271" s="27">
        <f t="shared" si="436"/>
        <v>4.3508507125503047E-2</v>
      </c>
      <c r="AC1271" s="27">
        <f t="shared" si="436"/>
        <v>4.349670534141023E-2</v>
      </c>
      <c r="AD1271" s="27">
        <f t="shared" si="436"/>
        <v>4.3483374510920013E-2</v>
      </c>
      <c r="AE1271" s="27">
        <f t="shared" si="436"/>
        <v>4.3469251856782874E-2</v>
      </c>
      <c r="AF1271" s="27">
        <f t="shared" si="436"/>
        <v>4.3454419873445269E-2</v>
      </c>
      <c r="AG1271" s="27">
        <f t="shared" si="436"/>
        <v>4.3439274944186416E-2</v>
      </c>
      <c r="AH1271" s="27">
        <f t="shared" si="436"/>
        <v>4.3423692560285852E-2</v>
      </c>
      <c r="AI1271" s="27">
        <f t="shared" si="436"/>
        <v>4.3407864025309932E-2</v>
      </c>
      <c r="AJ1271" s="27">
        <f t="shared" si="436"/>
        <v>4.3392370348255375E-2</v>
      </c>
      <c r="AK1271" s="27">
        <f t="shared" si="436"/>
        <v>4.3376414107022157E-2</v>
      </c>
      <c r="AL1271" s="27">
        <f t="shared" si="436"/>
        <v>4.336052953722639E-2</v>
      </c>
      <c r="AM1271" s="27">
        <f t="shared" si="436"/>
        <v>4.3344758587571364E-2</v>
      </c>
      <c r="AN1271" s="27">
        <f t="shared" si="436"/>
        <v>4.3328880030061849E-2</v>
      </c>
      <c r="AO1271" s="27">
        <f t="shared" si="436"/>
        <v>4.3313443481251802E-2</v>
      </c>
      <c r="AP1271" s="27">
        <f t="shared" si="436"/>
        <v>4.3297707516455515E-2</v>
      </c>
      <c r="AQ1271" s="27">
        <f t="shared" si="436"/>
        <v>4.3281445359473161E-2</v>
      </c>
      <c r="AR1271" s="27">
        <f t="shared" si="436"/>
        <v>4.3265120893169952E-2</v>
      </c>
      <c r="AS1271" s="27">
        <f t="shared" si="436"/>
        <v>4.324872126301546E-2</v>
      </c>
      <c r="AT1271" s="27">
        <f t="shared" si="436"/>
        <v>4.3231814730611481E-2</v>
      </c>
      <c r="AU1271" s="27">
        <f t="shared" si="436"/>
        <v>4.3214584452618394E-2</v>
      </c>
      <c r="AV1271" s="27">
        <f t="shared" si="436"/>
        <v>4.3197153606931347E-2</v>
      </c>
      <c r="AW1271" s="27">
        <f t="shared" si="436"/>
        <v>4.3179279878775449E-2</v>
      </c>
      <c r="AY1271" s="79"/>
      <c r="AZ1271" s="79"/>
    </row>
    <row r="1272" spans="1:52" x14ac:dyDescent="0.25">
      <c r="A1272" s="95" t="str">
        <f t="shared" si="384"/>
        <v>FSFAGSPQNIBDDSCM Crop residues</v>
      </c>
      <c r="B1272" s="95" t="s">
        <v>1374</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2.9705633438591348</v>
      </c>
      <c r="U1272" s="27">
        <f t="shared" si="438"/>
        <v>2.9939833213378622</v>
      </c>
      <c r="V1272" s="27">
        <f t="shared" si="438"/>
        <v>3.0068932435616724</v>
      </c>
      <c r="W1272" s="27">
        <f t="shared" si="438"/>
        <v>3.0119035824948748</v>
      </c>
      <c r="X1272" s="27">
        <f t="shared" si="438"/>
        <v>3.0173076495628459</v>
      </c>
      <c r="Y1272" s="27">
        <f t="shared" si="438"/>
        <v>3.0247826943750078</v>
      </c>
      <c r="Z1272" s="27">
        <f t="shared" si="438"/>
        <v>3.0342072451180488</v>
      </c>
      <c r="AA1272" s="27">
        <f t="shared" si="438"/>
        <v>3.0445101968810144</v>
      </c>
      <c r="AB1272" s="27">
        <f t="shared" si="438"/>
        <v>3.0559412499196137</v>
      </c>
      <c r="AC1272" s="27">
        <f t="shared" si="438"/>
        <v>3.0692908330655531</v>
      </c>
      <c r="AD1272" s="27">
        <f t="shared" si="438"/>
        <v>3.0843699964051159</v>
      </c>
      <c r="AE1272" s="27">
        <f t="shared" si="438"/>
        <v>3.1003448307320856</v>
      </c>
      <c r="AF1272" s="27">
        <f t="shared" si="438"/>
        <v>3.1171220224878007</v>
      </c>
      <c r="AG1272" s="27">
        <f t="shared" si="438"/>
        <v>3.1342532028915815</v>
      </c>
      <c r="AH1272" s="27">
        <f t="shared" si="438"/>
        <v>3.1518792099305966</v>
      </c>
      <c r="AI1272" s="27">
        <f t="shared" si="438"/>
        <v>3.1697836506556398</v>
      </c>
      <c r="AJ1272" s="27">
        <f t="shared" si="438"/>
        <v>3.1873093169828417</v>
      </c>
      <c r="AK1272" s="27">
        <f t="shared" si="438"/>
        <v>3.2053582125874849</v>
      </c>
      <c r="AL1272" s="27">
        <f t="shared" si="438"/>
        <v>3.2233260370755845</v>
      </c>
      <c r="AM1272" s="27">
        <f t="shared" si="438"/>
        <v>3.2411653401889731</v>
      </c>
      <c r="AN1272" s="27">
        <f t="shared" si="438"/>
        <v>3.2591263638820034</v>
      </c>
      <c r="AO1272" s="27">
        <f t="shared" si="438"/>
        <v>3.2765874096193026</v>
      </c>
      <c r="AP1272" s="27">
        <f t="shared" si="438"/>
        <v>3.294387139624336</v>
      </c>
      <c r="AQ1272" s="27">
        <f t="shared" si="438"/>
        <v>3.3127820717007999</v>
      </c>
      <c r="AR1272" s="27">
        <f t="shared" si="438"/>
        <v>3.3312474849395168</v>
      </c>
      <c r="AS1272" s="27">
        <f t="shared" si="438"/>
        <v>3.3497979197372052</v>
      </c>
      <c r="AT1272" s="27">
        <f t="shared" si="438"/>
        <v>3.3689217368026219</v>
      </c>
      <c r="AU1272" s="27">
        <f t="shared" si="438"/>
        <v>3.3884117585559377</v>
      </c>
      <c r="AV1272" s="27">
        <f t="shared" si="438"/>
        <v>3.4081286523724397</v>
      </c>
      <c r="AW1272" s="27">
        <f t="shared" si="438"/>
        <v>3.4283465125085661</v>
      </c>
      <c r="AY1272" s="79"/>
      <c r="AZ1272" s="79"/>
    </row>
    <row r="1273" spans="1:52" x14ac:dyDescent="0.25">
      <c r="A1273" s="95" t="str">
        <f t="shared" si="384"/>
        <v>FSFAGSPQNIBDDSCM Organic</v>
      </c>
      <c r="B1273" s="95" t="s">
        <v>1374</v>
      </c>
      <c r="C1273" s="95" t="s">
        <v>1126</v>
      </c>
      <c r="D1273" t="s">
        <v>369</v>
      </c>
      <c r="E1273" t="s">
        <v>55</v>
      </c>
      <c r="F1273" t="s">
        <v>421</v>
      </c>
      <c r="G1273" t="s">
        <v>1151</v>
      </c>
      <c r="H1273" t="s">
        <v>1152</v>
      </c>
      <c r="I1273" t="s">
        <v>139</v>
      </c>
      <c r="J1273" t="s">
        <v>287</v>
      </c>
      <c r="K1273" s="27">
        <f t="shared" ref="K1273:AW1273" si="439">IFERROR(K1466-((K1466-K57)+(K1466-K210)+(K1466-K363)+(K1466-K515)+(K1466-K667)+(K1466-K818)+(K1466-K969)+(K1466-K1120)),0)</f>
        <v>0.31878106382562998</v>
      </c>
      <c r="L1273" s="27">
        <f t="shared" si="439"/>
        <v>0.32056321299147922</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0.32880601635823309</v>
      </c>
      <c r="S1273" s="27">
        <f t="shared" si="439"/>
        <v>0.31930900968296799</v>
      </c>
      <c r="T1273" s="27">
        <f t="shared" si="439"/>
        <v>0.32574821213897459</v>
      </c>
      <c r="U1273" s="27">
        <f t="shared" si="439"/>
        <v>0.32894469179548952</v>
      </c>
      <c r="V1273" s="27">
        <f t="shared" si="439"/>
        <v>0.32977948253414807</v>
      </c>
      <c r="W1273" s="27">
        <f t="shared" si="439"/>
        <v>0.3309664569188206</v>
      </c>
      <c r="X1273" s="27">
        <f t="shared" si="439"/>
        <v>0.33295820888491823</v>
      </c>
      <c r="Y1273" s="27">
        <f t="shared" si="439"/>
        <v>0.33558938332727861</v>
      </c>
      <c r="Z1273" s="27">
        <f t="shared" si="439"/>
        <v>0.33853527641770959</v>
      </c>
      <c r="AA1273" s="27">
        <f t="shared" si="439"/>
        <v>0.34188866727508727</v>
      </c>
      <c r="AB1273" s="27">
        <f t="shared" si="439"/>
        <v>0.34593707625098935</v>
      </c>
      <c r="AC1273" s="27">
        <f t="shared" si="439"/>
        <v>0.35065698551445434</v>
      </c>
      <c r="AD1273" s="27">
        <f t="shared" si="439"/>
        <v>0.35579420133815998</v>
      </c>
      <c r="AE1273" s="27">
        <f t="shared" si="439"/>
        <v>0.36134408078222452</v>
      </c>
      <c r="AF1273" s="27">
        <f t="shared" si="439"/>
        <v>0.36716578992310794</v>
      </c>
      <c r="AG1273" s="27">
        <f t="shared" si="439"/>
        <v>0.37332444348551658</v>
      </c>
      <c r="AH1273" s="27">
        <f t="shared" si="439"/>
        <v>0.37975671698066876</v>
      </c>
      <c r="AI1273" s="27">
        <f t="shared" si="439"/>
        <v>0.38621474793846927</v>
      </c>
      <c r="AJ1273" s="27">
        <f t="shared" si="439"/>
        <v>0.39306178454441848</v>
      </c>
      <c r="AK1273" s="27">
        <f t="shared" si="439"/>
        <v>0.40005847527747412</v>
      </c>
      <c r="AL1273" s="27">
        <f t="shared" si="439"/>
        <v>0.4071870252950287</v>
      </c>
      <c r="AM1273" s="27">
        <f t="shared" si="439"/>
        <v>0.41456228412939544</v>
      </c>
      <c r="AN1273" s="27">
        <f t="shared" si="439"/>
        <v>0.42190892307820843</v>
      </c>
      <c r="AO1273" s="27">
        <f t="shared" si="439"/>
        <v>0.42960845898713129</v>
      </c>
      <c r="AP1273" s="27">
        <f t="shared" si="439"/>
        <v>0.43780304574358431</v>
      </c>
      <c r="AQ1273" s="27">
        <f t="shared" si="439"/>
        <v>0.44626036327894386</v>
      </c>
      <c r="AR1273" s="27">
        <f t="shared" si="439"/>
        <v>0.45499571223112473</v>
      </c>
      <c r="AS1273" s="27">
        <f t="shared" si="439"/>
        <v>0.46427790014777842</v>
      </c>
      <c r="AT1273" s="27">
        <f t="shared" si="439"/>
        <v>0.4740288633200766</v>
      </c>
      <c r="AU1273" s="27">
        <f t="shared" si="439"/>
        <v>0.48419829350388255</v>
      </c>
      <c r="AV1273" s="27">
        <f t="shared" si="439"/>
        <v>0.49496943616318984</v>
      </c>
      <c r="AW1273" s="27">
        <f t="shared" si="439"/>
        <v>0.50533326104983312</v>
      </c>
      <c r="AY1273" s="79"/>
      <c r="AZ1273" s="79"/>
    </row>
    <row r="1274" spans="1:52" x14ac:dyDescent="0.25">
      <c r="A1274" s="95" t="str">
        <f t="shared" si="384"/>
        <v>FSFAGSPQNIBDDSCM Organic</v>
      </c>
      <c r="B1274" s="95" t="s">
        <v>1374</v>
      </c>
      <c r="C1274" s="95" t="s">
        <v>1126</v>
      </c>
      <c r="D1274" t="s">
        <v>369</v>
      </c>
      <c r="E1274" t="s">
        <v>55</v>
      </c>
      <c r="F1274" t="s">
        <v>421</v>
      </c>
      <c r="G1274" t="s">
        <v>1153</v>
      </c>
      <c r="H1274" t="s">
        <v>1154</v>
      </c>
      <c r="I1274" t="s">
        <v>139</v>
      </c>
      <c r="J1274" t="s">
        <v>287</v>
      </c>
      <c r="K1274" s="27">
        <f t="shared" ref="K1274:AW1274" si="440">IFERROR(K1467-((K1467-K58)+(K1467-K211)+(K1467-K364)+(K1467-K516)+(K1467-K668)+(K1467-K819)+(K1467-K970)+(K1467-K1121)),0)</f>
        <v>0.93210651077804862</v>
      </c>
      <c r="L1274" s="27">
        <f t="shared" si="440"/>
        <v>0.93731746283627526</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0.96141917889497153</v>
      </c>
      <c r="S1274" s="27">
        <f t="shared" si="440"/>
        <v>0.93365020902993845</v>
      </c>
      <c r="T1274" s="27">
        <f t="shared" si="440"/>
        <v>0.95247824875548714</v>
      </c>
      <c r="U1274" s="27">
        <f t="shared" si="440"/>
        <v>0.96182466181920945</v>
      </c>
      <c r="V1274" s="27">
        <f t="shared" si="440"/>
        <v>0.96426556553319687</v>
      </c>
      <c r="W1274" s="27">
        <f t="shared" si="440"/>
        <v>0.96773624393172708</v>
      </c>
      <c r="X1274" s="27">
        <f t="shared" si="440"/>
        <v>0.97356006844995502</v>
      </c>
      <c r="Y1274" s="27">
        <f t="shared" si="440"/>
        <v>0.98125354559469047</v>
      </c>
      <c r="Z1274" s="27">
        <f t="shared" si="440"/>
        <v>0.9898672508653048</v>
      </c>
      <c r="AA1274" s="27">
        <f t="shared" si="440"/>
        <v>0.99967246769291085</v>
      </c>
      <c r="AB1274" s="27">
        <f t="shared" si="440"/>
        <v>1.0115098971796095</v>
      </c>
      <c r="AC1274" s="27">
        <f t="shared" si="440"/>
        <v>1.0253107738752334</v>
      </c>
      <c r="AD1274" s="27">
        <f t="shared" si="440"/>
        <v>1.0403318427526722</v>
      </c>
      <c r="AE1274" s="27">
        <f t="shared" si="440"/>
        <v>1.0565595279914524</v>
      </c>
      <c r="AF1274" s="27">
        <f t="shared" si="440"/>
        <v>1.0735820353165477</v>
      </c>
      <c r="AG1274" s="27">
        <f t="shared" si="440"/>
        <v>1.0915897582793135</v>
      </c>
      <c r="AH1274" s="27">
        <f t="shared" si="440"/>
        <v>1.1103975379258981</v>
      </c>
      <c r="AI1274" s="27">
        <f t="shared" si="440"/>
        <v>1.1292806316402249</v>
      </c>
      <c r="AJ1274" s="27">
        <f t="shared" si="440"/>
        <v>1.1493011664968118</v>
      </c>
      <c r="AK1274" s="27">
        <f t="shared" si="440"/>
        <v>1.1697592856457866</v>
      </c>
      <c r="AL1274" s="27">
        <f t="shared" si="440"/>
        <v>1.190602957487612</v>
      </c>
      <c r="AM1274" s="27">
        <f t="shared" si="440"/>
        <v>1.2121679986970451</v>
      </c>
      <c r="AN1274" s="27">
        <f t="shared" si="440"/>
        <v>1.2336493561978465</v>
      </c>
      <c r="AO1274" s="27">
        <f t="shared" si="440"/>
        <v>1.2561625740927527</v>
      </c>
      <c r="AP1274" s="27">
        <f t="shared" si="440"/>
        <v>1.2801233061925847</v>
      </c>
      <c r="AQ1274" s="27">
        <f t="shared" si="440"/>
        <v>1.3048522554087716</v>
      </c>
      <c r="AR1274" s="27">
        <f t="shared" si="440"/>
        <v>1.3303941603592482</v>
      </c>
      <c r="AS1274" s="27">
        <f t="shared" si="440"/>
        <v>1.3575350064545193</v>
      </c>
      <c r="AT1274" s="27">
        <f t="shared" si="440"/>
        <v>1.3860465376922328</v>
      </c>
      <c r="AU1274" s="27">
        <f t="shared" si="440"/>
        <v>1.4157816542373405</v>
      </c>
      <c r="AV1274" s="27">
        <f t="shared" si="440"/>
        <v>1.4472761604692133</v>
      </c>
      <c r="AW1274" s="27">
        <f t="shared" si="440"/>
        <v>1.4775796814421152</v>
      </c>
      <c r="AY1274" s="79"/>
      <c r="AZ1274" s="79"/>
    </row>
    <row r="1275" spans="1:52" x14ac:dyDescent="0.25">
      <c r="A1275" s="95" t="str">
        <f t="shared" si="384"/>
        <v>FSFAGSPQNIBDDSCM Organic</v>
      </c>
      <c r="B1275" s="95" t="s">
        <v>1374</v>
      </c>
      <c r="C1275" s="95" t="s">
        <v>1126</v>
      </c>
      <c r="D1275" t="s">
        <v>369</v>
      </c>
      <c r="E1275" t="s">
        <v>55</v>
      </c>
      <c r="F1275" t="s">
        <v>421</v>
      </c>
      <c r="G1275" t="s">
        <v>1155</v>
      </c>
      <c r="H1275" t="s">
        <v>1156</v>
      </c>
      <c r="I1275" t="s">
        <v>139</v>
      </c>
      <c r="J1275" t="s">
        <v>287</v>
      </c>
      <c r="K1275" s="27">
        <f t="shared" ref="K1275:AW1275" si="441">IFERROR(K1468-((K1468-K59)+(K1468-K212)+(K1468-K365)+(K1468-K517)+(K1468-K669)+(K1468-K820)+(K1468-K971)+(K1468-K1122)),0)</f>
        <v>4.9862442750846919E-2</v>
      </c>
      <c r="L1275" s="27">
        <f t="shared" si="441"/>
        <v>5.0141199304605817E-2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5.1430505218981189E-2</v>
      </c>
      <c r="S1275" s="27">
        <f t="shared" si="441"/>
        <v>4.9945021903357263E-2</v>
      </c>
      <c r="T1275" s="27">
        <f t="shared" si="441"/>
        <v>5.0952215868929084E-2</v>
      </c>
      <c r="U1275" s="27">
        <f t="shared" si="441"/>
        <v>5.1452196269158888E-2</v>
      </c>
      <c r="V1275" s="27">
        <f t="shared" si="441"/>
        <v>5.1582770855101254E-2</v>
      </c>
      <c r="W1275" s="27">
        <f t="shared" si="441"/>
        <v>5.1768432580400064E-2</v>
      </c>
      <c r="X1275" s="27">
        <f t="shared" si="441"/>
        <v>5.2079974355157911E-2</v>
      </c>
      <c r="Y1275" s="27">
        <f t="shared" si="441"/>
        <v>5.2491532003611736E-2</v>
      </c>
      <c r="Z1275" s="27">
        <f t="shared" si="441"/>
        <v>5.2952316668199217E-2</v>
      </c>
      <c r="AA1275" s="27">
        <f t="shared" si="441"/>
        <v>5.3476840482884362E-2</v>
      </c>
      <c r="AB1275" s="27">
        <f t="shared" si="441"/>
        <v>5.4110076216432663E-2</v>
      </c>
      <c r="AC1275" s="27">
        <f t="shared" si="441"/>
        <v>5.4848345304986328E-2</v>
      </c>
      <c r="AD1275" s="27">
        <f t="shared" si="441"/>
        <v>5.5651887795353253E-2</v>
      </c>
      <c r="AE1275" s="27">
        <f t="shared" si="441"/>
        <v>5.651997745768382E-2</v>
      </c>
      <c r="AF1275" s="27">
        <f t="shared" si="441"/>
        <v>5.7430585620118969E-2</v>
      </c>
      <c r="AG1275" s="27">
        <f t="shared" si="441"/>
        <v>5.8393897264143985E-2</v>
      </c>
      <c r="AH1275" s="27">
        <f t="shared" si="441"/>
        <v>5.9400007429725336E-2</v>
      </c>
      <c r="AI1275" s="27">
        <f t="shared" si="441"/>
        <v>6.0410146473281176E-2</v>
      </c>
      <c r="AJ1275" s="27">
        <f t="shared" si="441"/>
        <v>6.1481132204616346E-2</v>
      </c>
      <c r="AK1275" s="27">
        <f t="shared" si="441"/>
        <v>6.2575526228325351E-2</v>
      </c>
      <c r="AL1275" s="27">
        <f t="shared" si="441"/>
        <v>6.3690545147207192E-2</v>
      </c>
      <c r="AM1275" s="27">
        <f t="shared" si="441"/>
        <v>6.4844153259897494E-2</v>
      </c>
      <c r="AN1275" s="27">
        <f t="shared" si="441"/>
        <v>6.5993284766017041E-2</v>
      </c>
      <c r="AO1275" s="27">
        <f t="shared" si="441"/>
        <v>6.7197614985194512E-2</v>
      </c>
      <c r="AP1275" s="27">
        <f t="shared" si="441"/>
        <v>6.8479379052692538E-2</v>
      </c>
      <c r="AQ1275" s="27">
        <f t="shared" si="441"/>
        <v>6.9802238404411326E-2</v>
      </c>
      <c r="AR1275" s="27">
        <f t="shared" si="441"/>
        <v>7.1168586304156845E-2</v>
      </c>
      <c r="AS1275" s="27">
        <f t="shared" si="441"/>
        <v>7.2620468539702415E-2</v>
      </c>
      <c r="AT1275" s="27">
        <f t="shared" si="441"/>
        <v>7.4145674701917505E-2</v>
      </c>
      <c r="AU1275" s="27">
        <f t="shared" si="441"/>
        <v>7.5736335779032549E-2</v>
      </c>
      <c r="AV1275" s="27">
        <f t="shared" si="441"/>
        <v>7.742111428427241E-2</v>
      </c>
      <c r="AW1275" s="27">
        <f t="shared" si="441"/>
        <v>7.9042181793391189E-2</v>
      </c>
      <c r="AY1275" s="79"/>
      <c r="AZ1275" s="79"/>
    </row>
    <row r="1276" spans="1:52" x14ac:dyDescent="0.25">
      <c r="A1276" s="95" t="str">
        <f t="shared" si="384"/>
        <v>FSFAGSPQNIBDDSCM Organic</v>
      </c>
      <c r="B1276" s="95" t="s">
        <v>1374</v>
      </c>
      <c r="C1276" s="95" t="s">
        <v>1126</v>
      </c>
      <c r="D1276" t="s">
        <v>369</v>
      </c>
      <c r="E1276" t="s">
        <v>55</v>
      </c>
      <c r="F1276" t="s">
        <v>421</v>
      </c>
      <c r="G1276" t="s">
        <v>1157</v>
      </c>
      <c r="H1276" t="s">
        <v>1158</v>
      </c>
      <c r="I1276" t="s">
        <v>139</v>
      </c>
      <c r="J1276" t="s">
        <v>287</v>
      </c>
      <c r="K1276" s="27">
        <f t="shared" ref="K1276:AW1276" si="442">IFERROR(K1469-((K1469-K60)+(K1469-K213)+(K1469-K366)+(K1469-K518)+(K1469-K670)+(K1469-K821)+(K1469-K972)+(K1469-K1123)),0)</f>
        <v>0.39999978998352292</v>
      </c>
      <c r="L1276" s="27">
        <f t="shared" si="442"/>
        <v>0.39653071954810187</v>
      </c>
      <c r="M1276" s="27">
        <f t="shared" si="442"/>
        <v>0.39521014945095007</v>
      </c>
      <c r="N1276" s="27">
        <f t="shared" si="442"/>
        <v>0.38993263522397309</v>
      </c>
      <c r="O1276" s="27">
        <f t="shared" si="442"/>
        <v>0.38227219443770077</v>
      </c>
      <c r="P1276" s="27">
        <f t="shared" si="442"/>
        <v>0.37238723301511378</v>
      </c>
      <c r="Q1276" s="27">
        <f t="shared" si="442"/>
        <v>0.36459067483623875</v>
      </c>
      <c r="R1276" s="27">
        <f t="shared" si="442"/>
        <v>0.3572142444544395</v>
      </c>
      <c r="S1276" s="27">
        <f t="shared" si="442"/>
        <v>0.31897606543396184</v>
      </c>
      <c r="T1276" s="27">
        <f t="shared" si="442"/>
        <v>0.33422640738749132</v>
      </c>
      <c r="U1276" s="27">
        <f t="shared" si="442"/>
        <v>0.3395060787066792</v>
      </c>
      <c r="V1276" s="27">
        <f t="shared" si="442"/>
        <v>0.33721330134407257</v>
      </c>
      <c r="W1276" s="27">
        <f t="shared" si="442"/>
        <v>0.33534828840095249</v>
      </c>
      <c r="X1276" s="27">
        <f t="shared" si="442"/>
        <v>0.33547079917503503</v>
      </c>
      <c r="Y1276" s="27">
        <f t="shared" si="442"/>
        <v>0.33744070936588777</v>
      </c>
      <c r="Z1276" s="27">
        <f t="shared" si="442"/>
        <v>0.34023587672815686</v>
      </c>
      <c r="AA1276" s="27">
        <f t="shared" si="442"/>
        <v>0.34408144868680218</v>
      </c>
      <c r="AB1276" s="27">
        <f t="shared" si="442"/>
        <v>0.34971445697084458</v>
      </c>
      <c r="AC1276" s="27">
        <f t="shared" si="442"/>
        <v>0.35697581238959336</v>
      </c>
      <c r="AD1276" s="27">
        <f t="shared" si="442"/>
        <v>0.36203839361176637</v>
      </c>
      <c r="AE1276" s="27">
        <f t="shared" si="442"/>
        <v>0.36769900977315834</v>
      </c>
      <c r="AF1276" s="27">
        <f t="shared" si="442"/>
        <v>0.37353106948354631</v>
      </c>
      <c r="AG1276" s="27">
        <f t="shared" si="442"/>
        <v>0.37966412521229187</v>
      </c>
      <c r="AH1276" s="27">
        <f t="shared" si="442"/>
        <v>0.38588904144354591</v>
      </c>
      <c r="AI1276" s="27">
        <f t="shared" si="442"/>
        <v>0.39157349610813613</v>
      </c>
      <c r="AJ1276" s="27">
        <f t="shared" si="442"/>
        <v>0.39756955250590403</v>
      </c>
      <c r="AK1276" s="27">
        <f t="shared" si="442"/>
        <v>0.40329410820183131</v>
      </c>
      <c r="AL1276" s="27">
        <f t="shared" si="442"/>
        <v>0.4086920134239358</v>
      </c>
      <c r="AM1276" s="27">
        <f t="shared" si="442"/>
        <v>0.41399400883192944</v>
      </c>
      <c r="AN1276" s="27">
        <f t="shared" si="442"/>
        <v>0.42072674060954357</v>
      </c>
      <c r="AO1276" s="27">
        <f t="shared" si="442"/>
        <v>0.42769047193917231</v>
      </c>
      <c r="AP1276" s="27">
        <f t="shared" si="442"/>
        <v>0.43513827260891708</v>
      </c>
      <c r="AQ1276" s="27">
        <f t="shared" si="442"/>
        <v>0.44255709633783841</v>
      </c>
      <c r="AR1276" s="27">
        <f t="shared" si="442"/>
        <v>0.44995657231615971</v>
      </c>
      <c r="AS1276" s="27">
        <f t="shared" si="442"/>
        <v>0.45782299471336541</v>
      </c>
      <c r="AT1276" s="27">
        <f t="shared" si="442"/>
        <v>0.46595268200970025</v>
      </c>
      <c r="AU1276" s="27">
        <f t="shared" si="442"/>
        <v>0.47420429180526752</v>
      </c>
      <c r="AV1276" s="27">
        <f t="shared" si="442"/>
        <v>0.48285863154123199</v>
      </c>
      <c r="AW1276" s="27">
        <f t="shared" si="442"/>
        <v>0.4901142188549843</v>
      </c>
      <c r="AY1276" s="79"/>
      <c r="AZ1276" s="79"/>
    </row>
    <row r="1277" spans="1:52" x14ac:dyDescent="0.25">
      <c r="A1277" s="95" t="str">
        <f t="shared" si="384"/>
        <v>FSFAGSPQNIBDDSCM Organic</v>
      </c>
      <c r="B1277" s="95" t="s">
        <v>1374</v>
      </c>
      <c r="C1277" s="95" t="s">
        <v>1126</v>
      </c>
      <c r="D1277" t="s">
        <v>369</v>
      </c>
      <c r="E1277" t="s">
        <v>55</v>
      </c>
      <c r="F1277" t="s">
        <v>421</v>
      </c>
      <c r="G1277" t="s">
        <v>1159</v>
      </c>
      <c r="H1277" t="s">
        <v>1160</v>
      </c>
      <c r="I1277" t="s">
        <v>139</v>
      </c>
      <c r="J1277" t="s">
        <v>287</v>
      </c>
      <c r="K1277" s="27">
        <f t="shared" ref="K1277:AW1277" si="443">IFERROR(K1470-((K1470-K61)+(K1470-K214)+(K1470-K367)+(K1470-K519)+(K1470-K671)+(K1470-K822)+(K1470-K973)+(K1470-K1124)),0)</f>
        <v>2.6602988559851233</v>
      </c>
      <c r="L1277" s="27">
        <f t="shared" si="443"/>
        <v>2.6372269335947083</v>
      </c>
      <c r="M1277" s="27">
        <f t="shared" si="443"/>
        <v>2.6284441511866339</v>
      </c>
      <c r="N1277" s="27">
        <f t="shared" si="443"/>
        <v>2.5933447201068058</v>
      </c>
      <c r="O1277" s="27">
        <f t="shared" si="443"/>
        <v>2.5423970387070192</v>
      </c>
      <c r="P1277" s="27">
        <f t="shared" si="443"/>
        <v>2.4766546252796311</v>
      </c>
      <c r="Q1277" s="27">
        <f t="shared" si="443"/>
        <v>2.4248016610449818</v>
      </c>
      <c r="R1277" s="27">
        <f t="shared" si="443"/>
        <v>2.3757428620222045</v>
      </c>
      <c r="S1277" s="27">
        <f t="shared" si="443"/>
        <v>2.1214302687397906</v>
      </c>
      <c r="T1277" s="27">
        <f t="shared" si="443"/>
        <v>2.2228564901236254</v>
      </c>
      <c r="U1277" s="27">
        <f t="shared" si="443"/>
        <v>2.2579702674858382</v>
      </c>
      <c r="V1277" s="27">
        <f t="shared" si="443"/>
        <v>2.2427215769927198</v>
      </c>
      <c r="W1277" s="27">
        <f t="shared" si="443"/>
        <v>2.230317840982798</v>
      </c>
      <c r="X1277" s="27">
        <f t="shared" si="443"/>
        <v>2.2311326295909391</v>
      </c>
      <c r="Y1277" s="27">
        <f t="shared" si="443"/>
        <v>2.2442340110375012</v>
      </c>
      <c r="Z1277" s="27">
        <f t="shared" si="443"/>
        <v>2.2628239721383245</v>
      </c>
      <c r="AA1277" s="27">
        <f t="shared" si="443"/>
        <v>2.2883999122722289</v>
      </c>
      <c r="AB1277" s="27">
        <f t="shared" si="443"/>
        <v>2.3258636456767143</v>
      </c>
      <c r="AC1277" s="27">
        <f t="shared" si="443"/>
        <v>2.3741571098162688</v>
      </c>
      <c r="AD1277" s="27">
        <f t="shared" si="443"/>
        <v>2.4078270750785844</v>
      </c>
      <c r="AE1277" s="27">
        <f t="shared" si="443"/>
        <v>2.4454744215907969</v>
      </c>
      <c r="AF1277" s="27">
        <f t="shared" si="443"/>
        <v>2.4842619963948258</v>
      </c>
      <c r="AG1277" s="27">
        <f t="shared" si="443"/>
        <v>2.5250514206581411</v>
      </c>
      <c r="AH1277" s="27">
        <f t="shared" si="443"/>
        <v>2.5664517862165597</v>
      </c>
      <c r="AI1277" s="27">
        <f t="shared" si="443"/>
        <v>2.6042576766689809</v>
      </c>
      <c r="AJ1277" s="27">
        <f t="shared" si="443"/>
        <v>2.6441359525452293</v>
      </c>
      <c r="AK1277" s="27">
        <f t="shared" si="443"/>
        <v>2.6822085449571547</v>
      </c>
      <c r="AL1277" s="27">
        <f t="shared" si="443"/>
        <v>2.7181086665238992</v>
      </c>
      <c r="AM1277" s="27">
        <f t="shared" si="443"/>
        <v>2.7533709158338433</v>
      </c>
      <c r="AN1277" s="27">
        <f t="shared" si="443"/>
        <v>2.7981486359580932</v>
      </c>
      <c r="AO1277" s="27">
        <f t="shared" si="443"/>
        <v>2.8444626764988703</v>
      </c>
      <c r="AP1277" s="27">
        <f t="shared" si="443"/>
        <v>2.8939961415092981</v>
      </c>
      <c r="AQ1277" s="27">
        <f t="shared" si="443"/>
        <v>2.9433368881122353</v>
      </c>
      <c r="AR1277" s="27">
        <f t="shared" si="443"/>
        <v>2.9925489576506421</v>
      </c>
      <c r="AS1277" s="27">
        <f t="shared" si="443"/>
        <v>3.0448665713794991</v>
      </c>
      <c r="AT1277" s="27">
        <f t="shared" si="443"/>
        <v>3.0989350943025911</v>
      </c>
      <c r="AU1277" s="27">
        <f t="shared" si="443"/>
        <v>3.1538144933644965</v>
      </c>
      <c r="AV1277" s="27">
        <f t="shared" si="443"/>
        <v>3.211372348831973</v>
      </c>
      <c r="AW1277" s="27">
        <f t="shared" si="443"/>
        <v>3.2596274507435776</v>
      </c>
      <c r="AY1277" s="79"/>
      <c r="AZ1277" s="79"/>
    </row>
    <row r="1278" spans="1:52" x14ac:dyDescent="0.25">
      <c r="A1278" s="95" t="str">
        <f t="shared" si="384"/>
        <v>FSFAGSPQNIBDDSCM Organic</v>
      </c>
      <c r="B1278" s="95" t="s">
        <v>1374</v>
      </c>
      <c r="C1278" s="95" t="s">
        <v>1126</v>
      </c>
      <c r="D1278" t="s">
        <v>369</v>
      </c>
      <c r="E1278" t="s">
        <v>55</v>
      </c>
      <c r="F1278" t="s">
        <v>421</v>
      </c>
      <c r="G1278" t="s">
        <v>1161</v>
      </c>
      <c r="H1278" t="s">
        <v>1162</v>
      </c>
      <c r="I1278" t="s">
        <v>139</v>
      </c>
      <c r="J1278" t="s">
        <v>287</v>
      </c>
      <c r="K1278" s="27">
        <f t="shared" ref="K1278:AW1278" si="444">IFERROR(K1471-((K1471-K62)+(K1471-K215)+(K1471-K368)+(K1471-K520)+(K1471-K672)+(K1471-K823)+(K1471-K974)+(K1471-K1125)),0)</f>
        <v>0.34358078636628725</v>
      </c>
      <c r="L1278" s="27">
        <f t="shared" si="444"/>
        <v>0.35516571939691488</v>
      </c>
      <c r="M1278" s="27">
        <f t="shared" si="444"/>
        <v>0.36891582276573964</v>
      </c>
      <c r="N1278" s="27">
        <f t="shared" si="444"/>
        <v>0.37917034791782084</v>
      </c>
      <c r="O1278" s="27">
        <f t="shared" si="444"/>
        <v>0.3870785095581884</v>
      </c>
      <c r="P1278" s="27">
        <f t="shared" si="444"/>
        <v>0.39252728601928993</v>
      </c>
      <c r="Q1278" s="27">
        <f t="shared" si="444"/>
        <v>0.39996713645364929</v>
      </c>
      <c r="R1278" s="27">
        <f t="shared" si="444"/>
        <v>0.40776627193753145</v>
      </c>
      <c r="S1278" s="27">
        <f t="shared" si="444"/>
        <v>0.37883271565803223</v>
      </c>
      <c r="T1278" s="27">
        <f t="shared" si="444"/>
        <v>0.40650829214497081</v>
      </c>
      <c r="U1278" s="27">
        <f t="shared" si="444"/>
        <v>0.42274175542300491</v>
      </c>
      <c r="V1278" s="27">
        <f t="shared" si="444"/>
        <v>0.42973734716787138</v>
      </c>
      <c r="W1278" s="27">
        <f t="shared" si="444"/>
        <v>0.43726842004421129</v>
      </c>
      <c r="X1278" s="27">
        <f t="shared" si="444"/>
        <v>0.44745878466388073</v>
      </c>
      <c r="Y1278" s="27">
        <f t="shared" si="444"/>
        <v>0.46030289933226931</v>
      </c>
      <c r="Z1278" s="27">
        <f t="shared" si="444"/>
        <v>0.47455223837766919</v>
      </c>
      <c r="AA1278" s="27">
        <f t="shared" si="444"/>
        <v>0.4906141484694207</v>
      </c>
      <c r="AB1278" s="27">
        <f t="shared" si="444"/>
        <v>0.50967264018855052</v>
      </c>
      <c r="AC1278" s="27">
        <f t="shared" si="444"/>
        <v>0.53167442702617229</v>
      </c>
      <c r="AD1278" s="27">
        <f t="shared" si="444"/>
        <v>0.55709637533943834</v>
      </c>
      <c r="AE1278" s="27">
        <f t="shared" si="444"/>
        <v>0.58460645913698228</v>
      </c>
      <c r="AF1278" s="27">
        <f t="shared" si="444"/>
        <v>0.61366166383859366</v>
      </c>
      <c r="AG1278" s="27">
        <f t="shared" si="444"/>
        <v>0.64458089754098746</v>
      </c>
      <c r="AH1278" s="27">
        <f t="shared" si="444"/>
        <v>0.67712551028517698</v>
      </c>
      <c r="AI1278" s="27">
        <f t="shared" si="444"/>
        <v>0.71024940806884818</v>
      </c>
      <c r="AJ1278" s="27">
        <f t="shared" si="444"/>
        <v>0.74554239669460731</v>
      </c>
      <c r="AK1278" s="27">
        <f t="shared" si="444"/>
        <v>0.78202811985737553</v>
      </c>
      <c r="AL1278" s="27">
        <f t="shared" si="444"/>
        <v>0.81964634511188172</v>
      </c>
      <c r="AM1278" s="27">
        <f t="shared" si="444"/>
        <v>0.85891861421537574</v>
      </c>
      <c r="AN1278" s="27">
        <f t="shared" si="444"/>
        <v>0.89751581296509064</v>
      </c>
      <c r="AO1278" s="27">
        <f t="shared" si="444"/>
        <v>0.93820295986961577</v>
      </c>
      <c r="AP1278" s="27">
        <f t="shared" si="444"/>
        <v>0.98167178661912335</v>
      </c>
      <c r="AQ1278" s="27">
        <f t="shared" si="444"/>
        <v>1.0269093365438573</v>
      </c>
      <c r="AR1278" s="27">
        <f t="shared" si="444"/>
        <v>1.0740254053264544</v>
      </c>
      <c r="AS1278" s="27">
        <f t="shared" si="444"/>
        <v>1.1243087675322185</v>
      </c>
      <c r="AT1278" s="27">
        <f t="shared" si="444"/>
        <v>1.1774495119019792</v>
      </c>
      <c r="AU1278" s="27">
        <f t="shared" si="444"/>
        <v>1.2332540246283563</v>
      </c>
      <c r="AV1278" s="27">
        <f t="shared" si="444"/>
        <v>1.2926278816392183</v>
      </c>
      <c r="AW1278" s="27">
        <f t="shared" si="444"/>
        <v>1.3508373812373191</v>
      </c>
      <c r="AY1278" s="79"/>
      <c r="AZ1278" s="79"/>
    </row>
    <row r="1279" spans="1:52" x14ac:dyDescent="0.25">
      <c r="A1279" s="95" t="str">
        <f t="shared" si="384"/>
        <v>FSFAGSPQNIBDDSCM Organic</v>
      </c>
      <c r="B1279" s="95" t="s">
        <v>1374</v>
      </c>
      <c r="C1279" s="95" t="s">
        <v>1126</v>
      </c>
      <c r="D1279" t="s">
        <v>369</v>
      </c>
      <c r="E1279" t="s">
        <v>55</v>
      </c>
      <c r="F1279" t="s">
        <v>421</v>
      </c>
      <c r="G1279" t="s">
        <v>1163</v>
      </c>
      <c r="H1279" t="s">
        <v>1164</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5.9206646241484272E-2</v>
      </c>
      <c r="T1279" s="27">
        <f t="shared" si="445"/>
        <v>5.9249261961011081E-2</v>
      </c>
      <c r="U1279" s="27">
        <f t="shared" si="445"/>
        <v>5.9234279181673045E-2</v>
      </c>
      <c r="V1279" s="27">
        <f t="shared" si="445"/>
        <v>5.9233200541063784E-2</v>
      </c>
      <c r="W1279" s="27">
        <f t="shared" si="445"/>
        <v>5.9296029757579687E-2</v>
      </c>
      <c r="X1279" s="27">
        <f t="shared" si="445"/>
        <v>5.9398855559527265E-2</v>
      </c>
      <c r="Y1279" s="27">
        <f t="shared" si="445"/>
        <v>5.9497518057295966E-2</v>
      </c>
      <c r="Z1279" s="27">
        <f t="shared" si="445"/>
        <v>5.9592335556578689E-2</v>
      </c>
      <c r="AA1279" s="27">
        <f t="shared" si="445"/>
        <v>5.9683178655916949E-2</v>
      </c>
      <c r="AB1279" s="27">
        <f t="shared" si="445"/>
        <v>5.9771940504679918E-2</v>
      </c>
      <c r="AC1279" s="27">
        <f t="shared" si="445"/>
        <v>5.9859917680633305E-2</v>
      </c>
      <c r="AD1279" s="27">
        <f t="shared" si="445"/>
        <v>5.994622744604354E-2</v>
      </c>
      <c r="AE1279" s="27">
        <f t="shared" si="445"/>
        <v>6.0032110794538678E-2</v>
      </c>
      <c r="AF1279" s="27">
        <f t="shared" si="445"/>
        <v>6.0117297176971563E-2</v>
      </c>
      <c r="AG1279" s="27">
        <f t="shared" si="445"/>
        <v>6.0201104026504609E-2</v>
      </c>
      <c r="AH1279" s="27">
        <f t="shared" si="445"/>
        <v>6.0283900321551377E-2</v>
      </c>
      <c r="AI1279" s="27">
        <f t="shared" si="445"/>
        <v>6.0365774417580641E-2</v>
      </c>
      <c r="AJ1279" s="27">
        <f t="shared" si="445"/>
        <v>6.0447004272429113E-2</v>
      </c>
      <c r="AK1279" s="27">
        <f t="shared" si="445"/>
        <v>6.0525104414191039E-2</v>
      </c>
      <c r="AL1279" s="27">
        <f t="shared" si="445"/>
        <v>6.0599983467265146E-2</v>
      </c>
      <c r="AM1279" s="27">
        <f t="shared" si="445"/>
        <v>6.0672341257529266E-2</v>
      </c>
      <c r="AN1279" s="27">
        <f t="shared" si="445"/>
        <v>6.0741620622323307E-2</v>
      </c>
      <c r="AO1279" s="27">
        <f t="shared" si="445"/>
        <v>6.0807947239837602E-2</v>
      </c>
      <c r="AP1279" s="27">
        <f t="shared" si="445"/>
        <v>6.0871022373773183E-2</v>
      </c>
      <c r="AQ1279" s="27">
        <f t="shared" si="445"/>
        <v>6.0929943414023247E-2</v>
      </c>
      <c r="AR1279" s="27">
        <f t="shared" si="445"/>
        <v>6.098387393162142E-2</v>
      </c>
      <c r="AS1279" s="27">
        <f t="shared" si="445"/>
        <v>6.1032759441621343E-2</v>
      </c>
      <c r="AT1279" s="27">
        <f t="shared" si="445"/>
        <v>6.1076225850700765E-2</v>
      </c>
      <c r="AU1279" s="27">
        <f t="shared" si="445"/>
        <v>6.1114252195612971E-2</v>
      </c>
      <c r="AV1279" s="27">
        <f t="shared" si="445"/>
        <v>6.1147566184616489E-2</v>
      </c>
      <c r="AW1279" s="27">
        <f t="shared" si="445"/>
        <v>6.1171840771151238E-2</v>
      </c>
      <c r="AY1279" s="79"/>
      <c r="AZ1279" s="79"/>
    </row>
    <row r="1280" spans="1:52" x14ac:dyDescent="0.25">
      <c r="A1280" s="95" t="str">
        <f t="shared" si="384"/>
        <v>FSFAGSPQNIBDDSCM Organic</v>
      </c>
      <c r="B1280" s="95" t="s">
        <v>1374</v>
      </c>
      <c r="C1280" s="95" t="s">
        <v>1126</v>
      </c>
      <c r="D1280" t="s">
        <v>369</v>
      </c>
      <c r="E1280" t="s">
        <v>55</v>
      </c>
      <c r="F1280" t="s">
        <v>421</v>
      </c>
      <c r="G1280" t="s">
        <v>1165</v>
      </c>
      <c r="H1280" t="s">
        <v>1166</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4.8186162011392024E-2</v>
      </c>
      <c r="T1280" s="27">
        <f t="shared" si="446"/>
        <v>4.8220845414281899E-2</v>
      </c>
      <c r="U1280" s="27">
        <f t="shared" si="446"/>
        <v>4.8208651468527576E-2</v>
      </c>
      <c r="V1280" s="27">
        <f t="shared" si="446"/>
        <v>4.8207773601692518E-2</v>
      </c>
      <c r="W1280" s="27">
        <f t="shared" si="446"/>
        <v>4.8258908043487037E-2</v>
      </c>
      <c r="X1280" s="27">
        <f t="shared" si="446"/>
        <v>4.8342594269039987E-2</v>
      </c>
      <c r="Y1280" s="27">
        <f t="shared" si="446"/>
        <v>4.8422892130914143E-2</v>
      </c>
      <c r="Z1280" s="27">
        <f t="shared" si="446"/>
        <v>4.8500060686675887E-2</v>
      </c>
      <c r="AA1280" s="27">
        <f t="shared" si="446"/>
        <v>4.8573994621127721E-2</v>
      </c>
      <c r="AB1280" s="27">
        <f t="shared" si="446"/>
        <v>4.8646234700518105E-2</v>
      </c>
      <c r="AC1280" s="27">
        <f t="shared" si="446"/>
        <v>4.8717836162902997E-2</v>
      </c>
      <c r="AD1280" s="27">
        <f t="shared" si="446"/>
        <v>4.8788080579758822E-2</v>
      </c>
      <c r="AE1280" s="27">
        <f t="shared" si="446"/>
        <v>4.8857977951209122E-2</v>
      </c>
      <c r="AF1280" s="27">
        <f t="shared" si="446"/>
        <v>4.8927308087024161E-2</v>
      </c>
      <c r="AG1280" s="27">
        <f t="shared" si="446"/>
        <v>4.8995515470580273E-2</v>
      </c>
      <c r="AH1280" s="27">
        <f t="shared" si="446"/>
        <v>4.9062900400150392E-2</v>
      </c>
      <c r="AI1280" s="27">
        <f t="shared" si="446"/>
        <v>4.9129534785075896E-2</v>
      </c>
      <c r="AJ1280" s="27">
        <f t="shared" si="446"/>
        <v>4.9195644845252684E-2</v>
      </c>
      <c r="AK1280" s="27">
        <f t="shared" si="446"/>
        <v>4.9259207744402629E-2</v>
      </c>
      <c r="AL1280" s="27">
        <f t="shared" si="446"/>
        <v>4.9320149115207046E-2</v>
      </c>
      <c r="AM1280" s="27">
        <f t="shared" si="446"/>
        <v>4.9379038520802346E-2</v>
      </c>
      <c r="AN1280" s="27">
        <f t="shared" si="446"/>
        <v>4.9435422506519014E-2</v>
      </c>
      <c r="AO1280" s="27">
        <f t="shared" si="446"/>
        <v>4.9489403357320404E-2</v>
      </c>
      <c r="AP1280" s="27">
        <f t="shared" si="446"/>
        <v>4.9540737942466703E-2</v>
      </c>
      <c r="AQ1280" s="27">
        <f t="shared" si="446"/>
        <v>4.9588691660023831E-2</v>
      </c>
      <c r="AR1280" s="27">
        <f t="shared" si="446"/>
        <v>4.9632583770509955E-2</v>
      </c>
      <c r="AS1280" s="27">
        <f t="shared" si="446"/>
        <v>4.9672369930584929E-2</v>
      </c>
      <c r="AT1280" s="27">
        <f t="shared" si="446"/>
        <v>4.9707745679135391E-2</v>
      </c>
      <c r="AU1280" s="27">
        <f t="shared" si="446"/>
        <v>4.9738693954928054E-2</v>
      </c>
      <c r="AV1280" s="27">
        <f t="shared" si="446"/>
        <v>4.9765807013567136E-2</v>
      </c>
      <c r="AW1280" s="27">
        <f t="shared" si="446"/>
        <v>4.9785563227333289E-2</v>
      </c>
      <c r="AY1280" s="79"/>
      <c r="AZ1280" s="79"/>
    </row>
    <row r="1281" spans="1:52" x14ac:dyDescent="0.25">
      <c r="A1281" s="95" t="str">
        <f t="shared" si="384"/>
        <v>FSFAGSPQNIBDDSCM Organic</v>
      </c>
      <c r="B1281" s="95" t="s">
        <v>1374</v>
      </c>
      <c r="C1281" s="95" t="s">
        <v>1126</v>
      </c>
      <c r="D1281" t="s">
        <v>369</v>
      </c>
      <c r="E1281" t="s">
        <v>55</v>
      </c>
      <c r="F1281" t="s">
        <v>421</v>
      </c>
      <c r="G1281" t="s">
        <v>1167</v>
      </c>
      <c r="H1281" t="s">
        <v>1168</v>
      </c>
      <c r="I1281" t="s">
        <v>139</v>
      </c>
      <c r="J1281" t="s">
        <v>287</v>
      </c>
      <c r="K1281" s="27">
        <f t="shared" ref="K1281:AW1281" si="447">IFERROR(K1474-((K1474-K65)+(K1474-K218)+(K1474-K371)+(K1474-K523)+(K1474-K675)+(K1474-K826)+(K1474-K977)+(K1474-K1128)),0)</f>
        <v>7.2140927380493743E-3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7.4155715935563127E-3</v>
      </c>
      <c r="R1281" s="27">
        <f t="shared" si="447"/>
        <v>7.4643602602570466E-3</v>
      </c>
      <c r="S1281" s="27">
        <f t="shared" si="447"/>
        <v>7.446057759840319E-3</v>
      </c>
      <c r="T1281" s="27">
        <f t="shared" si="447"/>
        <v>7.4588575402652147E-3</v>
      </c>
      <c r="U1281" s="27">
        <f t="shared" si="447"/>
        <v>7.4600996121267065E-3</v>
      </c>
      <c r="V1281" s="27">
        <f t="shared" si="447"/>
        <v>7.4635145174609509E-3</v>
      </c>
      <c r="W1281" s="27">
        <f t="shared" si="447"/>
        <v>7.478612742540797E-3</v>
      </c>
      <c r="X1281" s="27">
        <f t="shared" si="447"/>
        <v>7.5008213874242727E-3</v>
      </c>
      <c r="Y1281" s="27">
        <f t="shared" si="447"/>
        <v>7.521785176202795E-3</v>
      </c>
      <c r="Z1281" s="27">
        <f t="shared" si="447"/>
        <v>7.5416026776079998E-3</v>
      </c>
      <c r="AA1281" s="27">
        <f t="shared" si="447"/>
        <v>7.5602840353540396E-3</v>
      </c>
      <c r="AB1281" s="27">
        <f t="shared" si="447"/>
        <v>7.5782158017585468E-3</v>
      </c>
      <c r="AC1281" s="27">
        <f t="shared" si="447"/>
        <v>7.5956670242534503E-3</v>
      </c>
      <c r="AD1281" s="27">
        <f t="shared" si="447"/>
        <v>7.6124952267758277E-3</v>
      </c>
      <c r="AE1281" s="27">
        <f t="shared" si="447"/>
        <v>7.6289531687582885E-3</v>
      </c>
      <c r="AF1281" s="27">
        <f t="shared" si="447"/>
        <v>7.6450086817527159E-3</v>
      </c>
      <c r="AG1281" s="27">
        <f t="shared" si="447"/>
        <v>7.6605519051480614E-3</v>
      </c>
      <c r="AH1281" s="27">
        <f t="shared" si="447"/>
        <v>7.6756674337729895E-3</v>
      </c>
      <c r="AI1281" s="27">
        <f t="shared" si="447"/>
        <v>7.6903861453690046E-3</v>
      </c>
      <c r="AJ1281" s="27">
        <f t="shared" si="447"/>
        <v>7.7047726653034906E-3</v>
      </c>
      <c r="AK1281" s="27">
        <f t="shared" si="447"/>
        <v>7.7183809322326768E-3</v>
      </c>
      <c r="AL1281" s="27">
        <f t="shared" si="447"/>
        <v>7.7312077295111602E-3</v>
      </c>
      <c r="AM1281" s="27">
        <f t="shared" si="447"/>
        <v>7.7433943538670266E-3</v>
      </c>
      <c r="AN1281" s="27">
        <f t="shared" si="447"/>
        <v>7.7548499619508725E-3</v>
      </c>
      <c r="AO1281" s="27">
        <f t="shared" si="447"/>
        <v>7.7656086534531824E-3</v>
      </c>
      <c r="AP1281" s="27">
        <f t="shared" si="447"/>
        <v>7.7756261682697366E-3</v>
      </c>
      <c r="AQ1281" s="27">
        <f t="shared" si="447"/>
        <v>7.7847478814032966E-3</v>
      </c>
      <c r="AR1281" s="27">
        <f t="shared" si="447"/>
        <v>7.7928317537802119E-3</v>
      </c>
      <c r="AS1281" s="27">
        <f t="shared" si="447"/>
        <v>7.7998783369461555E-3</v>
      </c>
      <c r="AT1281" s="27">
        <f t="shared" si="447"/>
        <v>7.8058297320024528E-3</v>
      </c>
      <c r="AU1281" s="27">
        <f t="shared" si="447"/>
        <v>7.8106919749548918E-3</v>
      </c>
      <c r="AV1281" s="27">
        <f t="shared" si="447"/>
        <v>7.8146060933627498E-3</v>
      </c>
      <c r="AW1281" s="27">
        <f t="shared" si="447"/>
        <v>7.8167990100407609E-3</v>
      </c>
      <c r="AY1281" s="79"/>
      <c r="AZ1281" s="79"/>
    </row>
    <row r="1282" spans="1:52" x14ac:dyDescent="0.25">
      <c r="A1282" s="95" t="str">
        <f t="shared" si="384"/>
        <v>FSFAGSPQNIBDDSCM Organic</v>
      </c>
      <c r="B1282" s="95" t="s">
        <v>1374</v>
      </c>
      <c r="C1282" s="95" t="s">
        <v>1126</v>
      </c>
      <c r="D1282" t="s">
        <v>369</v>
      </c>
      <c r="E1282" t="s">
        <v>55</v>
      </c>
      <c r="F1282" t="s">
        <v>421</v>
      </c>
      <c r="G1282" t="s">
        <v>1169</v>
      </c>
      <c r="H1282" t="s">
        <v>1170</v>
      </c>
      <c r="I1282" t="s">
        <v>139</v>
      </c>
      <c r="J1282" t="s">
        <v>287</v>
      </c>
      <c r="K1282" s="27">
        <f t="shared" ref="K1282:AW1282" si="448">IFERROR(K1475-((K1475-K66)+(K1475-K219)+(K1475-K372)+(K1475-K524)+(K1475-K676)+(K1475-K827)+(K1475-K978)+(K1475-K1129)),0)</f>
        <v>8.7045671471293523E-2</v>
      </c>
      <c r="L1282" s="27">
        <f t="shared" si="448"/>
        <v>8.7271948200639354E-2</v>
      </c>
      <c r="M1282" s="27">
        <f t="shared" si="448"/>
        <v>8.7584088952434122E-2</v>
      </c>
      <c r="N1282" s="27">
        <f t="shared" si="448"/>
        <v>8.7964358824768801E-2</v>
      </c>
      <c r="O1282" s="27">
        <f t="shared" si="448"/>
        <v>8.8412215452112072E-2</v>
      </c>
      <c r="P1282" s="27">
        <f t="shared" si="448"/>
        <v>8.8924932944132923E-2</v>
      </c>
      <c r="Q1282" s="27">
        <f t="shared" si="448"/>
        <v>8.9476727309038565E-2</v>
      </c>
      <c r="R1282" s="27">
        <f t="shared" si="448"/>
        <v>9.0065414259340087E-2</v>
      </c>
      <c r="S1282" s="27">
        <f t="shared" si="448"/>
        <v>8.9844575202202001E-2</v>
      </c>
      <c r="T1282" s="27">
        <f t="shared" si="448"/>
        <v>8.9999018113074689E-2</v>
      </c>
      <c r="U1282" s="27">
        <f t="shared" si="448"/>
        <v>9.0014005025930557E-2</v>
      </c>
      <c r="V1282" s="27">
        <f t="shared" si="448"/>
        <v>9.0055209476527981E-2</v>
      </c>
      <c r="W1282" s="27">
        <f t="shared" si="448"/>
        <v>9.0237385557127583E-2</v>
      </c>
      <c r="X1282" s="27">
        <f t="shared" si="448"/>
        <v>9.0505356385413932E-2</v>
      </c>
      <c r="Y1282" s="27">
        <f t="shared" si="448"/>
        <v>9.0758306705997438E-2</v>
      </c>
      <c r="Z1282" s="27">
        <f t="shared" si="448"/>
        <v>9.0997425855048733E-2</v>
      </c>
      <c r="AA1282" s="27">
        <f t="shared" si="448"/>
        <v>9.122283622722524E-2</v>
      </c>
      <c r="AB1282" s="27">
        <f t="shared" si="448"/>
        <v>9.1439201985751464E-2</v>
      </c>
      <c r="AC1282" s="27">
        <f t="shared" si="448"/>
        <v>9.1649769472921652E-2</v>
      </c>
      <c r="AD1282" s="27">
        <f t="shared" si="448"/>
        <v>9.1852819564097965E-2</v>
      </c>
      <c r="AE1282" s="27">
        <f t="shared" si="448"/>
        <v>9.2051402069607366E-2</v>
      </c>
      <c r="AF1282" s="27">
        <f t="shared" si="448"/>
        <v>9.224512884304413E-2</v>
      </c>
      <c r="AG1282" s="27">
        <f t="shared" si="448"/>
        <v>9.2432674299750023E-2</v>
      </c>
      <c r="AH1282" s="27">
        <f t="shared" si="448"/>
        <v>9.261505916595239E-2</v>
      </c>
      <c r="AI1282" s="27">
        <f t="shared" si="448"/>
        <v>9.2792656014314204E-2</v>
      </c>
      <c r="AJ1282" s="27">
        <f t="shared" si="448"/>
        <v>9.2966244618356883E-2</v>
      </c>
      <c r="AK1282" s="27">
        <f t="shared" si="448"/>
        <v>9.3130442775411881E-2</v>
      </c>
      <c r="AL1282" s="27">
        <f t="shared" si="448"/>
        <v>9.3285211673244717E-2</v>
      </c>
      <c r="AM1282" s="27">
        <f t="shared" si="448"/>
        <v>9.3432256206569059E-2</v>
      </c>
      <c r="AN1282" s="27">
        <f t="shared" si="448"/>
        <v>9.3570480254135169E-2</v>
      </c>
      <c r="AO1282" s="27">
        <f t="shared" si="448"/>
        <v>9.3700295264833783E-2</v>
      </c>
      <c r="AP1282" s="27">
        <f t="shared" si="448"/>
        <v>9.3821167193618646E-2</v>
      </c>
      <c r="AQ1282" s="27">
        <f t="shared" si="448"/>
        <v>9.3931230326088647E-2</v>
      </c>
      <c r="AR1282" s="27">
        <f t="shared" si="448"/>
        <v>9.4028770810344664E-2</v>
      </c>
      <c r="AS1282" s="27">
        <f t="shared" si="448"/>
        <v>9.4113795301369402E-2</v>
      </c>
      <c r="AT1282" s="27">
        <f t="shared" si="448"/>
        <v>9.4185605187612459E-2</v>
      </c>
      <c r="AU1282" s="27">
        <f t="shared" si="448"/>
        <v>9.4244273299878237E-2</v>
      </c>
      <c r="AV1282" s="27">
        <f t="shared" si="448"/>
        <v>9.429150128507352E-2</v>
      </c>
      <c r="AW1282" s="27">
        <f t="shared" si="448"/>
        <v>9.4317961147962676E-2</v>
      </c>
      <c r="AY1282" s="79"/>
      <c r="AZ1282" s="79"/>
    </row>
    <row r="1283" spans="1:52" x14ac:dyDescent="0.25">
      <c r="A1283" s="95" t="str">
        <f t="shared" si="384"/>
        <v>FSFAGSPQNIBDDSCM Organic</v>
      </c>
      <c r="B1283" s="95" t="s">
        <v>1374</v>
      </c>
      <c r="C1283" s="95" t="s">
        <v>1126</v>
      </c>
      <c r="D1283" t="s">
        <v>369</v>
      </c>
      <c r="E1283" t="s">
        <v>55</v>
      </c>
      <c r="F1283" t="s">
        <v>421</v>
      </c>
      <c r="G1283" t="s">
        <v>1171</v>
      </c>
      <c r="H1283" t="s">
        <v>1172</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5">
      <c r="A1284" s="95" t="str">
        <f t="shared" si="384"/>
        <v>FSFAGSPQNIBDDSCM Organic</v>
      </c>
      <c r="B1284" s="95" t="s">
        <v>1374</v>
      </c>
      <c r="C1284" s="95" t="s">
        <v>1126</v>
      </c>
      <c r="D1284" t="s">
        <v>369</v>
      </c>
      <c r="E1284" t="s">
        <v>55</v>
      </c>
      <c r="F1284" t="s">
        <v>421</v>
      </c>
      <c r="G1284" t="s">
        <v>1173</v>
      </c>
      <c r="H1284" t="s">
        <v>1174</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5">
      <c r="A1285" s="95" t="str">
        <f t="shared" si="384"/>
        <v>FSFAGSPQNIBDDSCM Organic</v>
      </c>
      <c r="B1285" s="95" t="s">
        <v>1374</v>
      </c>
      <c r="C1285" s="95" t="s">
        <v>1126</v>
      </c>
      <c r="D1285" t="s">
        <v>369</v>
      </c>
      <c r="E1285" t="s">
        <v>55</v>
      </c>
      <c r="F1285" t="s">
        <v>421</v>
      </c>
      <c r="G1285" t="s">
        <v>1175</v>
      </c>
      <c r="H1285" t="s">
        <v>1176</v>
      </c>
      <c r="I1285" t="s">
        <v>139</v>
      </c>
      <c r="J1285" t="s">
        <v>287</v>
      </c>
      <c r="K1285" s="27">
        <f t="shared" ref="K1285:AW1285" si="451">IFERROR(K1478-((K1478-K69)+(K1478-K222)+(K1478-K375)+(K1478-K527)+(K1478-K679)+(K1478-K830)+(K1478-K981)+(K1478-K1132)),0)</f>
        <v>0.12462873299340151</v>
      </c>
      <c r="L1285" s="27">
        <f t="shared" si="451"/>
        <v>0.12395129293471774</v>
      </c>
      <c r="M1285" s="27">
        <f t="shared" si="451"/>
        <v>0.1240068951131099</v>
      </c>
      <c r="N1285" s="27">
        <f t="shared" si="451"/>
        <v>0.12286841678965583</v>
      </c>
      <c r="O1285" s="27">
        <f t="shared" si="451"/>
        <v>0.12100901910044995</v>
      </c>
      <c r="P1285" s="27">
        <f t="shared" si="451"/>
        <v>0.11845842648899831</v>
      </c>
      <c r="Q1285" s="27">
        <f t="shared" si="451"/>
        <v>0.11660641339960404</v>
      </c>
      <c r="R1285" s="27">
        <f t="shared" si="451"/>
        <v>0.11491827863139022</v>
      </c>
      <c r="S1285" s="27">
        <f t="shared" si="451"/>
        <v>0.10323336206469676</v>
      </c>
      <c r="T1285" s="27">
        <f t="shared" si="451"/>
        <v>0.10789835358112609</v>
      </c>
      <c r="U1285" s="27">
        <f t="shared" si="451"/>
        <v>0.10930872077776907</v>
      </c>
      <c r="V1285" s="27">
        <f t="shared" si="451"/>
        <v>0.10822994982335406</v>
      </c>
      <c r="W1285" s="27">
        <f t="shared" si="451"/>
        <v>0.10728117650505167</v>
      </c>
      <c r="X1285" s="27">
        <f t="shared" si="451"/>
        <v>0.10698795772109922</v>
      </c>
      <c r="Y1285" s="27">
        <f t="shared" si="451"/>
        <v>0.10732481606756347</v>
      </c>
      <c r="Z1285" s="27">
        <f t="shared" si="451"/>
        <v>0.10795224800227457</v>
      </c>
      <c r="AA1285" s="27">
        <f t="shared" si="451"/>
        <v>0.10894183514251574</v>
      </c>
      <c r="AB1285" s="27">
        <f t="shared" si="451"/>
        <v>0.11053150962299221</v>
      </c>
      <c r="AC1285" s="27">
        <f t="shared" si="451"/>
        <v>0.1126657694800189</v>
      </c>
      <c r="AD1285" s="27">
        <f t="shared" si="451"/>
        <v>0.11509487827502032</v>
      </c>
      <c r="AE1285" s="27">
        <f t="shared" si="451"/>
        <v>0.11779472217084282</v>
      </c>
      <c r="AF1285" s="27">
        <f t="shared" si="451"/>
        <v>0.12063025387721567</v>
      </c>
      <c r="AG1285" s="27">
        <f t="shared" si="451"/>
        <v>0.12365017099946446</v>
      </c>
      <c r="AH1285" s="27">
        <f t="shared" si="451"/>
        <v>0.12678938256448105</v>
      </c>
      <c r="AI1285" s="27">
        <f t="shared" si="451"/>
        <v>0.1298357658486077</v>
      </c>
      <c r="AJ1285" s="27">
        <f t="shared" si="451"/>
        <v>0.13308363006040799</v>
      </c>
      <c r="AK1285" s="27">
        <f t="shared" si="451"/>
        <v>0.13633797236037076</v>
      </c>
      <c r="AL1285" s="27">
        <f t="shared" si="451"/>
        <v>0.1395817064491762</v>
      </c>
      <c r="AM1285" s="27">
        <f t="shared" si="451"/>
        <v>0.1428987646619678</v>
      </c>
      <c r="AN1285" s="27">
        <f t="shared" si="451"/>
        <v>0.14607463913609417</v>
      </c>
      <c r="AO1285" s="27">
        <f t="shared" si="451"/>
        <v>0.14939800642693096</v>
      </c>
      <c r="AP1285" s="27">
        <f t="shared" si="451"/>
        <v>0.15296466961282101</v>
      </c>
      <c r="AQ1285" s="27">
        <f t="shared" si="451"/>
        <v>0.1565936649117094</v>
      </c>
      <c r="AR1285" s="27">
        <f t="shared" si="451"/>
        <v>0.16029166396054106</v>
      </c>
      <c r="AS1285" s="27">
        <f t="shared" si="451"/>
        <v>0.16424139864286944</v>
      </c>
      <c r="AT1285" s="27">
        <f t="shared" si="451"/>
        <v>0.1683741087759702</v>
      </c>
      <c r="AU1285" s="27">
        <f t="shared" si="451"/>
        <v>0.17264268700084681</v>
      </c>
      <c r="AV1285" s="27">
        <f t="shared" si="451"/>
        <v>0.17715786251954191</v>
      </c>
      <c r="AW1285" s="27">
        <f t="shared" si="451"/>
        <v>0.1812449136918291</v>
      </c>
      <c r="AY1285" s="79"/>
      <c r="AZ1285" s="79"/>
    </row>
    <row r="1286" spans="1:52" x14ac:dyDescent="0.25">
      <c r="A1286" s="95" t="str">
        <f t="shared" si="384"/>
        <v>FSFAGSPQNIBDDSCM Organic</v>
      </c>
      <c r="B1286" s="95" t="s">
        <v>1374</v>
      </c>
      <c r="C1286" s="95" t="s">
        <v>1126</v>
      </c>
      <c r="D1286" t="s">
        <v>369</v>
      </c>
      <c r="E1286" t="s">
        <v>55</v>
      </c>
      <c r="F1286" t="s">
        <v>421</v>
      </c>
      <c r="G1286" t="s">
        <v>1177</v>
      </c>
      <c r="H1286" t="s">
        <v>1178</v>
      </c>
      <c r="I1286" t="s">
        <v>139</v>
      </c>
      <c r="J1286" t="s">
        <v>287</v>
      </c>
      <c r="K1286" s="27">
        <f t="shared" ref="K1286:AW1286" si="452">IFERROR(K1479-((K1479-K70)+(K1479-K223)+(K1479-K376)+(K1479-K528)+(K1479-K680)+(K1479-K831)+(K1479-K982)+(K1479-K1133)),0)</f>
        <v>3.1618785484610064E-2</v>
      </c>
      <c r="L1286" s="27">
        <f t="shared" si="452"/>
        <v>3.1446916354757493E-2</v>
      </c>
      <c r="M1286" s="27">
        <f t="shared" si="452"/>
        <v>3.1461022839745605E-2</v>
      </c>
      <c r="N1286" s="27">
        <f t="shared" si="452"/>
        <v>3.1172186541537569E-2</v>
      </c>
      <c r="O1286" s="27">
        <f t="shared" si="452"/>
        <v>3.0700450247237818E-2</v>
      </c>
      <c r="P1286" s="27">
        <f t="shared" si="452"/>
        <v>3.0053355161673637E-2</v>
      </c>
      <c r="Q1286" s="27">
        <f t="shared" si="452"/>
        <v>2.9583492368545926E-2</v>
      </c>
      <c r="R1286" s="27">
        <f t="shared" si="452"/>
        <v>2.9155206131309685E-2</v>
      </c>
      <c r="S1286" s="27">
        <f t="shared" si="452"/>
        <v>2.6190698176732228E-2</v>
      </c>
      <c r="T1286" s="27">
        <f t="shared" si="452"/>
        <v>2.7374224338819714E-2</v>
      </c>
      <c r="U1286" s="27">
        <f t="shared" si="452"/>
        <v>2.773203988242751E-2</v>
      </c>
      <c r="V1286" s="27">
        <f t="shared" si="452"/>
        <v>2.7458351571751329E-2</v>
      </c>
      <c r="W1286" s="27">
        <f t="shared" si="452"/>
        <v>2.7217644157783535E-2</v>
      </c>
      <c r="X1286" s="27">
        <f t="shared" si="452"/>
        <v>2.7143253432569785E-2</v>
      </c>
      <c r="Y1286" s="27">
        <f t="shared" si="452"/>
        <v>2.7228715681440727E-2</v>
      </c>
      <c r="Z1286" s="27">
        <f t="shared" si="452"/>
        <v>2.7387897559273622E-2</v>
      </c>
      <c r="AA1286" s="27">
        <f t="shared" si="452"/>
        <v>2.7638959595724485E-2</v>
      </c>
      <c r="AB1286" s="27">
        <f t="shared" si="452"/>
        <v>2.8042266081967953E-2</v>
      </c>
      <c r="AC1286" s="27">
        <f t="shared" si="452"/>
        <v>2.8583735957869796E-2</v>
      </c>
      <c r="AD1286" s="27">
        <f t="shared" si="452"/>
        <v>2.9200010135285986E-2</v>
      </c>
      <c r="AE1286" s="27">
        <f t="shared" si="452"/>
        <v>2.988497084164626E-2</v>
      </c>
      <c r="AF1286" s="27">
        <f t="shared" si="452"/>
        <v>3.0604356063699028E-2</v>
      </c>
      <c r="AG1286" s="27">
        <f t="shared" si="452"/>
        <v>3.1370520569878685E-2</v>
      </c>
      <c r="AH1286" s="27">
        <f t="shared" si="452"/>
        <v>3.2166950531742462E-2</v>
      </c>
      <c r="AI1286" s="27">
        <f t="shared" si="452"/>
        <v>3.2939829604257814E-2</v>
      </c>
      <c r="AJ1286" s="27">
        <f t="shared" si="452"/>
        <v>3.376382515752635E-2</v>
      </c>
      <c r="AK1286" s="27">
        <f t="shared" si="452"/>
        <v>3.4589464226499819E-2</v>
      </c>
      <c r="AL1286" s="27">
        <f t="shared" si="452"/>
        <v>3.5412411951792733E-2</v>
      </c>
      <c r="AM1286" s="27">
        <f t="shared" si="452"/>
        <v>3.625396228734637E-2</v>
      </c>
      <c r="AN1286" s="27">
        <f t="shared" si="452"/>
        <v>3.705969376925726E-2</v>
      </c>
      <c r="AO1286" s="27">
        <f t="shared" si="452"/>
        <v>3.7902844742003665E-2</v>
      </c>
      <c r="AP1286" s="27">
        <f t="shared" si="452"/>
        <v>3.8807720812407763E-2</v>
      </c>
      <c r="AQ1286" s="27">
        <f t="shared" si="452"/>
        <v>3.9728410777909444E-2</v>
      </c>
      <c r="AR1286" s="27">
        <f t="shared" si="452"/>
        <v>4.0666607258278795E-2</v>
      </c>
      <c r="AS1286" s="27">
        <f t="shared" si="452"/>
        <v>4.1668670030178073E-2</v>
      </c>
      <c r="AT1286" s="27">
        <f t="shared" si="452"/>
        <v>4.2717154372673226E-2</v>
      </c>
      <c r="AU1286" s="27">
        <f t="shared" si="452"/>
        <v>4.380010896889619E-2</v>
      </c>
      <c r="AV1286" s="27">
        <f t="shared" si="452"/>
        <v>4.4945626240250815E-2</v>
      </c>
      <c r="AW1286" s="27">
        <f t="shared" si="452"/>
        <v>4.5982526730028013E-2</v>
      </c>
      <c r="AY1286" s="79"/>
      <c r="AZ1286" s="79"/>
    </row>
    <row r="1287" spans="1:52" x14ac:dyDescent="0.25">
      <c r="A1287" s="95" t="str">
        <f t="shared" si="384"/>
        <v>FSFAGSPQNIBDDSCM Organic</v>
      </c>
      <c r="B1287" s="95" t="s">
        <v>1374</v>
      </c>
      <c r="C1287" s="95" t="s">
        <v>1126</v>
      </c>
      <c r="D1287" t="s">
        <v>369</v>
      </c>
      <c r="E1287" t="s">
        <v>55</v>
      </c>
      <c r="F1287" t="s">
        <v>421</v>
      </c>
      <c r="G1287" t="s">
        <v>1179</v>
      </c>
      <c r="H1287" t="s">
        <v>1180</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0.17531753251219057</v>
      </c>
      <c r="S1287" s="27">
        <f t="shared" si="453"/>
        <v>0.16826815584544114</v>
      </c>
      <c r="T1287" s="27">
        <f t="shared" si="453"/>
        <v>0.17529364111541346</v>
      </c>
      <c r="U1287" s="27">
        <f t="shared" si="453"/>
        <v>0.179468936116296</v>
      </c>
      <c r="V1287" s="27">
        <f t="shared" si="453"/>
        <v>0.18146185289572461</v>
      </c>
      <c r="W1287" s="27">
        <f t="shared" si="453"/>
        <v>0.18367206757119967</v>
      </c>
      <c r="X1287" s="27">
        <f t="shared" si="453"/>
        <v>0.18655442341123246</v>
      </c>
      <c r="Y1287" s="27">
        <f t="shared" si="453"/>
        <v>0.19002403855752484</v>
      </c>
      <c r="Z1287" s="27">
        <f t="shared" si="453"/>
        <v>0.19378713542621159</v>
      </c>
      <c r="AA1287" s="27">
        <f t="shared" si="453"/>
        <v>0.19793608752558689</v>
      </c>
      <c r="AB1287" s="27">
        <f t="shared" si="453"/>
        <v>0.20274560727871463</v>
      </c>
      <c r="AC1287" s="27">
        <f t="shared" si="453"/>
        <v>0.2082010892393113</v>
      </c>
      <c r="AD1287" s="27">
        <f t="shared" si="453"/>
        <v>0.21407047800501874</v>
      </c>
      <c r="AE1287" s="27">
        <f t="shared" si="453"/>
        <v>0.22035285326760637</v>
      </c>
      <c r="AF1287" s="27">
        <f t="shared" si="453"/>
        <v>0.22691830683757538</v>
      </c>
      <c r="AG1287" s="27">
        <f t="shared" si="453"/>
        <v>0.23383349407065357</v>
      </c>
      <c r="AH1287" s="27">
        <f t="shared" si="453"/>
        <v>0.24104032281254165</v>
      </c>
      <c r="AI1287" s="27">
        <f t="shared" si="453"/>
        <v>0.24830078825991211</v>
      </c>
      <c r="AJ1287" s="27">
        <f t="shared" si="453"/>
        <v>0.25596851329364728</v>
      </c>
      <c r="AK1287" s="27">
        <f t="shared" si="453"/>
        <v>0.26381659798331969</v>
      </c>
      <c r="AL1287" s="27">
        <f t="shared" si="453"/>
        <v>0.27182892851236273</v>
      </c>
      <c r="AM1287" s="27">
        <f t="shared" si="453"/>
        <v>0.28011873521820613</v>
      </c>
      <c r="AN1287" s="27">
        <f t="shared" si="453"/>
        <v>0.28841666797515925</v>
      </c>
      <c r="AO1287" s="27">
        <f t="shared" si="453"/>
        <v>0.29710042873684378</v>
      </c>
      <c r="AP1287" s="27">
        <f t="shared" si="453"/>
        <v>0.30631512135319056</v>
      </c>
      <c r="AQ1287" s="27">
        <f t="shared" si="453"/>
        <v>0.31583438977210859</v>
      </c>
      <c r="AR1287" s="27">
        <f t="shared" si="453"/>
        <v>0.32567682367490652</v>
      </c>
      <c r="AS1287" s="27">
        <f t="shared" si="453"/>
        <v>0.33611496479516756</v>
      </c>
      <c r="AT1287" s="27">
        <f t="shared" si="453"/>
        <v>0.34707529344515536</v>
      </c>
      <c r="AU1287" s="27">
        <f t="shared" si="453"/>
        <v>0.35851078392222901</v>
      </c>
      <c r="AV1287" s="27">
        <f t="shared" si="453"/>
        <v>0.37060965152650638</v>
      </c>
      <c r="AW1287" s="27">
        <f t="shared" si="453"/>
        <v>0.38235584366830411</v>
      </c>
      <c r="AY1287" s="79"/>
      <c r="AZ1287" s="79"/>
    </row>
    <row r="1288" spans="1:52" x14ac:dyDescent="0.25">
      <c r="A1288" s="95" t="str">
        <f t="shared" si="384"/>
        <v>FSFAGSPQNIBDDSCM Organic</v>
      </c>
      <c r="B1288" s="95" t="s">
        <v>1374</v>
      </c>
      <c r="C1288" s="95" t="s">
        <v>1126</v>
      </c>
      <c r="D1288" t="s">
        <v>369</v>
      </c>
      <c r="E1288" t="s">
        <v>55</v>
      </c>
      <c r="F1288" t="s">
        <v>421</v>
      </c>
      <c r="G1288" t="s">
        <v>1181</v>
      </c>
      <c r="H1288" t="s">
        <v>1182</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0.81318534024672107</v>
      </c>
      <c r="N1288" s="27">
        <f t="shared" si="454"/>
        <v>0.81796021384654038</v>
      </c>
      <c r="O1288" s="27">
        <f t="shared" si="454"/>
        <v>0.81503229757580586</v>
      </c>
      <c r="P1288" s="27">
        <f t="shared" si="454"/>
        <v>0.80443274266431908</v>
      </c>
      <c r="Q1288" s="27">
        <f t="shared" si="454"/>
        <v>0.79997057217510736</v>
      </c>
      <c r="R1288" s="27">
        <f t="shared" si="454"/>
        <v>0.79652072541357855</v>
      </c>
      <c r="S1288" s="27">
        <f t="shared" si="454"/>
        <v>0.6929945167812448</v>
      </c>
      <c r="T1288" s="27">
        <f t="shared" si="454"/>
        <v>0.75569325830504319</v>
      </c>
      <c r="U1288" s="27">
        <f t="shared" si="454"/>
        <v>0.78586192008020839</v>
      </c>
      <c r="V1288" s="27">
        <f t="shared" si="454"/>
        <v>0.78963673487778696</v>
      </c>
      <c r="W1288" s="27">
        <f t="shared" si="454"/>
        <v>0.79398832301737687</v>
      </c>
      <c r="X1288" s="27">
        <f t="shared" si="454"/>
        <v>0.80502399258159163</v>
      </c>
      <c r="Y1288" s="27">
        <f t="shared" si="454"/>
        <v>0.82319477266803398</v>
      </c>
      <c r="Z1288" s="27">
        <f t="shared" si="454"/>
        <v>0.84493550271536799</v>
      </c>
      <c r="AA1288" s="27">
        <f t="shared" si="454"/>
        <v>0.87120575605676209</v>
      </c>
      <c r="AB1288" s="27">
        <f t="shared" si="454"/>
        <v>0.90492220164986781</v>
      </c>
      <c r="AC1288" s="27">
        <f t="shared" si="454"/>
        <v>0.94570019320131005</v>
      </c>
      <c r="AD1288" s="27">
        <f t="shared" si="454"/>
        <v>0.9908342510405731</v>
      </c>
      <c r="AE1288" s="27">
        <f t="shared" si="454"/>
        <v>1.0401746402938727</v>
      </c>
      <c r="AF1288" s="27">
        <f t="shared" si="454"/>
        <v>1.0922195176686915</v>
      </c>
      <c r="AG1288" s="27">
        <f t="shared" si="454"/>
        <v>1.1476653338002605</v>
      </c>
      <c r="AH1288" s="27">
        <f t="shared" si="454"/>
        <v>1.2058049098103554</v>
      </c>
      <c r="AI1288" s="27">
        <f t="shared" si="454"/>
        <v>1.2640288398876942</v>
      </c>
      <c r="AJ1288" s="27">
        <f t="shared" si="454"/>
        <v>1.3261031190213208</v>
      </c>
      <c r="AK1288" s="27">
        <f t="shared" si="454"/>
        <v>1.3896418297181288</v>
      </c>
      <c r="AL1288" s="27">
        <f t="shared" si="454"/>
        <v>1.4544565281623518</v>
      </c>
      <c r="AM1288" s="27">
        <f t="shared" si="454"/>
        <v>1.521690334823528</v>
      </c>
      <c r="AN1288" s="27">
        <f t="shared" si="454"/>
        <v>1.5885204638072115</v>
      </c>
      <c r="AO1288" s="27">
        <f t="shared" si="454"/>
        <v>1.6588648682392355</v>
      </c>
      <c r="AP1288" s="27">
        <f t="shared" si="454"/>
        <v>1.7341718158890906</v>
      </c>
      <c r="AQ1288" s="27">
        <f t="shared" si="454"/>
        <v>1.812078309357211</v>
      </c>
      <c r="AR1288" s="27">
        <f t="shared" si="454"/>
        <v>1.8927662707454833</v>
      </c>
      <c r="AS1288" s="27">
        <f t="shared" si="454"/>
        <v>1.9789566108434027</v>
      </c>
      <c r="AT1288" s="27">
        <f t="shared" si="454"/>
        <v>2.0698402438653445</v>
      </c>
      <c r="AU1288" s="27">
        <f t="shared" si="454"/>
        <v>2.1648797356645511</v>
      </c>
      <c r="AV1288" s="27">
        <f t="shared" si="454"/>
        <v>2.2658660016789853</v>
      </c>
      <c r="AW1288" s="27">
        <f t="shared" si="454"/>
        <v>2.3628024258404521</v>
      </c>
      <c r="AY1288" s="79"/>
      <c r="AZ1288" s="79"/>
    </row>
    <row r="1289" spans="1:52" x14ac:dyDescent="0.25">
      <c r="A1289" s="95" t="str">
        <f t="shared" si="384"/>
        <v>FSFAGSPQNIBDDSCM U&amp;D</v>
      </c>
      <c r="B1289" s="95" t="s">
        <v>1374</v>
      </c>
      <c r="C1289" s="95" t="s">
        <v>1335</v>
      </c>
      <c r="D1289" t="s">
        <v>369</v>
      </c>
      <c r="E1289" t="s">
        <v>55</v>
      </c>
      <c r="F1289" t="s">
        <v>422</v>
      </c>
      <c r="G1289" t="s">
        <v>1151</v>
      </c>
      <c r="H1289" t="s">
        <v>1239</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5">
      <c r="A1290" s="95" t="str">
        <f t="shared" si="384"/>
        <v>FSFAGSPQNIBDDSCM U&amp;D</v>
      </c>
      <c r="B1290" s="95" t="s">
        <v>1374</v>
      </c>
      <c r="C1290" s="95" t="s">
        <v>1335</v>
      </c>
      <c r="D1290" t="s">
        <v>369</v>
      </c>
      <c r="E1290" t="s">
        <v>55</v>
      </c>
      <c r="F1290" t="s">
        <v>422</v>
      </c>
      <c r="G1290" t="s">
        <v>1153</v>
      </c>
      <c r="H1290" t="s">
        <v>1240</v>
      </c>
      <c r="I1290" t="s">
        <v>139</v>
      </c>
      <c r="J1290" t="s">
        <v>287</v>
      </c>
      <c r="K1290" s="27">
        <f t="shared" ref="K1290:AW1290" si="456">IFERROR(K1483-((K1483-K74)+(K1483-K227)+(K1483-K380)+(K1483-K532)+(K1483-K684)+(K1483-K835)+(K1483-K986)+(K1483-K1137)),0)</f>
        <v>1.0775797812462991</v>
      </c>
      <c r="L1290" s="27">
        <f t="shared" si="456"/>
        <v>1.0836040032789309</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1.1114672588381174</v>
      </c>
      <c r="S1290" s="27">
        <f t="shared" si="456"/>
        <v>1.0793644035028189</v>
      </c>
      <c r="T1290" s="27">
        <f t="shared" si="456"/>
        <v>1.1011309234167481</v>
      </c>
      <c r="U1290" s="27">
        <f t="shared" si="456"/>
        <v>1.1119360252245196</v>
      </c>
      <c r="V1290" s="27">
        <f t="shared" si="456"/>
        <v>1.1147578792291293</v>
      </c>
      <c r="W1290" s="27">
        <f t="shared" si="456"/>
        <v>1.1187702241985282</v>
      </c>
      <c r="X1290" s="27">
        <f t="shared" si="456"/>
        <v>1.1255029693063063</v>
      </c>
      <c r="Y1290" s="27">
        <f t="shared" si="456"/>
        <v>1.1343971625372145</v>
      </c>
      <c r="Z1290" s="27">
        <f t="shared" si="456"/>
        <v>1.1443552033124911</v>
      </c>
      <c r="AA1290" s="27">
        <f t="shared" si="456"/>
        <v>1.1556907140958508</v>
      </c>
      <c r="AB1290" s="27">
        <f t="shared" si="456"/>
        <v>1.1693756036758489</v>
      </c>
      <c r="AC1290" s="27">
        <f t="shared" si="456"/>
        <v>1.1853303744222352</v>
      </c>
      <c r="AD1290" s="27">
        <f t="shared" si="456"/>
        <v>1.202695771968407</v>
      </c>
      <c r="AE1290" s="27">
        <f t="shared" si="456"/>
        <v>1.2214561017242225</v>
      </c>
      <c r="AF1290" s="27">
        <f t="shared" si="456"/>
        <v>1.2411353009439861</v>
      </c>
      <c r="AG1290" s="27">
        <f t="shared" si="456"/>
        <v>1.2619534777795529</v>
      </c>
      <c r="AH1290" s="27">
        <f t="shared" si="456"/>
        <v>1.2836965756368759</v>
      </c>
      <c r="AI1290" s="27">
        <f t="shared" si="456"/>
        <v>1.3055267417806069</v>
      </c>
      <c r="AJ1290" s="27">
        <f t="shared" si="456"/>
        <v>1.3286718687824415</v>
      </c>
      <c r="AK1290" s="27">
        <f t="shared" si="456"/>
        <v>1.3523228735789439</v>
      </c>
      <c r="AL1290" s="27">
        <f t="shared" si="456"/>
        <v>1.3764196040319214</v>
      </c>
      <c r="AM1290" s="27">
        <f t="shared" si="456"/>
        <v>1.4013502875110349</v>
      </c>
      <c r="AN1290" s="27">
        <f t="shared" si="456"/>
        <v>1.4261842268183196</v>
      </c>
      <c r="AO1290" s="27">
        <f t="shared" si="456"/>
        <v>1.4522110683153209</v>
      </c>
      <c r="AP1290" s="27">
        <f t="shared" si="456"/>
        <v>1.4799113366388263</v>
      </c>
      <c r="AQ1290" s="27">
        <f t="shared" si="456"/>
        <v>1.5084997172355739</v>
      </c>
      <c r="AR1290" s="27">
        <f t="shared" si="456"/>
        <v>1.538027931051154</v>
      </c>
      <c r="AS1290" s="27">
        <f t="shared" si="456"/>
        <v>1.5694046317393286</v>
      </c>
      <c r="AT1290" s="27">
        <f t="shared" si="456"/>
        <v>1.602365939528593</v>
      </c>
      <c r="AU1290" s="27">
        <f t="shared" si="456"/>
        <v>1.6367417968061735</v>
      </c>
      <c r="AV1290" s="27">
        <f t="shared" si="456"/>
        <v>1.673151630600247</v>
      </c>
      <c r="AW1290" s="27">
        <f t="shared" si="456"/>
        <v>1.7081846028232541</v>
      </c>
      <c r="AY1290" s="79"/>
      <c r="AZ1290" s="79"/>
    </row>
    <row r="1291" spans="1:52" x14ac:dyDescent="0.25">
      <c r="A1291" s="95" t="str">
        <f t="shared" si="384"/>
        <v>FSFAGSPQNIBDDSCM U&amp;D</v>
      </c>
      <c r="B1291" s="95" t="s">
        <v>1374</v>
      </c>
      <c r="C1291" s="95" t="s">
        <v>1335</v>
      </c>
      <c r="D1291" t="s">
        <v>369</v>
      </c>
      <c r="E1291" t="s">
        <v>55</v>
      </c>
      <c r="F1291" t="s">
        <v>422</v>
      </c>
      <c r="G1291" t="s">
        <v>1155</v>
      </c>
      <c r="H1291" t="s">
        <v>1241</v>
      </c>
      <c r="I1291" t="s">
        <v>139</v>
      </c>
      <c r="J1291" t="s">
        <v>287</v>
      </c>
      <c r="K1291" s="27">
        <f t="shared" ref="K1291:AW1291" si="457">IFERROR(K1484-((K1484-K75)+(K1484-K228)+(K1484-K381)+(K1484-K533)+(K1484-K685)+(K1484-K836)+(K1484-K987)+(K1484-K1138)),0)</f>
        <v>0.73383920392416069</v>
      </c>
      <c r="L1291" s="27">
        <f t="shared" si="457"/>
        <v>0.73794174034663862</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0.75691680802528449</v>
      </c>
      <c r="S1291" s="27">
        <f t="shared" si="457"/>
        <v>0.73505454389139269</v>
      </c>
      <c r="T1291" s="27">
        <f t="shared" si="457"/>
        <v>0.74987769288121808</v>
      </c>
      <c r="U1291" s="27">
        <f t="shared" si="457"/>
        <v>0.75723604114176524</v>
      </c>
      <c r="V1291" s="27">
        <f t="shared" si="457"/>
        <v>0.75915774302627725</v>
      </c>
      <c r="W1291" s="27">
        <f t="shared" si="457"/>
        <v>0.76189017740325427</v>
      </c>
      <c r="X1291" s="27">
        <f t="shared" si="457"/>
        <v>0.7664752228876841</v>
      </c>
      <c r="Y1291" s="27">
        <f t="shared" si="457"/>
        <v>0.77253222933278298</v>
      </c>
      <c r="Z1291" s="27">
        <f t="shared" si="457"/>
        <v>0.77931372323453529</v>
      </c>
      <c r="AA1291" s="27">
        <f t="shared" si="457"/>
        <v>0.78703328363656277</v>
      </c>
      <c r="AB1291" s="27">
        <f t="shared" si="457"/>
        <v>0.79635278707375712</v>
      </c>
      <c r="AC1291" s="27">
        <f t="shared" si="457"/>
        <v>0.80721809511598763</v>
      </c>
      <c r="AD1291" s="27">
        <f t="shared" si="457"/>
        <v>0.81904404966050492</v>
      </c>
      <c r="AE1291" s="27">
        <f t="shared" si="457"/>
        <v>0.83181996258403779</v>
      </c>
      <c r="AF1291" s="27">
        <f t="shared" si="457"/>
        <v>0.8452216318995045</v>
      </c>
      <c r="AG1291" s="27">
        <f t="shared" si="457"/>
        <v>0.85939895276431877</v>
      </c>
      <c r="AH1291" s="27">
        <f t="shared" si="457"/>
        <v>0.87420615117333955</v>
      </c>
      <c r="AI1291" s="27">
        <f t="shared" si="457"/>
        <v>0.88907264368113259</v>
      </c>
      <c r="AJ1291" s="27">
        <f t="shared" si="457"/>
        <v>0.90483463353037208</v>
      </c>
      <c r="AK1291" s="27">
        <f t="shared" si="457"/>
        <v>0.92094112961904073</v>
      </c>
      <c r="AL1291" s="27">
        <f t="shared" si="457"/>
        <v>0.93735116792946294</v>
      </c>
      <c r="AM1291" s="27">
        <f t="shared" si="457"/>
        <v>0.9543291339566633</v>
      </c>
      <c r="AN1291" s="27">
        <f t="shared" si="457"/>
        <v>0.97124121654091655</v>
      </c>
      <c r="AO1291" s="27">
        <f t="shared" si="457"/>
        <v>0.98896567367830823</v>
      </c>
      <c r="AP1291" s="27">
        <f t="shared" si="457"/>
        <v>1.0078297459342822</v>
      </c>
      <c r="AQ1291" s="27">
        <f t="shared" si="457"/>
        <v>1.0272986287248762</v>
      </c>
      <c r="AR1291" s="27">
        <f t="shared" si="457"/>
        <v>1.0474075443679165</v>
      </c>
      <c r="AS1291" s="27">
        <f t="shared" si="457"/>
        <v>1.068775292218703</v>
      </c>
      <c r="AT1291" s="27">
        <f t="shared" si="457"/>
        <v>1.0912221683473529</v>
      </c>
      <c r="AU1291" s="27">
        <f t="shared" si="457"/>
        <v>1.1146323623560173</v>
      </c>
      <c r="AV1291" s="27">
        <f t="shared" si="457"/>
        <v>1.1394277082890591</v>
      </c>
      <c r="AW1291" s="27">
        <f t="shared" si="457"/>
        <v>1.1632854020715975</v>
      </c>
      <c r="AY1291" s="79"/>
      <c r="AZ1291" s="79"/>
    </row>
    <row r="1292" spans="1:52" x14ac:dyDescent="0.25">
      <c r="A1292" s="95" t="str">
        <f t="shared" si="384"/>
        <v>FSFAGSPQNIBDDSCM U&amp;D</v>
      </c>
      <c r="B1292" s="95" t="s">
        <v>1374</v>
      </c>
      <c r="C1292" s="95" t="s">
        <v>1335</v>
      </c>
      <c r="D1292" t="s">
        <v>369</v>
      </c>
      <c r="E1292" t="s">
        <v>55</v>
      </c>
      <c r="F1292" t="s">
        <v>422</v>
      </c>
      <c r="G1292" t="s">
        <v>1157</v>
      </c>
      <c r="H1292" t="s">
        <v>1242</v>
      </c>
      <c r="I1292" t="s">
        <v>139</v>
      </c>
      <c r="J1292" t="s">
        <v>287</v>
      </c>
      <c r="K1292" s="27">
        <f t="shared" ref="K1292:AW1292" si="458">IFERROR(K1485-((K1485-K76)+(K1485-K229)+(K1485-K382)+(K1485-K534)+(K1485-K686)+(K1485-K837)+(K1485-K988)+(K1485-K1139)),0)</f>
        <v>15.353527292296837</v>
      </c>
      <c r="L1292" s="27">
        <f t="shared" si="458"/>
        <v>15.220371053361486</v>
      </c>
      <c r="M1292" s="27">
        <f t="shared" si="458"/>
        <v>15.169682504177882</v>
      </c>
      <c r="N1292" s="27">
        <f t="shared" si="458"/>
        <v>14.967111251021189</v>
      </c>
      <c r="O1292" s="27">
        <f t="shared" si="458"/>
        <v>14.673074129931946</v>
      </c>
      <c r="P1292" s="27">
        <f t="shared" si="458"/>
        <v>14.293651368256896</v>
      </c>
      <c r="Q1292" s="27">
        <f t="shared" si="458"/>
        <v>13.994389539168758</v>
      </c>
      <c r="R1292" s="27">
        <f t="shared" si="458"/>
        <v>13.711253827544139</v>
      </c>
      <c r="S1292" s="27">
        <f t="shared" si="458"/>
        <v>12.243525743929849</v>
      </c>
      <c r="T1292" s="27">
        <f t="shared" si="458"/>
        <v>12.828892404772391</v>
      </c>
      <c r="U1292" s="27">
        <f t="shared" si="458"/>
        <v>13.031546455407888</v>
      </c>
      <c r="V1292" s="27">
        <f t="shared" si="458"/>
        <v>12.943540859671467</v>
      </c>
      <c r="W1292" s="27">
        <f t="shared" si="458"/>
        <v>12.871954504278984</v>
      </c>
      <c r="X1292" s="27">
        <f t="shared" si="458"/>
        <v>12.876656938031642</v>
      </c>
      <c r="Y1292" s="27">
        <f t="shared" si="458"/>
        <v>12.952269652428015</v>
      </c>
      <c r="Z1292" s="27">
        <f t="shared" si="458"/>
        <v>13.059558904717129</v>
      </c>
      <c r="AA1292" s="27">
        <f t="shared" si="458"/>
        <v>13.207166717271191</v>
      </c>
      <c r="AB1292" s="27">
        <f t="shared" si="458"/>
        <v>13.423383196860698</v>
      </c>
      <c r="AC1292" s="27">
        <f t="shared" si="458"/>
        <v>13.702101889701561</v>
      </c>
      <c r="AD1292" s="27">
        <f t="shared" si="458"/>
        <v>13.896423189138504</v>
      </c>
      <c r="AE1292" s="27">
        <f t="shared" si="458"/>
        <v>14.113699365030318</v>
      </c>
      <c r="AF1292" s="27">
        <f t="shared" si="458"/>
        <v>14.337556202398742</v>
      </c>
      <c r="AG1292" s="27">
        <f t="shared" si="458"/>
        <v>14.572966422289987</v>
      </c>
      <c r="AH1292" s="27">
        <f t="shared" si="458"/>
        <v>14.811902600863377</v>
      </c>
      <c r="AI1292" s="27">
        <f t="shared" si="458"/>
        <v>15.030093790009266</v>
      </c>
      <c r="AJ1292" s="27">
        <f t="shared" si="458"/>
        <v>15.260245449721568</v>
      </c>
      <c r="AK1292" s="27">
        <f t="shared" si="458"/>
        <v>15.479975870373321</v>
      </c>
      <c r="AL1292" s="27">
        <f t="shared" si="458"/>
        <v>15.687168192029855</v>
      </c>
      <c r="AM1292" s="27">
        <f t="shared" si="458"/>
        <v>15.890679126882141</v>
      </c>
      <c r="AN1292" s="27">
        <f t="shared" si="458"/>
        <v>16.149107215315812</v>
      </c>
      <c r="AO1292" s="27">
        <f t="shared" si="458"/>
        <v>16.416401953220753</v>
      </c>
      <c r="AP1292" s="27">
        <f t="shared" si="458"/>
        <v>16.702277130443278</v>
      </c>
      <c r="AQ1292" s="27">
        <f t="shared" si="458"/>
        <v>16.98704006145238</v>
      </c>
      <c r="AR1292" s="27">
        <f t="shared" si="458"/>
        <v>17.271060351529361</v>
      </c>
      <c r="AS1292" s="27">
        <f t="shared" si="458"/>
        <v>17.573003837482712</v>
      </c>
      <c r="AT1292" s="27">
        <f t="shared" si="458"/>
        <v>17.88505244077637</v>
      </c>
      <c r="AU1292" s="27">
        <f t="shared" si="458"/>
        <v>18.201780897575926</v>
      </c>
      <c r="AV1292" s="27">
        <f t="shared" si="458"/>
        <v>18.533967675320017</v>
      </c>
      <c r="AW1292" s="27">
        <f t="shared" si="458"/>
        <v>18.812464966150909</v>
      </c>
      <c r="AY1292" s="79"/>
      <c r="AZ1292" s="79"/>
    </row>
    <row r="1293" spans="1:52" x14ac:dyDescent="0.25">
      <c r="A1293" s="95" t="str">
        <f t="shared" si="384"/>
        <v>FSFAGSPQNIBDDSCM U&amp;D</v>
      </c>
      <c r="B1293" s="95" t="s">
        <v>1374</v>
      </c>
      <c r="C1293" s="95" t="s">
        <v>1335</v>
      </c>
      <c r="D1293" t="s">
        <v>369</v>
      </c>
      <c r="E1293" t="s">
        <v>55</v>
      </c>
      <c r="F1293" t="s">
        <v>422</v>
      </c>
      <c r="G1293" t="s">
        <v>1159</v>
      </c>
      <c r="H1293" t="s">
        <v>1243</v>
      </c>
      <c r="I1293" t="s">
        <v>139</v>
      </c>
      <c r="J1293" t="s">
        <v>287</v>
      </c>
      <c r="K1293" s="27">
        <f t="shared" ref="K1293:AW1293" si="459">IFERROR(K1486-((K1486-K77)+(K1486-K230)+(K1486-K383)+(K1486-K535)+(K1486-K687)+(K1486-K838)+(K1486-K989)+(K1486-K1140)),0)</f>
        <v>9.6543103644621411</v>
      </c>
      <c r="L1293" s="27">
        <f t="shared" si="459"/>
        <v>9.570581613851763</v>
      </c>
      <c r="M1293" s="27">
        <f t="shared" si="459"/>
        <v>9.5387086131772989</v>
      </c>
      <c r="N1293" s="27">
        <f t="shared" si="459"/>
        <v>9.4113316455488931</v>
      </c>
      <c r="O1293" s="27">
        <f t="shared" si="459"/>
        <v>9.2264408662754729</v>
      </c>
      <c r="P1293" s="27">
        <f t="shared" si="459"/>
        <v>8.9878595272244652</v>
      </c>
      <c r="Q1293" s="27">
        <f t="shared" si="459"/>
        <v>8.7996834473406587</v>
      </c>
      <c r="R1293" s="27">
        <f t="shared" si="459"/>
        <v>8.6216474831450967</v>
      </c>
      <c r="S1293" s="27">
        <f t="shared" si="459"/>
        <v>7.6987388784911763</v>
      </c>
      <c r="T1293" s="27">
        <f t="shared" si="459"/>
        <v>8.0668179077067048</v>
      </c>
      <c r="U1293" s="27">
        <f t="shared" si="459"/>
        <v>8.1942469384566685</v>
      </c>
      <c r="V1293" s="27">
        <f t="shared" si="459"/>
        <v>8.1389089487638984</v>
      </c>
      <c r="W1293" s="27">
        <f t="shared" si="459"/>
        <v>8.0938953906633806</v>
      </c>
      <c r="X1293" s="27">
        <f t="shared" si="459"/>
        <v>8.0968522848058253</v>
      </c>
      <c r="Y1293" s="27">
        <f t="shared" si="459"/>
        <v>8.1443976207006106</v>
      </c>
      <c r="Z1293" s="27">
        <f t="shared" si="459"/>
        <v>8.2118611892116604</v>
      </c>
      <c r="AA1293" s="27">
        <f t="shared" si="459"/>
        <v>8.304677100987929</v>
      </c>
      <c r="AB1293" s="27">
        <f t="shared" si="459"/>
        <v>8.4406341980203354</v>
      </c>
      <c r="AC1293" s="27">
        <f t="shared" si="459"/>
        <v>8.6158927372364591</v>
      </c>
      <c r="AD1293" s="27">
        <f t="shared" si="459"/>
        <v>8.738082127301313</v>
      </c>
      <c r="AE1293" s="27">
        <f t="shared" si="459"/>
        <v>8.8747055622246656</v>
      </c>
      <c r="AF1293" s="27">
        <f t="shared" si="459"/>
        <v>9.015466922400579</v>
      </c>
      <c r="AG1293" s="27">
        <f t="shared" si="459"/>
        <v>9.1634930588400287</v>
      </c>
      <c r="AH1293" s="27">
        <f t="shared" si="459"/>
        <v>9.3137363209471946</v>
      </c>
      <c r="AI1293" s="27">
        <f t="shared" si="459"/>
        <v>9.4509351169438833</v>
      </c>
      <c r="AJ1293" s="27">
        <f t="shared" si="459"/>
        <v>9.5956546664947826</v>
      </c>
      <c r="AK1293" s="27">
        <f t="shared" si="459"/>
        <v>9.7338213325058032</v>
      </c>
      <c r="AL1293" s="27">
        <f t="shared" si="459"/>
        <v>9.8641040317399575</v>
      </c>
      <c r="AM1293" s="27">
        <f t="shared" si="459"/>
        <v>9.9920718719776573</v>
      </c>
      <c r="AN1293" s="27">
        <f t="shared" si="459"/>
        <v>10.154571662751145</v>
      </c>
      <c r="AO1293" s="27">
        <f t="shared" si="459"/>
        <v>10.322646809874932</v>
      </c>
      <c r="AP1293" s="27">
        <f t="shared" si="459"/>
        <v>10.502405352251484</v>
      </c>
      <c r="AQ1293" s="27">
        <f t="shared" si="459"/>
        <v>10.681464513310528</v>
      </c>
      <c r="AR1293" s="27">
        <f t="shared" si="459"/>
        <v>10.860056701151523</v>
      </c>
      <c r="AS1293" s="27">
        <f t="shared" si="459"/>
        <v>11.049919009038504</v>
      </c>
      <c r="AT1293" s="27">
        <f t="shared" si="459"/>
        <v>11.246135422872308</v>
      </c>
      <c r="AU1293" s="27">
        <f t="shared" si="459"/>
        <v>11.445294532371156</v>
      </c>
      <c r="AV1293" s="27">
        <f t="shared" si="459"/>
        <v>11.654173846567643</v>
      </c>
      <c r="AW1293" s="27">
        <f t="shared" si="459"/>
        <v>11.829293168021046</v>
      </c>
      <c r="AY1293" s="79"/>
      <c r="AZ1293" s="79"/>
    </row>
    <row r="1294" spans="1:52" x14ac:dyDescent="0.25">
      <c r="A1294" s="95" t="str">
        <f t="shared" si="384"/>
        <v>FSFAGSPQNIBDDSCM U&amp;D</v>
      </c>
      <c r="B1294" s="95" t="s">
        <v>1374</v>
      </c>
      <c r="C1294" s="95" t="s">
        <v>1335</v>
      </c>
      <c r="D1294" t="s">
        <v>369</v>
      </c>
      <c r="E1294" t="s">
        <v>55</v>
      </c>
      <c r="F1294" t="s">
        <v>422</v>
      </c>
      <c r="G1294" t="s">
        <v>1161</v>
      </c>
      <c r="H1294" t="s">
        <v>1244</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5">
      <c r="A1295" s="95" t="str">
        <f t="shared" si="384"/>
        <v>FSFAGSPQNIBDDSCM U&amp;D</v>
      </c>
      <c r="B1295" s="95" t="s">
        <v>1374</v>
      </c>
      <c r="C1295" s="95" t="s">
        <v>1335</v>
      </c>
      <c r="D1295" t="s">
        <v>369</v>
      </c>
      <c r="E1295" t="s">
        <v>55</v>
      </c>
      <c r="F1295" t="s">
        <v>422</v>
      </c>
      <c r="G1295" t="s">
        <v>1163</v>
      </c>
      <c r="H1295" t="s">
        <v>1245</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5.8849979697860864</v>
      </c>
      <c r="T1295" s="27">
        <f t="shared" si="461"/>
        <v>5.8892338696185709</v>
      </c>
      <c r="U1295" s="27">
        <f t="shared" si="461"/>
        <v>5.8877446174554535</v>
      </c>
      <c r="V1295" s="27">
        <f t="shared" si="461"/>
        <v>5.8876374031780276</v>
      </c>
      <c r="W1295" s="27">
        <f t="shared" si="461"/>
        <v>5.8938824759040038</v>
      </c>
      <c r="X1295" s="27">
        <f t="shared" si="461"/>
        <v>5.9041031128445773</v>
      </c>
      <c r="Y1295" s="27">
        <f t="shared" si="461"/>
        <v>5.9139099273818276</v>
      </c>
      <c r="Z1295" s="27">
        <f t="shared" si="461"/>
        <v>5.9233345583346297</v>
      </c>
      <c r="AA1295" s="27">
        <f t="shared" si="461"/>
        <v>5.9323641435098171</v>
      </c>
      <c r="AB1295" s="27">
        <f t="shared" si="461"/>
        <v>5.9411868573928839</v>
      </c>
      <c r="AC1295" s="27">
        <f t="shared" si="461"/>
        <v>5.9499315766894556</v>
      </c>
      <c r="AD1295" s="27">
        <f t="shared" si="461"/>
        <v>5.9585105593958936</v>
      </c>
      <c r="AE1295" s="27">
        <f t="shared" si="461"/>
        <v>5.9670471572884827</v>
      </c>
      <c r="AF1295" s="27">
        <f t="shared" si="461"/>
        <v>5.9755144784339187</v>
      </c>
      <c r="AG1295" s="27">
        <f t="shared" si="461"/>
        <v>5.9838446773332894</v>
      </c>
      <c r="AH1295" s="27">
        <f t="shared" si="461"/>
        <v>5.992074429551792</v>
      </c>
      <c r="AI1295" s="27">
        <f t="shared" si="461"/>
        <v>6.0002125174101231</v>
      </c>
      <c r="AJ1295" s="27">
        <f t="shared" si="461"/>
        <v>6.0082865692474714</v>
      </c>
      <c r="AK1295" s="27">
        <f t="shared" si="461"/>
        <v>6.0160495351454939</v>
      </c>
      <c r="AL1295" s="27">
        <f t="shared" si="461"/>
        <v>6.0234923325896075</v>
      </c>
      <c r="AM1295" s="27">
        <f t="shared" si="461"/>
        <v>6.0306845225857399</v>
      </c>
      <c r="AN1295" s="27">
        <f t="shared" si="461"/>
        <v>6.0375707245080381</v>
      </c>
      <c r="AO1295" s="27">
        <f t="shared" si="461"/>
        <v>6.0441634304657859</v>
      </c>
      <c r="AP1295" s="27">
        <f t="shared" si="461"/>
        <v>6.0504329467907079</v>
      </c>
      <c r="AQ1295" s="27">
        <f t="shared" si="461"/>
        <v>6.0562895562131533</v>
      </c>
      <c r="AR1295" s="27">
        <f t="shared" si="461"/>
        <v>6.0616501197093573</v>
      </c>
      <c r="AS1295" s="27">
        <f t="shared" si="461"/>
        <v>6.0665092216069407</v>
      </c>
      <c r="AT1295" s="27">
        <f t="shared" si="461"/>
        <v>6.0708296779310995</v>
      </c>
      <c r="AU1295" s="27">
        <f t="shared" si="461"/>
        <v>6.0746094049856261</v>
      </c>
      <c r="AV1295" s="27">
        <f t="shared" si="461"/>
        <v>6.0779207352179032</v>
      </c>
      <c r="AW1295" s="27">
        <f t="shared" si="461"/>
        <v>6.0803335706264781</v>
      </c>
      <c r="AY1295" s="79"/>
      <c r="AZ1295" s="79"/>
    </row>
    <row r="1296" spans="1:52" x14ac:dyDescent="0.25">
      <c r="A1296" s="95" t="str">
        <f t="shared" si="384"/>
        <v>FSFAGSPQNIBDDSCM U&amp;D</v>
      </c>
      <c r="B1296" s="95" t="s">
        <v>1374</v>
      </c>
      <c r="C1296" s="95" t="s">
        <v>1335</v>
      </c>
      <c r="D1296" t="s">
        <v>369</v>
      </c>
      <c r="E1296" t="s">
        <v>55</v>
      </c>
      <c r="F1296" t="s">
        <v>422</v>
      </c>
      <c r="G1296" t="s">
        <v>1165</v>
      </c>
      <c r="H1296" t="s">
        <v>1246</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0.65693953925961401</v>
      </c>
      <c r="T1296" s="27">
        <f t="shared" si="462"/>
        <v>0.65741239075397129</v>
      </c>
      <c r="U1296" s="27">
        <f t="shared" si="462"/>
        <v>0.65724614623954603</v>
      </c>
      <c r="V1296" s="27">
        <f t="shared" si="462"/>
        <v>0.65723417796047845</v>
      </c>
      <c r="W1296" s="27">
        <f t="shared" si="462"/>
        <v>0.65793131247442549</v>
      </c>
      <c r="X1296" s="27">
        <f t="shared" si="462"/>
        <v>0.65907223734086595</v>
      </c>
      <c r="Y1296" s="27">
        <f t="shared" si="462"/>
        <v>0.66016696740819658</v>
      </c>
      <c r="Z1296" s="27">
        <f t="shared" si="462"/>
        <v>0.66121903450280095</v>
      </c>
      <c r="AA1296" s="27">
        <f t="shared" si="462"/>
        <v>0.66222700282414093</v>
      </c>
      <c r="AB1296" s="27">
        <f t="shared" si="462"/>
        <v>0.66321187820100891</v>
      </c>
      <c r="AC1296" s="27">
        <f t="shared" si="462"/>
        <v>0.66418804707908485</v>
      </c>
      <c r="AD1296" s="27">
        <f t="shared" si="462"/>
        <v>0.66514571486001184</v>
      </c>
      <c r="AE1296" s="27">
        <f t="shared" si="462"/>
        <v>0.66609865124422019</v>
      </c>
      <c r="AF1296" s="27">
        <f t="shared" si="462"/>
        <v>0.6670438542979179</v>
      </c>
      <c r="AG1296" s="27">
        <f t="shared" si="462"/>
        <v>0.6679737504601575</v>
      </c>
      <c r="AH1296" s="27">
        <f t="shared" si="462"/>
        <v>0.66889243380693197</v>
      </c>
      <c r="AI1296" s="27">
        <f t="shared" si="462"/>
        <v>0.66980088470454557</v>
      </c>
      <c r="AJ1296" s="27">
        <f t="shared" si="462"/>
        <v>0.67070218729143127</v>
      </c>
      <c r="AK1296" s="27">
        <f t="shared" si="462"/>
        <v>0.6715687635020805</v>
      </c>
      <c r="AL1296" s="27">
        <f t="shared" si="462"/>
        <v>0.67239959945968686</v>
      </c>
      <c r="AM1296" s="27">
        <f t="shared" si="462"/>
        <v>0.67320246022643382</v>
      </c>
      <c r="AN1296" s="27">
        <f t="shared" si="462"/>
        <v>0.67397116368925725</v>
      </c>
      <c r="AO1296" s="27">
        <f t="shared" si="462"/>
        <v>0.67470710433640646</v>
      </c>
      <c r="AP1296" s="27">
        <f t="shared" si="462"/>
        <v>0.67540696747773998</v>
      </c>
      <c r="AQ1296" s="27">
        <f t="shared" si="462"/>
        <v>0.67606073801688993</v>
      </c>
      <c r="AR1296" s="27">
        <f t="shared" si="462"/>
        <v>0.67665913518396625</v>
      </c>
      <c r="AS1296" s="27">
        <f t="shared" si="462"/>
        <v>0.67720155443002239</v>
      </c>
      <c r="AT1296" s="27">
        <f t="shared" si="462"/>
        <v>0.67768384492554279</v>
      </c>
      <c r="AU1296" s="27">
        <f t="shared" si="462"/>
        <v>0.67810577406850514</v>
      </c>
      <c r="AV1296" s="27">
        <f t="shared" si="462"/>
        <v>0.67847541629579156</v>
      </c>
      <c r="AW1296" s="27">
        <f t="shared" si="462"/>
        <v>0.67874475997097328</v>
      </c>
      <c r="AY1296" s="79"/>
      <c r="AZ1296" s="79"/>
    </row>
    <row r="1297" spans="1:52" x14ac:dyDescent="0.25">
      <c r="A1297" s="95" t="str">
        <f t="shared" si="384"/>
        <v>FSFAGSPQNIBDDSCM U&amp;D</v>
      </c>
      <c r="B1297" s="95" t="s">
        <v>1374</v>
      </c>
      <c r="C1297" s="95" t="s">
        <v>1335</v>
      </c>
      <c r="D1297" t="s">
        <v>369</v>
      </c>
      <c r="E1297" t="s">
        <v>55</v>
      </c>
      <c r="F1297" t="s">
        <v>422</v>
      </c>
      <c r="G1297" t="s">
        <v>1167</v>
      </c>
      <c r="H1297" t="s">
        <v>1247</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0.73708994755228407</v>
      </c>
      <c r="R1297" s="27">
        <f t="shared" si="463"/>
        <v>0.74193942345928476</v>
      </c>
      <c r="S1297" s="27">
        <f t="shared" si="463"/>
        <v>0.74012019902027282</v>
      </c>
      <c r="T1297" s="27">
        <f t="shared" si="463"/>
        <v>0.74139246635166289</v>
      </c>
      <c r="U1297" s="27">
        <f t="shared" si="463"/>
        <v>0.74151592530175092</v>
      </c>
      <c r="V1297" s="27">
        <f t="shared" si="463"/>
        <v>0.74185535866328745</v>
      </c>
      <c r="W1297" s="27">
        <f t="shared" si="463"/>
        <v>0.74335608585495871</v>
      </c>
      <c r="X1297" s="27">
        <f t="shared" si="463"/>
        <v>0.74556357164156939</v>
      </c>
      <c r="Y1297" s="27">
        <f t="shared" si="463"/>
        <v>0.74764732173100068</v>
      </c>
      <c r="Z1297" s="27">
        <f t="shared" si="463"/>
        <v>0.74961713361766258</v>
      </c>
      <c r="AA1297" s="27">
        <f t="shared" si="463"/>
        <v>0.75147401556229898</v>
      </c>
      <c r="AB1297" s="27">
        <f t="shared" si="463"/>
        <v>0.75325638993383137</v>
      </c>
      <c r="AC1297" s="27">
        <f t="shared" si="463"/>
        <v>0.75499099939868619</v>
      </c>
      <c r="AD1297" s="27">
        <f t="shared" si="463"/>
        <v>0.75666368217952507</v>
      </c>
      <c r="AE1297" s="27">
        <f t="shared" si="463"/>
        <v>0.75829956195489012</v>
      </c>
      <c r="AF1297" s="27">
        <f t="shared" si="463"/>
        <v>0.75989544125855291</v>
      </c>
      <c r="AG1297" s="27">
        <f t="shared" si="463"/>
        <v>0.76144040021050008</v>
      </c>
      <c r="AH1297" s="27">
        <f t="shared" si="463"/>
        <v>0.76294284733285755</v>
      </c>
      <c r="AI1297" s="27">
        <f t="shared" si="463"/>
        <v>0.76440585179872644</v>
      </c>
      <c r="AJ1297" s="27">
        <f t="shared" si="463"/>
        <v>0.76583583721390103</v>
      </c>
      <c r="AK1297" s="27">
        <f t="shared" si="463"/>
        <v>0.76718846615565761</v>
      </c>
      <c r="AL1297" s="27">
        <f t="shared" si="463"/>
        <v>0.76846341889719361</v>
      </c>
      <c r="AM1297" s="27">
        <f t="shared" si="463"/>
        <v>0.769674739992807</v>
      </c>
      <c r="AN1297" s="27">
        <f t="shared" si="463"/>
        <v>0.77081339983246644</v>
      </c>
      <c r="AO1297" s="27">
        <f t="shared" si="463"/>
        <v>0.77188278784323794</v>
      </c>
      <c r="AP1297" s="27">
        <f t="shared" si="463"/>
        <v>0.77287850467741359</v>
      </c>
      <c r="AQ1297" s="27">
        <f t="shared" si="463"/>
        <v>0.77378518098285765</v>
      </c>
      <c r="AR1297" s="27">
        <f t="shared" si="463"/>
        <v>0.77458869841791256</v>
      </c>
      <c r="AS1297" s="27">
        <f t="shared" si="463"/>
        <v>0.77528911180488913</v>
      </c>
      <c r="AT1297" s="27">
        <f t="shared" si="463"/>
        <v>0.77588066613277407</v>
      </c>
      <c r="AU1297" s="27">
        <f t="shared" si="463"/>
        <v>0.77636396136599817</v>
      </c>
      <c r="AV1297" s="27">
        <f t="shared" si="463"/>
        <v>0.77675301530412866</v>
      </c>
      <c r="AW1297" s="27">
        <f t="shared" si="463"/>
        <v>0.77697098593778646</v>
      </c>
      <c r="AY1297" s="79"/>
      <c r="AZ1297" s="79"/>
    </row>
    <row r="1298" spans="1:52" x14ac:dyDescent="0.25">
      <c r="A1298" s="95" t="str">
        <f t="shared" si="384"/>
        <v>FSFAGSPQNIBDDSCM U&amp;D</v>
      </c>
      <c r="B1298" s="95" t="s">
        <v>1374</v>
      </c>
      <c r="C1298" s="95" t="s">
        <v>1335</v>
      </c>
      <c r="D1298" t="s">
        <v>369</v>
      </c>
      <c r="E1298" t="s">
        <v>55</v>
      </c>
      <c r="F1298" t="s">
        <v>422</v>
      </c>
      <c r="G1298" t="s">
        <v>1169</v>
      </c>
      <c r="H1298" t="s">
        <v>1248</v>
      </c>
      <c r="I1298" t="s">
        <v>139</v>
      </c>
      <c r="J1298" t="s">
        <v>287</v>
      </c>
      <c r="K1298" s="27">
        <f t="shared" ref="K1298:AW1298" si="464">IFERROR(K1491-((K1491-K82)+(K1491-K235)+(K1491-K388)+(K1491-K540)+(K1491-K692)+(K1491-K843)+(K1491-K994)+(K1491-K1145)),0)</f>
        <v>1.1867254191644501</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1.2198688909683482</v>
      </c>
      <c r="R1298" s="27">
        <f t="shared" si="464"/>
        <v>1.2278946750888551</v>
      </c>
      <c r="S1298" s="27">
        <f t="shared" si="464"/>
        <v>1.2248838955955119</v>
      </c>
      <c r="T1298" s="27">
        <f t="shared" si="464"/>
        <v>1.2269894721858747</v>
      </c>
      <c r="U1298" s="27">
        <f t="shared" si="464"/>
        <v>1.2271937942404954</v>
      </c>
      <c r="V1298" s="27">
        <f t="shared" si="464"/>
        <v>1.2277555495590562</v>
      </c>
      <c r="W1298" s="27">
        <f t="shared" si="464"/>
        <v>1.2302392225775656</v>
      </c>
      <c r="X1298" s="27">
        <f t="shared" si="464"/>
        <v>1.2338925667145779</v>
      </c>
      <c r="Y1298" s="27">
        <f t="shared" si="464"/>
        <v>1.2373411307861553</v>
      </c>
      <c r="Z1298" s="27">
        <f t="shared" si="464"/>
        <v>1.2406011294465342</v>
      </c>
      <c r="AA1298" s="27">
        <f t="shared" si="464"/>
        <v>1.2436742313467632</v>
      </c>
      <c r="AB1298" s="27">
        <f t="shared" si="464"/>
        <v>1.2466240247269491</v>
      </c>
      <c r="AC1298" s="27">
        <f t="shared" si="464"/>
        <v>1.2494947681568149</v>
      </c>
      <c r="AD1298" s="27">
        <f t="shared" si="464"/>
        <v>1.2522630241825274</v>
      </c>
      <c r="AE1298" s="27">
        <f t="shared" si="464"/>
        <v>1.2549703719817464</v>
      </c>
      <c r="AF1298" s="27">
        <f t="shared" si="464"/>
        <v>1.2576115198128128</v>
      </c>
      <c r="AG1298" s="27">
        <f t="shared" si="464"/>
        <v>1.2601683954961149</v>
      </c>
      <c r="AH1298" s="27">
        <f t="shared" si="464"/>
        <v>1.2626549149649742</v>
      </c>
      <c r="AI1298" s="27">
        <f t="shared" si="464"/>
        <v>1.2650761576385281</v>
      </c>
      <c r="AJ1298" s="27">
        <f t="shared" si="464"/>
        <v>1.2674427544538867</v>
      </c>
      <c r="AK1298" s="27">
        <f t="shared" si="464"/>
        <v>1.2696813278770511</v>
      </c>
      <c r="AL1298" s="27">
        <f t="shared" si="464"/>
        <v>1.2717913487666579</v>
      </c>
      <c r="AM1298" s="27">
        <f t="shared" si="464"/>
        <v>1.2737960605747884</v>
      </c>
      <c r="AN1298" s="27">
        <f t="shared" si="464"/>
        <v>1.2756805194802561</v>
      </c>
      <c r="AO1298" s="27">
        <f t="shared" si="464"/>
        <v>1.2774503349160069</v>
      </c>
      <c r="AP1298" s="27">
        <f t="shared" si="464"/>
        <v>1.2790982260509465</v>
      </c>
      <c r="AQ1298" s="27">
        <f t="shared" si="464"/>
        <v>1.2805987569194814</v>
      </c>
      <c r="AR1298" s="27">
        <f t="shared" si="464"/>
        <v>1.2819285619529504</v>
      </c>
      <c r="AS1298" s="27">
        <f t="shared" si="464"/>
        <v>1.2830877318811631</v>
      </c>
      <c r="AT1298" s="27">
        <f t="shared" si="464"/>
        <v>1.2840667422777918</v>
      </c>
      <c r="AU1298" s="27">
        <f t="shared" si="464"/>
        <v>1.2848665860717841</v>
      </c>
      <c r="AV1298" s="27">
        <f t="shared" si="464"/>
        <v>1.2855104624366835</v>
      </c>
      <c r="AW1298" s="27">
        <f t="shared" si="464"/>
        <v>1.2858711994078322</v>
      </c>
      <c r="AY1298" s="79"/>
      <c r="AZ1298" s="79"/>
    </row>
    <row r="1299" spans="1:52" x14ac:dyDescent="0.25">
      <c r="A1299" s="95" t="str">
        <f t="shared" si="384"/>
        <v>FSFAGSPQNIBDDSCM U&amp;D</v>
      </c>
      <c r="B1299" s="95" t="s">
        <v>1374</v>
      </c>
      <c r="C1299" s="95" t="s">
        <v>1335</v>
      </c>
      <c r="D1299" t="s">
        <v>369</v>
      </c>
      <c r="E1299" t="s">
        <v>55</v>
      </c>
      <c r="F1299" t="s">
        <v>422</v>
      </c>
      <c r="G1299" t="s">
        <v>1171</v>
      </c>
      <c r="H1299" t="s">
        <v>1249</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0.19381280191845884</v>
      </c>
      <c r="N1299" s="27">
        <f t="shared" si="465"/>
        <v>0.19411375969056655</v>
      </c>
      <c r="O1299" s="27">
        <f t="shared" si="465"/>
        <v>0.19368291106027893</v>
      </c>
      <c r="P1299" s="27">
        <f t="shared" si="465"/>
        <v>0.19253602379697463</v>
      </c>
      <c r="Q1299" s="27">
        <f t="shared" si="465"/>
        <v>0.19190012409058904</v>
      </c>
      <c r="R1299" s="27">
        <f t="shared" si="465"/>
        <v>0.19132863754616411</v>
      </c>
      <c r="S1299" s="27">
        <f t="shared" si="465"/>
        <v>0.18266880885015579</v>
      </c>
      <c r="T1299" s="27">
        <f t="shared" si="465"/>
        <v>0.18809378134692423</v>
      </c>
      <c r="U1299" s="27">
        <f t="shared" si="465"/>
        <v>0.19079942650123977</v>
      </c>
      <c r="V1299" s="27">
        <f t="shared" si="465"/>
        <v>0.19120805768125793</v>
      </c>
      <c r="W1299" s="27">
        <f t="shared" si="465"/>
        <v>0.191567581973451</v>
      </c>
      <c r="X1299" s="27">
        <f t="shared" si="465"/>
        <v>0.19243995083448096</v>
      </c>
      <c r="Y1299" s="27">
        <f t="shared" si="465"/>
        <v>0.1939290152815269</v>
      </c>
      <c r="Z1299" s="27">
        <f t="shared" si="465"/>
        <v>0.19572566733105584</v>
      </c>
      <c r="AA1299" s="27">
        <f t="shared" si="465"/>
        <v>0.19791142753361757</v>
      </c>
      <c r="AB1299" s="27">
        <f t="shared" si="465"/>
        <v>0.20073163120248141</v>
      </c>
      <c r="AC1299" s="27">
        <f t="shared" si="465"/>
        <v>0.20414944143031946</v>
      </c>
      <c r="AD1299" s="27">
        <f t="shared" si="465"/>
        <v>0.2079342142091529</v>
      </c>
      <c r="AE1299" s="27">
        <f t="shared" si="465"/>
        <v>0.2120704701686861</v>
      </c>
      <c r="AF1299" s="27">
        <f t="shared" si="465"/>
        <v>0.21643036681214611</v>
      </c>
      <c r="AG1299" s="27">
        <f t="shared" si="465"/>
        <v>0.22107481526755876</v>
      </c>
      <c r="AH1299" s="27">
        <f t="shared" si="465"/>
        <v>0.22594299924319575</v>
      </c>
      <c r="AI1299" s="27">
        <f t="shared" si="465"/>
        <v>0.23081287404445633</v>
      </c>
      <c r="AJ1299" s="27">
        <f t="shared" si="465"/>
        <v>0.23600481014510816</v>
      </c>
      <c r="AK1299" s="27">
        <f t="shared" si="465"/>
        <v>0.24132262653826006</v>
      </c>
      <c r="AL1299" s="27">
        <f t="shared" si="465"/>
        <v>0.24675186109010536</v>
      </c>
      <c r="AM1299" s="27">
        <f t="shared" si="465"/>
        <v>0.25238913765935056</v>
      </c>
      <c r="AN1299" s="27">
        <f t="shared" si="465"/>
        <v>0.25799715238539928</v>
      </c>
      <c r="AO1299" s="27">
        <f t="shared" si="465"/>
        <v>0.26391035530015045</v>
      </c>
      <c r="AP1299" s="27">
        <f t="shared" si="465"/>
        <v>0.27025468976471112</v>
      </c>
      <c r="AQ1299" s="27">
        <f t="shared" si="465"/>
        <v>0.27683409216202315</v>
      </c>
      <c r="AR1299" s="27">
        <f t="shared" si="465"/>
        <v>0.28366954305937575</v>
      </c>
      <c r="AS1299" s="27">
        <f t="shared" si="465"/>
        <v>0.29099654328717883</v>
      </c>
      <c r="AT1299" s="27">
        <f t="shared" si="465"/>
        <v>0.29875152246319292</v>
      </c>
      <c r="AU1299" s="27">
        <f t="shared" si="465"/>
        <v>0.30689307002053717</v>
      </c>
      <c r="AV1299" s="27">
        <f t="shared" si="465"/>
        <v>0.31557625829716562</v>
      </c>
      <c r="AW1299" s="27">
        <f t="shared" si="465"/>
        <v>0.32396777623584005</v>
      </c>
      <c r="AY1299" s="79"/>
      <c r="AZ1299" s="79"/>
    </row>
    <row r="1300" spans="1:52" x14ac:dyDescent="0.25">
      <c r="A1300" s="95" t="str">
        <f t="shared" si="384"/>
        <v>FSFAGSPQNIBDDSCM U&amp;D</v>
      </c>
      <c r="B1300" s="95" t="s">
        <v>1374</v>
      </c>
      <c r="C1300" s="95" t="s">
        <v>1335</v>
      </c>
      <c r="D1300" t="s">
        <v>369</v>
      </c>
      <c r="E1300" t="s">
        <v>55</v>
      </c>
      <c r="F1300" t="s">
        <v>422</v>
      </c>
      <c r="G1300" t="s">
        <v>1173</v>
      </c>
      <c r="H1300" t="s">
        <v>1250</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5">
      <c r="A1301" s="95" t="str">
        <f t="shared" si="384"/>
        <v>FSFAGSPQNIBDDSCM U&amp;D</v>
      </c>
      <c r="B1301" s="95" t="s">
        <v>1374</v>
      </c>
      <c r="C1301" s="95" t="s">
        <v>1335</v>
      </c>
      <c r="D1301" t="s">
        <v>369</v>
      </c>
      <c r="E1301" t="s">
        <v>55</v>
      </c>
      <c r="F1301" t="s">
        <v>422</v>
      </c>
      <c r="G1301" t="s">
        <v>1175</v>
      </c>
      <c r="H1301" t="s">
        <v>1251</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5">
      <c r="A1302" s="95" t="str">
        <f t="shared" si="384"/>
        <v>FSFAGSPQNIBDDSCM U&amp;D</v>
      </c>
      <c r="B1302" s="95" t="s">
        <v>1374</v>
      </c>
      <c r="C1302" s="95" t="s">
        <v>1335</v>
      </c>
      <c r="D1302" t="s">
        <v>369</v>
      </c>
      <c r="E1302" t="s">
        <v>55</v>
      </c>
      <c r="F1302" t="s">
        <v>422</v>
      </c>
      <c r="G1302" t="s">
        <v>1177</v>
      </c>
      <c r="H1302" t="s">
        <v>1252</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5">
      <c r="A1303" s="95" t="str">
        <f t="shared" si="384"/>
        <v>FSFAGSPQNIBDDSCM U&amp;D</v>
      </c>
      <c r="B1303" s="95" t="s">
        <v>1374</v>
      </c>
      <c r="C1303" s="95" t="s">
        <v>1335</v>
      </c>
      <c r="D1303" t="s">
        <v>369</v>
      </c>
      <c r="E1303" t="s">
        <v>55</v>
      </c>
      <c r="F1303" t="s">
        <v>422</v>
      </c>
      <c r="G1303" t="s">
        <v>1179</v>
      </c>
      <c r="H1303" t="s">
        <v>1253</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5">
      <c r="A1304" s="95" t="str">
        <f t="shared" si="384"/>
        <v>FSFAGSPQNIBDDSCM U&amp;D</v>
      </c>
      <c r="B1304" s="95" t="s">
        <v>1374</v>
      </c>
      <c r="C1304" s="95" t="s">
        <v>1335</v>
      </c>
      <c r="D1304" t="s">
        <v>369</v>
      </c>
      <c r="E1304" t="s">
        <v>55</v>
      </c>
      <c r="F1304" t="s">
        <v>422</v>
      </c>
      <c r="G1304" t="s">
        <v>1181</v>
      </c>
      <c r="H1304" t="s">
        <v>1254</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5">
      <c r="A1305" s="95" t="str">
        <f t="shared" si="384"/>
        <v>FSFAGSPQNIBDDSCM FSOM</v>
      </c>
      <c r="B1305" s="95" t="s">
        <v>1374</v>
      </c>
      <c r="C1305" s="95" t="s">
        <v>60</v>
      </c>
      <c r="D1305" t="s">
        <v>369</v>
      </c>
      <c r="E1305" t="s">
        <v>55</v>
      </c>
      <c r="F1305" t="s">
        <v>60</v>
      </c>
      <c r="G1305" t="s">
        <v>1265</v>
      </c>
      <c r="H1305" t="s">
        <v>1266</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5">
      <c r="A1306" s="95" t="str">
        <f t="shared" si="384"/>
        <v>FSFAGSPQNIBDDSCM FSOM</v>
      </c>
      <c r="B1306" s="95" t="s">
        <v>1374</v>
      </c>
      <c r="C1306" s="95" t="s">
        <v>60</v>
      </c>
      <c r="D1306" t="s">
        <v>369</v>
      </c>
      <c r="E1306" t="s">
        <v>55</v>
      </c>
      <c r="F1306" t="s">
        <v>60</v>
      </c>
      <c r="G1306" t="s">
        <v>1267</v>
      </c>
      <c r="H1306" t="s">
        <v>1268</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5">
      <c r="A1307" s="95" t="str">
        <f t="shared" si="384"/>
        <v>FSFAGSPQNIBDDSCM FSOM</v>
      </c>
      <c r="B1307" s="95" t="s">
        <v>1374</v>
      </c>
      <c r="C1307" s="95" t="s">
        <v>60</v>
      </c>
      <c r="D1307" t="s">
        <v>369</v>
      </c>
      <c r="E1307" t="s">
        <v>55</v>
      </c>
      <c r="F1307" t="s">
        <v>60</v>
      </c>
      <c r="G1307" t="s">
        <v>1269</v>
      </c>
      <c r="H1307" t="s">
        <v>1270</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5">
      <c r="A1308" s="95" t="str">
        <f t="shared" si="384"/>
        <v>FSFAGSPQNIBDDSCM FSOM</v>
      </c>
      <c r="B1308" s="95" t="s">
        <v>1374</v>
      </c>
      <c r="C1308" s="95" t="s">
        <v>60</v>
      </c>
      <c r="D1308" t="s">
        <v>369</v>
      </c>
      <c r="E1308" t="s">
        <v>55</v>
      </c>
      <c r="F1308" t="s">
        <v>60</v>
      </c>
      <c r="G1308" t="s">
        <v>1271</v>
      </c>
      <c r="H1308" t="s">
        <v>1272</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5">
      <c r="A1309" s="95" t="str">
        <f t="shared" si="384"/>
        <v>FSFAGSPQNIBDDSCM FSOM</v>
      </c>
      <c r="B1309" s="95" t="s">
        <v>1374</v>
      </c>
      <c r="C1309" s="95" t="s">
        <v>60</v>
      </c>
      <c r="D1309" t="s">
        <v>369</v>
      </c>
      <c r="E1309" t="s">
        <v>55</v>
      </c>
      <c r="F1309" t="s">
        <v>60</v>
      </c>
      <c r="G1309" t="s">
        <v>1273</v>
      </c>
      <c r="H1309" t="s">
        <v>1274</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5">
      <c r="A1310" s="95" t="str">
        <f t="shared" si="384"/>
        <v>FSFAGSPQNIBDDSCM FSOM</v>
      </c>
      <c r="B1310" s="95" t="s">
        <v>1374</v>
      </c>
      <c r="C1310" s="95" t="s">
        <v>60</v>
      </c>
      <c r="D1310" t="s">
        <v>369</v>
      </c>
      <c r="E1310" t="s">
        <v>55</v>
      </c>
      <c r="F1310" t="s">
        <v>60</v>
      </c>
      <c r="G1310" t="s">
        <v>1275</v>
      </c>
      <c r="H1310" t="s">
        <v>1276</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5">
      <c r="A1311" s="95" t="str">
        <f t="shared" si="384"/>
        <v>FSFAGSPQNIBDDSCM FSOM</v>
      </c>
      <c r="B1311" s="95" t="s">
        <v>1374</v>
      </c>
      <c r="C1311" s="95" t="s">
        <v>60</v>
      </c>
      <c r="D1311" t="s">
        <v>369</v>
      </c>
      <c r="E1311" t="s">
        <v>55</v>
      </c>
      <c r="F1311" t="s">
        <v>60</v>
      </c>
      <c r="G1311" t="s">
        <v>1277</v>
      </c>
      <c r="H1311" t="s">
        <v>1278</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5">
      <c r="A1312" s="95" t="str">
        <f t="shared" si="384"/>
        <v>FSFAGSPQNIBDDSCM FSOM</v>
      </c>
      <c r="B1312" s="95" t="s">
        <v>1374</v>
      </c>
      <c r="C1312" s="95" t="s">
        <v>60</v>
      </c>
      <c r="D1312" t="s">
        <v>369</v>
      </c>
      <c r="E1312" t="s">
        <v>55</v>
      </c>
      <c r="F1312" t="s">
        <v>60</v>
      </c>
      <c r="G1312" t="s">
        <v>1279</v>
      </c>
      <c r="H1312" t="s">
        <v>1280</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5">
      <c r="A1313" s="95" t="str">
        <f t="shared" si="384"/>
        <v>FSFAGSPQNIBDDSCM FSOM</v>
      </c>
      <c r="B1313" s="95" t="s">
        <v>1374</v>
      </c>
      <c r="C1313" s="95" t="s">
        <v>60</v>
      </c>
      <c r="D1313" t="s">
        <v>369</v>
      </c>
      <c r="E1313" t="s">
        <v>55</v>
      </c>
      <c r="F1313" t="s">
        <v>60</v>
      </c>
      <c r="G1313" t="s">
        <v>1281</v>
      </c>
      <c r="H1313" t="s">
        <v>1282</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5">
      <c r="A1314" s="95" t="str">
        <f t="shared" si="384"/>
        <v>FSFAGSPQNIBDDSCM FSOM</v>
      </c>
      <c r="B1314" s="95" t="s">
        <v>1374</v>
      </c>
      <c r="C1314" s="95" t="s">
        <v>60</v>
      </c>
      <c r="D1314" t="s">
        <v>369</v>
      </c>
      <c r="E1314" t="s">
        <v>55</v>
      </c>
      <c r="F1314" t="s">
        <v>60</v>
      </c>
      <c r="G1314" t="s">
        <v>1283</v>
      </c>
      <c r="H1314" t="s">
        <v>1284</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5">
      <c r="A1315" s="95" t="str">
        <f t="shared" si="384"/>
        <v>FSFAGSPQNIBDDSCM FSOM</v>
      </c>
      <c r="B1315" s="95" t="s">
        <v>1374</v>
      </c>
      <c r="C1315" s="95" t="s">
        <v>60</v>
      </c>
      <c r="D1315" t="s">
        <v>369</v>
      </c>
      <c r="E1315" t="s">
        <v>55</v>
      </c>
      <c r="F1315" t="s">
        <v>60</v>
      </c>
      <c r="G1315" t="s">
        <v>1285</v>
      </c>
      <c r="H1315" t="s">
        <v>1286</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5">
      <c r="A1316" s="95" t="str">
        <f t="shared" si="384"/>
        <v>FSFAGSPQNIBDDSCM FSOM</v>
      </c>
      <c r="B1316" s="95" t="s">
        <v>1374</v>
      </c>
      <c r="C1316" s="95" t="s">
        <v>60</v>
      </c>
      <c r="D1316" t="s">
        <v>369</v>
      </c>
      <c r="E1316" t="s">
        <v>55</v>
      </c>
      <c r="F1316" t="s">
        <v>60</v>
      </c>
      <c r="G1316" t="s">
        <v>1287</v>
      </c>
      <c r="H1316" t="s">
        <v>1288</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5">
      <c r="A1317" s="95" t="str">
        <f t="shared" si="384"/>
        <v>FSFAGSPQNIBDDSCM Volatilisation</v>
      </c>
      <c r="B1317" s="95" t="s">
        <v>1374</v>
      </c>
      <c r="C1317" s="95" t="s">
        <v>62</v>
      </c>
      <c r="D1317" t="s">
        <v>369</v>
      </c>
      <c r="E1317" t="s">
        <v>61</v>
      </c>
      <c r="F1317" t="s">
        <v>62</v>
      </c>
      <c r="G1317" t="s">
        <v>435</v>
      </c>
      <c r="H1317" t="s">
        <v>1183</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0.66036342435905737</v>
      </c>
      <c r="U1317" s="27">
        <f t="shared" si="483"/>
        <v>0.66004971859529549</v>
      </c>
      <c r="V1317" s="27">
        <f t="shared" si="483"/>
        <v>0.65987679285209155</v>
      </c>
      <c r="W1317" s="27">
        <f t="shared" si="483"/>
        <v>0.65980968039636112</v>
      </c>
      <c r="X1317" s="27">
        <f t="shared" si="483"/>
        <v>0.65973729403354264</v>
      </c>
      <c r="Y1317" s="27">
        <f t="shared" si="483"/>
        <v>0.6596371673513507</v>
      </c>
      <c r="Z1317" s="27">
        <f t="shared" si="483"/>
        <v>0.65951092743964945</v>
      </c>
      <c r="AA1317" s="27">
        <f t="shared" si="483"/>
        <v>0.65937292152761395</v>
      </c>
      <c r="AB1317" s="27">
        <f t="shared" si="483"/>
        <v>0.65921980493186427</v>
      </c>
      <c r="AC1317" s="27">
        <f t="shared" si="483"/>
        <v>0.65904099002136718</v>
      </c>
      <c r="AD1317" s="27">
        <f t="shared" si="483"/>
        <v>0.6588390077412124</v>
      </c>
      <c r="AE1317" s="27">
        <f t="shared" si="483"/>
        <v>0.65862502813307378</v>
      </c>
      <c r="AF1317" s="27">
        <f t="shared" si="483"/>
        <v>0.65840030111280701</v>
      </c>
      <c r="AG1317" s="27">
        <f t="shared" si="483"/>
        <v>0.65817083248767305</v>
      </c>
      <c r="AH1317" s="27">
        <f t="shared" si="483"/>
        <v>0.65793473576190653</v>
      </c>
      <c r="AI1317" s="27">
        <f t="shared" si="483"/>
        <v>0.65769490947439302</v>
      </c>
      <c r="AJ1317" s="27">
        <f t="shared" si="483"/>
        <v>0.65746015679174796</v>
      </c>
      <c r="AK1317" s="27">
        <f t="shared" si="483"/>
        <v>0.65721839556094175</v>
      </c>
      <c r="AL1317" s="27">
        <f t="shared" si="483"/>
        <v>0.65697772026100598</v>
      </c>
      <c r="AM1317" s="27">
        <f t="shared" si="483"/>
        <v>0.65673876647835383</v>
      </c>
      <c r="AN1317" s="27">
        <f t="shared" si="483"/>
        <v>0.65649818227366441</v>
      </c>
      <c r="AO1317" s="27">
        <f t="shared" si="483"/>
        <v>0.65626429517048157</v>
      </c>
      <c r="AP1317" s="27">
        <f t="shared" si="483"/>
        <v>0.65602587146144697</v>
      </c>
      <c r="AQ1317" s="27">
        <f t="shared" si="483"/>
        <v>0.65577947514353263</v>
      </c>
      <c r="AR1317" s="27">
        <f t="shared" si="483"/>
        <v>0.65553213474499905</v>
      </c>
      <c r="AS1317" s="27">
        <f t="shared" si="483"/>
        <v>0.65528365550023426</v>
      </c>
      <c r="AT1317" s="27">
        <f t="shared" si="483"/>
        <v>0.65502749591835585</v>
      </c>
      <c r="AU1317" s="27">
        <f t="shared" si="483"/>
        <v>0.65476643110027843</v>
      </c>
      <c r="AV1317" s="27">
        <f t="shared" si="483"/>
        <v>0.65450232737774761</v>
      </c>
      <c r="AW1317" s="27">
        <f t="shared" si="483"/>
        <v>0.65423151331477958</v>
      </c>
      <c r="AY1317" s="79"/>
      <c r="AZ1317" s="79"/>
    </row>
    <row r="1318" spans="1:52" x14ac:dyDescent="0.25">
      <c r="A1318" s="95" t="str">
        <f t="shared" si="384"/>
        <v>FSFAGSPQNIBDDSCM Volatilisation</v>
      </c>
      <c r="B1318" s="95" t="s">
        <v>1374</v>
      </c>
      <c r="C1318" s="95" t="s">
        <v>62</v>
      </c>
      <c r="D1318" t="s">
        <v>369</v>
      </c>
      <c r="E1318" t="s">
        <v>61</v>
      </c>
      <c r="F1318" t="s">
        <v>62</v>
      </c>
      <c r="G1318" t="s">
        <v>436</v>
      </c>
      <c r="H1318" t="s">
        <v>1184</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8.7167972015395577E-3</v>
      </c>
      <c r="U1318" s="27">
        <f t="shared" si="484"/>
        <v>8.7126562854578996E-3</v>
      </c>
      <c r="V1318" s="27">
        <f t="shared" si="484"/>
        <v>8.7103736656476104E-3</v>
      </c>
      <c r="W1318" s="27">
        <f t="shared" si="484"/>
        <v>8.7094877812319699E-3</v>
      </c>
      <c r="X1318" s="27">
        <f t="shared" si="484"/>
        <v>8.7085322812427632E-3</v>
      </c>
      <c r="Y1318" s="27">
        <f t="shared" si="484"/>
        <v>8.7072106090378288E-3</v>
      </c>
      <c r="Z1318" s="27">
        <f t="shared" si="484"/>
        <v>8.7055442422033745E-3</v>
      </c>
      <c r="AA1318" s="27">
        <f t="shared" si="484"/>
        <v>8.7037225641645056E-3</v>
      </c>
      <c r="AB1318" s="27">
        <f t="shared" si="484"/>
        <v>8.7017014251006084E-3</v>
      </c>
      <c r="AC1318" s="27">
        <f t="shared" si="484"/>
        <v>8.699341068282046E-3</v>
      </c>
      <c r="AD1318" s="27">
        <f t="shared" si="484"/>
        <v>8.6966749021840043E-3</v>
      </c>
      <c r="AE1318" s="27">
        <f t="shared" si="484"/>
        <v>8.6938503713565752E-3</v>
      </c>
      <c r="AF1318" s="27">
        <f t="shared" si="484"/>
        <v>8.6908839746890534E-3</v>
      </c>
      <c r="AG1318" s="27">
        <f t="shared" si="484"/>
        <v>8.687854988837283E-3</v>
      </c>
      <c r="AH1318" s="27">
        <f t="shared" si="484"/>
        <v>8.6847385120571701E-3</v>
      </c>
      <c r="AI1318" s="27">
        <f t="shared" si="484"/>
        <v>8.6815728050619895E-3</v>
      </c>
      <c r="AJ1318" s="27">
        <f t="shared" si="484"/>
        <v>8.6784740696510734E-3</v>
      </c>
      <c r="AK1318" s="27">
        <f t="shared" si="484"/>
        <v>8.6752828214044318E-3</v>
      </c>
      <c r="AL1318" s="27">
        <f t="shared" si="484"/>
        <v>8.672105907445278E-3</v>
      </c>
      <c r="AM1318" s="27">
        <f t="shared" si="484"/>
        <v>8.6689517175142713E-3</v>
      </c>
      <c r="AN1318" s="27">
        <f t="shared" si="484"/>
        <v>8.6657760060123695E-3</v>
      </c>
      <c r="AO1318" s="27">
        <f t="shared" si="484"/>
        <v>8.6626886962503594E-3</v>
      </c>
      <c r="AP1318" s="27">
        <f t="shared" si="484"/>
        <v>8.6595415032911013E-3</v>
      </c>
      <c r="AQ1318" s="27">
        <f t="shared" si="484"/>
        <v>8.6562890718946302E-3</v>
      </c>
      <c r="AR1318" s="27">
        <f t="shared" si="484"/>
        <v>8.65302417863399E-3</v>
      </c>
      <c r="AS1318" s="27">
        <f t="shared" si="484"/>
        <v>8.6497442526030921E-3</v>
      </c>
      <c r="AT1318" s="27">
        <f t="shared" si="484"/>
        <v>8.6463629461222963E-3</v>
      </c>
      <c r="AU1318" s="27">
        <f t="shared" si="484"/>
        <v>8.6429168905236796E-3</v>
      </c>
      <c r="AV1318" s="27">
        <f t="shared" si="484"/>
        <v>8.6394307213862702E-3</v>
      </c>
      <c r="AW1318" s="27">
        <f t="shared" si="484"/>
        <v>8.6358559757550891E-3</v>
      </c>
      <c r="AY1318" s="79"/>
      <c r="AZ1318" s="79"/>
    </row>
    <row r="1319" spans="1:52" x14ac:dyDescent="0.25">
      <c r="A1319" s="95" t="str">
        <f t="shared" si="384"/>
        <v>FSFAGSPQNIBDDSCM Volatilisation</v>
      </c>
      <c r="B1319" s="95" t="s">
        <v>1374</v>
      </c>
      <c r="C1319" s="95" t="s">
        <v>62</v>
      </c>
      <c r="D1319" t="s">
        <v>369</v>
      </c>
      <c r="E1319" t="s">
        <v>61</v>
      </c>
      <c r="F1319" t="s">
        <v>62</v>
      </c>
      <c r="G1319" t="s">
        <v>437</v>
      </c>
      <c r="H1319" t="s">
        <v>1185</v>
      </c>
      <c r="I1319" t="s">
        <v>139</v>
      </c>
      <c r="J1319" t="s">
        <v>287</v>
      </c>
      <c r="K1319" s="27">
        <f t="shared" ref="K1319:AW1319" si="485">IFERROR(K1512-((K1512-K103)+(K1512-K256)+(K1512-K409)+(K1512-K561)+(K1512-K713)+(K1512-K864)+(K1512-K1015)+(K1512-K1166)),0)</f>
        <v>1.2008407282256133</v>
      </c>
      <c r="L1319" s="27">
        <f t="shared" si="485"/>
        <v>1.2019035107607592</v>
      </c>
      <c r="M1319" s="27">
        <f t="shared" si="485"/>
        <v>1.2088775122881088</v>
      </c>
      <c r="N1319" s="27">
        <f t="shared" si="485"/>
        <v>1.2055442230548152</v>
      </c>
      <c r="O1319" s="27">
        <f t="shared" si="485"/>
        <v>1.1958435838326273</v>
      </c>
      <c r="P1319" s="27">
        <f t="shared" si="485"/>
        <v>1.1799964998501222</v>
      </c>
      <c r="Q1319" s="27">
        <f t="shared" si="485"/>
        <v>1.169776622170569</v>
      </c>
      <c r="R1319" s="27">
        <f t="shared" si="485"/>
        <v>1.1606871439933113</v>
      </c>
      <c r="S1319" s="27">
        <f t="shared" si="485"/>
        <v>1.0635026929062164</v>
      </c>
      <c r="T1319" s="27">
        <f t="shared" si="485"/>
        <v>1.1127914653577025</v>
      </c>
      <c r="U1319" s="27">
        <f t="shared" si="485"/>
        <v>1.1339456607288676</v>
      </c>
      <c r="V1319" s="27">
        <f t="shared" si="485"/>
        <v>1.1334093263464944</v>
      </c>
      <c r="W1319" s="27">
        <f t="shared" si="485"/>
        <v>1.1341671660422112</v>
      </c>
      <c r="X1319" s="27">
        <f t="shared" si="485"/>
        <v>1.1408235439735572</v>
      </c>
      <c r="Y1319" s="27">
        <f t="shared" si="485"/>
        <v>1.1530569851412431</v>
      </c>
      <c r="Z1319" s="27">
        <f t="shared" si="485"/>
        <v>1.1679322279348805</v>
      </c>
      <c r="AA1319" s="27">
        <f t="shared" si="485"/>
        <v>1.1861792833479095</v>
      </c>
      <c r="AB1319" s="27">
        <f t="shared" si="485"/>
        <v>1.2100969940218784</v>
      </c>
      <c r="AC1319" s="27">
        <f t="shared" si="485"/>
        <v>1.2393194864291859</v>
      </c>
      <c r="AD1319" s="27">
        <f t="shared" si="485"/>
        <v>1.2672278032377093</v>
      </c>
      <c r="AE1319" s="27">
        <f t="shared" si="485"/>
        <v>1.2977962214580763</v>
      </c>
      <c r="AF1319" s="27">
        <f t="shared" si="485"/>
        <v>1.329788063562543</v>
      </c>
      <c r="AG1319" s="27">
        <f t="shared" si="485"/>
        <v>1.3636827815165269</v>
      </c>
      <c r="AH1319" s="27">
        <f t="shared" si="485"/>
        <v>1.3988919386644247</v>
      </c>
      <c r="AI1319" s="27">
        <f t="shared" si="485"/>
        <v>1.4334139363721508</v>
      </c>
      <c r="AJ1319" s="27">
        <f t="shared" si="485"/>
        <v>1.4700649477851668</v>
      </c>
      <c r="AK1319" s="27">
        <f t="shared" si="485"/>
        <v>1.5069886120645011</v>
      </c>
      <c r="AL1319" s="27">
        <f t="shared" si="485"/>
        <v>1.5440287360100955</v>
      </c>
      <c r="AM1319" s="27">
        <f t="shared" si="485"/>
        <v>1.5820093604594603</v>
      </c>
      <c r="AN1319" s="27">
        <f t="shared" si="485"/>
        <v>1.6219033183214897</v>
      </c>
      <c r="AO1319" s="27">
        <f t="shared" si="485"/>
        <v>1.6636708318066389</v>
      </c>
      <c r="AP1319" s="27">
        <f t="shared" si="485"/>
        <v>1.7082959626143681</v>
      </c>
      <c r="AQ1319" s="27">
        <f t="shared" si="485"/>
        <v>1.7540375132373072</v>
      </c>
      <c r="AR1319" s="27">
        <f t="shared" si="485"/>
        <v>1.8009857640186506</v>
      </c>
      <c r="AS1319" s="27">
        <f t="shared" si="485"/>
        <v>1.8510064312178449</v>
      </c>
      <c r="AT1319" s="27">
        <f t="shared" si="485"/>
        <v>1.9034681141674186</v>
      </c>
      <c r="AU1319" s="27">
        <f t="shared" si="485"/>
        <v>1.9579460640600546</v>
      </c>
      <c r="AV1319" s="27">
        <f t="shared" si="485"/>
        <v>2.0156248390942006</v>
      </c>
      <c r="AW1319" s="27">
        <f t="shared" si="485"/>
        <v>2.0696024098416643</v>
      </c>
      <c r="AY1319" s="79"/>
      <c r="AZ1319" s="79"/>
    </row>
    <row r="1320" spans="1:52" x14ac:dyDescent="0.25">
      <c r="A1320" s="95" t="str">
        <f t="shared" si="384"/>
        <v>FSFAGSPQNIBDDSCM Volatilisation</v>
      </c>
      <c r="B1320" s="95" t="s">
        <v>1374</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4.3975799639737021</v>
      </c>
      <c r="L1320" s="27">
        <f t="shared" si="489"/>
        <v>4.3787767883653972</v>
      </c>
      <c r="M1320" s="27">
        <f t="shared" si="489"/>
        <v>4.3752716537638934</v>
      </c>
      <c r="N1320" s="27">
        <f t="shared" si="489"/>
        <v>4.3473821211305586</v>
      </c>
      <c r="O1320" s="27">
        <f t="shared" si="489"/>
        <v>4.3052096453824591</v>
      </c>
      <c r="P1320" s="27">
        <f t="shared" si="489"/>
        <v>4.2496956169043703</v>
      </c>
      <c r="Q1320" s="27">
        <f t="shared" si="489"/>
        <v>4.2083609134426787</v>
      </c>
      <c r="R1320" s="27">
        <f t="shared" si="489"/>
        <v>4.1703852155628214</v>
      </c>
      <c r="S1320" s="27">
        <f t="shared" si="489"/>
        <v>3.920518553769567</v>
      </c>
      <c r="T1320" s="27">
        <f t="shared" si="489"/>
        <v>4.022224403214822</v>
      </c>
      <c r="U1320" s="27">
        <f t="shared" si="489"/>
        <v>4.0573246422564955</v>
      </c>
      <c r="V1320" s="27">
        <f t="shared" si="489"/>
        <v>4.0437027667632135</v>
      </c>
      <c r="W1320" s="27">
        <f t="shared" si="489"/>
        <v>4.0349744796970102</v>
      </c>
      <c r="X1320" s="27">
        <f t="shared" si="489"/>
        <v>4.0404911436640738</v>
      </c>
      <c r="Y1320" s="27">
        <f t="shared" si="489"/>
        <v>4.0578866533033189</v>
      </c>
      <c r="Z1320" s="27">
        <f t="shared" si="489"/>
        <v>4.0805365209798321</v>
      </c>
      <c r="AA1320" s="27">
        <f t="shared" si="489"/>
        <v>4.109915060040195</v>
      </c>
      <c r="AB1320" s="27">
        <f t="shared" si="489"/>
        <v>4.1509048491402085</v>
      </c>
      <c r="AC1320" s="27">
        <f t="shared" si="489"/>
        <v>4.202533390484211</v>
      </c>
      <c r="AD1320" s="27">
        <f t="shared" si="489"/>
        <v>4.2406560670580085</v>
      </c>
      <c r="AE1320" s="27">
        <f t="shared" si="489"/>
        <v>4.2827934559696441</v>
      </c>
      <c r="AF1320" s="27">
        <f t="shared" si="489"/>
        <v>4.3261652521730651</v>
      </c>
      <c r="AG1320" s="27">
        <f t="shared" si="489"/>
        <v>4.3716097132066274</v>
      </c>
      <c r="AH1320" s="27">
        <f t="shared" si="489"/>
        <v>4.417783804127744</v>
      </c>
      <c r="AI1320" s="27">
        <f t="shared" si="489"/>
        <v>4.46055260064648</v>
      </c>
      <c r="AJ1320" s="27">
        <f t="shared" si="489"/>
        <v>4.5055232078089906</v>
      </c>
      <c r="AK1320" s="27">
        <f t="shared" si="489"/>
        <v>4.5487963787371326</v>
      </c>
      <c r="AL1320" s="27">
        <f t="shared" si="489"/>
        <v>4.5900121260194853</v>
      </c>
      <c r="AM1320" s="27">
        <f t="shared" si="489"/>
        <v>4.6307205405262888</v>
      </c>
      <c r="AN1320" s="27">
        <f t="shared" si="489"/>
        <v>4.6802451384074173</v>
      </c>
      <c r="AO1320" s="27">
        <f t="shared" si="489"/>
        <v>4.7313734673669652</v>
      </c>
      <c r="AP1320" s="27">
        <f t="shared" si="489"/>
        <v>4.7857847377648062</v>
      </c>
      <c r="AQ1320" s="27">
        <f t="shared" si="489"/>
        <v>4.8400720712169321</v>
      </c>
      <c r="AR1320" s="27">
        <f t="shared" si="489"/>
        <v>4.8942825787604232</v>
      </c>
      <c r="AS1320" s="27">
        <f t="shared" si="489"/>
        <v>4.9516552239356777</v>
      </c>
      <c r="AT1320" s="27">
        <f t="shared" si="489"/>
        <v>5.010848202184258</v>
      </c>
      <c r="AU1320" s="27">
        <f t="shared" si="489"/>
        <v>5.070940832499133</v>
      </c>
      <c r="AV1320" s="27">
        <f t="shared" si="489"/>
        <v>5.1338473778737468</v>
      </c>
      <c r="AW1320" s="27">
        <f t="shared" si="489"/>
        <v>5.1874285866281769</v>
      </c>
      <c r="AY1320" s="79"/>
      <c r="AZ1320" s="79"/>
    </row>
    <row r="1321" spans="1:52" x14ac:dyDescent="0.25">
      <c r="A1321" s="95" t="str">
        <f t="shared" si="384"/>
        <v>FSFAGSPQNIBDDSCM Leaching</v>
      </c>
      <c r="B1321" s="95" t="s">
        <v>1374</v>
      </c>
      <c r="C1321" s="95" t="s">
        <v>1189</v>
      </c>
      <c r="D1321" t="s">
        <v>369</v>
      </c>
      <c r="E1321" t="s">
        <v>61</v>
      </c>
      <c r="F1321" t="s">
        <v>63</v>
      </c>
      <c r="G1321" t="s">
        <v>435</v>
      </c>
      <c r="H1321" t="s">
        <v>1186</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2.2782538140387479E-4</v>
      </c>
      <c r="U1321" s="27">
        <f t="shared" si="490"/>
        <v>2.2771715291537687E-4</v>
      </c>
      <c r="V1321" s="27">
        <f t="shared" si="490"/>
        <v>2.2765749353397156E-4</v>
      </c>
      <c r="W1321" s="27">
        <f t="shared" si="490"/>
        <v>2.2763433973674462E-4</v>
      </c>
      <c r="X1321" s="27">
        <f t="shared" si="490"/>
        <v>2.2760936644157216E-4</v>
      </c>
      <c r="Y1321" s="27">
        <f t="shared" si="490"/>
        <v>2.2757482273621599E-4</v>
      </c>
      <c r="Z1321" s="27">
        <f t="shared" si="490"/>
        <v>2.27531269966679E-4</v>
      </c>
      <c r="AA1321" s="27">
        <f t="shared" si="490"/>
        <v>2.2748365792702683E-4</v>
      </c>
      <c r="AB1321" s="27">
        <f t="shared" si="490"/>
        <v>2.2743083270149308E-4</v>
      </c>
      <c r="AC1321" s="27">
        <f t="shared" si="490"/>
        <v>2.2736914155737162E-4</v>
      </c>
      <c r="AD1321" s="27">
        <f t="shared" si="490"/>
        <v>2.272994576707182E-4</v>
      </c>
      <c r="AE1321" s="27">
        <f t="shared" si="490"/>
        <v>2.2722563470591042E-4</v>
      </c>
      <c r="AF1321" s="27">
        <f t="shared" si="490"/>
        <v>2.2714810388391836E-4</v>
      </c>
      <c r="AG1321" s="27">
        <f t="shared" si="490"/>
        <v>2.2706893720824713E-4</v>
      </c>
      <c r="AH1321" s="27">
        <f t="shared" si="490"/>
        <v>2.2698748383785777E-4</v>
      </c>
      <c r="AI1321" s="27">
        <f t="shared" si="490"/>
        <v>2.2690474376866552E-4</v>
      </c>
      <c r="AJ1321" s="27">
        <f t="shared" si="490"/>
        <v>2.2682375409315307E-4</v>
      </c>
      <c r="AK1321" s="27">
        <f t="shared" si="490"/>
        <v>2.2674034646852486E-4</v>
      </c>
      <c r="AL1321" s="27">
        <f t="shared" si="490"/>
        <v>2.26657313490047E-4</v>
      </c>
      <c r="AM1321" s="27">
        <f t="shared" si="490"/>
        <v>2.2657487443503212E-4</v>
      </c>
      <c r="AN1321" s="27">
        <f t="shared" si="490"/>
        <v>2.2649187288441419E-4</v>
      </c>
      <c r="AO1321" s="27">
        <f t="shared" si="490"/>
        <v>2.2641118183381611E-4</v>
      </c>
      <c r="AP1321" s="27">
        <f t="shared" si="490"/>
        <v>2.2632892565419918E-4</v>
      </c>
      <c r="AQ1321" s="27">
        <f t="shared" si="490"/>
        <v>2.2624391892451869E-4</v>
      </c>
      <c r="AR1321" s="27">
        <f t="shared" si="490"/>
        <v>2.2615858648702465E-4</v>
      </c>
      <c r="AS1321" s="27">
        <f t="shared" si="490"/>
        <v>2.2607286114758075E-4</v>
      </c>
      <c r="AT1321" s="27">
        <f t="shared" si="490"/>
        <v>2.2598448609183276E-4</v>
      </c>
      <c r="AU1321" s="27">
        <f t="shared" si="490"/>
        <v>2.2589441872959606E-4</v>
      </c>
      <c r="AV1321" s="27">
        <f t="shared" si="490"/>
        <v>2.2580330294532294E-4</v>
      </c>
      <c r="AW1321" s="27">
        <f t="shared" si="490"/>
        <v>2.2570987209359888E-4</v>
      </c>
      <c r="AY1321" s="79"/>
      <c r="AZ1321" s="79"/>
    </row>
    <row r="1322" spans="1:52" x14ac:dyDescent="0.25">
      <c r="A1322" s="95" t="str">
        <f t="shared" si="384"/>
        <v>FSFAGSPQNIBDDSCM Leaching</v>
      </c>
      <c r="B1322" s="95" t="s">
        <v>1374</v>
      </c>
      <c r="C1322" s="95" t="s">
        <v>1189</v>
      </c>
      <c r="D1322" t="s">
        <v>369</v>
      </c>
      <c r="E1322" t="s">
        <v>61</v>
      </c>
      <c r="F1322" t="s">
        <v>63</v>
      </c>
      <c r="G1322" t="s">
        <v>436</v>
      </c>
      <c r="H1322" t="s">
        <v>1187</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1.5036475172655738E-6</v>
      </c>
      <c r="U1322" s="27">
        <f t="shared" si="491"/>
        <v>1.5029332092414877E-6</v>
      </c>
      <c r="V1322" s="27">
        <f t="shared" si="491"/>
        <v>1.5025394573242125E-6</v>
      </c>
      <c r="W1322" s="27">
        <f t="shared" si="491"/>
        <v>1.5023866422625144E-6</v>
      </c>
      <c r="X1322" s="27">
        <f t="shared" si="491"/>
        <v>1.5022218185143764E-6</v>
      </c>
      <c r="Y1322" s="27">
        <f t="shared" si="491"/>
        <v>1.5019938300590255E-6</v>
      </c>
      <c r="Z1322" s="27">
        <f t="shared" si="491"/>
        <v>1.5017063817800821E-6</v>
      </c>
      <c r="AA1322" s="27">
        <f t="shared" si="491"/>
        <v>1.5013921423183768E-6</v>
      </c>
      <c r="AB1322" s="27">
        <f t="shared" si="491"/>
        <v>1.5010434958298549E-6</v>
      </c>
      <c r="AC1322" s="27">
        <f t="shared" si="491"/>
        <v>1.5006363342786528E-6</v>
      </c>
      <c r="AD1322" s="27">
        <f t="shared" si="491"/>
        <v>1.5001764206267405E-6</v>
      </c>
      <c r="AE1322" s="27">
        <f t="shared" si="491"/>
        <v>1.4996891890590088E-6</v>
      </c>
      <c r="AF1322" s="27">
        <f t="shared" si="491"/>
        <v>1.4991774856338616E-6</v>
      </c>
      <c r="AG1322" s="27">
        <f t="shared" si="491"/>
        <v>1.4986549855744315E-6</v>
      </c>
      <c r="AH1322" s="27">
        <f t="shared" si="491"/>
        <v>1.4981173933298619E-6</v>
      </c>
      <c r="AI1322" s="27">
        <f t="shared" si="491"/>
        <v>1.4975713088731927E-6</v>
      </c>
      <c r="AJ1322" s="27">
        <f t="shared" si="491"/>
        <v>1.4970367770148105E-6</v>
      </c>
      <c r="AK1322" s="27">
        <f t="shared" si="491"/>
        <v>1.4964862866922644E-6</v>
      </c>
      <c r="AL1322" s="27">
        <f t="shared" si="491"/>
        <v>1.4959382690343105E-6</v>
      </c>
      <c r="AM1322" s="27">
        <f t="shared" si="491"/>
        <v>1.4953941712712119E-6</v>
      </c>
      <c r="AN1322" s="27">
        <f t="shared" si="491"/>
        <v>1.4948463610371335E-6</v>
      </c>
      <c r="AO1322" s="27">
        <f t="shared" si="491"/>
        <v>1.4943138001031867E-6</v>
      </c>
      <c r="AP1322" s="27">
        <f t="shared" si="491"/>
        <v>1.4937709093177149E-6</v>
      </c>
      <c r="AQ1322" s="27">
        <f t="shared" si="491"/>
        <v>1.4932098649018236E-6</v>
      </c>
      <c r="AR1322" s="27">
        <f t="shared" si="491"/>
        <v>1.4926466708143633E-6</v>
      </c>
      <c r="AS1322" s="27">
        <f t="shared" si="491"/>
        <v>1.4920808835740333E-6</v>
      </c>
      <c r="AT1322" s="27">
        <f t="shared" si="491"/>
        <v>1.4914976082060963E-6</v>
      </c>
      <c r="AU1322" s="27">
        <f t="shared" si="491"/>
        <v>1.4909031636153342E-6</v>
      </c>
      <c r="AV1322" s="27">
        <f t="shared" si="491"/>
        <v>1.4903017994391313E-6</v>
      </c>
      <c r="AW1322" s="27">
        <f t="shared" si="491"/>
        <v>1.4896851558177531E-6</v>
      </c>
      <c r="AY1322" s="79"/>
      <c r="AZ1322" s="79"/>
    </row>
    <row r="1323" spans="1:52" x14ac:dyDescent="0.25">
      <c r="A1323" s="95" t="str">
        <f t="shared" si="384"/>
        <v>FSFAGSPQNIBDDSCM Leaching</v>
      </c>
      <c r="B1323" s="95" t="s">
        <v>1374</v>
      </c>
      <c r="C1323" s="95" t="s">
        <v>1189</v>
      </c>
      <c r="D1323" t="s">
        <v>369</v>
      </c>
      <c r="E1323" t="s">
        <v>61</v>
      </c>
      <c r="F1323" t="s">
        <v>63</v>
      </c>
      <c r="G1323" t="s">
        <v>437</v>
      </c>
      <c r="H1323" t="s">
        <v>1188</v>
      </c>
      <c r="I1323" t="s">
        <v>139</v>
      </c>
      <c r="J1323" t="s">
        <v>287</v>
      </c>
      <c r="K1323" s="27">
        <f t="shared" ref="K1323:AW1323" si="492">IFERROR(K1516-((K1516-K107)+(K1516-K260)+(K1516-K413)+(K1516-K565)+(K1516-K717)+(K1516-K868)+(K1516-K1019)+(K1516-K1170)),0)</f>
        <v>0.20714502561891826</v>
      </c>
      <c r="L1323" s="27">
        <f t="shared" si="492"/>
        <v>0.20732835560623097</v>
      </c>
      <c r="M1323" s="27">
        <f t="shared" si="492"/>
        <v>0.20853137086969875</v>
      </c>
      <c r="N1323" s="27">
        <f t="shared" si="492"/>
        <v>0.20795637847695561</v>
      </c>
      <c r="O1323" s="27">
        <f t="shared" si="492"/>
        <v>0.20628301821112818</v>
      </c>
      <c r="P1323" s="27">
        <f t="shared" si="492"/>
        <v>0.20354939622414608</v>
      </c>
      <c r="Q1323" s="27">
        <f t="shared" si="492"/>
        <v>0.20178646732442315</v>
      </c>
      <c r="R1323" s="27">
        <f t="shared" si="492"/>
        <v>0.20021853233884618</v>
      </c>
      <c r="S1323" s="27">
        <f t="shared" si="492"/>
        <v>0.18345421452632232</v>
      </c>
      <c r="T1323" s="27">
        <f t="shared" si="492"/>
        <v>0.19195652777420363</v>
      </c>
      <c r="U1323" s="27">
        <f t="shared" si="492"/>
        <v>0.19560562647572965</v>
      </c>
      <c r="V1323" s="27">
        <f t="shared" si="492"/>
        <v>0.19551310879477027</v>
      </c>
      <c r="W1323" s="27">
        <f t="shared" si="492"/>
        <v>0.19564383614228145</v>
      </c>
      <c r="X1323" s="27">
        <f t="shared" si="492"/>
        <v>0.19679206133543856</v>
      </c>
      <c r="Y1323" s="27">
        <f t="shared" si="492"/>
        <v>0.19890232993686438</v>
      </c>
      <c r="Z1323" s="27">
        <f t="shared" si="492"/>
        <v>0.20146830931876691</v>
      </c>
      <c r="AA1323" s="27">
        <f t="shared" si="492"/>
        <v>0.20461592637751433</v>
      </c>
      <c r="AB1323" s="27">
        <f t="shared" si="492"/>
        <v>0.20874173146877406</v>
      </c>
      <c r="AC1323" s="27">
        <f t="shared" si="492"/>
        <v>0.21378261140903454</v>
      </c>
      <c r="AD1323" s="27">
        <f t="shared" si="492"/>
        <v>0.21859679605850485</v>
      </c>
      <c r="AE1323" s="27">
        <f t="shared" si="492"/>
        <v>0.22386984820151812</v>
      </c>
      <c r="AF1323" s="27">
        <f t="shared" si="492"/>
        <v>0.22938844096453867</v>
      </c>
      <c r="AG1323" s="27">
        <f t="shared" si="492"/>
        <v>0.23523527981160089</v>
      </c>
      <c r="AH1323" s="27">
        <f t="shared" si="492"/>
        <v>0.24130885941961319</v>
      </c>
      <c r="AI1323" s="27">
        <f t="shared" si="492"/>
        <v>0.2472639040241959</v>
      </c>
      <c r="AJ1323" s="27">
        <f t="shared" si="492"/>
        <v>0.2535862034929412</v>
      </c>
      <c r="AK1323" s="27">
        <f t="shared" si="492"/>
        <v>0.25995553558112644</v>
      </c>
      <c r="AL1323" s="27">
        <f t="shared" si="492"/>
        <v>0.26634495696174137</v>
      </c>
      <c r="AM1323" s="27">
        <f t="shared" si="492"/>
        <v>0.27289661467925691</v>
      </c>
      <c r="AN1323" s="27">
        <f t="shared" si="492"/>
        <v>0.27977832241045703</v>
      </c>
      <c r="AO1323" s="27">
        <f t="shared" si="492"/>
        <v>0.28698321848664521</v>
      </c>
      <c r="AP1323" s="27">
        <f t="shared" si="492"/>
        <v>0.29468105355097846</v>
      </c>
      <c r="AQ1323" s="27">
        <f t="shared" si="492"/>
        <v>0.3025714710334354</v>
      </c>
      <c r="AR1323" s="27">
        <f t="shared" si="492"/>
        <v>0.31067004429321721</v>
      </c>
      <c r="AS1323" s="27">
        <f t="shared" si="492"/>
        <v>0.31929860938507826</v>
      </c>
      <c r="AT1323" s="27">
        <f t="shared" si="492"/>
        <v>0.32834824969387966</v>
      </c>
      <c r="AU1323" s="27">
        <f t="shared" si="492"/>
        <v>0.33774569605035937</v>
      </c>
      <c r="AV1323" s="27">
        <f t="shared" si="492"/>
        <v>0.34769528474374956</v>
      </c>
      <c r="AW1323" s="27">
        <f t="shared" si="492"/>
        <v>0.3570064156976871</v>
      </c>
      <c r="AY1323" s="79"/>
      <c r="AZ1323" s="79"/>
    </row>
    <row r="1324" spans="1:52" x14ac:dyDescent="0.25">
      <c r="A1324" s="95" t="str">
        <f t="shared" si="384"/>
        <v>FSFAGSPQNIBDDSCM Leaching</v>
      </c>
      <c r="B1324" s="95" t="s">
        <v>1374</v>
      </c>
      <c r="C1324" s="95" t="s">
        <v>1189</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5">
      <c r="A1325" s="95" t="str">
        <f t="shared" si="384"/>
        <v>FSFAGSPQNIBDDSCM Leaching</v>
      </c>
      <c r="B1325" s="95" t="s">
        <v>1374</v>
      </c>
      <c r="C1325" s="95" t="s">
        <v>1189</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0.10248443536314014</v>
      </c>
      <c r="U1325" s="27">
        <f t="shared" si="500"/>
        <v>0.10329242458615623</v>
      </c>
      <c r="V1325" s="27">
        <f t="shared" si="500"/>
        <v>0.1037378169028777</v>
      </c>
      <c r="W1325" s="27">
        <f t="shared" si="500"/>
        <v>0.10391067359607317</v>
      </c>
      <c r="X1325" s="27">
        <f t="shared" si="500"/>
        <v>0.10409711390991817</v>
      </c>
      <c r="Y1325" s="27">
        <f t="shared" si="500"/>
        <v>0.10435500295593778</v>
      </c>
      <c r="Z1325" s="27">
        <f t="shared" si="500"/>
        <v>0.10468014995657268</v>
      </c>
      <c r="AA1325" s="27">
        <f t="shared" si="500"/>
        <v>0.10503560179239499</v>
      </c>
      <c r="AB1325" s="27">
        <f t="shared" si="500"/>
        <v>0.10542997312222666</v>
      </c>
      <c r="AC1325" s="27">
        <f t="shared" si="500"/>
        <v>0.10589053374076159</v>
      </c>
      <c r="AD1325" s="27">
        <f t="shared" si="500"/>
        <v>0.10641076487597649</v>
      </c>
      <c r="AE1325" s="27">
        <f t="shared" si="500"/>
        <v>0.10696189666025695</v>
      </c>
      <c r="AF1325" s="27">
        <f t="shared" si="500"/>
        <v>0.10754070977582914</v>
      </c>
      <c r="AG1325" s="27">
        <f t="shared" si="500"/>
        <v>0.10813173549975955</v>
      </c>
      <c r="AH1325" s="27">
        <f t="shared" si="500"/>
        <v>0.10873983274260557</v>
      </c>
      <c r="AI1325" s="27">
        <f t="shared" si="500"/>
        <v>0.10935753594761956</v>
      </c>
      <c r="AJ1325" s="27">
        <f t="shared" si="500"/>
        <v>0.10996217143590806</v>
      </c>
      <c r="AK1325" s="27">
        <f t="shared" si="500"/>
        <v>0.11058485833426822</v>
      </c>
      <c r="AL1325" s="27">
        <f t="shared" si="500"/>
        <v>0.11120474827910765</v>
      </c>
      <c r="AM1325" s="27">
        <f t="shared" si="500"/>
        <v>0.11182020423651956</v>
      </c>
      <c r="AN1325" s="27">
        <f t="shared" si="500"/>
        <v>0.11243985955392911</v>
      </c>
      <c r="AO1325" s="27">
        <f t="shared" si="500"/>
        <v>0.11304226563186594</v>
      </c>
      <c r="AP1325" s="27">
        <f t="shared" si="500"/>
        <v>0.1136563563170396</v>
      </c>
      <c r="AQ1325" s="27">
        <f t="shared" si="500"/>
        <v>0.1142909814736776</v>
      </c>
      <c r="AR1325" s="27">
        <f t="shared" si="500"/>
        <v>0.11492803823041334</v>
      </c>
      <c r="AS1325" s="27">
        <f t="shared" si="500"/>
        <v>0.11556802823093357</v>
      </c>
      <c r="AT1325" s="27">
        <f t="shared" si="500"/>
        <v>0.11622779991969046</v>
      </c>
      <c r="AU1325" s="27">
        <f t="shared" si="500"/>
        <v>0.11690020567017985</v>
      </c>
      <c r="AV1325" s="27">
        <f t="shared" si="500"/>
        <v>0.11758043850684917</v>
      </c>
      <c r="AW1325" s="27">
        <f t="shared" si="500"/>
        <v>0.11827795468154553</v>
      </c>
      <c r="AY1325" s="79"/>
      <c r="AZ1325" s="79"/>
    </row>
    <row r="1326" spans="1:52" x14ac:dyDescent="0.25">
      <c r="A1326" s="95" t="str">
        <f t="shared" si="384"/>
        <v>FSFAGSPQNIBDDSCM Leaching</v>
      </c>
      <c r="B1326" s="95" t="s">
        <v>1374</v>
      </c>
      <c r="C1326" s="95" t="s">
        <v>1189</v>
      </c>
      <c r="D1326" t="s">
        <v>369</v>
      </c>
      <c r="E1326" t="s">
        <v>61</v>
      </c>
      <c r="F1326" t="s">
        <v>63</v>
      </c>
      <c r="G1326" t="s">
        <v>1192</v>
      </c>
      <c r="H1326" t="s">
        <v>1193</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5">
      <c r="A1327" s="95" t="str">
        <f t="shared" si="384"/>
        <v>FSFAGSPQNIBDDSCM Leaching</v>
      </c>
      <c r="B1327" s="95" t="s">
        <v>1374</v>
      </c>
      <c r="C1327" s="95" t="s">
        <v>1189</v>
      </c>
      <c r="D1327" t="s">
        <v>369</v>
      </c>
      <c r="E1327" t="s">
        <v>61</v>
      </c>
      <c r="F1327" t="s">
        <v>63</v>
      </c>
      <c r="G1327" t="s">
        <v>1194</v>
      </c>
      <c r="H1327" t="s">
        <v>1195</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5">
      <c r="A1328" s="95" t="str">
        <f t="shared" si="384"/>
        <v>FSFAGSPQNIBDDSCM Leaching</v>
      </c>
      <c r="B1328" s="95" t="s">
        <v>1374</v>
      </c>
      <c r="C1328" s="95" t="s">
        <v>1189</v>
      </c>
      <c r="D1328" t="s">
        <v>369</v>
      </c>
      <c r="E1328" t="s">
        <v>61</v>
      </c>
      <c r="F1328" t="s">
        <v>63</v>
      </c>
      <c r="G1328" t="s">
        <v>1196</v>
      </c>
      <c r="H1328" t="s">
        <v>1197</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5">
      <c r="A1329" s="95" t="str">
        <f t="shared" si="384"/>
        <v>FSFAGSPQNIBDDSCM Leaching</v>
      </c>
      <c r="B1329" s="95" t="s">
        <v>1374</v>
      </c>
      <c r="C1329" s="95" t="s">
        <v>1189</v>
      </c>
      <c r="D1329" t="s">
        <v>369</v>
      </c>
      <c r="E1329" t="s">
        <v>61</v>
      </c>
      <c r="F1329" t="s">
        <v>63</v>
      </c>
      <c r="G1329" t="s">
        <v>1198</v>
      </c>
      <c r="H1329" t="s">
        <v>1199</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5">
      <c r="A1330" s="95" t="str">
        <f t="shared" si="384"/>
        <v>FSFAGSPQNIBDDSCM Leaching</v>
      </c>
      <c r="B1330" s="95" t="s">
        <v>1374</v>
      </c>
      <c r="C1330" s="95" t="s">
        <v>1189</v>
      </c>
      <c r="D1330" t="s">
        <v>369</v>
      </c>
      <c r="E1330" t="s">
        <v>61</v>
      </c>
      <c r="F1330" t="s">
        <v>63</v>
      </c>
      <c r="G1330" t="s">
        <v>1200</v>
      </c>
      <c r="H1330" t="s">
        <v>1201</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5">
      <c r="A1331" s="95" t="str">
        <f t="shared" si="384"/>
        <v>FSFAGSPQNIBDDSCM Leaching</v>
      </c>
      <c r="B1331" s="95" t="s">
        <v>1374</v>
      </c>
      <c r="C1331" s="95" t="s">
        <v>1189</v>
      </c>
      <c r="D1331" t="s">
        <v>369</v>
      </c>
      <c r="E1331" t="s">
        <v>61</v>
      </c>
      <c r="F1331" t="s">
        <v>63</v>
      </c>
      <c r="G1331" t="s">
        <v>1202</v>
      </c>
      <c r="H1331" t="s">
        <v>1203</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5">
      <c r="A1332" s="95" t="str">
        <f t="shared" si="384"/>
        <v>FSFAGSPQNIBDDSCM Leaching</v>
      </c>
      <c r="B1332" s="95" t="s">
        <v>1374</v>
      </c>
      <c r="C1332" s="95" t="s">
        <v>1189</v>
      </c>
      <c r="D1332" t="s">
        <v>369</v>
      </c>
      <c r="E1332" t="s">
        <v>61</v>
      </c>
      <c r="F1332" t="s">
        <v>63</v>
      </c>
      <c r="G1332" t="s">
        <v>1204</v>
      </c>
      <c r="H1332" t="s">
        <v>1205</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5">
      <c r="A1333" s="95" t="str">
        <f t="shared" si="384"/>
        <v>FSFAGSPQNIBDDSCM Leaching</v>
      </c>
      <c r="B1333" s="95" t="s">
        <v>1374</v>
      </c>
      <c r="C1333" s="95" t="s">
        <v>1189</v>
      </c>
      <c r="D1333" t="s">
        <v>369</v>
      </c>
      <c r="E1333" t="s">
        <v>61</v>
      </c>
      <c r="F1333" t="s">
        <v>63</v>
      </c>
      <c r="G1333" t="s">
        <v>1206</v>
      </c>
      <c r="H1333" t="s">
        <v>1207</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5">
      <c r="A1334" s="95" t="str">
        <f t="shared" si="384"/>
        <v>FSFAGSPQNIBDDSCM Leaching</v>
      </c>
      <c r="B1334" s="95" t="s">
        <v>1374</v>
      </c>
      <c r="C1334" s="95" t="s">
        <v>1189</v>
      </c>
      <c r="D1334" t="s">
        <v>369</v>
      </c>
      <c r="E1334" t="s">
        <v>61</v>
      </c>
      <c r="F1334" t="s">
        <v>63</v>
      </c>
      <c r="G1334" t="s">
        <v>1208</v>
      </c>
      <c r="H1334" t="s">
        <v>1209</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5">
      <c r="A1335" s="95" t="str">
        <f t="shared" si="384"/>
        <v>FSFAGSPQNIBDDSCM Leaching</v>
      </c>
      <c r="B1335" s="95" t="s">
        <v>1374</v>
      </c>
      <c r="C1335" s="95" t="s">
        <v>1189</v>
      </c>
      <c r="D1335" t="s">
        <v>369</v>
      </c>
      <c r="E1335" t="s">
        <v>61</v>
      </c>
      <c r="F1335" t="s">
        <v>63</v>
      </c>
      <c r="G1335" t="s">
        <v>1210</v>
      </c>
      <c r="H1335" t="s">
        <v>1211</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5">
      <c r="A1336" s="95" t="str">
        <f t="shared" si="384"/>
        <v>FSFAGSPQNIBDDSCM Leaching</v>
      </c>
      <c r="B1336" s="95" t="s">
        <v>1374</v>
      </c>
      <c r="C1336" s="95" t="s">
        <v>1189</v>
      </c>
      <c r="D1336" t="s">
        <v>369</v>
      </c>
      <c r="E1336" t="s">
        <v>61</v>
      </c>
      <c r="F1336" t="s">
        <v>63</v>
      </c>
      <c r="G1336" t="s">
        <v>1212</v>
      </c>
      <c r="H1336" t="s">
        <v>1213</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5">
      <c r="A1337" s="95"/>
      <c r="B1337" s="95" t="s">
        <v>1374</v>
      </c>
      <c r="C1337" s="95"/>
      <c r="D1337" t="s">
        <v>369</v>
      </c>
      <c r="E1337" t="s">
        <v>61</v>
      </c>
      <c r="F1337" t="s">
        <v>63</v>
      </c>
      <c r="G1337" t="s">
        <v>1214</v>
      </c>
      <c r="H1337" t="s">
        <v>1215</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5">
      <c r="A1338" s="95" t="str">
        <f t="shared" si="384"/>
        <v>FSFAGSPQNIBDDSCM MM Volatilisation</v>
      </c>
      <c r="B1338" s="95" t="s">
        <v>1374</v>
      </c>
      <c r="C1338" s="95" t="s">
        <v>1331</v>
      </c>
      <c r="D1338" t="s">
        <v>369</v>
      </c>
      <c r="E1338" t="s">
        <v>64</v>
      </c>
      <c r="F1338" t="s">
        <v>62</v>
      </c>
      <c r="G1338" t="s">
        <v>1151</v>
      </c>
      <c r="H1338" t="s">
        <v>1289</v>
      </c>
      <c r="I1338" t="s">
        <v>139</v>
      </c>
      <c r="J1338" t="s">
        <v>287</v>
      </c>
      <c r="K1338" s="27">
        <f t="shared" ref="K1338:AW1338" si="513">IFERROR(K1531-((K1531-K122)+(K1531-K275)+(K1531-K428)+(K1531-K580)+(K1531-K732)+(K1531-K883)+(K1531-K1034)+(K1531-K1185)),0)</f>
        <v>0.39609736661915962</v>
      </c>
      <c r="L1338" s="27">
        <f t="shared" si="513"/>
        <v>0.39831175345583053</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0.40855374420631202</v>
      </c>
      <c r="S1338" s="27">
        <f t="shared" si="513"/>
        <v>0.39675335904637443</v>
      </c>
      <c r="T1338" s="27">
        <f t="shared" si="513"/>
        <v>0.40475430836671095</v>
      </c>
      <c r="U1338" s="27">
        <f t="shared" si="513"/>
        <v>0.40872605361155973</v>
      </c>
      <c r="V1338" s="27">
        <f t="shared" si="513"/>
        <v>0.40976331225325113</v>
      </c>
      <c r="W1338" s="27">
        <f t="shared" si="513"/>
        <v>0.41123817221629572</v>
      </c>
      <c r="X1338" s="27">
        <f t="shared" si="513"/>
        <v>0.41371299835327524</v>
      </c>
      <c r="Y1338" s="27">
        <f t="shared" si="513"/>
        <v>0.41698233077605895</v>
      </c>
      <c r="Z1338" s="27">
        <f t="shared" si="513"/>
        <v>0.42064271286230337</v>
      </c>
      <c r="AA1338" s="27">
        <f t="shared" si="513"/>
        <v>0.42480942612911948</v>
      </c>
      <c r="AB1338" s="27">
        <f t="shared" si="513"/>
        <v>0.42983972534171444</v>
      </c>
      <c r="AC1338" s="27">
        <f t="shared" si="513"/>
        <v>0.43570438871758699</v>
      </c>
      <c r="AD1338" s="27">
        <f t="shared" si="513"/>
        <v>0.44208757106569879</v>
      </c>
      <c r="AE1338" s="27">
        <f t="shared" si="513"/>
        <v>0.44898350336000287</v>
      </c>
      <c r="AF1338" s="27">
        <f t="shared" si="513"/>
        <v>0.45621719419550344</v>
      </c>
      <c r="AG1338" s="27">
        <f t="shared" si="513"/>
        <v>0.46386955104730232</v>
      </c>
      <c r="AH1338" s="27">
        <f t="shared" si="513"/>
        <v>0.47186189087523389</v>
      </c>
      <c r="AI1338" s="27">
        <f t="shared" si="513"/>
        <v>0.47988623531160551</v>
      </c>
      <c r="AJ1338" s="27">
        <f t="shared" si="513"/>
        <v>0.48839393378093798</v>
      </c>
      <c r="AK1338" s="27">
        <f t="shared" si="513"/>
        <v>0.49708758308730938</v>
      </c>
      <c r="AL1338" s="27">
        <f t="shared" si="513"/>
        <v>0.50594507247479314</v>
      </c>
      <c r="AM1338" s="27">
        <f t="shared" si="513"/>
        <v>0.51510910677271904</v>
      </c>
      <c r="AN1338" s="27">
        <f t="shared" si="513"/>
        <v>0.52423757979493812</v>
      </c>
      <c r="AO1338" s="27">
        <f t="shared" si="513"/>
        <v>0.53380454045789072</v>
      </c>
      <c r="AP1338" s="27">
        <f t="shared" si="513"/>
        <v>0.54398662027094624</v>
      </c>
      <c r="AQ1338" s="27">
        <f t="shared" si="513"/>
        <v>0.55449515288018025</v>
      </c>
      <c r="AR1338" s="27">
        <f t="shared" si="513"/>
        <v>0.56534914989912133</v>
      </c>
      <c r="AS1338" s="27">
        <f t="shared" si="513"/>
        <v>0.57688261473585911</v>
      </c>
      <c r="AT1338" s="27">
        <f t="shared" si="513"/>
        <v>0.58899855031934889</v>
      </c>
      <c r="AU1338" s="27">
        <f t="shared" si="513"/>
        <v>0.60163444677907796</v>
      </c>
      <c r="AV1338" s="27">
        <f t="shared" si="513"/>
        <v>0.61501799344157537</v>
      </c>
      <c r="AW1338" s="27">
        <f t="shared" si="513"/>
        <v>0.62789543257311353</v>
      </c>
      <c r="AY1338" s="79"/>
      <c r="AZ1338" s="79"/>
    </row>
    <row r="1339" spans="1:52" x14ac:dyDescent="0.25">
      <c r="A1339" s="95" t="str">
        <f t="shared" ref="A1339:A1369" si="514">B1339&amp;" "&amp;C1339</f>
        <v>FSFAGSPQNIBDDSCM MM Volatilisation</v>
      </c>
      <c r="B1339" s="95" t="s">
        <v>1374</v>
      </c>
      <c r="C1339" s="95" t="s">
        <v>1331</v>
      </c>
      <c r="D1339" t="s">
        <v>369</v>
      </c>
      <c r="E1339" t="s">
        <v>64</v>
      </c>
      <c r="F1339" t="s">
        <v>62</v>
      </c>
      <c r="G1339" t="s">
        <v>1153</v>
      </c>
      <c r="H1339" t="s">
        <v>1290</v>
      </c>
      <c r="I1339" t="s">
        <v>139</v>
      </c>
      <c r="J1339" t="s">
        <v>287</v>
      </c>
      <c r="K1339" s="27">
        <f t="shared" ref="K1339:AW1339" si="515">IFERROR(K1532-((K1532-K123)+(K1532-K276)+(K1532-K429)+(K1532-K581)+(K1532-K733)+(K1532-K884)+(K1532-K1035)+(K1532-K1186)),0)</f>
        <v>3.1249813656142676E-2</v>
      </c>
      <c r="L1339" s="27">
        <f t="shared" si="515"/>
        <v>3.1424516095088999E-2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3.2232550506305399E-2</v>
      </c>
      <c r="S1339" s="27">
        <f t="shared" si="515"/>
        <v>3.1301567701581753E-2</v>
      </c>
      <c r="T1339" s="27">
        <f t="shared" si="515"/>
        <v>3.1932796779085698E-2</v>
      </c>
      <c r="U1339" s="27">
        <f t="shared" si="515"/>
        <v>3.2246144731511071E-2</v>
      </c>
      <c r="V1339" s="27">
        <f t="shared" si="515"/>
        <v>3.2327978497644752E-2</v>
      </c>
      <c r="W1339" s="27">
        <f t="shared" si="515"/>
        <v>3.2444336501757327E-2</v>
      </c>
      <c r="X1339" s="27">
        <f t="shared" si="515"/>
        <v>3.2639586109882893E-2</v>
      </c>
      <c r="Y1339" s="27">
        <f t="shared" si="515"/>
        <v>3.2897517713579225E-2</v>
      </c>
      <c r="Z1339" s="27">
        <f t="shared" si="515"/>
        <v>3.318630089606224E-2</v>
      </c>
      <c r="AA1339" s="27">
        <f t="shared" si="515"/>
        <v>3.3515030708779675E-2</v>
      </c>
      <c r="AB1339" s="27">
        <f t="shared" si="515"/>
        <v>3.3911892506599629E-2</v>
      </c>
      <c r="AC1339" s="27">
        <f t="shared" si="515"/>
        <v>3.4374580858244831E-2</v>
      </c>
      <c r="AD1339" s="27">
        <f t="shared" si="515"/>
        <v>3.4878177387083813E-2</v>
      </c>
      <c r="AE1339" s="27">
        <f t="shared" si="515"/>
        <v>3.5422226950002453E-2</v>
      </c>
      <c r="AF1339" s="27">
        <f t="shared" si="515"/>
        <v>3.5992923727375593E-2</v>
      </c>
      <c r="AG1339" s="27">
        <f t="shared" si="515"/>
        <v>3.6596650855607031E-2</v>
      </c>
      <c r="AH1339" s="27">
        <f t="shared" si="515"/>
        <v>3.7227200693469409E-2</v>
      </c>
      <c r="AI1339" s="27">
        <f t="shared" si="515"/>
        <v>3.7860275511637599E-2</v>
      </c>
      <c r="AJ1339" s="27">
        <f t="shared" si="515"/>
        <v>3.8531484194690796E-2</v>
      </c>
      <c r="AK1339" s="27">
        <f t="shared" si="515"/>
        <v>3.9217363333789369E-2</v>
      </c>
      <c r="AL1339" s="27">
        <f t="shared" si="515"/>
        <v>3.9916168516925726E-2</v>
      </c>
      <c r="AM1339" s="27">
        <f t="shared" si="515"/>
        <v>4.0639158337820017E-2</v>
      </c>
      <c r="AN1339" s="27">
        <f t="shared" si="515"/>
        <v>4.1359342577731273E-2</v>
      </c>
      <c r="AO1339" s="27">
        <f t="shared" si="515"/>
        <v>4.211412098114431E-2</v>
      </c>
      <c r="AP1339" s="27">
        <f t="shared" si="515"/>
        <v>4.2917428762525973E-2</v>
      </c>
      <c r="AQ1339" s="27">
        <f t="shared" si="515"/>
        <v>4.3746491799831644E-2</v>
      </c>
      <c r="AR1339" s="27">
        <f t="shared" si="515"/>
        <v>4.4602810000483467E-2</v>
      </c>
      <c r="AS1339" s="27">
        <f t="shared" si="515"/>
        <v>4.5512734320440534E-2</v>
      </c>
      <c r="AT1339" s="27">
        <f t="shared" si="515"/>
        <v>4.64686122463292E-2</v>
      </c>
      <c r="AU1339" s="27">
        <f t="shared" si="515"/>
        <v>4.7465512107379045E-2</v>
      </c>
      <c r="AV1339" s="27">
        <f t="shared" si="515"/>
        <v>4.8521397287407161E-2</v>
      </c>
      <c r="AW1339" s="27">
        <f t="shared" si="515"/>
        <v>4.953735348187438E-2</v>
      </c>
      <c r="AY1339" s="79"/>
      <c r="AZ1339" s="79"/>
    </row>
    <row r="1340" spans="1:52" x14ac:dyDescent="0.25">
      <c r="A1340" s="95" t="str">
        <f t="shared" si="514"/>
        <v>FSFAGSPQNIBDDSCM MM Volatilisation</v>
      </c>
      <c r="B1340" s="95" t="s">
        <v>1374</v>
      </c>
      <c r="C1340" s="95" t="s">
        <v>1331</v>
      </c>
      <c r="D1340" t="s">
        <v>369</v>
      </c>
      <c r="E1340" t="s">
        <v>64</v>
      </c>
      <c r="F1340" t="s">
        <v>62</v>
      </c>
      <c r="G1340" t="s">
        <v>1155</v>
      </c>
      <c r="H1340" t="s">
        <v>1291</v>
      </c>
      <c r="I1340" t="s">
        <v>139</v>
      </c>
      <c r="J1340" t="s">
        <v>287</v>
      </c>
      <c r="K1340" s="27">
        <f t="shared" ref="K1340:AW1340" si="516">IFERROR(K1533-((K1533-K124)+(K1533-K277)+(K1533-K430)+(K1533-K582)+(K1533-K734)+(K1533-K885)+(K1533-K1036)+(K1533-K1187)),0)</f>
        <v>2.8967336997006343E-4</v>
      </c>
      <c r="L1340" s="27">
        <f t="shared" si="516"/>
        <v>2.9129279224209421E-4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2.9878295053629658E-4</v>
      </c>
      <c r="S1340" s="27">
        <f t="shared" si="516"/>
        <v>2.9015310943081291E-4</v>
      </c>
      <c r="T1340" s="27">
        <f t="shared" si="516"/>
        <v>2.9600435245311237E-4</v>
      </c>
      <c r="U1340" s="27">
        <f t="shared" si="516"/>
        <v>2.9890896360859154E-4</v>
      </c>
      <c r="V1340" s="27">
        <f t="shared" si="516"/>
        <v>2.9966753014195159E-4</v>
      </c>
      <c r="W1340" s="27">
        <f t="shared" si="516"/>
        <v>3.0074612265917932E-4</v>
      </c>
      <c r="X1340" s="27">
        <f t="shared" si="516"/>
        <v>3.0255600903461219E-4</v>
      </c>
      <c r="Y1340" s="27">
        <f t="shared" si="516"/>
        <v>3.0494693263136179E-4</v>
      </c>
      <c r="Z1340" s="27">
        <f t="shared" si="516"/>
        <v>3.0762383811889561E-4</v>
      </c>
      <c r="AA1340" s="27">
        <f t="shared" si="516"/>
        <v>3.1067103301443271E-4</v>
      </c>
      <c r="AB1340" s="27">
        <f t="shared" si="516"/>
        <v>3.1434978437121989E-4</v>
      </c>
      <c r="AC1340" s="27">
        <f t="shared" si="516"/>
        <v>3.1863872175631096E-4</v>
      </c>
      <c r="AD1340" s="27">
        <f t="shared" si="516"/>
        <v>3.2330686170809402E-4</v>
      </c>
      <c r="AE1340" s="27">
        <f t="shared" si="516"/>
        <v>3.2834998523054116E-4</v>
      </c>
      <c r="AF1340" s="27">
        <f t="shared" si="516"/>
        <v>3.3364011785506768E-4</v>
      </c>
      <c r="AG1340" s="27">
        <f t="shared" si="516"/>
        <v>3.3923642872275747E-4</v>
      </c>
      <c r="AH1340" s="27">
        <f t="shared" si="516"/>
        <v>3.4508137546316036E-4</v>
      </c>
      <c r="AI1340" s="27">
        <f t="shared" si="516"/>
        <v>3.5094972776886815E-4</v>
      </c>
      <c r="AJ1340" s="27">
        <f t="shared" si="516"/>
        <v>3.5717156586725218E-4</v>
      </c>
      <c r="AK1340" s="27">
        <f t="shared" si="516"/>
        <v>3.6352939327067397E-4</v>
      </c>
      <c r="AL1340" s="27">
        <f t="shared" si="516"/>
        <v>3.7000703997215649E-4</v>
      </c>
      <c r="AM1340" s="27">
        <f t="shared" si="516"/>
        <v>3.7670886866710392E-4</v>
      </c>
      <c r="AN1340" s="27">
        <f t="shared" si="516"/>
        <v>3.8338469073983557E-4</v>
      </c>
      <c r="AO1340" s="27">
        <f t="shared" si="516"/>
        <v>3.9038118697827962E-4</v>
      </c>
      <c r="AP1340" s="27">
        <f t="shared" si="516"/>
        <v>3.9782753128984823E-4</v>
      </c>
      <c r="AQ1340" s="27">
        <f t="shared" si="516"/>
        <v>4.0551261660192481E-4</v>
      </c>
      <c r="AR1340" s="27">
        <f t="shared" si="516"/>
        <v>4.134503464610197E-4</v>
      </c>
      <c r="AS1340" s="27">
        <f t="shared" si="516"/>
        <v>4.218849837705407E-4</v>
      </c>
      <c r="AT1340" s="27">
        <f t="shared" si="516"/>
        <v>4.3074559276869194E-4</v>
      </c>
      <c r="AU1340" s="27">
        <f t="shared" si="516"/>
        <v>4.3998645882474367E-4</v>
      </c>
      <c r="AV1340" s="27">
        <f t="shared" si="516"/>
        <v>4.4977409537726024E-4</v>
      </c>
      <c r="AW1340" s="27">
        <f t="shared" si="516"/>
        <v>4.5919160608089382E-4</v>
      </c>
      <c r="AY1340" s="79"/>
      <c r="AZ1340" s="79"/>
    </row>
    <row r="1341" spans="1:52" x14ac:dyDescent="0.25">
      <c r="A1341" s="95" t="str">
        <f t="shared" si="514"/>
        <v>FSFAGSPQNIBDDSCM MM Volatilisation</v>
      </c>
      <c r="B1341" s="95" t="s">
        <v>1374</v>
      </c>
      <c r="C1341" s="95" t="s">
        <v>1331</v>
      </c>
      <c r="D1341" t="s">
        <v>369</v>
      </c>
      <c r="E1341" t="s">
        <v>64</v>
      </c>
      <c r="F1341" t="s">
        <v>62</v>
      </c>
      <c r="G1341" t="s">
        <v>1157</v>
      </c>
      <c r="H1341" t="s">
        <v>1292</v>
      </c>
      <c r="I1341" t="s">
        <v>139</v>
      </c>
      <c r="J1341" t="s">
        <v>287</v>
      </c>
      <c r="K1341" s="27">
        <f t="shared" ref="K1341:AW1341" si="517">IFERROR(K1534-((K1534-K125)+(K1534-K278)+(K1534-K431)+(K1534-K583)+(K1534-K735)+(K1534-K886)+(K1534-K1037)+(K1534-K1188)),0)</f>
        <v>3.2323215352203869E-3</v>
      </c>
      <c r="L1341" s="27">
        <f t="shared" si="517"/>
        <v>3.2042886428129448E-3</v>
      </c>
      <c r="M1341" s="27">
        <f t="shared" si="517"/>
        <v>3.1936173693006072E-3</v>
      </c>
      <c r="N1341" s="27">
        <f t="shared" si="517"/>
        <v>3.150970789688672E-3</v>
      </c>
      <c r="O1341" s="27">
        <f t="shared" si="517"/>
        <v>3.0890682378804098E-3</v>
      </c>
      <c r="P1341" s="27">
        <f t="shared" si="517"/>
        <v>3.0091897617382942E-3</v>
      </c>
      <c r="Q1341" s="27">
        <f t="shared" si="517"/>
        <v>2.9461872714039495E-3</v>
      </c>
      <c r="R1341" s="27">
        <f t="shared" si="517"/>
        <v>2.8865797531671877E-3</v>
      </c>
      <c r="S1341" s="27">
        <f t="shared" si="517"/>
        <v>2.5775843671431266E-3</v>
      </c>
      <c r="T1341" s="27">
        <f t="shared" si="517"/>
        <v>2.7008194536362932E-3</v>
      </c>
      <c r="U1341" s="27">
        <f t="shared" si="517"/>
        <v>2.7434834642963983E-3</v>
      </c>
      <c r="V1341" s="27">
        <f t="shared" si="517"/>
        <v>2.7249559704571515E-3</v>
      </c>
      <c r="W1341" s="27">
        <f t="shared" si="517"/>
        <v>2.7098851587955765E-3</v>
      </c>
      <c r="X1341" s="27">
        <f t="shared" si="517"/>
        <v>2.7108751448487677E-3</v>
      </c>
      <c r="Y1341" s="27">
        <f t="shared" si="517"/>
        <v>2.7267936110374771E-3</v>
      </c>
      <c r="Z1341" s="27">
        <f t="shared" si="517"/>
        <v>2.7493808220457119E-3</v>
      </c>
      <c r="AA1341" s="27">
        <f t="shared" si="517"/>
        <v>2.7804561510044621E-3</v>
      </c>
      <c r="AB1341" s="27">
        <f t="shared" si="517"/>
        <v>2.8259754098654112E-3</v>
      </c>
      <c r="AC1341" s="27">
        <f t="shared" si="517"/>
        <v>2.8846530294108553E-3</v>
      </c>
      <c r="AD1341" s="27">
        <f t="shared" si="517"/>
        <v>2.9255627766607379E-3</v>
      </c>
      <c r="AE1341" s="27">
        <f t="shared" si="517"/>
        <v>2.9713051294800673E-3</v>
      </c>
      <c r="AF1341" s="27">
        <f t="shared" si="517"/>
        <v>3.0184328847155249E-3</v>
      </c>
      <c r="AG1341" s="27">
        <f t="shared" si="517"/>
        <v>3.0679929310084191E-3</v>
      </c>
      <c r="AH1341" s="27">
        <f t="shared" si="517"/>
        <v>3.1182952843922906E-3</v>
      </c>
      <c r="AI1341" s="27">
        <f t="shared" si="517"/>
        <v>3.1642302715808976E-3</v>
      </c>
      <c r="AJ1341" s="27">
        <f t="shared" si="517"/>
        <v>3.2126832525729617E-3</v>
      </c>
      <c r="AK1341" s="27">
        <f t="shared" si="517"/>
        <v>3.2589422884996468E-3</v>
      </c>
      <c r="AL1341" s="27">
        <f t="shared" si="517"/>
        <v>3.3025617246378643E-3</v>
      </c>
      <c r="AM1341" s="27">
        <f t="shared" si="517"/>
        <v>3.3454061319751881E-3</v>
      </c>
      <c r="AN1341" s="27">
        <f t="shared" si="517"/>
        <v>3.3998120453296449E-3</v>
      </c>
      <c r="AO1341" s="27">
        <f t="shared" si="517"/>
        <v>3.4560846217306851E-3</v>
      </c>
      <c r="AP1341" s="27">
        <f t="shared" si="517"/>
        <v>3.5162688695670069E-3</v>
      </c>
      <c r="AQ1341" s="27">
        <f t="shared" si="517"/>
        <v>3.576218960305765E-3</v>
      </c>
      <c r="AR1341" s="27">
        <f t="shared" si="517"/>
        <v>3.6360127055851286E-3</v>
      </c>
      <c r="AS1341" s="27">
        <f t="shared" si="517"/>
        <v>3.6995797552595183E-3</v>
      </c>
      <c r="AT1341" s="27">
        <f t="shared" si="517"/>
        <v>3.7652741980581834E-3</v>
      </c>
      <c r="AU1341" s="27">
        <f t="shared" si="517"/>
        <v>3.831953873173879E-3</v>
      </c>
      <c r="AV1341" s="27">
        <f t="shared" si="517"/>
        <v>3.9018879316463188E-3</v>
      </c>
      <c r="AW1341" s="27">
        <f t="shared" si="517"/>
        <v>3.9605189402422969E-3</v>
      </c>
      <c r="AY1341" s="79"/>
      <c r="AZ1341" s="79"/>
    </row>
    <row r="1342" spans="1:52" x14ac:dyDescent="0.25">
      <c r="A1342" s="95" t="str">
        <f t="shared" si="514"/>
        <v>FSFAGSPQNIBDDSCM MM Volatilisation</v>
      </c>
      <c r="B1342" s="95" t="s">
        <v>1374</v>
      </c>
      <c r="C1342" s="95" t="s">
        <v>1331</v>
      </c>
      <c r="D1342" t="s">
        <v>369</v>
      </c>
      <c r="E1342" t="s">
        <v>64</v>
      </c>
      <c r="F1342" t="s">
        <v>62</v>
      </c>
      <c r="G1342" t="s">
        <v>1159</v>
      </c>
      <c r="H1342" t="s">
        <v>1293</v>
      </c>
      <c r="I1342" t="s">
        <v>139</v>
      </c>
      <c r="J1342" t="s">
        <v>287</v>
      </c>
      <c r="K1342" s="27">
        <f t="shared" ref="K1342:AW1342" si="518">IFERROR(K1535-((K1535-K126)+(K1535-K279)+(K1535-K432)+(K1535-K584)+(K1535-K736)+(K1535-K887)+(K1535-K1038)+(K1535-K1189)),0)</f>
        <v>1.6090517274103568E-2</v>
      </c>
      <c r="L1342" s="27">
        <f t="shared" si="518"/>
        <v>1.5950969356419605E-2</v>
      </c>
      <c r="M1342" s="27">
        <f t="shared" si="518"/>
        <v>1.5897847688628834E-2</v>
      </c>
      <c r="N1342" s="27">
        <f t="shared" si="518"/>
        <v>1.5685552742581484E-2</v>
      </c>
      <c r="O1342" s="27">
        <f t="shared" si="518"/>
        <v>1.5377401443792453E-2</v>
      </c>
      <c r="P1342" s="27">
        <f t="shared" si="518"/>
        <v>1.4979765878707444E-2</v>
      </c>
      <c r="Q1342" s="27">
        <f t="shared" si="518"/>
        <v>1.4666139078901097E-2</v>
      </c>
      <c r="R1342" s="27">
        <f t="shared" si="518"/>
        <v>1.4369412471908495E-2</v>
      </c>
      <c r="S1342" s="27">
        <f t="shared" si="518"/>
        <v>1.283123146415196E-2</v>
      </c>
      <c r="T1342" s="27">
        <f t="shared" si="518"/>
        <v>1.3444696512844507E-2</v>
      </c>
      <c r="U1342" s="27">
        <f t="shared" si="518"/>
        <v>1.3657078230761113E-2</v>
      </c>
      <c r="V1342" s="27">
        <f t="shared" si="518"/>
        <v>1.3564848247939834E-2</v>
      </c>
      <c r="W1342" s="27">
        <f t="shared" si="518"/>
        <v>1.3489825651105632E-2</v>
      </c>
      <c r="X1342" s="27">
        <f t="shared" si="518"/>
        <v>1.3494753808009711E-2</v>
      </c>
      <c r="Y1342" s="27">
        <f t="shared" si="518"/>
        <v>1.3573996034501018E-2</v>
      </c>
      <c r="Z1342" s="27">
        <f t="shared" si="518"/>
        <v>1.3686435315352767E-2</v>
      </c>
      <c r="AA1342" s="27">
        <f t="shared" si="518"/>
        <v>1.3841128501646547E-2</v>
      </c>
      <c r="AB1342" s="27">
        <f t="shared" si="518"/>
        <v>1.4067723663367223E-2</v>
      </c>
      <c r="AC1342" s="27">
        <f t="shared" si="518"/>
        <v>1.4359821228727431E-2</v>
      </c>
      <c r="AD1342" s="27">
        <f t="shared" si="518"/>
        <v>1.4563470212168856E-2</v>
      </c>
      <c r="AE1342" s="27">
        <f t="shared" si="518"/>
        <v>1.4791175937041108E-2</v>
      </c>
      <c r="AF1342" s="27">
        <f t="shared" si="518"/>
        <v>1.5025778204000962E-2</v>
      </c>
      <c r="AG1342" s="27">
        <f t="shared" si="518"/>
        <v>1.5272488431400047E-2</v>
      </c>
      <c r="AH1342" s="27">
        <f t="shared" si="518"/>
        <v>1.5522893868245321E-2</v>
      </c>
      <c r="AI1342" s="27">
        <f t="shared" si="518"/>
        <v>1.5751558528239808E-2</v>
      </c>
      <c r="AJ1342" s="27">
        <f t="shared" si="518"/>
        <v>1.5992757777491307E-2</v>
      </c>
      <c r="AK1342" s="27">
        <f t="shared" si="518"/>
        <v>1.622303555417634E-2</v>
      </c>
      <c r="AL1342" s="27">
        <f t="shared" si="518"/>
        <v>1.6440173386233263E-2</v>
      </c>
      <c r="AM1342" s="27">
        <f t="shared" si="518"/>
        <v>1.6653453119962761E-2</v>
      </c>
      <c r="AN1342" s="27">
        <f t="shared" si="518"/>
        <v>1.6924286104585243E-2</v>
      </c>
      <c r="AO1342" s="27">
        <f t="shared" si="518"/>
        <v>1.7204411349791553E-2</v>
      </c>
      <c r="AP1342" s="27">
        <f t="shared" si="518"/>
        <v>1.7504008920419142E-2</v>
      </c>
      <c r="AQ1342" s="27">
        <f t="shared" si="518"/>
        <v>1.7802440855517548E-2</v>
      </c>
      <c r="AR1342" s="27">
        <f t="shared" si="518"/>
        <v>1.8100094501919208E-2</v>
      </c>
      <c r="AS1342" s="27">
        <f t="shared" si="518"/>
        <v>1.8416531681730838E-2</v>
      </c>
      <c r="AT1342" s="27">
        <f t="shared" si="518"/>
        <v>1.874355903812051E-2</v>
      </c>
      <c r="AU1342" s="27">
        <f t="shared" si="518"/>
        <v>1.9075490887285256E-2</v>
      </c>
      <c r="AV1342" s="27">
        <f t="shared" si="518"/>
        <v>1.9423623077612737E-2</v>
      </c>
      <c r="AW1342" s="27">
        <f t="shared" si="518"/>
        <v>1.9715488613368411E-2</v>
      </c>
      <c r="AY1342" s="79"/>
      <c r="AZ1342" s="79"/>
    </row>
    <row r="1343" spans="1:52" x14ac:dyDescent="0.25">
      <c r="A1343" s="95" t="str">
        <f t="shared" si="514"/>
        <v>FSFAGSPQNIBDDSCM MM Volatilisation</v>
      </c>
      <c r="B1343" s="95" t="s">
        <v>1374</v>
      </c>
      <c r="C1343" s="95" t="s">
        <v>1331</v>
      </c>
      <c r="D1343" t="s">
        <v>369</v>
      </c>
      <c r="E1343" t="s">
        <v>64</v>
      </c>
      <c r="F1343" t="s">
        <v>62</v>
      </c>
      <c r="G1343" t="s">
        <v>1161</v>
      </c>
      <c r="H1343" t="s">
        <v>1294</v>
      </c>
      <c r="I1343" t="s">
        <v>139</v>
      </c>
      <c r="J1343" t="s">
        <v>287</v>
      </c>
      <c r="K1343" s="27">
        <f t="shared" ref="K1343:AW1343" si="519">IFERROR(K1536-((K1536-K127)+(K1536-K280)+(K1536-K433)+(K1536-K585)+(K1536-K737)+(K1536-K888)+(K1536-K1039)+(K1536-K1190)),0)</f>
        <v>0.15836052531214867</v>
      </c>
      <c r="L1343" s="27">
        <f t="shared" si="519"/>
        <v>0.16370016056893633</v>
      </c>
      <c r="M1343" s="27">
        <f t="shared" si="519"/>
        <v>0.17003774892948584</v>
      </c>
      <c r="N1343" s="27">
        <f t="shared" si="519"/>
        <v>0.17476418316081965</v>
      </c>
      <c r="O1343" s="27">
        <f t="shared" si="519"/>
        <v>0.17840915017095652</v>
      </c>
      <c r="P1343" s="27">
        <f t="shared" si="519"/>
        <v>0.18092055691117107</v>
      </c>
      <c r="Q1343" s="27">
        <f t="shared" si="519"/>
        <v>0.18434967364231716</v>
      </c>
      <c r="R1343" s="27">
        <f t="shared" si="519"/>
        <v>0.18794438918293385</v>
      </c>
      <c r="S1343" s="27">
        <f t="shared" si="519"/>
        <v>0.17460856438309952</v>
      </c>
      <c r="T1343" s="27">
        <f t="shared" si="519"/>
        <v>0.1873645711352227</v>
      </c>
      <c r="U1343" s="27">
        <f t="shared" si="519"/>
        <v>0.19484677000767164</v>
      </c>
      <c r="V1343" s="27">
        <f t="shared" si="519"/>
        <v>0.19807112255457257</v>
      </c>
      <c r="W1343" s="27">
        <f t="shared" si="519"/>
        <v>0.20154228480865111</v>
      </c>
      <c r="X1343" s="27">
        <f t="shared" si="519"/>
        <v>0.20623914667732615</v>
      </c>
      <c r="Y1343" s="27">
        <f t="shared" si="519"/>
        <v>0.21215915392676254</v>
      </c>
      <c r="Z1343" s="27">
        <f t="shared" si="519"/>
        <v>0.21872684602749243</v>
      </c>
      <c r="AA1343" s="27">
        <f t="shared" si="519"/>
        <v>0.22612997396880463</v>
      </c>
      <c r="AB1343" s="27">
        <f t="shared" si="519"/>
        <v>0.23491426249732866</v>
      </c>
      <c r="AC1343" s="27">
        <f t="shared" si="519"/>
        <v>0.24505515121890351</v>
      </c>
      <c r="AD1343" s="27">
        <f t="shared" si="519"/>
        <v>0.25677243358478996</v>
      </c>
      <c r="AE1343" s="27">
        <f t="shared" si="519"/>
        <v>0.26945216276183381</v>
      </c>
      <c r="AF1343" s="27">
        <f t="shared" si="519"/>
        <v>0.2828440567855407</v>
      </c>
      <c r="AG1343" s="27">
        <f t="shared" si="519"/>
        <v>0.29709510424120422</v>
      </c>
      <c r="AH1343" s="27">
        <f t="shared" si="519"/>
        <v>0.31209530848649036</v>
      </c>
      <c r="AI1343" s="27">
        <f t="shared" si="519"/>
        <v>0.32736251218808471</v>
      </c>
      <c r="AJ1343" s="27">
        <f t="shared" si="519"/>
        <v>0.34362947600093458</v>
      </c>
      <c r="AK1343" s="27">
        <f t="shared" si="519"/>
        <v>0.36044618553686847</v>
      </c>
      <c r="AL1343" s="27">
        <f t="shared" si="519"/>
        <v>0.37778487893593249</v>
      </c>
      <c r="AM1343" s="27">
        <f t="shared" si="519"/>
        <v>0.3958859410797253</v>
      </c>
      <c r="AN1343" s="27">
        <f t="shared" si="519"/>
        <v>0.41367585516143429</v>
      </c>
      <c r="AO1343" s="27">
        <f t="shared" si="519"/>
        <v>0.43242905153599548</v>
      </c>
      <c r="AP1343" s="27">
        <f t="shared" si="519"/>
        <v>0.45246435767624088</v>
      </c>
      <c r="AQ1343" s="27">
        <f t="shared" si="519"/>
        <v>0.47331488964480717</v>
      </c>
      <c r="AR1343" s="27">
        <f t="shared" si="519"/>
        <v>0.49503125359509215</v>
      </c>
      <c r="AS1343" s="27">
        <f t="shared" si="519"/>
        <v>0.51820746125670647</v>
      </c>
      <c r="AT1343" s="27">
        <f t="shared" si="519"/>
        <v>0.54270067079521189</v>
      </c>
      <c r="AU1343" s="27">
        <f t="shared" si="519"/>
        <v>0.56842164327333022</v>
      </c>
      <c r="AV1343" s="27">
        <f t="shared" si="519"/>
        <v>0.59578776955032364</v>
      </c>
      <c r="AW1343" s="27">
        <f t="shared" si="519"/>
        <v>0.6226172294628034</v>
      </c>
      <c r="AY1343" s="79"/>
      <c r="AZ1343" s="79"/>
    </row>
    <row r="1344" spans="1:52" x14ac:dyDescent="0.25">
      <c r="A1344" s="95" t="str">
        <f t="shared" si="514"/>
        <v>FSFAGSPQNIBDDSCM MM Volatilisation</v>
      </c>
      <c r="B1344" s="95" t="s">
        <v>1374</v>
      </c>
      <c r="C1344" s="95" t="s">
        <v>1331</v>
      </c>
      <c r="D1344" t="s">
        <v>369</v>
      </c>
      <c r="E1344" t="s">
        <v>64</v>
      </c>
      <c r="F1344" t="s">
        <v>62</v>
      </c>
      <c r="G1344" t="s">
        <v>1163</v>
      </c>
      <c r="H1344" t="s">
        <v>1295</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1.1888884787446641E-4</v>
      </c>
      <c r="T1344" s="27">
        <f t="shared" si="520"/>
        <v>1.18974421608456E-4</v>
      </c>
      <c r="U1344" s="27">
        <f t="shared" si="520"/>
        <v>1.1894433570617077E-4</v>
      </c>
      <c r="V1344" s="27">
        <f t="shared" si="520"/>
        <v>1.1894216976117226E-4</v>
      </c>
      <c r="W1344" s="27">
        <f t="shared" si="520"/>
        <v>1.1906833284654552E-4</v>
      </c>
      <c r="X1344" s="27">
        <f t="shared" si="520"/>
        <v>1.1927481036049653E-4</v>
      </c>
      <c r="Y1344" s="27">
        <f t="shared" si="520"/>
        <v>1.1947292782589552E-4</v>
      </c>
      <c r="Z1344" s="27">
        <f t="shared" si="520"/>
        <v>1.1966332441080059E-4</v>
      </c>
      <c r="AA1344" s="27">
        <f t="shared" si="520"/>
        <v>1.198457402729256E-4</v>
      </c>
      <c r="AB1344" s="27">
        <f t="shared" si="520"/>
        <v>1.2002397691702796E-4</v>
      </c>
      <c r="AC1344" s="27">
        <f t="shared" si="520"/>
        <v>1.2020063791291827E-4</v>
      </c>
      <c r="AD1344" s="27">
        <f t="shared" si="520"/>
        <v>1.2037395069486653E-4</v>
      </c>
      <c r="AE1344" s="27">
        <f t="shared" si="520"/>
        <v>1.2054640721794917E-4</v>
      </c>
      <c r="AF1344" s="27">
        <f t="shared" si="520"/>
        <v>1.2071746421078628E-4</v>
      </c>
      <c r="AG1344" s="27">
        <f t="shared" si="520"/>
        <v>1.2088575105723818E-4</v>
      </c>
      <c r="AH1344" s="27">
        <f t="shared" si="520"/>
        <v>1.2105200867781398E-4</v>
      </c>
      <c r="AI1344" s="27">
        <f t="shared" si="520"/>
        <v>1.2121641449313381E-4</v>
      </c>
      <c r="AJ1344" s="27">
        <f t="shared" si="520"/>
        <v>1.2137952665146409E-4</v>
      </c>
      <c r="AK1344" s="27">
        <f t="shared" si="520"/>
        <v>1.2153635424536354E-4</v>
      </c>
      <c r="AL1344" s="27">
        <f t="shared" si="520"/>
        <v>1.2168671378968904E-4</v>
      </c>
      <c r="AM1344" s="27">
        <f t="shared" si="520"/>
        <v>1.2183201055728766E-4</v>
      </c>
      <c r="AN1344" s="27">
        <f t="shared" si="520"/>
        <v>1.2197112574763714E-4</v>
      </c>
      <c r="AO1344" s="27">
        <f t="shared" si="520"/>
        <v>1.2210431172658153E-4</v>
      </c>
      <c r="AP1344" s="27">
        <f t="shared" si="520"/>
        <v>1.2223096862203452E-4</v>
      </c>
      <c r="AQ1344" s="27">
        <f t="shared" si="520"/>
        <v>1.2234928396390209E-4</v>
      </c>
      <c r="AR1344" s="27">
        <f t="shared" si="520"/>
        <v>1.2245757817594662E-4</v>
      </c>
      <c r="AS1344" s="27">
        <f t="shared" si="520"/>
        <v>1.2255574185064525E-4</v>
      </c>
      <c r="AT1344" s="27">
        <f t="shared" si="520"/>
        <v>1.2264302379658788E-4</v>
      </c>
      <c r="AU1344" s="27">
        <f t="shared" si="520"/>
        <v>1.2271938191890156E-4</v>
      </c>
      <c r="AV1344" s="27">
        <f t="shared" si="520"/>
        <v>1.2278627747914955E-4</v>
      </c>
      <c r="AW1344" s="27">
        <f t="shared" si="520"/>
        <v>1.2283502162881773E-4</v>
      </c>
      <c r="AY1344" s="79"/>
      <c r="AZ1344" s="79"/>
    </row>
    <row r="1345" spans="1:52" x14ac:dyDescent="0.25">
      <c r="A1345" s="95" t="str">
        <f t="shared" si="514"/>
        <v>FSFAGSPQNIBDDSCM MM Volatilisation</v>
      </c>
      <c r="B1345" s="95" t="s">
        <v>1374</v>
      </c>
      <c r="C1345" s="95" t="s">
        <v>1331</v>
      </c>
      <c r="D1345" t="s">
        <v>369</v>
      </c>
      <c r="E1345" t="s">
        <v>64</v>
      </c>
      <c r="F1345" t="s">
        <v>62</v>
      </c>
      <c r="G1345" t="s">
        <v>1165</v>
      </c>
      <c r="H1345" t="s">
        <v>1296</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8.158765245643595E-4</v>
      </c>
      <c r="T1345" s="27">
        <f t="shared" si="521"/>
        <v>8.1646377561380335E-4</v>
      </c>
      <c r="U1345" s="27">
        <f t="shared" si="521"/>
        <v>8.1625731065233949E-4</v>
      </c>
      <c r="V1345" s="27">
        <f t="shared" si="521"/>
        <v>8.1624244682188473E-4</v>
      </c>
      <c r="W1345" s="27">
        <f t="shared" si="521"/>
        <v>8.1710824291178659E-4</v>
      </c>
      <c r="X1345" s="27">
        <f t="shared" si="521"/>
        <v>8.1852519798784992E-4</v>
      </c>
      <c r="Y1345" s="27">
        <f t="shared" si="521"/>
        <v>8.1988478210372824E-4</v>
      </c>
      <c r="Z1345" s="27">
        <f t="shared" si="521"/>
        <v>8.2119138155993044E-4</v>
      </c>
      <c r="AA1345" s="27">
        <f t="shared" si="521"/>
        <v>8.2244321318482034E-4</v>
      </c>
      <c r="AB1345" s="27">
        <f t="shared" si="521"/>
        <v>8.2366636486254352E-4</v>
      </c>
      <c r="AC1345" s="27">
        <f t="shared" si="521"/>
        <v>8.2487870363047661E-4</v>
      </c>
      <c r="AD1345" s="27">
        <f t="shared" si="521"/>
        <v>8.2606806522936944E-4</v>
      </c>
      <c r="AE1345" s="27">
        <f t="shared" si="521"/>
        <v>8.2725155073878963E-4</v>
      </c>
      <c r="AF1345" s="27">
        <f t="shared" si="521"/>
        <v>8.2842543195064012E-4</v>
      </c>
      <c r="AG1345" s="27">
        <f t="shared" si="521"/>
        <v>8.2958030299084108E-4</v>
      </c>
      <c r="AH1345" s="27">
        <f t="shared" si="521"/>
        <v>8.3072124843764142E-4</v>
      </c>
      <c r="AI1345" s="27">
        <f t="shared" si="521"/>
        <v>8.3184948584274219E-4</v>
      </c>
      <c r="AJ1345" s="27">
        <f t="shared" si="521"/>
        <v>8.3296884550710043E-4</v>
      </c>
      <c r="AK1345" s="27">
        <f t="shared" si="521"/>
        <v>8.3404507725258427E-4</v>
      </c>
      <c r="AL1345" s="27">
        <f t="shared" si="521"/>
        <v>8.3507692190961139E-4</v>
      </c>
      <c r="AM1345" s="27">
        <f t="shared" si="521"/>
        <v>8.3607402318444201E-4</v>
      </c>
      <c r="AN1345" s="27">
        <f t="shared" si="521"/>
        <v>8.3702870329149695E-4</v>
      </c>
      <c r="AO1345" s="27">
        <f t="shared" si="521"/>
        <v>8.3794269409521473E-4</v>
      </c>
      <c r="AP1345" s="27">
        <f t="shared" si="521"/>
        <v>8.3881187896429009E-4</v>
      </c>
      <c r="AQ1345" s="27">
        <f t="shared" si="521"/>
        <v>8.3962381979516996E-4</v>
      </c>
      <c r="AR1345" s="27">
        <f t="shared" si="521"/>
        <v>8.4036699047040963E-4</v>
      </c>
      <c r="AS1345" s="27">
        <f t="shared" si="521"/>
        <v>8.4104064017922141E-4</v>
      </c>
      <c r="AT1345" s="27">
        <f t="shared" si="521"/>
        <v>8.4163961385914194E-4</v>
      </c>
      <c r="AU1345" s="27">
        <f t="shared" si="521"/>
        <v>8.4216362263346621E-4</v>
      </c>
      <c r="AV1345" s="27">
        <f t="shared" si="521"/>
        <v>8.4262269443187052E-4</v>
      </c>
      <c r="AW1345" s="27">
        <f t="shared" si="521"/>
        <v>8.4295720189943475E-4</v>
      </c>
      <c r="AY1345" s="79"/>
      <c r="AZ1345" s="79"/>
    </row>
    <row r="1346" spans="1:52" x14ac:dyDescent="0.25">
      <c r="A1346" s="95" t="str">
        <f t="shared" si="514"/>
        <v>FSFAGSPQNIBDDSCM MM Volatilisation</v>
      </c>
      <c r="B1346" s="95" t="s">
        <v>1374</v>
      </c>
      <c r="C1346" s="95" t="s">
        <v>1331</v>
      </c>
      <c r="D1346" t="s">
        <v>369</v>
      </c>
      <c r="E1346" t="s">
        <v>64</v>
      </c>
      <c r="F1346" t="s">
        <v>62</v>
      </c>
      <c r="G1346" t="s">
        <v>1167</v>
      </c>
      <c r="H1346" t="s">
        <v>1297</v>
      </c>
      <c r="I1346" t="s">
        <v>139</v>
      </c>
      <c r="J1346" t="s">
        <v>287</v>
      </c>
      <c r="K1346" s="27">
        <f t="shared" ref="K1346:AW1346" si="522">IFERROR(K1539-((K1539-K130)+(K1539-K283)+(K1539-K436)+(K1539-K588)+(K1539-K740)+(K1539-K891)+(K1539-K1042)+(K1539-K1193)),0)</f>
        <v>1.4486129996083081E-5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1.4890706011157255E-5</v>
      </c>
      <c r="R1346" s="27">
        <f t="shared" si="522"/>
        <v>1.4988675221399694E-5</v>
      </c>
      <c r="S1346" s="27">
        <f t="shared" si="522"/>
        <v>1.4951923212530766E-5</v>
      </c>
      <c r="T1346" s="27">
        <f t="shared" si="522"/>
        <v>1.4977625582861877E-5</v>
      </c>
      <c r="U1346" s="27">
        <f t="shared" si="522"/>
        <v>1.4980119703065675E-5</v>
      </c>
      <c r="V1346" s="27">
        <f t="shared" si="522"/>
        <v>1.4986976942692676E-5</v>
      </c>
      <c r="W1346" s="27">
        <f t="shared" si="522"/>
        <v>1.5017294663736538E-5</v>
      </c>
      <c r="X1346" s="27">
        <f t="shared" si="522"/>
        <v>1.5061890336193319E-5</v>
      </c>
      <c r="Y1346" s="27">
        <f t="shared" si="522"/>
        <v>1.5103986297595971E-5</v>
      </c>
      <c r="Z1346" s="27">
        <f t="shared" si="522"/>
        <v>1.5143780477124499E-5</v>
      </c>
      <c r="AA1346" s="27">
        <f t="shared" si="522"/>
        <v>1.5181293243682811E-5</v>
      </c>
      <c r="AB1346" s="27">
        <f t="shared" si="522"/>
        <v>1.5217300806744068E-5</v>
      </c>
      <c r="AC1346" s="27">
        <f t="shared" si="522"/>
        <v>1.5252343422195684E-5</v>
      </c>
      <c r="AD1346" s="27">
        <f t="shared" si="522"/>
        <v>1.5286134993525756E-5</v>
      </c>
      <c r="AE1346" s="27">
        <f t="shared" si="522"/>
        <v>1.531918306979576E-5</v>
      </c>
      <c r="AF1346" s="27">
        <f t="shared" si="522"/>
        <v>1.5351423055728344E-5</v>
      </c>
      <c r="AG1346" s="27">
        <f t="shared" si="522"/>
        <v>1.5382634347686873E-5</v>
      </c>
      <c r="AH1346" s="27">
        <f t="shared" si="522"/>
        <v>1.5412986814805202E-5</v>
      </c>
      <c r="AI1346" s="27">
        <f t="shared" si="522"/>
        <v>1.5442542460580333E-5</v>
      </c>
      <c r="AJ1346" s="27">
        <f t="shared" si="522"/>
        <v>1.5471431054826288E-5</v>
      </c>
      <c r="AK1346" s="27">
        <f t="shared" si="522"/>
        <v>1.5498756892033488E-5</v>
      </c>
      <c r="AL1346" s="27">
        <f t="shared" si="522"/>
        <v>1.5524513513074621E-5</v>
      </c>
      <c r="AM1346" s="27">
        <f t="shared" si="522"/>
        <v>1.5548984646319332E-5</v>
      </c>
      <c r="AN1346" s="27">
        <f t="shared" si="522"/>
        <v>1.5571987875403361E-5</v>
      </c>
      <c r="AO1346" s="27">
        <f t="shared" si="522"/>
        <v>1.5593591673600764E-5</v>
      </c>
      <c r="AP1346" s="27">
        <f t="shared" si="522"/>
        <v>1.5613707165200276E-5</v>
      </c>
      <c r="AQ1346" s="27">
        <f t="shared" si="522"/>
        <v>1.5632023858239551E-5</v>
      </c>
      <c r="AR1346" s="27">
        <f t="shared" si="522"/>
        <v>1.5648256533695206E-5</v>
      </c>
      <c r="AS1346" s="27">
        <f t="shared" si="522"/>
        <v>1.5662406299088669E-5</v>
      </c>
      <c r="AT1346" s="27">
        <f t="shared" si="522"/>
        <v>1.5674356891571193E-5</v>
      </c>
      <c r="AU1346" s="27">
        <f t="shared" si="522"/>
        <v>1.5684120431636331E-5</v>
      </c>
      <c r="AV1346" s="27">
        <f t="shared" si="522"/>
        <v>1.5691980107154113E-5</v>
      </c>
      <c r="AW1346" s="27">
        <f t="shared" si="522"/>
        <v>1.5696383554298718E-5</v>
      </c>
      <c r="AY1346" s="79"/>
      <c r="AZ1346" s="79"/>
    </row>
    <row r="1347" spans="1:52" x14ac:dyDescent="0.25">
      <c r="A1347" s="95" t="str">
        <f t="shared" si="514"/>
        <v>FSFAGSPQNIBDDSCM MM Volatilisation</v>
      </c>
      <c r="B1347" s="95" t="s">
        <v>1374</v>
      </c>
      <c r="C1347" s="95" t="s">
        <v>1331</v>
      </c>
      <c r="D1347" t="s">
        <v>369</v>
      </c>
      <c r="E1347" t="s">
        <v>64</v>
      </c>
      <c r="F1347" t="s">
        <v>62</v>
      </c>
      <c r="G1347" t="s">
        <v>1169</v>
      </c>
      <c r="H1347" t="s">
        <v>1298</v>
      </c>
      <c r="I1347" t="s">
        <v>139</v>
      </c>
      <c r="J1347" t="s">
        <v>287</v>
      </c>
      <c r="K1347" s="27">
        <f t="shared" ref="K1347:AW1347" si="523">IFERROR(K1540-((K1540-K131)+(K1540-K284)+(K1540-K437)+(K1540-K589)+(K1540-K741)+(K1540-K892)+(K1540-K1043)+(K1540-K1194)),0)</f>
        <v>1.4738364076719785E-3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1.5149984613639165E-3</v>
      </c>
      <c r="R1347" s="27">
        <f t="shared" si="523"/>
        <v>1.5249659674490626E-3</v>
      </c>
      <c r="S1347" s="27">
        <f t="shared" si="523"/>
        <v>1.5212267735621682E-3</v>
      </c>
      <c r="T1347" s="27">
        <f t="shared" si="523"/>
        <v>1.523841763843748E-3</v>
      </c>
      <c r="U1347" s="27">
        <f t="shared" si="523"/>
        <v>1.5240955186535188E-3</v>
      </c>
      <c r="V1347" s="27">
        <f t="shared" si="523"/>
        <v>1.5247931825168926E-3</v>
      </c>
      <c r="W1347" s="27">
        <f t="shared" si="523"/>
        <v>1.5278777441689124E-3</v>
      </c>
      <c r="X1347" s="27">
        <f t="shared" si="523"/>
        <v>1.53241496188746E-3</v>
      </c>
      <c r="Y1347" s="27">
        <f t="shared" si="523"/>
        <v>1.536697855976355E-3</v>
      </c>
      <c r="Z1347" s="27">
        <f t="shared" si="523"/>
        <v>1.5407465639900506E-3</v>
      </c>
      <c r="AA1347" s="27">
        <f t="shared" si="523"/>
        <v>1.5445631582854966E-3</v>
      </c>
      <c r="AB1347" s="27">
        <f t="shared" si="523"/>
        <v>1.5482266113544371E-3</v>
      </c>
      <c r="AC1347" s="27">
        <f t="shared" si="523"/>
        <v>1.551791889485077E-3</v>
      </c>
      <c r="AD1347" s="27">
        <f t="shared" si="523"/>
        <v>1.555229884871849E-3</v>
      </c>
      <c r="AE1347" s="27">
        <f t="shared" si="523"/>
        <v>1.5585922361708792E-3</v>
      </c>
      <c r="AF1347" s="27">
        <f t="shared" si="523"/>
        <v>1.561872371380429E-3</v>
      </c>
      <c r="AG1347" s="27">
        <f t="shared" si="523"/>
        <v>1.5650478460193693E-3</v>
      </c>
      <c r="AH1347" s="27">
        <f t="shared" si="523"/>
        <v>1.5681359427790809E-3</v>
      </c>
      <c r="AI1347" s="27">
        <f t="shared" si="523"/>
        <v>1.5711429699704306E-3</v>
      </c>
      <c r="AJ1347" s="27">
        <f t="shared" si="523"/>
        <v>1.5740821305314401E-3</v>
      </c>
      <c r="AK1347" s="27">
        <f t="shared" si="523"/>
        <v>1.5768622942989184E-3</v>
      </c>
      <c r="AL1347" s="27">
        <f t="shared" si="523"/>
        <v>1.5794828041134305E-3</v>
      </c>
      <c r="AM1347" s="27">
        <f t="shared" si="523"/>
        <v>1.5819725268428828E-3</v>
      </c>
      <c r="AN1347" s="27">
        <f t="shared" si="523"/>
        <v>1.5843129032254801E-3</v>
      </c>
      <c r="AO1347" s="27">
        <f t="shared" si="523"/>
        <v>1.586510899815041E-3</v>
      </c>
      <c r="AP1347" s="27">
        <f t="shared" si="523"/>
        <v>1.5885574742890791E-3</v>
      </c>
      <c r="AQ1347" s="27">
        <f t="shared" si="523"/>
        <v>1.5904210368193567E-3</v>
      </c>
      <c r="AR1347" s="27">
        <f t="shared" si="523"/>
        <v>1.592072568877052E-3</v>
      </c>
      <c r="AS1347" s="27">
        <f t="shared" si="523"/>
        <v>1.5935121831427352E-3</v>
      </c>
      <c r="AT1347" s="27">
        <f t="shared" si="523"/>
        <v>1.5947280508933873E-3</v>
      </c>
      <c r="AU1347" s="27">
        <f t="shared" si="523"/>
        <v>1.5957214052826996E-3</v>
      </c>
      <c r="AV1347" s="27">
        <f t="shared" si="523"/>
        <v>1.5965210581874944E-3</v>
      </c>
      <c r="AW1347" s="27">
        <f t="shared" si="523"/>
        <v>1.596969070232308E-3</v>
      </c>
      <c r="AY1347" s="79"/>
      <c r="AZ1347" s="79"/>
    </row>
    <row r="1348" spans="1:52" x14ac:dyDescent="0.25">
      <c r="A1348" s="95" t="str">
        <f t="shared" si="514"/>
        <v>FSFAGSPQNIBDDSCM MM Volatilisation</v>
      </c>
      <c r="B1348" s="95" t="s">
        <v>1374</v>
      </c>
      <c r="C1348" s="95" t="s">
        <v>1331</v>
      </c>
      <c r="D1348" t="s">
        <v>369</v>
      </c>
      <c r="E1348" t="s">
        <v>64</v>
      </c>
      <c r="F1348" t="s">
        <v>62</v>
      </c>
      <c r="G1348" t="s">
        <v>1171</v>
      </c>
      <c r="H1348" t="s">
        <v>1299</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5">
      <c r="A1349" s="95" t="str">
        <f t="shared" si="514"/>
        <v>FSFAGSPQNIBDDSCM MM Volatilisation</v>
      </c>
      <c r="B1349" s="95" t="s">
        <v>1374</v>
      </c>
      <c r="C1349" s="95" t="s">
        <v>1331</v>
      </c>
      <c r="D1349" t="s">
        <v>369</v>
      </c>
      <c r="E1349" t="s">
        <v>64</v>
      </c>
      <c r="F1349" t="s">
        <v>62</v>
      </c>
      <c r="G1349" t="s">
        <v>1173</v>
      </c>
      <c r="H1349" t="s">
        <v>1300</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5">
      <c r="A1350" s="95" t="str">
        <f t="shared" si="514"/>
        <v>FSFAGSPQNIBDDSCM MM Volatilisation</v>
      </c>
      <c r="B1350" s="95" t="s">
        <v>1374</v>
      </c>
      <c r="C1350" s="95" t="s">
        <v>1331</v>
      </c>
      <c r="D1350" t="s">
        <v>369</v>
      </c>
      <c r="E1350" t="s">
        <v>64</v>
      </c>
      <c r="F1350" t="s">
        <v>62</v>
      </c>
      <c r="G1350" t="s">
        <v>1175</v>
      </c>
      <c r="H1350" t="s">
        <v>1301</v>
      </c>
      <c r="I1350" t="s">
        <v>139</v>
      </c>
      <c r="J1350" t="s">
        <v>287</v>
      </c>
      <c r="K1350" s="27">
        <f t="shared" ref="K1350:AW1350" si="526">IFERROR(K1543-((K1543-K134)+(K1543-K287)+(K1543-K440)+(K1543-K592)+(K1543-K744)+(K1543-K895)+(K1543-K1046)+(K1543-K1197)),0)</f>
        <v>0.13075625264316332</v>
      </c>
      <c r="L1350" s="27">
        <f t="shared" si="526"/>
        <v>0.13004550543955865</v>
      </c>
      <c r="M1350" s="27">
        <f t="shared" si="526"/>
        <v>0.13010384136507705</v>
      </c>
      <c r="N1350" s="27">
        <f t="shared" si="526"/>
        <v>0.12890938840294827</v>
      </c>
      <c r="O1350" s="27">
        <f t="shared" si="526"/>
        <v>0.12695857121838466</v>
      </c>
      <c r="P1350" s="27">
        <f t="shared" si="526"/>
        <v>0.12428257569245393</v>
      </c>
      <c r="Q1350" s="27">
        <f t="shared" si="526"/>
        <v>0.12233950618032063</v>
      </c>
      <c r="R1350" s="27">
        <f t="shared" si="526"/>
        <v>0.12056837226162823</v>
      </c>
      <c r="S1350" s="27">
        <f t="shared" si="526"/>
        <v>0.10830895289651481</v>
      </c>
      <c r="T1350" s="27">
        <f t="shared" si="526"/>
        <v>0.11320330426035914</v>
      </c>
      <c r="U1350" s="27">
        <f t="shared" si="526"/>
        <v>0.11468301383498544</v>
      </c>
      <c r="V1350" s="27">
        <f t="shared" si="526"/>
        <v>0.11355120382559489</v>
      </c>
      <c r="W1350" s="27">
        <f t="shared" si="526"/>
        <v>0.11255578294046394</v>
      </c>
      <c r="X1350" s="27">
        <f t="shared" si="526"/>
        <v>0.11224814770681171</v>
      </c>
      <c r="Y1350" s="27">
        <f t="shared" si="526"/>
        <v>0.11260156809388705</v>
      </c>
      <c r="Z1350" s="27">
        <f t="shared" si="526"/>
        <v>0.11325984846472106</v>
      </c>
      <c r="AA1350" s="27">
        <f t="shared" si="526"/>
        <v>0.11429808983181136</v>
      </c>
      <c r="AB1350" s="27">
        <f t="shared" si="526"/>
        <v>0.11596592254580176</v>
      </c>
      <c r="AC1350" s="27">
        <f t="shared" si="526"/>
        <v>0.11820511582305605</v>
      </c>
      <c r="AD1350" s="27">
        <f t="shared" si="526"/>
        <v>0.12075365463644311</v>
      </c>
      <c r="AE1350" s="27">
        <f t="shared" si="526"/>
        <v>0.12358623956337132</v>
      </c>
      <c r="AF1350" s="27">
        <f t="shared" si="526"/>
        <v>0.12656118355318</v>
      </c>
      <c r="AG1350" s="27">
        <f t="shared" si="526"/>
        <v>0.12972957848678721</v>
      </c>
      <c r="AH1350" s="27">
        <f t="shared" si="526"/>
        <v>0.13302313311609873</v>
      </c>
      <c r="AI1350" s="27">
        <f t="shared" si="526"/>
        <v>0.13621929545186015</v>
      </c>
      <c r="AJ1350" s="27">
        <f t="shared" si="526"/>
        <v>0.13962684476435561</v>
      </c>
      <c r="AK1350" s="27">
        <f t="shared" si="526"/>
        <v>0.14304119066791054</v>
      </c>
      <c r="AL1350" s="27">
        <f t="shared" si="526"/>
        <v>0.14644440679500975</v>
      </c>
      <c r="AM1350" s="27">
        <f t="shared" si="526"/>
        <v>0.14992455211372072</v>
      </c>
      <c r="AN1350" s="27">
        <f t="shared" si="526"/>
        <v>0.15325657222760428</v>
      </c>
      <c r="AO1350" s="27">
        <f t="shared" si="526"/>
        <v>0.15674333681767427</v>
      </c>
      <c r="AP1350" s="27">
        <f t="shared" si="526"/>
        <v>0.16048535923438295</v>
      </c>
      <c r="AQ1350" s="27">
        <f t="shared" si="526"/>
        <v>0.16429277839644263</v>
      </c>
      <c r="AR1350" s="27">
        <f t="shared" si="526"/>
        <v>0.16817259395975112</v>
      </c>
      <c r="AS1350" s="27">
        <f t="shared" si="526"/>
        <v>0.17231652203790412</v>
      </c>
      <c r="AT1350" s="27">
        <f t="shared" si="526"/>
        <v>0.17665242177214358</v>
      </c>
      <c r="AU1350" s="27">
        <f t="shared" si="526"/>
        <v>0.18113086971422945</v>
      </c>
      <c r="AV1350" s="27">
        <f t="shared" si="526"/>
        <v>0.18586803919890985</v>
      </c>
      <c r="AW1350" s="27">
        <f t="shared" si="526"/>
        <v>0.19015603509530893</v>
      </c>
      <c r="AY1350" s="79"/>
      <c r="AZ1350" s="79"/>
    </row>
    <row r="1351" spans="1:52" x14ac:dyDescent="0.25">
      <c r="A1351" s="95" t="str">
        <f t="shared" si="514"/>
        <v>FSFAGSPQNIBDDSCM MM Volatilisation</v>
      </c>
      <c r="B1351" s="95" t="s">
        <v>1374</v>
      </c>
      <c r="C1351" s="95" t="s">
        <v>1331</v>
      </c>
      <c r="D1351" t="s">
        <v>369</v>
      </c>
      <c r="E1351" t="s">
        <v>64</v>
      </c>
      <c r="F1351" t="s">
        <v>62</v>
      </c>
      <c r="G1351" t="s">
        <v>1177</v>
      </c>
      <c r="H1351" t="s">
        <v>1302</v>
      </c>
      <c r="I1351" t="s">
        <v>139</v>
      </c>
      <c r="J1351" t="s">
        <v>287</v>
      </c>
      <c r="K1351" s="27">
        <f t="shared" ref="K1351:AW1351" si="527">IFERROR(K1544-((K1544-K135)+(K1544-K288)+(K1544-K441)+(K1544-K593)+(K1544-K745)+(K1544-K896)+(K1544-K1047)+(K1544-K1198)),0)</f>
        <v>1.2724633182830876E-2</v>
      </c>
      <c r="L1351" s="27">
        <f t="shared" si="527"/>
        <v>1.2655466337890211E-2</v>
      </c>
      <c r="M1351" s="27">
        <f t="shared" si="527"/>
        <v>1.2661143337946403E-2</v>
      </c>
      <c r="N1351" s="27">
        <f t="shared" si="527"/>
        <v>1.2544904339887072E-2</v>
      </c>
      <c r="O1351" s="27">
        <f t="shared" si="527"/>
        <v>1.2355059245839609E-2</v>
      </c>
      <c r="P1351" s="27">
        <f t="shared" si="527"/>
        <v>1.2094642930917438E-2</v>
      </c>
      <c r="Q1351" s="27">
        <f t="shared" si="527"/>
        <v>1.1905551806853848E-2</v>
      </c>
      <c r="R1351" s="27">
        <f t="shared" si="527"/>
        <v>1.1733192711380727E-2</v>
      </c>
      <c r="S1351" s="27">
        <f t="shared" si="527"/>
        <v>1.0540159022343456E-2</v>
      </c>
      <c r="T1351" s="27">
        <f t="shared" si="527"/>
        <v>1.1016456136354276E-2</v>
      </c>
      <c r="U1351" s="27">
        <f t="shared" si="527"/>
        <v>1.1160455074635459E-2</v>
      </c>
      <c r="V1351" s="27">
        <f t="shared" si="527"/>
        <v>1.1050312217899923E-2</v>
      </c>
      <c r="W1351" s="27">
        <f t="shared" si="527"/>
        <v>1.0953442161059227E-2</v>
      </c>
      <c r="X1351" s="27">
        <f t="shared" si="527"/>
        <v>1.092350443018052E-2</v>
      </c>
      <c r="Y1351" s="27">
        <f t="shared" si="527"/>
        <v>1.0957897774238343E-2</v>
      </c>
      <c r="Z1351" s="27">
        <f t="shared" si="527"/>
        <v>1.1021958773854017E-2</v>
      </c>
      <c r="AA1351" s="27">
        <f t="shared" si="527"/>
        <v>1.1122995934864729E-2</v>
      </c>
      <c r="AB1351" s="27">
        <f t="shared" si="527"/>
        <v>1.1285302203718813E-2</v>
      </c>
      <c r="AC1351" s="27">
        <f t="shared" si="527"/>
        <v>1.1503210812313454E-2</v>
      </c>
      <c r="AD1351" s="27">
        <f t="shared" si="527"/>
        <v>1.1751223591029727E-2</v>
      </c>
      <c r="AE1351" s="27">
        <f t="shared" si="527"/>
        <v>1.2026878509443005E-2</v>
      </c>
      <c r="AF1351" s="27">
        <f t="shared" si="527"/>
        <v>1.231638719636668E-2</v>
      </c>
      <c r="AG1351" s="27">
        <f t="shared" si="527"/>
        <v>1.2624721692756056E-2</v>
      </c>
      <c r="AH1351" s="27">
        <f t="shared" si="527"/>
        <v>1.2945236189603672E-2</v>
      </c>
      <c r="AI1351" s="27">
        <f t="shared" si="527"/>
        <v>1.3256272889518386E-2</v>
      </c>
      <c r="AJ1351" s="27">
        <f t="shared" si="527"/>
        <v>1.3587880856077676E-2</v>
      </c>
      <c r="AK1351" s="27">
        <f t="shared" si="527"/>
        <v>1.3920150237493829E-2</v>
      </c>
      <c r="AL1351" s="27">
        <f t="shared" si="527"/>
        <v>1.4251336517184878E-2</v>
      </c>
      <c r="AM1351" s="27">
        <f t="shared" si="527"/>
        <v>1.459000921320037E-2</v>
      </c>
      <c r="AN1351" s="27">
        <f t="shared" si="527"/>
        <v>1.4914267004701089E-2</v>
      </c>
      <c r="AO1351" s="27">
        <f t="shared" si="527"/>
        <v>1.5253583859586839E-2</v>
      </c>
      <c r="AP1351" s="27">
        <f t="shared" si="527"/>
        <v>1.5617741302554344E-2</v>
      </c>
      <c r="AQ1351" s="27">
        <f t="shared" si="527"/>
        <v>1.5988262874036725E-2</v>
      </c>
      <c r="AR1351" s="27">
        <f t="shared" si="527"/>
        <v>1.6365829750282931E-2</v>
      </c>
      <c r="AS1351" s="27">
        <f t="shared" si="527"/>
        <v>1.676909891458386E-2</v>
      </c>
      <c r="AT1351" s="27">
        <f t="shared" si="527"/>
        <v>1.7191049930466051E-2</v>
      </c>
      <c r="AU1351" s="27">
        <f t="shared" si="527"/>
        <v>1.7626873121628955E-2</v>
      </c>
      <c r="AV1351" s="27">
        <f t="shared" si="527"/>
        <v>1.8087873974735078E-2</v>
      </c>
      <c r="AW1351" s="27">
        <f t="shared" si="527"/>
        <v>1.8505163196230787E-2</v>
      </c>
      <c r="AY1351" s="79"/>
      <c r="AZ1351" s="79"/>
    </row>
    <row r="1352" spans="1:52" x14ac:dyDescent="0.25">
      <c r="A1352" s="95" t="str">
        <f t="shared" si="514"/>
        <v>FSFAGSPQNIBDDSCM MM Volatilisation</v>
      </c>
      <c r="B1352" s="95" t="s">
        <v>1374</v>
      </c>
      <c r="C1352" s="95" t="s">
        <v>1331</v>
      </c>
      <c r="D1352" t="s">
        <v>369</v>
      </c>
      <c r="E1352" t="s">
        <v>64</v>
      </c>
      <c r="F1352" t="s">
        <v>62</v>
      </c>
      <c r="G1352" t="s">
        <v>1179</v>
      </c>
      <c r="H1352" t="s">
        <v>1303</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7.1969839340941866E-2</v>
      </c>
      <c r="S1352" s="27">
        <f t="shared" si="528"/>
        <v>6.9075990112688196E-2</v>
      </c>
      <c r="T1352" s="27">
        <f t="shared" si="528"/>
        <v>7.1960031651071718E-2</v>
      </c>
      <c r="U1352" s="27">
        <f t="shared" si="528"/>
        <v>7.3674037695468111E-2</v>
      </c>
      <c r="V1352" s="27">
        <f t="shared" si="528"/>
        <v>7.4492152680205134E-2</v>
      </c>
      <c r="W1352" s="27">
        <f t="shared" si="528"/>
        <v>7.5399470920563483E-2</v>
      </c>
      <c r="X1352" s="27">
        <f t="shared" si="528"/>
        <v>7.6582710746940591E-2</v>
      </c>
      <c r="Y1352" s="27">
        <f t="shared" si="528"/>
        <v>7.8007027191938444E-2</v>
      </c>
      <c r="Z1352" s="27">
        <f t="shared" si="528"/>
        <v>7.95518212189988E-2</v>
      </c>
      <c r="AA1352" s="27">
        <f t="shared" si="528"/>
        <v>8.125501320297529E-2</v>
      </c>
      <c r="AB1352" s="27">
        <f t="shared" si="528"/>
        <v>8.3229375715267798E-2</v>
      </c>
      <c r="AC1352" s="27">
        <f t="shared" si="528"/>
        <v>8.5468913054205911E-2</v>
      </c>
      <c r="AD1352" s="27">
        <f t="shared" si="528"/>
        <v>8.7878363840128426E-2</v>
      </c>
      <c r="AE1352" s="27">
        <f t="shared" si="528"/>
        <v>9.0457350276048634E-2</v>
      </c>
      <c r="AF1352" s="27">
        <f t="shared" si="528"/>
        <v>9.3152543573947852E-2</v>
      </c>
      <c r="AG1352" s="27">
        <f t="shared" si="528"/>
        <v>9.5991306514799535E-2</v>
      </c>
      <c r="AH1352" s="27">
        <f t="shared" si="528"/>
        <v>9.8949791609125759E-2</v>
      </c>
      <c r="AI1352" s="27">
        <f t="shared" si="528"/>
        <v>0.10193029518056052</v>
      </c>
      <c r="AJ1352" s="27">
        <f t="shared" si="528"/>
        <v>0.10507798344014782</v>
      </c>
      <c r="AK1352" s="27">
        <f t="shared" si="528"/>
        <v>0.10829971138803891</v>
      </c>
      <c r="AL1352" s="27">
        <f t="shared" si="528"/>
        <v>0.11158886411942164</v>
      </c>
      <c r="AM1352" s="27">
        <f t="shared" si="528"/>
        <v>0.11499192397451925</v>
      </c>
      <c r="AN1352" s="27">
        <f t="shared" si="528"/>
        <v>0.11839831966593896</v>
      </c>
      <c r="AO1352" s="27">
        <f t="shared" si="528"/>
        <v>0.12196310213771001</v>
      </c>
      <c r="AP1352" s="27">
        <f t="shared" si="528"/>
        <v>0.12574583816913645</v>
      </c>
      <c r="AQ1352" s="27">
        <f t="shared" si="528"/>
        <v>0.12965360602860704</v>
      </c>
      <c r="AR1352" s="27">
        <f t="shared" si="528"/>
        <v>0.13369403699154539</v>
      </c>
      <c r="AS1352" s="27">
        <f t="shared" si="528"/>
        <v>0.1379790125366526</v>
      </c>
      <c r="AT1352" s="27">
        <f t="shared" si="528"/>
        <v>0.14247835199666176</v>
      </c>
      <c r="AU1352" s="27">
        <f t="shared" si="528"/>
        <v>0.14717275078625591</v>
      </c>
      <c r="AV1352" s="27">
        <f t="shared" si="528"/>
        <v>0.15213947342494369</v>
      </c>
      <c r="AW1352" s="27">
        <f t="shared" si="528"/>
        <v>0.15696141877860778</v>
      </c>
      <c r="AY1352" s="79"/>
      <c r="AZ1352" s="79"/>
    </row>
    <row r="1353" spans="1:52" x14ac:dyDescent="0.25">
      <c r="A1353" s="95" t="str">
        <f t="shared" si="514"/>
        <v>FSFAGSPQNIBDDSCM MM Volatilisation</v>
      </c>
      <c r="B1353" s="95" t="s">
        <v>1374</v>
      </c>
      <c r="C1353" s="95" t="s">
        <v>1331</v>
      </c>
      <c r="D1353" t="s">
        <v>369</v>
      </c>
      <c r="E1353" t="s">
        <v>64</v>
      </c>
      <c r="F1353" t="s">
        <v>62</v>
      </c>
      <c r="G1353" t="s">
        <v>1181</v>
      </c>
      <c r="H1353" t="s">
        <v>1304</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0.3209942132552846</v>
      </c>
      <c r="N1353" s="27">
        <f t="shared" si="529"/>
        <v>0.3228790317815291</v>
      </c>
      <c r="O1353" s="27">
        <f t="shared" si="529"/>
        <v>0.3217232753588708</v>
      </c>
      <c r="P1353" s="27">
        <f t="shared" si="529"/>
        <v>0.31753924052538912</v>
      </c>
      <c r="Q1353" s="27">
        <f t="shared" si="529"/>
        <v>0.31577785743754239</v>
      </c>
      <c r="R1353" s="27">
        <f t="shared" si="529"/>
        <v>0.31441607582114939</v>
      </c>
      <c r="S1353" s="27">
        <f t="shared" si="529"/>
        <v>0.27355046715049131</v>
      </c>
      <c r="T1353" s="27">
        <f t="shared" si="529"/>
        <v>0.2982999703835697</v>
      </c>
      <c r="U1353" s="27">
        <f t="shared" si="529"/>
        <v>0.31020865266324016</v>
      </c>
      <c r="V1353" s="27">
        <f t="shared" si="529"/>
        <v>0.31169871113596848</v>
      </c>
      <c r="W1353" s="27">
        <f t="shared" si="529"/>
        <v>0.313416443296333</v>
      </c>
      <c r="X1353" s="27">
        <f t="shared" si="529"/>
        <v>0.31777262865062833</v>
      </c>
      <c r="Y1353" s="27">
        <f t="shared" si="529"/>
        <v>0.32494530500053975</v>
      </c>
      <c r="Z1353" s="27">
        <f t="shared" si="529"/>
        <v>0.33352717212448735</v>
      </c>
      <c r="AA1353" s="27">
        <f t="shared" si="529"/>
        <v>0.34389700896977449</v>
      </c>
      <c r="AB1353" s="27">
        <f t="shared" si="529"/>
        <v>0.35720613223021092</v>
      </c>
      <c r="AC1353" s="27">
        <f t="shared" si="529"/>
        <v>0.37330270784262232</v>
      </c>
      <c r="AD1353" s="27">
        <f t="shared" si="529"/>
        <v>0.39111878330548938</v>
      </c>
      <c r="AE1353" s="27">
        <f t="shared" si="529"/>
        <v>0.41059525274758124</v>
      </c>
      <c r="AF1353" s="27">
        <f t="shared" si="529"/>
        <v>0.4311392832902729</v>
      </c>
      <c r="AG1353" s="27">
        <f t="shared" si="529"/>
        <v>0.45302578965799745</v>
      </c>
      <c r="AH1353" s="27">
        <f t="shared" si="529"/>
        <v>0.47597562229356133</v>
      </c>
      <c r="AI1353" s="27">
        <f t="shared" si="529"/>
        <v>0.49895875258724764</v>
      </c>
      <c r="AJ1353" s="27">
        <f t="shared" si="529"/>
        <v>0.52346175750841617</v>
      </c>
      <c r="AK1353" s="27">
        <f t="shared" si="529"/>
        <v>0.54854282752031391</v>
      </c>
      <c r="AL1353" s="27">
        <f t="shared" si="529"/>
        <v>0.57412757690619154</v>
      </c>
      <c r="AM1353" s="27">
        <f t="shared" si="529"/>
        <v>0.60066723743034001</v>
      </c>
      <c r="AN1353" s="27">
        <f t="shared" si="529"/>
        <v>0.62704755150284652</v>
      </c>
      <c r="AO1353" s="27">
        <f t="shared" si="529"/>
        <v>0.65481507956811935</v>
      </c>
      <c r="AP1353" s="27">
        <f t="shared" si="529"/>
        <v>0.68454150627200949</v>
      </c>
      <c r="AQ1353" s="27">
        <f t="shared" si="529"/>
        <v>0.71529406948310958</v>
      </c>
      <c r="AR1353" s="27">
        <f t="shared" si="529"/>
        <v>0.74714458055742761</v>
      </c>
      <c r="AS1353" s="27">
        <f t="shared" si="529"/>
        <v>0.78116708322765893</v>
      </c>
      <c r="AT1353" s="27">
        <f t="shared" si="529"/>
        <v>0.81704220152579388</v>
      </c>
      <c r="AU1353" s="27">
        <f t="shared" si="529"/>
        <v>0.85455779039390145</v>
      </c>
      <c r="AV1353" s="27">
        <f t="shared" si="529"/>
        <v>0.8944207901364416</v>
      </c>
      <c r="AW1353" s="27">
        <f t="shared" si="529"/>
        <v>0.93268516809491542</v>
      </c>
      <c r="AY1353" s="79"/>
      <c r="AZ1353" s="79"/>
    </row>
    <row r="1354" spans="1:52" x14ac:dyDescent="0.25">
      <c r="A1354" s="95" t="str">
        <f t="shared" si="514"/>
        <v>FSFAGSPQNIBDDSCM MM Leaching</v>
      </c>
      <c r="B1354" s="95" t="s">
        <v>1374</v>
      </c>
      <c r="C1354" s="95" t="s">
        <v>1332</v>
      </c>
      <c r="D1354" t="s">
        <v>369</v>
      </c>
      <c r="E1354" t="s">
        <v>64</v>
      </c>
      <c r="F1354" t="s">
        <v>63</v>
      </c>
      <c r="G1354" t="s">
        <v>1151</v>
      </c>
      <c r="H1354" t="s">
        <v>1305</v>
      </c>
      <c r="I1354" t="s">
        <v>139</v>
      </c>
      <c r="J1354" t="s">
        <v>287</v>
      </c>
      <c r="K1354" s="27">
        <f t="shared" ref="K1354:AW1354" si="530">IFERROR(K1547-((K1547-K138)+(K1547-K291)+(K1547-K444)+(K1547-K596)+(K1547-K748)+(K1547-K899)+(K1547-K1050)+(K1547-K1201)),0)</f>
        <v>8.9211118607918846E-2</v>
      </c>
      <c r="L1354" s="27">
        <f t="shared" si="530"/>
        <v>8.9709854381943815E-2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9.2016609055475665E-2</v>
      </c>
      <c r="S1354" s="27">
        <f t="shared" si="530"/>
        <v>8.9358864650084344E-2</v>
      </c>
      <c r="T1354" s="27">
        <f t="shared" si="530"/>
        <v>9.1160880262772734E-2</v>
      </c>
      <c r="U1354" s="27">
        <f t="shared" si="530"/>
        <v>9.2055417480081031E-2</v>
      </c>
      <c r="V1354" s="27">
        <f t="shared" si="530"/>
        <v>9.2289034291272776E-2</v>
      </c>
      <c r="W1354" s="27">
        <f t="shared" si="530"/>
        <v>9.2621209958625161E-2</v>
      </c>
      <c r="X1354" s="27">
        <f t="shared" si="530"/>
        <v>9.3178603232719648E-2</v>
      </c>
      <c r="Y1354" s="27">
        <f t="shared" si="530"/>
        <v>9.3914939363977226E-2</v>
      </c>
      <c r="Z1354" s="27">
        <f t="shared" si="530"/>
        <v>9.4739349743762011E-2</v>
      </c>
      <c r="AA1354" s="27">
        <f t="shared" si="530"/>
        <v>9.5677798677729631E-2</v>
      </c>
      <c r="AB1354" s="27">
        <f t="shared" si="530"/>
        <v>9.6810748950836578E-2</v>
      </c>
      <c r="AC1354" s="27">
        <f t="shared" si="530"/>
        <v>9.8131619080537594E-2</v>
      </c>
      <c r="AD1354" s="27">
        <f t="shared" si="530"/>
        <v>9.956927276254475E-2</v>
      </c>
      <c r="AE1354" s="27">
        <f t="shared" si="530"/>
        <v>0.10112241066666731</v>
      </c>
      <c r="AF1354" s="27">
        <f t="shared" si="530"/>
        <v>0.10275162031430257</v>
      </c>
      <c r="AG1354" s="27">
        <f t="shared" si="530"/>
        <v>0.10447512410975278</v>
      </c>
      <c r="AH1354" s="27">
        <f t="shared" si="530"/>
        <v>0.10627520064757517</v>
      </c>
      <c r="AI1354" s="27">
        <f t="shared" si="530"/>
        <v>0.10808248543054177</v>
      </c>
      <c r="AJ1354" s="27">
        <f t="shared" si="530"/>
        <v>0.10999863373444546</v>
      </c>
      <c r="AK1354" s="27">
        <f t="shared" si="530"/>
        <v>0.11195666285750208</v>
      </c>
      <c r="AL1354" s="27">
        <f t="shared" si="530"/>
        <v>0.11395159289972816</v>
      </c>
      <c r="AM1354" s="27">
        <f t="shared" si="530"/>
        <v>0.11601556458845022</v>
      </c>
      <c r="AN1354" s="27">
        <f t="shared" si="530"/>
        <v>0.1180715269808419</v>
      </c>
      <c r="AO1354" s="27">
        <f t="shared" si="530"/>
        <v>0.12022624785087629</v>
      </c>
      <c r="AP1354" s="27">
        <f t="shared" si="530"/>
        <v>0.12251950907003291</v>
      </c>
      <c r="AQ1354" s="27">
        <f t="shared" si="530"/>
        <v>0.12488629569373427</v>
      </c>
      <c r="AR1354" s="27">
        <f t="shared" si="530"/>
        <v>0.12733088961691924</v>
      </c>
      <c r="AS1354" s="27">
        <f t="shared" si="530"/>
        <v>0.1299285168324007</v>
      </c>
      <c r="AT1354" s="27">
        <f t="shared" si="530"/>
        <v>0.13265733115300649</v>
      </c>
      <c r="AU1354" s="27">
        <f t="shared" si="530"/>
        <v>0.1355032537790716</v>
      </c>
      <c r="AV1354" s="27">
        <f t="shared" si="530"/>
        <v>0.13851756609044491</v>
      </c>
      <c r="AW1354" s="27">
        <f t="shared" si="530"/>
        <v>0.1414178902191697</v>
      </c>
      <c r="AY1354" s="79"/>
      <c r="AZ1354" s="79"/>
    </row>
    <row r="1355" spans="1:52" x14ac:dyDescent="0.25">
      <c r="A1355" s="95" t="str">
        <f t="shared" si="514"/>
        <v>FSFAGSPQNIBDDSCM MM Leaching</v>
      </c>
      <c r="B1355" s="95" t="s">
        <v>1374</v>
      </c>
      <c r="C1355" s="95" t="s">
        <v>1332</v>
      </c>
      <c r="D1355" t="s">
        <v>369</v>
      </c>
      <c r="E1355" t="s">
        <v>64</v>
      </c>
      <c r="F1355" t="s">
        <v>63</v>
      </c>
      <c r="G1355" t="s">
        <v>1153</v>
      </c>
      <c r="H1355" t="s">
        <v>1306</v>
      </c>
      <c r="I1355" t="s">
        <v>139</v>
      </c>
      <c r="J1355" t="s">
        <v>287</v>
      </c>
      <c r="K1355" s="27">
        <f t="shared" ref="K1355:AW1355" si="531">IFERROR(K1548-((K1548-K139)+(K1548-K292)+(K1548-K445)+(K1548-K597)+(K1548-K749)+(K1548-K900)+(K1548-K1051)+(K1548-K1202)),0)</f>
        <v>2.6939494531157477E-2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2.7786681470952937E-2</v>
      </c>
      <c r="S1355" s="27">
        <f t="shared" si="531"/>
        <v>2.6984110087570477E-2</v>
      </c>
      <c r="T1355" s="27">
        <f t="shared" si="531"/>
        <v>2.7528273085418706E-2</v>
      </c>
      <c r="U1355" s="27">
        <f t="shared" si="531"/>
        <v>2.7798400630612993E-2</v>
      </c>
      <c r="V1355" s="27">
        <f t="shared" si="531"/>
        <v>2.786894698072824E-2</v>
      </c>
      <c r="W1355" s="27">
        <f t="shared" si="531"/>
        <v>2.7969255604963213E-2</v>
      </c>
      <c r="X1355" s="27">
        <f t="shared" si="531"/>
        <v>2.8137574232657669E-2</v>
      </c>
      <c r="Y1355" s="27">
        <f t="shared" si="531"/>
        <v>2.8359929063430364E-2</v>
      </c>
      <c r="Z1355" s="27">
        <f t="shared" si="531"/>
        <v>2.8608880082812278E-2</v>
      </c>
      <c r="AA1355" s="27">
        <f t="shared" si="531"/>
        <v>2.8892267852396274E-2</v>
      </c>
      <c r="AB1355" s="27">
        <f t="shared" si="531"/>
        <v>2.9234390091896226E-2</v>
      </c>
      <c r="AC1355" s="27">
        <f t="shared" si="531"/>
        <v>2.9633259360555886E-2</v>
      </c>
      <c r="AD1355" s="27">
        <f t="shared" si="531"/>
        <v>3.0067394299210185E-2</v>
      </c>
      <c r="AE1355" s="27">
        <f t="shared" si="531"/>
        <v>3.0536402543105565E-2</v>
      </c>
      <c r="AF1355" s="27">
        <f t="shared" si="531"/>
        <v>3.102838252359965E-2</v>
      </c>
      <c r="AG1355" s="27">
        <f t="shared" si="531"/>
        <v>3.1548836944488824E-2</v>
      </c>
      <c r="AH1355" s="27">
        <f t="shared" si="531"/>
        <v>3.2092414390921906E-2</v>
      </c>
      <c r="AI1355" s="27">
        <f t="shared" si="531"/>
        <v>3.2638168544515178E-2</v>
      </c>
      <c r="AJ1355" s="27">
        <f t="shared" si="531"/>
        <v>3.3216796719561036E-2</v>
      </c>
      <c r="AK1355" s="27">
        <f t="shared" si="531"/>
        <v>3.3808071839473604E-2</v>
      </c>
      <c r="AL1355" s="27">
        <f t="shared" si="531"/>
        <v>3.4410490100798045E-2</v>
      </c>
      <c r="AM1355" s="27">
        <f t="shared" si="531"/>
        <v>3.5033757187775863E-2</v>
      </c>
      <c r="AN1355" s="27">
        <f t="shared" si="531"/>
        <v>3.5654605670458001E-2</v>
      </c>
      <c r="AO1355" s="27">
        <f t="shared" si="531"/>
        <v>3.6305276707883034E-2</v>
      </c>
      <c r="AP1355" s="27">
        <f t="shared" si="531"/>
        <v>3.699778341597066E-2</v>
      </c>
      <c r="AQ1355" s="27">
        <f t="shared" si="531"/>
        <v>3.7712492930889352E-2</v>
      </c>
      <c r="AR1355" s="27">
        <f t="shared" si="531"/>
        <v>3.8450698276278859E-2</v>
      </c>
      <c r="AS1355" s="27">
        <f t="shared" si="531"/>
        <v>3.9235115793483218E-2</v>
      </c>
      <c r="AT1355" s="27">
        <f t="shared" si="531"/>
        <v>4.0059148488214832E-2</v>
      </c>
      <c r="AU1355" s="27">
        <f t="shared" si="531"/>
        <v>4.0918544920154343E-2</v>
      </c>
      <c r="AV1355" s="27">
        <f t="shared" si="531"/>
        <v>4.1828790765006174E-2</v>
      </c>
      <c r="AW1355" s="27">
        <f t="shared" si="531"/>
        <v>4.2704615070581362E-2</v>
      </c>
      <c r="AY1355" s="79"/>
      <c r="AZ1355" s="79"/>
    </row>
    <row r="1356" spans="1:52" x14ac:dyDescent="0.25">
      <c r="A1356" s="95" t="str">
        <f t="shared" si="514"/>
        <v>FSFAGSPQNIBDDSCM MM Leaching</v>
      </c>
      <c r="B1356" s="95" t="s">
        <v>1374</v>
      </c>
      <c r="C1356" s="95" t="s">
        <v>1332</v>
      </c>
      <c r="D1356" t="s">
        <v>369</v>
      </c>
      <c r="E1356" t="s">
        <v>64</v>
      </c>
      <c r="F1356" t="s">
        <v>63</v>
      </c>
      <c r="G1356" t="s">
        <v>1155</v>
      </c>
      <c r="H1356" t="s">
        <v>1307</v>
      </c>
      <c r="I1356" t="s">
        <v>139</v>
      </c>
      <c r="J1356" t="s">
        <v>287</v>
      </c>
      <c r="K1356" s="27">
        <f t="shared" ref="K1356:AW1356" si="532">IFERROR(K1549-((K1549-K140)+(K1549-K293)+(K1549-K446)+(K1549-K598)+(K1549-K750)+(K1549-K901)+(K1549-K1052)+(K1549-K1203)),0)</f>
        <v>1.4483668498503175E-3</v>
      </c>
      <c r="L1356" s="27">
        <f t="shared" si="532"/>
        <v>1.4564639612104711E-3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1.4939147526814829E-3</v>
      </c>
      <c r="S1356" s="27">
        <f t="shared" si="532"/>
        <v>1.4507655471540646E-3</v>
      </c>
      <c r="T1356" s="27">
        <f t="shared" si="532"/>
        <v>1.4800217622655623E-3</v>
      </c>
      <c r="U1356" s="27">
        <f t="shared" si="532"/>
        <v>1.4945448180429578E-3</v>
      </c>
      <c r="V1356" s="27">
        <f t="shared" si="532"/>
        <v>1.4983376507097578E-3</v>
      </c>
      <c r="W1356" s="27">
        <f t="shared" si="532"/>
        <v>1.5037306132958967E-3</v>
      </c>
      <c r="X1356" s="27">
        <f t="shared" si="532"/>
        <v>1.5127800451730611E-3</v>
      </c>
      <c r="Y1356" s="27">
        <f t="shared" si="532"/>
        <v>1.5247346631568088E-3</v>
      </c>
      <c r="Z1356" s="27">
        <f t="shared" si="532"/>
        <v>1.5381191905944778E-3</v>
      </c>
      <c r="AA1356" s="27">
        <f t="shared" si="532"/>
        <v>1.5533551650721636E-3</v>
      </c>
      <c r="AB1356" s="27">
        <f t="shared" si="532"/>
        <v>1.5717489218560997E-3</v>
      </c>
      <c r="AC1356" s="27">
        <f t="shared" si="532"/>
        <v>1.5931936087815548E-3</v>
      </c>
      <c r="AD1356" s="27">
        <f t="shared" si="532"/>
        <v>1.6165343085404703E-3</v>
      </c>
      <c r="AE1356" s="27">
        <f t="shared" si="532"/>
        <v>1.641749926152706E-3</v>
      </c>
      <c r="AF1356" s="27">
        <f t="shared" si="532"/>
        <v>1.6682005892753381E-3</v>
      </c>
      <c r="AG1356" s="27">
        <f t="shared" si="532"/>
        <v>1.6961821436137869E-3</v>
      </c>
      <c r="AH1356" s="27">
        <f t="shared" si="532"/>
        <v>1.7254068773158021E-3</v>
      </c>
      <c r="AI1356" s="27">
        <f t="shared" si="532"/>
        <v>1.7547486388443409E-3</v>
      </c>
      <c r="AJ1356" s="27">
        <f t="shared" si="532"/>
        <v>1.785857829336261E-3</v>
      </c>
      <c r="AK1356" s="27">
        <f t="shared" si="532"/>
        <v>1.81764696635337E-3</v>
      </c>
      <c r="AL1356" s="27">
        <f t="shared" si="532"/>
        <v>1.8500351998607825E-3</v>
      </c>
      <c r="AM1356" s="27">
        <f t="shared" si="532"/>
        <v>1.88354434333552E-3</v>
      </c>
      <c r="AN1356" s="27">
        <f t="shared" si="532"/>
        <v>1.9169234536991781E-3</v>
      </c>
      <c r="AO1356" s="27">
        <f t="shared" si="532"/>
        <v>1.9519059348913977E-3</v>
      </c>
      <c r="AP1356" s="27">
        <f t="shared" si="532"/>
        <v>1.9891376564492419E-3</v>
      </c>
      <c r="AQ1356" s="27">
        <f t="shared" si="532"/>
        <v>2.0275630830096244E-3</v>
      </c>
      <c r="AR1356" s="27">
        <f t="shared" si="532"/>
        <v>2.0672517323050989E-3</v>
      </c>
      <c r="AS1356" s="27">
        <f t="shared" si="532"/>
        <v>2.1094249188527039E-3</v>
      </c>
      <c r="AT1356" s="27">
        <f t="shared" si="532"/>
        <v>2.1537279638434597E-3</v>
      </c>
      <c r="AU1356" s="27">
        <f t="shared" si="532"/>
        <v>2.1999322941237188E-3</v>
      </c>
      <c r="AV1356" s="27">
        <f t="shared" si="532"/>
        <v>2.2488704768863013E-3</v>
      </c>
      <c r="AW1356" s="27">
        <f t="shared" si="532"/>
        <v>2.2959580304044692E-3</v>
      </c>
      <c r="AY1356" s="79"/>
      <c r="AZ1356" s="79"/>
    </row>
    <row r="1357" spans="1:52" x14ac:dyDescent="0.25">
      <c r="A1357" s="95" t="str">
        <f t="shared" si="514"/>
        <v>FSFAGSPQNIBDDSCM MM Leaching</v>
      </c>
      <c r="B1357" s="95" t="s">
        <v>1374</v>
      </c>
      <c r="C1357" s="95" t="s">
        <v>1332</v>
      </c>
      <c r="D1357" t="s">
        <v>369</v>
      </c>
      <c r="E1357" t="s">
        <v>64</v>
      </c>
      <c r="F1357" t="s">
        <v>63</v>
      </c>
      <c r="G1357" t="s">
        <v>1157</v>
      </c>
      <c r="H1357" t="s">
        <v>1308</v>
      </c>
      <c r="I1357" t="s">
        <v>139</v>
      </c>
      <c r="J1357" t="s">
        <v>287</v>
      </c>
      <c r="K1357" s="27">
        <f t="shared" ref="K1357:AW1357" si="533">IFERROR(K1550-((K1550-K141)+(K1550-K294)+(K1550-K447)+(K1550-K599)+(K1550-K751)+(K1550-K902)+(K1550-K1053)+(K1550-K1204)),0)</f>
        <v>3.0303014392691133E-2</v>
      </c>
      <c r="L1357" s="27">
        <f t="shared" si="533"/>
        <v>3.0040206026371356E-2</v>
      </c>
      <c r="M1357" s="27">
        <f t="shared" si="533"/>
        <v>2.9940162837193186E-2</v>
      </c>
      <c r="N1357" s="27">
        <f t="shared" si="533"/>
        <v>2.9540351153331298E-2</v>
      </c>
      <c r="O1357" s="27">
        <f t="shared" si="533"/>
        <v>2.8960014730128842E-2</v>
      </c>
      <c r="P1357" s="27">
        <f t="shared" si="533"/>
        <v>2.8211154016296501E-2</v>
      </c>
      <c r="Q1357" s="27">
        <f t="shared" si="533"/>
        <v>2.7620505669412022E-2</v>
      </c>
      <c r="R1357" s="27">
        <f t="shared" si="533"/>
        <v>2.7061685185942385E-2</v>
      </c>
      <c r="S1357" s="27">
        <f t="shared" si="533"/>
        <v>2.416485344196681E-2</v>
      </c>
      <c r="T1357" s="27">
        <f t="shared" si="533"/>
        <v>2.5320182377840249E-2</v>
      </c>
      <c r="U1357" s="27">
        <f t="shared" si="533"/>
        <v>2.5720157477778727E-2</v>
      </c>
      <c r="V1357" s="27">
        <f t="shared" si="533"/>
        <v>2.5546462223035794E-2</v>
      </c>
      <c r="W1357" s="27">
        <f t="shared" si="533"/>
        <v>2.5405173363708521E-2</v>
      </c>
      <c r="X1357" s="27">
        <f t="shared" si="533"/>
        <v>2.5414454482957191E-2</v>
      </c>
      <c r="Y1357" s="27">
        <f t="shared" si="533"/>
        <v>2.5563690103476349E-2</v>
      </c>
      <c r="Z1357" s="27">
        <f t="shared" si="533"/>
        <v>2.5775445206678543E-2</v>
      </c>
      <c r="AA1357" s="27">
        <f t="shared" si="533"/>
        <v>2.6066776415666827E-2</v>
      </c>
      <c r="AB1357" s="27">
        <f t="shared" si="533"/>
        <v>2.6493519467488225E-2</v>
      </c>
      <c r="AC1357" s="27">
        <f t="shared" si="533"/>
        <v>2.7043622150726768E-2</v>
      </c>
      <c r="AD1357" s="27">
        <f t="shared" si="533"/>
        <v>2.7427151031194422E-2</v>
      </c>
      <c r="AE1357" s="27">
        <f t="shared" si="533"/>
        <v>2.7855985588875625E-2</v>
      </c>
      <c r="AF1357" s="27">
        <f t="shared" si="533"/>
        <v>2.8297808294208047E-2</v>
      </c>
      <c r="AG1357" s="27">
        <f t="shared" si="533"/>
        <v>2.8762433728203925E-2</v>
      </c>
      <c r="AH1357" s="27">
        <f t="shared" si="533"/>
        <v>2.9234018291177721E-2</v>
      </c>
      <c r="AI1357" s="27">
        <f t="shared" si="533"/>
        <v>2.9664658796070921E-2</v>
      </c>
      <c r="AJ1357" s="27">
        <f t="shared" si="533"/>
        <v>3.0118905492871519E-2</v>
      </c>
      <c r="AK1357" s="27">
        <f t="shared" si="533"/>
        <v>3.0552583954684191E-2</v>
      </c>
      <c r="AL1357" s="27">
        <f t="shared" si="533"/>
        <v>3.0961516168479985E-2</v>
      </c>
      <c r="AM1357" s="27">
        <f t="shared" si="533"/>
        <v>3.1363182487267389E-2</v>
      </c>
      <c r="AN1357" s="27">
        <f t="shared" si="533"/>
        <v>3.1873237924965422E-2</v>
      </c>
      <c r="AO1357" s="27">
        <f t="shared" si="533"/>
        <v>3.2400793328725176E-2</v>
      </c>
      <c r="AP1357" s="27">
        <f t="shared" si="533"/>
        <v>3.2965020652190688E-2</v>
      </c>
      <c r="AQ1357" s="27">
        <f t="shared" si="533"/>
        <v>3.3527052752866549E-2</v>
      </c>
      <c r="AR1357" s="27">
        <f t="shared" si="533"/>
        <v>3.4087619114860586E-2</v>
      </c>
      <c r="AS1357" s="27">
        <f t="shared" si="533"/>
        <v>3.4683560205557983E-2</v>
      </c>
      <c r="AT1357" s="27">
        <f t="shared" si="533"/>
        <v>3.5299445606795467E-2</v>
      </c>
      <c r="AU1357" s="27">
        <f t="shared" si="533"/>
        <v>3.5924567561005115E-2</v>
      </c>
      <c r="AV1357" s="27">
        <f t="shared" si="533"/>
        <v>3.6580199359184239E-2</v>
      </c>
      <c r="AW1357" s="27">
        <f t="shared" si="533"/>
        <v>3.712986506477154E-2</v>
      </c>
      <c r="AY1357" s="79"/>
      <c r="AZ1357" s="79"/>
    </row>
    <row r="1358" spans="1:52" x14ac:dyDescent="0.25">
      <c r="A1358" s="95" t="str">
        <f t="shared" si="514"/>
        <v>FSFAGSPQNIBDDSCM MM Leaching</v>
      </c>
      <c r="B1358" s="95" t="s">
        <v>1374</v>
      </c>
      <c r="C1358" s="95" t="s">
        <v>1332</v>
      </c>
      <c r="D1358" t="s">
        <v>369</v>
      </c>
      <c r="E1358" t="s">
        <v>64</v>
      </c>
      <c r="F1358" t="s">
        <v>63</v>
      </c>
      <c r="G1358" t="s">
        <v>1159</v>
      </c>
      <c r="H1358" t="s">
        <v>1309</v>
      </c>
      <c r="I1358" t="s">
        <v>139</v>
      </c>
      <c r="J1358" t="s">
        <v>287</v>
      </c>
      <c r="K1358" s="27">
        <f t="shared" ref="K1358:AW1358" si="534">IFERROR(K1551-((K1551-K142)+(K1551-K295)+(K1551-K448)+(K1551-K600)+(K1551-K752)+(K1551-K903)+(K1551-K1054)+(K1551-K1205)),0)</f>
        <v>4.0226293185258916E-2</v>
      </c>
      <c r="L1358" s="27">
        <f t="shared" si="534"/>
        <v>3.9877423391049015E-2</v>
      </c>
      <c r="M1358" s="27">
        <f t="shared" si="534"/>
        <v>3.9744619221572089E-2</v>
      </c>
      <c r="N1358" s="27">
        <f t="shared" si="534"/>
        <v>3.9213881856453713E-2</v>
      </c>
      <c r="O1358" s="27">
        <f t="shared" si="534"/>
        <v>3.8443503609481136E-2</v>
      </c>
      <c r="P1358" s="27">
        <f t="shared" si="534"/>
        <v>3.7449414696768608E-2</v>
      </c>
      <c r="Q1358" s="27">
        <f t="shared" si="534"/>
        <v>3.666534769725275E-2</v>
      </c>
      <c r="R1358" s="27">
        <f t="shared" si="534"/>
        <v>3.5923531179771241E-2</v>
      </c>
      <c r="S1358" s="27">
        <f t="shared" si="534"/>
        <v>3.20780786603799E-2</v>
      </c>
      <c r="T1358" s="27">
        <f t="shared" si="534"/>
        <v>3.3611741282111272E-2</v>
      </c>
      <c r="U1358" s="27">
        <f t="shared" si="534"/>
        <v>3.414269557690279E-2</v>
      </c>
      <c r="V1358" s="27">
        <f t="shared" si="534"/>
        <v>3.3912120619849585E-2</v>
      </c>
      <c r="W1358" s="27">
        <f t="shared" si="534"/>
        <v>3.372456412776409E-2</v>
      </c>
      <c r="X1358" s="27">
        <f t="shared" si="534"/>
        <v>3.3736884520024282E-2</v>
      </c>
      <c r="Y1358" s="27">
        <f t="shared" si="534"/>
        <v>3.3934990086252545E-2</v>
      </c>
      <c r="Z1358" s="27">
        <f t="shared" si="534"/>
        <v>3.4216088288381921E-2</v>
      </c>
      <c r="AA1358" s="27">
        <f t="shared" si="534"/>
        <v>3.4602821254116366E-2</v>
      </c>
      <c r="AB1358" s="27">
        <f t="shared" si="534"/>
        <v>3.5169309158418066E-2</v>
      </c>
      <c r="AC1358" s="27">
        <f t="shared" si="534"/>
        <v>3.589955307181858E-2</v>
      </c>
      <c r="AD1358" s="27">
        <f t="shared" si="534"/>
        <v>3.6408675530422145E-2</v>
      </c>
      <c r="AE1358" s="27">
        <f t="shared" si="534"/>
        <v>3.6977939842602774E-2</v>
      </c>
      <c r="AF1358" s="27">
        <f t="shared" si="534"/>
        <v>3.7564445510002403E-2</v>
      </c>
      <c r="AG1358" s="27">
        <f t="shared" si="534"/>
        <v>3.8181221078500117E-2</v>
      </c>
      <c r="AH1358" s="27">
        <f t="shared" si="534"/>
        <v>3.8807234670613311E-2</v>
      </c>
      <c r="AI1358" s="27">
        <f t="shared" si="534"/>
        <v>3.9378896320599516E-2</v>
      </c>
      <c r="AJ1358" s="27">
        <f t="shared" si="534"/>
        <v>3.9981894443728266E-2</v>
      </c>
      <c r="AK1358" s="27">
        <f t="shared" si="534"/>
        <v>4.0557588885440844E-2</v>
      </c>
      <c r="AL1358" s="27">
        <f t="shared" si="534"/>
        <v>4.1100433465583154E-2</v>
      </c>
      <c r="AM1358" s="27">
        <f t="shared" si="534"/>
        <v>4.1633632799906894E-2</v>
      </c>
      <c r="AN1358" s="27">
        <f t="shared" si="534"/>
        <v>4.23107152614631E-2</v>
      </c>
      <c r="AO1358" s="27">
        <f t="shared" si="534"/>
        <v>4.3011028374478885E-2</v>
      </c>
      <c r="AP1358" s="27">
        <f t="shared" si="534"/>
        <v>4.3760022301047856E-2</v>
      </c>
      <c r="AQ1358" s="27">
        <f t="shared" si="534"/>
        <v>4.4506102138793871E-2</v>
      </c>
      <c r="AR1358" s="27">
        <f t="shared" si="534"/>
        <v>4.5250236254798015E-2</v>
      </c>
      <c r="AS1358" s="27">
        <f t="shared" si="534"/>
        <v>4.6041329204327096E-2</v>
      </c>
      <c r="AT1358" s="27">
        <f t="shared" si="534"/>
        <v>4.6858897595301277E-2</v>
      </c>
      <c r="AU1358" s="27">
        <f t="shared" si="534"/>
        <v>4.7688727218213149E-2</v>
      </c>
      <c r="AV1358" s="27">
        <f t="shared" si="534"/>
        <v>4.8559057694031842E-2</v>
      </c>
      <c r="AW1358" s="27">
        <f t="shared" si="534"/>
        <v>4.928872153342103E-2</v>
      </c>
      <c r="AY1358" s="79"/>
      <c r="AZ1358" s="79"/>
    </row>
    <row r="1359" spans="1:52" x14ac:dyDescent="0.25">
      <c r="A1359" s="95" t="str">
        <f t="shared" si="514"/>
        <v>FSFAGSPQNIBDDSCM MM Leaching</v>
      </c>
      <c r="B1359" s="95" t="s">
        <v>1374</v>
      </c>
      <c r="C1359" s="95" t="s">
        <v>1332</v>
      </c>
      <c r="D1359" t="s">
        <v>369</v>
      </c>
      <c r="E1359" t="s">
        <v>64</v>
      </c>
      <c r="F1359" t="s">
        <v>63</v>
      </c>
      <c r="G1359" t="s">
        <v>1161</v>
      </c>
      <c r="H1359" t="s">
        <v>1310</v>
      </c>
      <c r="I1359" t="s">
        <v>139</v>
      </c>
      <c r="J1359" t="s">
        <v>287</v>
      </c>
      <c r="K1359" s="27">
        <f t="shared" ref="K1359:AW1359" si="535">IFERROR(K1552-((K1552-K143)+(K1552-K296)+(K1552-K449)+(K1552-K601)+(K1552-K753)+(K1552-K904)+(K1552-K1055)+(K1552-K1206)),0)</f>
        <v>4.1968337096859189E-2</v>
      </c>
      <c r="L1359" s="27">
        <f t="shared" si="535"/>
        <v>4.3383434779753448E-2</v>
      </c>
      <c r="M1359" s="27">
        <f t="shared" si="535"/>
        <v>4.5063007666824861E-2</v>
      </c>
      <c r="N1359" s="27">
        <f t="shared" si="535"/>
        <v>4.6315596244033488E-2</v>
      </c>
      <c r="O1359" s="27">
        <f t="shared" si="535"/>
        <v>4.7281576900430174E-2</v>
      </c>
      <c r="P1359" s="27">
        <f t="shared" si="535"/>
        <v>4.7947144057730852E-2</v>
      </c>
      <c r="Q1359" s="27">
        <f t="shared" si="535"/>
        <v>4.8855920576585825E-2</v>
      </c>
      <c r="R1359" s="27">
        <f t="shared" si="535"/>
        <v>4.9808583705724517E-2</v>
      </c>
      <c r="S1359" s="27">
        <f t="shared" si="535"/>
        <v>4.6274354518489276E-2</v>
      </c>
      <c r="T1359" s="27">
        <f t="shared" si="535"/>
        <v>4.9654921678945953E-2</v>
      </c>
      <c r="U1359" s="27">
        <f t="shared" si="535"/>
        <v>5.1637836574471289E-2</v>
      </c>
      <c r="V1359" s="27">
        <f t="shared" si="535"/>
        <v>5.2492346966759522E-2</v>
      </c>
      <c r="W1359" s="27">
        <f t="shared" si="535"/>
        <v>5.3412266292045346E-2</v>
      </c>
      <c r="X1359" s="27">
        <f t="shared" si="535"/>
        <v>5.4657017670669474E-2</v>
      </c>
      <c r="Y1359" s="27">
        <f t="shared" si="535"/>
        <v>5.6225924185537776E-2</v>
      </c>
      <c r="Z1359" s="27">
        <f t="shared" si="535"/>
        <v>5.7966478629194101E-2</v>
      </c>
      <c r="AA1359" s="27">
        <f t="shared" si="535"/>
        <v>5.9928438330955298E-2</v>
      </c>
      <c r="AB1359" s="27">
        <f t="shared" si="535"/>
        <v>6.2256429990458134E-2</v>
      </c>
      <c r="AC1359" s="27">
        <f t="shared" si="535"/>
        <v>6.4943944669320713E-2</v>
      </c>
      <c r="AD1359" s="27">
        <f t="shared" si="535"/>
        <v>6.8049231515403694E-2</v>
      </c>
      <c r="AE1359" s="27">
        <f t="shared" si="535"/>
        <v>7.140958377080403E-2</v>
      </c>
      <c r="AF1359" s="27">
        <f t="shared" si="535"/>
        <v>7.4958672292987819E-2</v>
      </c>
      <c r="AG1359" s="27">
        <f t="shared" si="535"/>
        <v>7.8735451654029412E-2</v>
      </c>
      <c r="AH1359" s="27">
        <f t="shared" si="535"/>
        <v>8.2710770800306643E-2</v>
      </c>
      <c r="AI1359" s="27">
        <f t="shared" si="535"/>
        <v>8.6756849519810442E-2</v>
      </c>
      <c r="AJ1359" s="27">
        <f t="shared" si="535"/>
        <v>9.1067882332403163E-2</v>
      </c>
      <c r="AK1359" s="27">
        <f t="shared" si="535"/>
        <v>9.5524607474435114E-2</v>
      </c>
      <c r="AL1359" s="27">
        <f t="shared" si="535"/>
        <v>0.10011966756252628</v>
      </c>
      <c r="AM1359" s="27">
        <f t="shared" si="535"/>
        <v>0.10491676883738305</v>
      </c>
      <c r="AN1359" s="27">
        <f t="shared" si="535"/>
        <v>0.10963141037847199</v>
      </c>
      <c r="AO1359" s="27">
        <f t="shared" si="535"/>
        <v>0.11460133874628856</v>
      </c>
      <c r="AP1359" s="27">
        <f t="shared" si="535"/>
        <v>0.11991104885412743</v>
      </c>
      <c r="AQ1359" s="27">
        <f t="shared" si="535"/>
        <v>0.12543680820975456</v>
      </c>
      <c r="AR1359" s="27">
        <f t="shared" si="535"/>
        <v>0.13119202833792193</v>
      </c>
      <c r="AS1359" s="27">
        <f t="shared" si="535"/>
        <v>0.13733413284188337</v>
      </c>
      <c r="AT1359" s="27">
        <f t="shared" si="535"/>
        <v>0.14382526611180527</v>
      </c>
      <c r="AU1359" s="27">
        <f t="shared" si="535"/>
        <v>0.15064177825264938</v>
      </c>
      <c r="AV1359" s="27">
        <f t="shared" si="535"/>
        <v>0.15789428521651691</v>
      </c>
      <c r="AW1359" s="27">
        <f t="shared" si="535"/>
        <v>0.16500456611205044</v>
      </c>
      <c r="AY1359" s="79"/>
      <c r="AZ1359" s="79"/>
    </row>
    <row r="1360" spans="1:52" x14ac:dyDescent="0.25">
      <c r="A1360" s="95" t="str">
        <f t="shared" si="514"/>
        <v>FSFAGSPQNIBDDSCM MM Leaching</v>
      </c>
      <c r="B1360" s="95" t="s">
        <v>1374</v>
      </c>
      <c r="C1360" s="95" t="s">
        <v>1332</v>
      </c>
      <c r="D1360" t="s">
        <v>369</v>
      </c>
      <c r="E1360" t="s">
        <v>64</v>
      </c>
      <c r="F1360" t="s">
        <v>63</v>
      </c>
      <c r="G1360" t="s">
        <v>1163</v>
      </c>
      <c r="H1360" t="s">
        <v>1311</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4.4583317952924901E-3</v>
      </c>
      <c r="T1360" s="27">
        <f t="shared" si="536"/>
        <v>4.461540810317099E-3</v>
      </c>
      <c r="U1360" s="27">
        <f t="shared" si="536"/>
        <v>4.460412588981404E-3</v>
      </c>
      <c r="V1360" s="27">
        <f t="shared" si="536"/>
        <v>4.4603313660439596E-3</v>
      </c>
      <c r="W1360" s="27">
        <f t="shared" si="536"/>
        <v>4.4650624817454574E-3</v>
      </c>
      <c r="X1360" s="27">
        <f t="shared" si="536"/>
        <v>4.472805388518619E-3</v>
      </c>
      <c r="Y1360" s="27">
        <f t="shared" si="536"/>
        <v>4.480234793471081E-3</v>
      </c>
      <c r="Z1360" s="27">
        <f t="shared" si="536"/>
        <v>4.4873746654050216E-3</v>
      </c>
      <c r="AA1360" s="27">
        <f t="shared" si="536"/>
        <v>4.494215260234709E-3</v>
      </c>
      <c r="AB1360" s="27">
        <f t="shared" si="536"/>
        <v>4.5008991343885481E-3</v>
      </c>
      <c r="AC1360" s="27">
        <f t="shared" si="536"/>
        <v>4.5075239217344356E-3</v>
      </c>
      <c r="AD1360" s="27">
        <f t="shared" si="536"/>
        <v>4.5140231510574953E-3</v>
      </c>
      <c r="AE1360" s="27">
        <f t="shared" si="536"/>
        <v>4.5204902706730936E-3</v>
      </c>
      <c r="AF1360" s="27">
        <f t="shared" si="536"/>
        <v>4.5269049079044851E-3</v>
      </c>
      <c r="AG1360" s="27">
        <f t="shared" si="536"/>
        <v>4.5332156646464309E-3</v>
      </c>
      <c r="AH1360" s="27">
        <f t="shared" si="536"/>
        <v>4.5394503254180246E-3</v>
      </c>
      <c r="AI1360" s="27">
        <f t="shared" si="536"/>
        <v>4.5456155434925177E-3</v>
      </c>
      <c r="AJ1360" s="27">
        <f t="shared" si="536"/>
        <v>4.5517322494299031E-3</v>
      </c>
      <c r="AK1360" s="27">
        <f t="shared" si="536"/>
        <v>4.5576132842011325E-3</v>
      </c>
      <c r="AL1360" s="27">
        <f t="shared" si="536"/>
        <v>4.5632517671133398E-3</v>
      </c>
      <c r="AM1360" s="27">
        <f t="shared" si="536"/>
        <v>4.5687003958982874E-3</v>
      </c>
      <c r="AN1360" s="27">
        <f t="shared" si="536"/>
        <v>4.5739172155363928E-3</v>
      </c>
      <c r="AO1360" s="27">
        <f t="shared" si="536"/>
        <v>4.5789116897468072E-3</v>
      </c>
      <c r="AP1360" s="27">
        <f t="shared" si="536"/>
        <v>4.5836613233262938E-3</v>
      </c>
      <c r="AQ1360" s="27">
        <f t="shared" si="536"/>
        <v>4.5880981486463275E-3</v>
      </c>
      <c r="AR1360" s="27">
        <f t="shared" si="536"/>
        <v>4.592159181597999E-3</v>
      </c>
      <c r="AS1360" s="27">
        <f t="shared" si="536"/>
        <v>4.5958403193991975E-3</v>
      </c>
      <c r="AT1360" s="27">
        <f t="shared" si="536"/>
        <v>4.5991133923720465E-3</v>
      </c>
      <c r="AU1360" s="27">
        <f t="shared" si="536"/>
        <v>4.6019768219588081E-3</v>
      </c>
      <c r="AV1360" s="27">
        <f t="shared" si="536"/>
        <v>4.6044854054681089E-3</v>
      </c>
      <c r="AW1360" s="27">
        <f t="shared" si="536"/>
        <v>4.6063133110806655E-3</v>
      </c>
      <c r="AY1360" s="79"/>
      <c r="AZ1360" s="79"/>
    </row>
    <row r="1361" spans="1:52" x14ac:dyDescent="0.25">
      <c r="A1361" s="95" t="str">
        <f t="shared" si="514"/>
        <v>FSFAGSPQNIBDDSCM MM Leaching</v>
      </c>
      <c r="B1361" s="95" t="s">
        <v>1374</v>
      </c>
      <c r="C1361" s="95" t="s">
        <v>1332</v>
      </c>
      <c r="D1361" t="s">
        <v>369</v>
      </c>
      <c r="E1361" t="s">
        <v>64</v>
      </c>
      <c r="F1361" t="s">
        <v>63</v>
      </c>
      <c r="G1361" t="s">
        <v>1165</v>
      </c>
      <c r="H1361" t="s">
        <v>1312</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3.7085296571107255E-3</v>
      </c>
      <c r="T1361" s="27">
        <f t="shared" si="537"/>
        <v>3.7111989800627421E-3</v>
      </c>
      <c r="U1361" s="27">
        <f t="shared" si="537"/>
        <v>3.7102605029651799E-3</v>
      </c>
      <c r="V1361" s="27">
        <f t="shared" si="537"/>
        <v>3.7101929400994759E-3</v>
      </c>
      <c r="W1361" s="27">
        <f t="shared" si="537"/>
        <v>3.7141283768717579E-3</v>
      </c>
      <c r="X1361" s="27">
        <f t="shared" si="537"/>
        <v>3.7205690817629544E-3</v>
      </c>
      <c r="Y1361" s="27">
        <f t="shared" si="537"/>
        <v>3.7267490095624013E-3</v>
      </c>
      <c r="Z1361" s="27">
        <f t="shared" si="537"/>
        <v>3.732688097999684E-3</v>
      </c>
      <c r="AA1361" s="27">
        <f t="shared" si="537"/>
        <v>3.7383782417491837E-3</v>
      </c>
      <c r="AB1361" s="27">
        <f t="shared" si="537"/>
        <v>3.7439380221024701E-3</v>
      </c>
      <c r="AC1361" s="27">
        <f t="shared" si="537"/>
        <v>3.7494486528658025E-3</v>
      </c>
      <c r="AD1361" s="27">
        <f t="shared" si="537"/>
        <v>3.7548548419516796E-3</v>
      </c>
      <c r="AE1361" s="27">
        <f t="shared" si="537"/>
        <v>3.7602343215399525E-3</v>
      </c>
      <c r="AF1361" s="27">
        <f t="shared" si="537"/>
        <v>3.7655701452301818E-3</v>
      </c>
      <c r="AG1361" s="27">
        <f t="shared" si="537"/>
        <v>3.7708195590492773E-3</v>
      </c>
      <c r="AH1361" s="27">
        <f t="shared" si="537"/>
        <v>3.7760056747165515E-3</v>
      </c>
      <c r="AI1361" s="27">
        <f t="shared" si="537"/>
        <v>3.7811340265579189E-3</v>
      </c>
      <c r="AJ1361" s="27">
        <f t="shared" si="537"/>
        <v>3.7862220250322745E-3</v>
      </c>
      <c r="AK1361" s="27">
        <f t="shared" si="537"/>
        <v>3.791113987511746E-3</v>
      </c>
      <c r="AL1361" s="27">
        <f t="shared" si="537"/>
        <v>3.7958041904982334E-3</v>
      </c>
      <c r="AM1361" s="27">
        <f t="shared" si="537"/>
        <v>3.8003364690201913E-3</v>
      </c>
      <c r="AN1361" s="27">
        <f t="shared" si="537"/>
        <v>3.8046759240522587E-3</v>
      </c>
      <c r="AO1361" s="27">
        <f t="shared" si="537"/>
        <v>3.8088304277055216E-3</v>
      </c>
      <c r="AP1361" s="27">
        <f t="shared" si="537"/>
        <v>3.8127812680195002E-3</v>
      </c>
      <c r="AQ1361" s="27">
        <f t="shared" si="537"/>
        <v>3.8164719081598638E-3</v>
      </c>
      <c r="AR1361" s="27">
        <f t="shared" si="537"/>
        <v>3.8198499566836808E-3</v>
      </c>
      <c r="AS1361" s="27">
        <f t="shared" si="537"/>
        <v>3.822912000814643E-3</v>
      </c>
      <c r="AT1361" s="27">
        <f t="shared" si="537"/>
        <v>3.8256346084506454E-3</v>
      </c>
      <c r="AU1361" s="27">
        <f t="shared" si="537"/>
        <v>3.8280164665157558E-3</v>
      </c>
      <c r="AV1361" s="27">
        <f t="shared" si="537"/>
        <v>3.830103156508502E-3</v>
      </c>
      <c r="AW1361" s="27">
        <f t="shared" si="537"/>
        <v>3.831623644997431E-3</v>
      </c>
      <c r="AY1361" s="79"/>
      <c r="AZ1361" s="79"/>
    </row>
    <row r="1362" spans="1:52" x14ac:dyDescent="0.25">
      <c r="A1362" s="95" t="str">
        <f t="shared" si="514"/>
        <v>FSFAGSPQNIBDDSCM MM Leaching</v>
      </c>
      <c r="B1362" s="95" t="s">
        <v>1374</v>
      </c>
      <c r="C1362" s="95" t="s">
        <v>1332</v>
      </c>
      <c r="D1362" t="s">
        <v>369</v>
      </c>
      <c r="E1362" t="s">
        <v>64</v>
      </c>
      <c r="F1362" t="s">
        <v>63</v>
      </c>
      <c r="G1362" t="s">
        <v>1167</v>
      </c>
      <c r="H1362" t="s">
        <v>1313</v>
      </c>
      <c r="I1362" t="s">
        <v>139</v>
      </c>
      <c r="J1362" t="s">
        <v>287</v>
      </c>
      <c r="K1362" s="27">
        <f t="shared" ref="K1362:AW1362" si="538">IFERROR(K1555-((K1555-K146)+(K1555-K299)+(K1555-K452)+(K1555-K604)+(K1555-K756)+(K1555-K907)+(K1555-K1058)+(K1555-K1209)),0)</f>
        <v>5.4322987485311551E-4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5.5840147541839707E-4</v>
      </c>
      <c r="R1362" s="27">
        <f t="shared" si="538"/>
        <v>5.620753208024884E-4</v>
      </c>
      <c r="S1362" s="27">
        <f t="shared" si="538"/>
        <v>5.6069712046990367E-4</v>
      </c>
      <c r="T1362" s="27">
        <f t="shared" si="538"/>
        <v>5.6166095935732032E-4</v>
      </c>
      <c r="U1362" s="27">
        <f t="shared" si="538"/>
        <v>5.6175448886496286E-4</v>
      </c>
      <c r="V1362" s="27">
        <f t="shared" si="538"/>
        <v>5.6201163535097535E-4</v>
      </c>
      <c r="W1362" s="27">
        <f t="shared" si="538"/>
        <v>5.6314854989012028E-4</v>
      </c>
      <c r="X1362" s="27">
        <f t="shared" si="538"/>
        <v>5.6482088760724937E-4</v>
      </c>
      <c r="Y1362" s="27">
        <f t="shared" si="538"/>
        <v>5.6639948615984891E-4</v>
      </c>
      <c r="Z1362" s="27">
        <f t="shared" si="538"/>
        <v>5.6789176789216864E-4</v>
      </c>
      <c r="AA1362" s="27">
        <f t="shared" si="538"/>
        <v>5.692984966381053E-4</v>
      </c>
      <c r="AB1362" s="27">
        <f t="shared" si="538"/>
        <v>5.7064878025290242E-4</v>
      </c>
      <c r="AC1362" s="27">
        <f t="shared" si="538"/>
        <v>5.7196287833233815E-4</v>
      </c>
      <c r="AD1362" s="27">
        <f t="shared" si="538"/>
        <v>5.7323006225721597E-4</v>
      </c>
      <c r="AE1362" s="27">
        <f t="shared" si="538"/>
        <v>5.7446936511734096E-4</v>
      </c>
      <c r="AF1362" s="27">
        <f t="shared" si="538"/>
        <v>5.7567836458981281E-4</v>
      </c>
      <c r="AG1362" s="27">
        <f t="shared" si="538"/>
        <v>5.7684878803825762E-4</v>
      </c>
      <c r="AH1362" s="27">
        <f t="shared" si="538"/>
        <v>5.7798700555519505E-4</v>
      </c>
      <c r="AI1362" s="27">
        <f t="shared" si="538"/>
        <v>5.7909534227176243E-4</v>
      </c>
      <c r="AJ1362" s="27">
        <f t="shared" si="538"/>
        <v>5.8017866455598575E-4</v>
      </c>
      <c r="AK1362" s="27">
        <f t="shared" si="538"/>
        <v>5.8120338345125585E-4</v>
      </c>
      <c r="AL1362" s="27">
        <f t="shared" si="538"/>
        <v>5.8216925674029819E-4</v>
      </c>
      <c r="AM1362" s="27">
        <f t="shared" si="538"/>
        <v>5.8308692423697495E-4</v>
      </c>
      <c r="AN1362" s="27">
        <f t="shared" si="538"/>
        <v>5.839495453276261E-4</v>
      </c>
      <c r="AO1362" s="27">
        <f t="shared" si="538"/>
        <v>5.8475968776002874E-4</v>
      </c>
      <c r="AP1362" s="27">
        <f t="shared" si="538"/>
        <v>5.8551401869501036E-4</v>
      </c>
      <c r="AQ1362" s="27">
        <f t="shared" si="538"/>
        <v>5.8620089468398309E-4</v>
      </c>
      <c r="AR1362" s="27">
        <f t="shared" si="538"/>
        <v>5.868096200135702E-4</v>
      </c>
      <c r="AS1362" s="27">
        <f t="shared" si="538"/>
        <v>5.87340236215825E-4</v>
      </c>
      <c r="AT1362" s="27">
        <f t="shared" si="538"/>
        <v>5.8778838343391971E-4</v>
      </c>
      <c r="AU1362" s="27">
        <f t="shared" si="538"/>
        <v>5.8815451618636234E-4</v>
      </c>
      <c r="AV1362" s="27">
        <f t="shared" si="538"/>
        <v>5.8844925401827929E-4</v>
      </c>
      <c r="AW1362" s="27">
        <f t="shared" si="538"/>
        <v>5.8861438328620193E-4</v>
      </c>
      <c r="AY1362" s="79"/>
      <c r="AZ1362" s="79"/>
    </row>
    <row r="1363" spans="1:52" x14ac:dyDescent="0.25">
      <c r="A1363" s="95" t="str">
        <f t="shared" si="514"/>
        <v>FSFAGSPQNIBDDSCM MM Leaching</v>
      </c>
      <c r="B1363" s="95" t="s">
        <v>1374</v>
      </c>
      <c r="C1363" s="95" t="s">
        <v>1332</v>
      </c>
      <c r="D1363" t="s">
        <v>369</v>
      </c>
      <c r="E1363" t="s">
        <v>64</v>
      </c>
      <c r="F1363" t="s">
        <v>63</v>
      </c>
      <c r="G1363" t="s">
        <v>1169</v>
      </c>
      <c r="H1363" t="s">
        <v>1314</v>
      </c>
      <c r="I1363" t="s">
        <v>139</v>
      </c>
      <c r="J1363" t="s">
        <v>287</v>
      </c>
      <c r="K1363" s="27">
        <f t="shared" ref="K1363:AW1363" si="539">IFERROR(K1556-((K1556-K147)+(K1556-K300)+(K1556-K453)+(K1556-K605)+(K1556-K757)+(K1556-K908)+(K1556-K1059)+(K1556-K1210)),0)</f>
        <v>6.6992563985089938E-3</v>
      </c>
      <c r="L1363" s="27">
        <f t="shared" si="539"/>
        <v>6.716671231449923E-3</v>
      </c>
      <c r="M1363" s="27">
        <f t="shared" si="539"/>
        <v>6.7406943780734313E-3</v>
      </c>
      <c r="N1363" s="27">
        <f t="shared" si="539"/>
        <v>6.769960915195136E-3</v>
      </c>
      <c r="O1363" s="27">
        <f t="shared" si="539"/>
        <v>6.8044291009834836E-3</v>
      </c>
      <c r="P1363" s="27">
        <f t="shared" si="539"/>
        <v>6.8438891439814974E-3</v>
      </c>
      <c r="Q1363" s="27">
        <f t="shared" si="539"/>
        <v>6.8863566425632549E-3</v>
      </c>
      <c r="R1363" s="27">
        <f t="shared" si="539"/>
        <v>6.9316634884048298E-3</v>
      </c>
      <c r="S1363" s="27">
        <f t="shared" si="539"/>
        <v>6.9146671525553097E-3</v>
      </c>
      <c r="T1363" s="27">
        <f t="shared" si="539"/>
        <v>6.9265534720170359E-3</v>
      </c>
      <c r="U1363" s="27">
        <f t="shared" si="539"/>
        <v>6.92770690297054E-3</v>
      </c>
      <c r="V1363" s="27">
        <f t="shared" si="539"/>
        <v>6.9308781023495105E-3</v>
      </c>
      <c r="W1363" s="27">
        <f t="shared" si="539"/>
        <v>6.9448988371314212E-3</v>
      </c>
      <c r="X1363" s="27">
        <f t="shared" si="539"/>
        <v>6.9655225540339091E-3</v>
      </c>
      <c r="Y1363" s="27">
        <f t="shared" si="539"/>
        <v>6.9849902544379758E-3</v>
      </c>
      <c r="Z1363" s="27">
        <f t="shared" si="539"/>
        <v>7.0033934726820464E-3</v>
      </c>
      <c r="AA1363" s="27">
        <f t="shared" si="539"/>
        <v>7.0207416285704375E-3</v>
      </c>
      <c r="AB1363" s="27">
        <f t="shared" si="539"/>
        <v>7.0373936879747148E-3</v>
      </c>
      <c r="AC1363" s="27">
        <f t="shared" si="539"/>
        <v>7.0535994976594404E-3</v>
      </c>
      <c r="AD1363" s="27">
        <f t="shared" si="539"/>
        <v>7.0692267494174947E-3</v>
      </c>
      <c r="AE1363" s="27">
        <f t="shared" si="539"/>
        <v>7.0845101644130852E-3</v>
      </c>
      <c r="AF1363" s="27">
        <f t="shared" si="539"/>
        <v>7.0994198699110417E-3</v>
      </c>
      <c r="AG1363" s="27">
        <f t="shared" si="539"/>
        <v>7.113853845542588E-3</v>
      </c>
      <c r="AH1363" s="27">
        <f t="shared" si="539"/>
        <v>7.1278906489958219E-3</v>
      </c>
      <c r="AI1363" s="27">
        <f t="shared" si="539"/>
        <v>7.1415589544110468E-3</v>
      </c>
      <c r="AJ1363" s="27">
        <f t="shared" si="539"/>
        <v>7.1549187751429096E-3</v>
      </c>
      <c r="AK1363" s="27">
        <f t="shared" si="539"/>
        <v>7.1675558831769013E-3</v>
      </c>
      <c r="AL1363" s="27">
        <f t="shared" si="539"/>
        <v>7.179467291424684E-3</v>
      </c>
      <c r="AM1363" s="27">
        <f t="shared" si="539"/>
        <v>7.1907842129221942E-3</v>
      </c>
      <c r="AN1363" s="27">
        <f t="shared" si="539"/>
        <v>7.2014222873885451E-3</v>
      </c>
      <c r="AO1363" s="27">
        <f t="shared" si="539"/>
        <v>7.2114131809774594E-3</v>
      </c>
      <c r="AP1363" s="27">
        <f t="shared" si="539"/>
        <v>7.2207157922230866E-3</v>
      </c>
      <c r="AQ1363" s="27">
        <f t="shared" si="539"/>
        <v>7.2291865309970747E-3</v>
      </c>
      <c r="AR1363" s="27">
        <f t="shared" si="539"/>
        <v>7.2366934948956893E-3</v>
      </c>
      <c r="AS1363" s="27">
        <f t="shared" si="539"/>
        <v>7.2432371961033398E-3</v>
      </c>
      <c r="AT1363" s="27">
        <f t="shared" si="539"/>
        <v>7.2487638676972145E-3</v>
      </c>
      <c r="AU1363" s="27">
        <f t="shared" si="539"/>
        <v>7.2532791149213611E-3</v>
      </c>
      <c r="AV1363" s="27">
        <f t="shared" si="539"/>
        <v>7.2569139008522455E-3</v>
      </c>
      <c r="AW1363" s="27">
        <f t="shared" si="539"/>
        <v>7.258950319237764E-3</v>
      </c>
      <c r="AY1363" s="79"/>
      <c r="AZ1363" s="79"/>
    </row>
    <row r="1364" spans="1:52" x14ac:dyDescent="0.25">
      <c r="A1364" s="95" t="str">
        <f t="shared" si="514"/>
        <v>FSFAGSPQNIBDDSCM MM Leaching</v>
      </c>
      <c r="B1364" s="95" t="s">
        <v>1374</v>
      </c>
      <c r="C1364" s="95" t="s">
        <v>1332</v>
      </c>
      <c r="D1364" t="s">
        <v>369</v>
      </c>
      <c r="E1364" t="s">
        <v>64</v>
      </c>
      <c r="F1364" t="s">
        <v>63</v>
      </c>
      <c r="G1364" t="s">
        <v>1171</v>
      </c>
      <c r="H1364" t="s">
        <v>1315</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5">
      <c r="A1365" s="95" t="str">
        <f t="shared" si="514"/>
        <v>FSFAGSPQNIBDDSCM MM Leaching</v>
      </c>
      <c r="B1365" s="95" t="s">
        <v>1374</v>
      </c>
      <c r="C1365" s="95" t="s">
        <v>1332</v>
      </c>
      <c r="D1365" t="s">
        <v>369</v>
      </c>
      <c r="E1365" t="s">
        <v>64</v>
      </c>
      <c r="F1365" t="s">
        <v>63</v>
      </c>
      <c r="G1365" t="s">
        <v>1173</v>
      </c>
      <c r="H1365" t="s">
        <v>1316</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5">
      <c r="A1366" s="95" t="str">
        <f t="shared" si="514"/>
        <v>FSFAGSPQNIBDDSCM MM Leaching</v>
      </c>
      <c r="B1366" s="95" t="s">
        <v>1374</v>
      </c>
      <c r="C1366" s="95" t="s">
        <v>1332</v>
      </c>
      <c r="D1366" t="s">
        <v>369</v>
      </c>
      <c r="E1366" t="s">
        <v>64</v>
      </c>
      <c r="F1366" t="s">
        <v>63</v>
      </c>
      <c r="G1366" t="s">
        <v>1175</v>
      </c>
      <c r="H1366" t="s">
        <v>1317</v>
      </c>
      <c r="I1366" t="s">
        <v>139</v>
      </c>
      <c r="J1366" t="s">
        <v>287</v>
      </c>
      <c r="K1366" s="27">
        <f t="shared" ref="K1366:AW1366" si="542">IFERROR(K1559-((K1559-K150)+(K1559-K303)+(K1559-K456)+(K1559-K608)+(K1559-K760)+(K1559-K911)+(K1559-K1062)+(K1559-K1213)),0)</f>
        <v>2.6875086183165937E-2</v>
      </c>
      <c r="L1366" s="27">
        <f t="shared" si="542"/>
        <v>2.6729002214214575E-2</v>
      </c>
      <c r="M1366" s="27">
        <f t="shared" si="542"/>
        <v>2.6740992333189311E-2</v>
      </c>
      <c r="N1366" s="27">
        <f t="shared" si="542"/>
        <v>2.6495489531984436E-2</v>
      </c>
      <c r="O1366" s="27">
        <f t="shared" si="542"/>
        <v>2.6094526833046999E-2</v>
      </c>
      <c r="P1366" s="27">
        <f t="shared" si="542"/>
        <v>2.5544514050244028E-2</v>
      </c>
      <c r="Q1366" s="27">
        <f t="shared" si="542"/>
        <v>2.5145143775072754E-2</v>
      </c>
      <c r="R1366" s="27">
        <f t="shared" si="542"/>
        <v>2.4781112413324518E-2</v>
      </c>
      <c r="S1366" s="27">
        <f t="shared" si="542"/>
        <v>2.2261363297447542E-2</v>
      </c>
      <c r="T1366" s="27">
        <f t="shared" si="542"/>
        <v>2.326732754049585E-2</v>
      </c>
      <c r="U1366" s="27">
        <f t="shared" si="542"/>
        <v>2.3571460777264748E-2</v>
      </c>
      <c r="V1366" s="27">
        <f t="shared" si="542"/>
        <v>2.3338833343161457E-2</v>
      </c>
      <c r="W1366" s="27">
        <f t="shared" si="542"/>
        <v>2.3134238751808155E-2</v>
      </c>
      <c r="X1366" s="27">
        <f t="shared" si="542"/>
        <v>2.3071008709265216E-2</v>
      </c>
      <c r="Y1366" s="27">
        <f t="shared" si="542"/>
        <v>2.3143649238261243E-2</v>
      </c>
      <c r="Z1366" s="27">
        <f t="shared" si="542"/>
        <v>2.3278949396695201E-2</v>
      </c>
      <c r="AA1366" s="27">
        <f t="shared" si="542"/>
        <v>2.3492345128489588E-2</v>
      </c>
      <c r="AB1366" s="27">
        <f t="shared" si="542"/>
        <v>2.3835144398287569E-2</v>
      </c>
      <c r="AC1366" s="27">
        <f t="shared" si="542"/>
        <v>2.4295378697531386E-2</v>
      </c>
      <c r="AD1366" s="27">
        <f t="shared" si="542"/>
        <v>2.4819194567643824E-2</v>
      </c>
      <c r="AE1366" s="27">
        <f t="shared" si="542"/>
        <v>2.5401392072493423E-2</v>
      </c>
      <c r="AF1366" s="27">
        <f t="shared" si="542"/>
        <v>2.6012849455983828E-2</v>
      </c>
      <c r="AG1366" s="27">
        <f t="shared" si="542"/>
        <v>2.6664067926854041E-2</v>
      </c>
      <c r="AH1366" s="27">
        <f t="shared" si="542"/>
        <v>2.734101119130557E-2</v>
      </c>
      <c r="AI1366" s="27">
        <f t="shared" si="542"/>
        <v>2.7997936856370267E-2</v>
      </c>
      <c r="AJ1366" s="27">
        <f t="shared" si="542"/>
        <v>2.8698310105033351E-2</v>
      </c>
      <c r="AK1366" s="27">
        <f t="shared" si="542"/>
        <v>2.9400080296227163E-2</v>
      </c>
      <c r="AL1366" s="27">
        <f t="shared" si="542"/>
        <v>3.0099562920322648E-2</v>
      </c>
      <c r="AM1366" s="27">
        <f t="shared" si="542"/>
        <v>3.0814857244530154E-2</v>
      </c>
      <c r="AN1366" s="27">
        <f t="shared" si="542"/>
        <v>3.1499706541710935E-2</v>
      </c>
      <c r="AO1366" s="27">
        <f t="shared" si="542"/>
        <v>3.2216361362909209E-2</v>
      </c>
      <c r="AP1366" s="27">
        <f t="shared" si="542"/>
        <v>3.2985480796324254E-2</v>
      </c>
      <c r="AQ1366" s="27">
        <f t="shared" si="542"/>
        <v>3.376804159970731E-2</v>
      </c>
      <c r="AR1366" s="27">
        <f t="shared" si="542"/>
        <v>3.4565482452675621E-2</v>
      </c>
      <c r="AS1366" s="27">
        <f t="shared" si="542"/>
        <v>3.5417207872959197E-2</v>
      </c>
      <c r="AT1366" s="27">
        <f t="shared" si="542"/>
        <v>3.6308390334093638E-2</v>
      </c>
      <c r="AU1366" s="27">
        <f t="shared" si="542"/>
        <v>3.7228871549923839E-2</v>
      </c>
      <c r="AV1366" s="27">
        <f t="shared" si="542"/>
        <v>3.8202529295473395E-2</v>
      </c>
      <c r="AW1366" s="27">
        <f t="shared" si="542"/>
        <v>3.9083865804736009E-2</v>
      </c>
      <c r="AY1366" s="79"/>
      <c r="AZ1366" s="79"/>
    </row>
    <row r="1367" spans="1:52" x14ac:dyDescent="0.25">
      <c r="A1367" s="95" t="str">
        <f t="shared" si="514"/>
        <v>FSFAGSPQNIBDDSCM MM Leaching</v>
      </c>
      <c r="B1367" s="95" t="s">
        <v>1374</v>
      </c>
      <c r="C1367" s="95" t="s">
        <v>1332</v>
      </c>
      <c r="D1367" t="s">
        <v>369</v>
      </c>
      <c r="E1367" t="s">
        <v>64</v>
      </c>
      <c r="F1367" t="s">
        <v>63</v>
      </c>
      <c r="G1367" t="s">
        <v>1177</v>
      </c>
      <c r="H1367" t="s">
        <v>1318</v>
      </c>
      <c r="I1367" t="s">
        <v>139</v>
      </c>
      <c r="J1367" t="s">
        <v>287</v>
      </c>
      <c r="K1367" s="27">
        <f t="shared" ref="K1367:AW1367" si="543">IFERROR(K1560-((K1560-K151)+(K1560-K304)+(K1560-K457)+(K1560-K609)+(K1560-K761)+(K1560-K912)+(K1560-K1063)+(K1560-K1214)),0)</f>
        <v>4.0166140097319695E-3</v>
      </c>
      <c r="L1367" s="27">
        <f t="shared" si="543"/>
        <v>3.9947810410006978E-3</v>
      </c>
      <c r="M1367" s="27">
        <f t="shared" si="543"/>
        <v>3.9965730233416669E-3</v>
      </c>
      <c r="N1367" s="27">
        <f t="shared" si="543"/>
        <v>3.9598814204188986E-3</v>
      </c>
      <c r="O1367" s="27">
        <f t="shared" si="543"/>
        <v>3.8999555700251287E-3</v>
      </c>
      <c r="P1367" s="27">
        <f t="shared" si="543"/>
        <v>3.8177534504158584E-3</v>
      </c>
      <c r="Q1367" s="27">
        <f t="shared" si="543"/>
        <v>3.7580655955978051E-3</v>
      </c>
      <c r="R1367" s="27">
        <f t="shared" si="543"/>
        <v>3.7036593154610876E-3</v>
      </c>
      <c r="S1367" s="27">
        <f t="shared" si="543"/>
        <v>3.3270703984670008E-3</v>
      </c>
      <c r="T1367" s="27">
        <f t="shared" si="543"/>
        <v>3.4774167097077883E-3</v>
      </c>
      <c r="U1367" s="27">
        <f t="shared" si="543"/>
        <v>3.5228709200238193E-3</v>
      </c>
      <c r="V1367" s="27">
        <f t="shared" si="543"/>
        <v>3.4881036041350764E-3</v>
      </c>
      <c r="W1367" s="27">
        <f t="shared" si="543"/>
        <v>3.4575259346777865E-3</v>
      </c>
      <c r="X1367" s="27">
        <f t="shared" si="543"/>
        <v>3.448075893365063E-3</v>
      </c>
      <c r="Y1367" s="27">
        <f t="shared" si="543"/>
        <v>3.4589323782318001E-3</v>
      </c>
      <c r="Z1367" s="27">
        <f t="shared" si="543"/>
        <v>3.4791536533630104E-3</v>
      </c>
      <c r="AA1367" s="27">
        <f t="shared" si="543"/>
        <v>3.5110466966113414E-3</v>
      </c>
      <c r="AB1367" s="27">
        <f t="shared" si="543"/>
        <v>3.5622797360223518E-3</v>
      </c>
      <c r="AC1367" s="27">
        <f t="shared" si="543"/>
        <v>3.6310640190383376E-3</v>
      </c>
      <c r="AD1367" s="27">
        <f t="shared" si="543"/>
        <v>3.7093508810068579E-3</v>
      </c>
      <c r="AE1367" s="27">
        <f t="shared" si="543"/>
        <v>3.7963631658595345E-3</v>
      </c>
      <c r="AF1367" s="27">
        <f t="shared" si="543"/>
        <v>3.8877484837016034E-3</v>
      </c>
      <c r="AG1367" s="27">
        <f t="shared" si="543"/>
        <v>3.98507629190532E-3</v>
      </c>
      <c r="AH1367" s="27">
        <f t="shared" si="543"/>
        <v>4.0862487972233809E-3</v>
      </c>
      <c r="AI1367" s="27">
        <f t="shared" si="543"/>
        <v>4.1844295737116129E-3</v>
      </c>
      <c r="AJ1367" s="27">
        <f t="shared" si="543"/>
        <v>4.2891038055800747E-3</v>
      </c>
      <c r="AK1367" s="27">
        <f t="shared" si="543"/>
        <v>4.3939868173907288E-3</v>
      </c>
      <c r="AL1367" s="27">
        <f t="shared" si="543"/>
        <v>4.4985279410305803E-3</v>
      </c>
      <c r="AM1367" s="27">
        <f t="shared" si="543"/>
        <v>4.6054322011364794E-3</v>
      </c>
      <c r="AN1367" s="27">
        <f t="shared" si="543"/>
        <v>4.707786301988981E-3</v>
      </c>
      <c r="AO1367" s="27">
        <f t="shared" si="543"/>
        <v>4.8148938950716034E-3</v>
      </c>
      <c r="AP1367" s="27">
        <f t="shared" si="543"/>
        <v>4.929842582877003E-3</v>
      </c>
      <c r="AQ1367" s="27">
        <f t="shared" si="543"/>
        <v>5.046800149632805E-3</v>
      </c>
      <c r="AR1367" s="27">
        <f t="shared" si="543"/>
        <v>5.1659816130943592E-3</v>
      </c>
      <c r="AS1367" s="27">
        <f t="shared" si="543"/>
        <v>5.2932761725327836E-3</v>
      </c>
      <c r="AT1367" s="27">
        <f t="shared" si="543"/>
        <v>5.4264677810814564E-3</v>
      </c>
      <c r="AU1367" s="27">
        <f t="shared" si="543"/>
        <v>5.5640382328374224E-3</v>
      </c>
      <c r="AV1367" s="27">
        <f t="shared" si="543"/>
        <v>5.7095561788936492E-3</v>
      </c>
      <c r="AW1367" s="27">
        <f t="shared" si="543"/>
        <v>5.8412762614364865E-3</v>
      </c>
      <c r="AY1367" s="79"/>
      <c r="AZ1367" s="79"/>
    </row>
    <row r="1368" spans="1:52" x14ac:dyDescent="0.25">
      <c r="A1368" s="95" t="str">
        <f t="shared" si="514"/>
        <v>FSFAGSPQNIBDDSCM MM Leaching</v>
      </c>
      <c r="B1368" s="95" t="s">
        <v>1374</v>
      </c>
      <c r="C1368" s="95" t="s">
        <v>1332</v>
      </c>
      <c r="D1368" t="s">
        <v>369</v>
      </c>
      <c r="E1368" t="s">
        <v>64</v>
      </c>
      <c r="F1368" t="s">
        <v>63</v>
      </c>
      <c r="G1368" t="s">
        <v>1179</v>
      </c>
      <c r="H1368" t="s">
        <v>1319</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1.8677293946611211E-2</v>
      </c>
      <c r="S1368" s="27">
        <f t="shared" si="544"/>
        <v>1.7926295011943302E-2</v>
      </c>
      <c r="T1368" s="27">
        <f t="shared" si="544"/>
        <v>1.8674748698375012E-2</v>
      </c>
      <c r="U1368" s="27">
        <f t="shared" si="544"/>
        <v>1.9119559955571311E-2</v>
      </c>
      <c r="V1368" s="27">
        <f t="shared" si="544"/>
        <v>1.933187353292521E-2</v>
      </c>
      <c r="W1368" s="27">
        <f t="shared" si="544"/>
        <v>1.9567336744090873E-2</v>
      </c>
      <c r="X1368" s="27">
        <f t="shared" si="544"/>
        <v>1.9874405903185278E-2</v>
      </c>
      <c r="Y1368" s="27">
        <f t="shared" si="544"/>
        <v>2.0244038198599948E-2</v>
      </c>
      <c r="Z1368" s="27">
        <f t="shared" si="544"/>
        <v>2.064493630250834E-2</v>
      </c>
      <c r="AA1368" s="27">
        <f t="shared" si="544"/>
        <v>2.1086941142640651E-2</v>
      </c>
      <c r="AB1368" s="27">
        <f t="shared" si="544"/>
        <v>2.1599318957249428E-2</v>
      </c>
      <c r="AC1368" s="27">
        <f t="shared" si="544"/>
        <v>2.2180513768392543E-2</v>
      </c>
      <c r="AD1368" s="27">
        <f t="shared" si="544"/>
        <v>2.2805803764739216E-2</v>
      </c>
      <c r="AE1368" s="27">
        <f t="shared" si="544"/>
        <v>2.3475090902088748E-2</v>
      </c>
      <c r="AF1368" s="27">
        <f t="shared" si="544"/>
        <v>2.4174535529571241E-2</v>
      </c>
      <c r="AG1368" s="27">
        <f t="shared" si="544"/>
        <v>2.4911238714913377E-2</v>
      </c>
      <c r="AH1368" s="27">
        <f t="shared" si="544"/>
        <v>2.5679011663267932E-2</v>
      </c>
      <c r="AI1368" s="27">
        <f t="shared" si="544"/>
        <v>2.645249874928041E-2</v>
      </c>
      <c r="AJ1368" s="27">
        <f t="shared" si="544"/>
        <v>2.7269372865090267E-2</v>
      </c>
      <c r="AK1368" s="27">
        <f t="shared" si="544"/>
        <v>2.8105461432882069E-2</v>
      </c>
      <c r="AL1368" s="27">
        <f t="shared" si="544"/>
        <v>2.8959047781856831E-2</v>
      </c>
      <c r="AM1368" s="27">
        <f t="shared" si="544"/>
        <v>2.9842194803075938E-2</v>
      </c>
      <c r="AN1368" s="27">
        <f t="shared" si="544"/>
        <v>3.0726207525762706E-2</v>
      </c>
      <c r="AO1368" s="27">
        <f t="shared" si="544"/>
        <v>3.1651324084180803E-2</v>
      </c>
      <c r="AP1368" s="27">
        <f t="shared" si="544"/>
        <v>3.263300298507002E-2</v>
      </c>
      <c r="AQ1368" s="27">
        <f t="shared" si="544"/>
        <v>3.3647129592199072E-2</v>
      </c>
      <c r="AR1368" s="27">
        <f t="shared" si="544"/>
        <v>3.4695684340366462E-2</v>
      </c>
      <c r="AS1368" s="27">
        <f t="shared" si="544"/>
        <v>3.5807702215394269E-2</v>
      </c>
      <c r="AT1368" s="27">
        <f t="shared" si="544"/>
        <v>3.6975350864185588E-2</v>
      </c>
      <c r="AU1368" s="27">
        <f t="shared" si="544"/>
        <v>3.8193620446260186E-2</v>
      </c>
      <c r="AV1368" s="27">
        <f t="shared" si="544"/>
        <v>3.9482562307511335E-2</v>
      </c>
      <c r="AW1368" s="27">
        <f t="shared" si="544"/>
        <v>4.0733932208981263E-2</v>
      </c>
      <c r="AY1368" s="79"/>
      <c r="AZ1368" s="79"/>
    </row>
    <row r="1369" spans="1:52" x14ac:dyDescent="0.25">
      <c r="A1369" s="95" t="str">
        <f t="shared" si="514"/>
        <v>FSFAGSPQNIBDDSCM MM Leaching</v>
      </c>
      <c r="B1369" s="95" t="s">
        <v>1374</v>
      </c>
      <c r="C1369" s="95" t="s">
        <v>1332</v>
      </c>
      <c r="D1369" t="s">
        <v>369</v>
      </c>
      <c r="E1369" t="s">
        <v>64</v>
      </c>
      <c r="F1369" t="s">
        <v>63</v>
      </c>
      <c r="G1369" t="s">
        <v>1181</v>
      </c>
      <c r="H1369" t="s">
        <v>1320</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8.024855331382115E-2</v>
      </c>
      <c r="N1369" s="27">
        <f t="shared" si="545"/>
        <v>8.0719757945382262E-2</v>
      </c>
      <c r="O1369" s="27">
        <f t="shared" si="545"/>
        <v>8.0430818839717685E-2</v>
      </c>
      <c r="P1369" s="27">
        <f t="shared" si="545"/>
        <v>7.938481013134728E-2</v>
      </c>
      <c r="Q1369" s="27">
        <f t="shared" si="545"/>
        <v>7.8944464359385597E-2</v>
      </c>
      <c r="R1369" s="27">
        <f t="shared" si="545"/>
        <v>7.8604018955287347E-2</v>
      </c>
      <c r="S1369" s="27">
        <f t="shared" si="545"/>
        <v>6.838761678762284E-2</v>
      </c>
      <c r="T1369" s="27">
        <f t="shared" si="545"/>
        <v>7.4574992595892425E-2</v>
      </c>
      <c r="U1369" s="27">
        <f t="shared" si="545"/>
        <v>7.755216316581004E-2</v>
      </c>
      <c r="V1369" s="27">
        <f t="shared" si="545"/>
        <v>7.7924677783992133E-2</v>
      </c>
      <c r="W1369" s="27">
        <f t="shared" si="545"/>
        <v>7.8354110824083251E-2</v>
      </c>
      <c r="X1369" s="27">
        <f t="shared" si="545"/>
        <v>7.9443157162657083E-2</v>
      </c>
      <c r="Y1369" s="27">
        <f t="shared" si="545"/>
        <v>8.1236326250134938E-2</v>
      </c>
      <c r="Z1369" s="27">
        <f t="shared" si="545"/>
        <v>8.3381793031121837E-2</v>
      </c>
      <c r="AA1369" s="27">
        <f t="shared" si="545"/>
        <v>8.5974252242443622E-2</v>
      </c>
      <c r="AB1369" s="27">
        <f t="shared" si="545"/>
        <v>8.9301533057552729E-2</v>
      </c>
      <c r="AC1369" s="27">
        <f t="shared" si="545"/>
        <v>9.3325676960655579E-2</v>
      </c>
      <c r="AD1369" s="27">
        <f t="shared" si="545"/>
        <v>9.7779695826372345E-2</v>
      </c>
      <c r="AE1369" s="27">
        <f t="shared" si="545"/>
        <v>0.10264881318689535</v>
      </c>
      <c r="AF1369" s="27">
        <f t="shared" si="545"/>
        <v>0.1077848208225682</v>
      </c>
      <c r="AG1369" s="27">
        <f t="shared" si="545"/>
        <v>0.11325644741449936</v>
      </c>
      <c r="AH1369" s="27">
        <f t="shared" si="545"/>
        <v>0.11899390557339033</v>
      </c>
      <c r="AI1369" s="27">
        <f t="shared" si="545"/>
        <v>0.12473968814681194</v>
      </c>
      <c r="AJ1369" s="27">
        <f t="shared" si="545"/>
        <v>0.13086543937710404</v>
      </c>
      <c r="AK1369" s="27">
        <f t="shared" si="545"/>
        <v>0.13713570688007848</v>
      </c>
      <c r="AL1369" s="27">
        <f t="shared" si="545"/>
        <v>0.14353189422654788</v>
      </c>
      <c r="AM1369" s="27">
        <f t="shared" si="545"/>
        <v>0.15016680935758497</v>
      </c>
      <c r="AN1369" s="27">
        <f t="shared" si="545"/>
        <v>0.15676188787571166</v>
      </c>
      <c r="AO1369" s="27">
        <f t="shared" si="545"/>
        <v>0.16370376989202984</v>
      </c>
      <c r="AP1369" s="27">
        <f t="shared" si="545"/>
        <v>0.17113537656800237</v>
      </c>
      <c r="AQ1369" s="27">
        <f t="shared" si="545"/>
        <v>0.17882351737077742</v>
      </c>
      <c r="AR1369" s="27">
        <f t="shared" si="545"/>
        <v>0.18678614513935693</v>
      </c>
      <c r="AS1369" s="27">
        <f t="shared" si="545"/>
        <v>0.19529177080691471</v>
      </c>
      <c r="AT1369" s="27">
        <f t="shared" si="545"/>
        <v>0.20426055038144844</v>
      </c>
      <c r="AU1369" s="27">
        <f t="shared" si="545"/>
        <v>0.21363944759847542</v>
      </c>
      <c r="AV1369" s="27">
        <f t="shared" si="545"/>
        <v>0.2236051975341104</v>
      </c>
      <c r="AW1369" s="27">
        <f t="shared" si="545"/>
        <v>0.23317129202372885</v>
      </c>
      <c r="AY1369" s="79"/>
      <c r="AZ1369" s="79"/>
    </row>
    <row r="1379" spans="1:49" x14ac:dyDescent="0.25">
      <c r="A1379" s="95" t="s">
        <v>959</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72.649957574793405</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74.518042528471327</v>
      </c>
      <c r="S1379" s="27">
        <f>IF(('Activity data'!AL5*EF!$H4)*kgtoGg=0,"NO",('Activity data'!AL5*EF!$H4)*kgtoGg)</f>
        <v>72.365714675231743</v>
      </c>
      <c r="T1379" s="27">
        <f>IF(('Activity data'!AM5*EF!$H4)*kgtoGg=0,"NO",('Activity data'!AM5*EF!$H4)*kgtoGg)</f>
        <v>73.825045522582627</v>
      </c>
      <c r="U1379" s="27">
        <f>IF(('Activity data'!AN5*EF!$H4)*kgtoGg=0,"NO",('Activity data'!AN5*EF!$H4)*kgtoGg)</f>
        <v>74.549470852823731</v>
      </c>
      <c r="V1379" s="27">
        <f>IF(('Activity data'!AO5*EF!$H4)*kgtoGg=0,"NO",('Activity data'!AO5*EF!$H4)*kgtoGg)</f>
        <v>74.73866134408884</v>
      </c>
      <c r="W1379" s="27">
        <f>IF(('Activity data'!AP5*EF!$H4)*kgtoGg=0,"NO",('Activity data'!AP5*EF!$H4)*kgtoGg)</f>
        <v>75.00766800235165</v>
      </c>
      <c r="X1379" s="27">
        <f>IF(('Activity data'!AQ5*EF!$H4)*kgtoGg=0,"NO",('Activity data'!AQ5*EF!$H4)*kgtoGg)</f>
        <v>75.45906320296173</v>
      </c>
      <c r="Y1379" s="27">
        <f>IF(('Activity data'!AR5*EF!$H4)*kgtoGg=0,"NO",('Activity data'!AR5*EF!$H4)*kgtoGg)</f>
        <v>76.055372148787171</v>
      </c>
      <c r="Z1379" s="27">
        <f>IF(('Activity data'!AS5*EF!$H4)*kgtoGg=0,"NO",('Activity data'!AS5*EF!$H4)*kgtoGg)</f>
        <v>76.723006485373944</v>
      </c>
      <c r="AA1379" s="27">
        <f>IF(('Activity data'!AT5*EF!$H4)*kgtoGg=0,"NO",('Activity data'!AT5*EF!$H4)*kgtoGg)</f>
        <v>77.482992951839307</v>
      </c>
      <c r="AB1379" s="27">
        <f>IF(('Activity data'!AU5*EF!$H4)*kgtoGg=0,"NO",('Activity data'!AU5*EF!$H4)*kgtoGg)</f>
        <v>78.40049292820909</v>
      </c>
      <c r="AC1379" s="27">
        <f>IF(('Activity data'!AV5*EF!$H4)*kgtoGg=0,"NO",('Activity data'!AV5*EF!$H4)*kgtoGg)</f>
        <v>79.470176515878649</v>
      </c>
      <c r="AD1379" s="27">
        <f>IF(('Activity data'!AW5*EF!$H4)*kgtoGg=0,"NO",('Activity data'!AW5*EF!$H4)*kgtoGg)</f>
        <v>80.634435222178453</v>
      </c>
      <c r="AE1379" s="27">
        <f>IF(('Activity data'!AX5*EF!$H4)*kgtoGg=0,"NO",('Activity data'!AX5*EF!$H4)*kgtoGg)</f>
        <v>81.892216807263921</v>
      </c>
      <c r="AF1379" s="27">
        <f>IF(('Activity data'!AY5*EF!$H4)*kgtoGg=0,"NO",('Activity data'!AY5*EF!$H4)*kgtoGg)</f>
        <v>83.211603764210864</v>
      </c>
      <c r="AG1379" s="27">
        <f>IF(('Activity data'!AZ5*EF!$H4)*kgtoGg=0,"NO",('Activity data'!AZ5*EF!$H4)*kgtoGg)</f>
        <v>84.607353188642591</v>
      </c>
      <c r="AH1379" s="27">
        <f>IF(('Activity data'!BA5*EF!$H4)*kgtoGg=0,"NO",('Activity data'!BA5*EF!$H4)*kgtoGg)</f>
        <v>86.06511371010545</v>
      </c>
      <c r="AI1379" s="27">
        <f>IF(('Activity data'!BB5*EF!$H4)*kgtoGg=0,"NO",('Activity data'!BB5*EF!$H4)*kgtoGg)</f>
        <v>87.52871170290878</v>
      </c>
      <c r="AJ1379" s="27">
        <f>IF(('Activity data'!BC5*EF!$H4)*kgtoGg=0,"NO",('Activity data'!BC5*EF!$H4)*kgtoGg)</f>
        <v>89.080470915368679</v>
      </c>
      <c r="AK1379" s="27">
        <f>IF(('Activity data'!BD5*EF!$H4)*kgtoGg=0,"NO",('Activity data'!BD5*EF!$H4)*kgtoGg)</f>
        <v>90.666146577204373</v>
      </c>
      <c r="AL1379" s="27">
        <f>IF(('Activity data'!BE5*EF!$H4)*kgtoGg=0,"NO",('Activity data'!BE5*EF!$H4)*kgtoGg)</f>
        <v>92.281705803455623</v>
      </c>
      <c r="AM1379" s="27">
        <f>IF(('Activity data'!BF5*EF!$H4)*kgtoGg=0,"NO",('Activity data'!BF5*EF!$H4)*kgtoGg)</f>
        <v>93.953177200375109</v>
      </c>
      <c r="AN1379" s="27">
        <f>IF(('Activity data'!BG5*EF!$H4)*kgtoGg=0,"NO",('Activity data'!BG5*EF!$H4)*kgtoGg)</f>
        <v>95.618162408652182</v>
      </c>
      <c r="AO1379" s="27">
        <f>IF(('Activity data'!BH5*EF!$H4)*kgtoGg=0,"NO",('Activity data'!BH5*EF!$H4)*kgtoGg)</f>
        <v>97.363125443895129</v>
      </c>
      <c r="AP1379" s="27">
        <f>IF(('Activity data'!BI5*EF!$H4)*kgtoGg=0,"NO",('Activity data'!BI5*EF!$H4)*kgtoGg)</f>
        <v>99.220282959393018</v>
      </c>
      <c r="AQ1379" s="27">
        <f>IF(('Activity data'!BJ5*EF!$H4)*kgtoGg=0,"NO",('Activity data'!BJ5*EF!$H4)*kgtoGg)</f>
        <v>101.13698373864543</v>
      </c>
      <c r="AR1379" s="27">
        <f>IF(('Activity data'!BK5*EF!$H4)*kgtoGg=0,"NO",('Activity data'!BK5*EF!$H4)*kgtoGg)</f>
        <v>103.1166953994274</v>
      </c>
      <c r="AS1379" s="27">
        <f>IF(('Activity data'!BL5*EF!$H4)*kgtoGg=0,"NO",('Activity data'!BL5*EF!$H4)*kgtoGg)</f>
        <v>105.22033839717858</v>
      </c>
      <c r="AT1379" s="27">
        <f>IF(('Activity data'!BM5*EF!$H4)*kgtoGg=0,"NO",('Activity data'!BM5*EF!$H4)*kgtoGg)</f>
        <v>107.43022097905694</v>
      </c>
      <c r="AU1379" s="27">
        <f>IF(('Activity data'!BN5*EF!$H4)*kgtoGg=0,"NO",('Activity data'!BN5*EF!$H4)*kgtoGg)</f>
        <v>109.73494167523042</v>
      </c>
      <c r="AV1379" s="27">
        <f>IF(('Activity data'!BO5*EF!$H4)*kgtoGg=0,"NO",('Activity data'!BO5*EF!$H4)*kgtoGg)</f>
        <v>112.1760298148465</v>
      </c>
      <c r="AW1379" s="27">
        <f>IF(('Activity data'!BP5*EF!$H4)*kgtoGg=0,"NO",('Activity data'!BP5*EF!$H4)*kgtoGg)</f>
        <v>114.52480661709059</v>
      </c>
    </row>
    <row r="1380" spans="1:49" x14ac:dyDescent="0.25">
      <c r="A1380" s="95" t="s">
        <v>959</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58.1066387636453</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59.600764035107616</v>
      </c>
      <c r="S1380" s="27">
        <f>IF(('Activity data'!AL6*EF!$H5)*kgtoGg=0,"NO",('Activity data'!AL6*EF!$H5)*kgtoGg)</f>
        <v>57.879296587031398</v>
      </c>
      <c r="T1380" s="27">
        <f>IF(('Activity data'!AM6*EF!$H5)*kgtoGg=0,"NO",('Activity data'!AM6*EF!$H5)*kgtoGg)</f>
        <v>59.046493557468224</v>
      </c>
      <c r="U1380" s="27">
        <f>IF(('Activity data'!AN6*EF!$H5)*kgtoGg=0,"NO",('Activity data'!AN6*EF!$H5)*kgtoGg)</f>
        <v>59.625900929209891</v>
      </c>
      <c r="V1380" s="27">
        <f>IF(('Activity data'!AO6*EF!$H5)*kgtoGg=0,"NO",('Activity data'!AO6*EF!$H5)*kgtoGg)</f>
        <v>59.777218616107909</v>
      </c>
      <c r="W1380" s="27">
        <f>IF(('Activity data'!AP6*EF!$H5)*kgtoGg=0,"NO",('Activity data'!AP6*EF!$H5)*kgtoGg)</f>
        <v>59.992374594700195</v>
      </c>
      <c r="X1380" s="27">
        <f>IF(('Activity data'!AQ6*EF!$H5)*kgtoGg=0,"NO",('Activity data'!AQ6*EF!$H5)*kgtoGg)</f>
        <v>60.353407948842083</v>
      </c>
      <c r="Y1380" s="27">
        <f>IF(('Activity data'!AR6*EF!$H5)*kgtoGg=0,"NO",('Activity data'!AR6*EF!$H5)*kgtoGg)</f>
        <v>60.830345715404938</v>
      </c>
      <c r="Z1380" s="27">
        <f>IF(('Activity data'!AS6*EF!$H5)*kgtoGg=0,"NO",('Activity data'!AS6*EF!$H5)*kgtoGg)</f>
        <v>61.364330710266294</v>
      </c>
      <c r="AA1380" s="27">
        <f>IF(('Activity data'!AT6*EF!$H5)*kgtoGg=0,"NO",('Activity data'!AT6*EF!$H5)*kgtoGg)</f>
        <v>61.97218046746265</v>
      </c>
      <c r="AB1380" s="27">
        <f>IF(('Activity data'!AU6*EF!$H5)*kgtoGg=0,"NO",('Activity data'!AU6*EF!$H5)*kgtoGg)</f>
        <v>62.706012137463084</v>
      </c>
      <c r="AC1380" s="27">
        <f>IF(('Activity data'!AV6*EF!$H5)*kgtoGg=0,"NO",('Activity data'!AV6*EF!$H5)*kgtoGg)</f>
        <v>63.561562779128991</v>
      </c>
      <c r="AD1380" s="27">
        <f>IF(('Activity data'!AW6*EF!$H5)*kgtoGg=0,"NO",('Activity data'!AW6*EF!$H5)*kgtoGg)</f>
        <v>64.49275616633426</v>
      </c>
      <c r="AE1380" s="27">
        <f>IF(('Activity data'!AX6*EF!$H5)*kgtoGg=0,"NO",('Activity data'!AX6*EF!$H5)*kgtoGg)</f>
        <v>65.498750700231739</v>
      </c>
      <c r="AF1380" s="27">
        <f>IF(('Activity data'!AY6*EF!$H5)*kgtoGg=0,"NO",('Activity data'!AY6*EF!$H5)*kgtoGg)</f>
        <v>66.554018230400004</v>
      </c>
      <c r="AG1380" s="27">
        <f>IF(('Activity data'!AZ6*EF!$H5)*kgtoGg=0,"NO",('Activity data'!AZ6*EF!$H5)*kgtoGg)</f>
        <v>67.670361726217266</v>
      </c>
      <c r="AH1380" s="27">
        <f>IF(('Activity data'!BA6*EF!$H5)*kgtoGg=0,"NO",('Activity data'!BA6*EF!$H5)*kgtoGg)</f>
        <v>68.836302724012626</v>
      </c>
      <c r="AI1380" s="27">
        <f>IF(('Activity data'!BB6*EF!$H5)*kgtoGg=0,"NO",('Activity data'!BB6*EF!$H5)*kgtoGg)</f>
        <v>70.006912628023471</v>
      </c>
      <c r="AJ1380" s="27">
        <f>IF(('Activity data'!BC6*EF!$H5)*kgtoGg=0,"NO",('Activity data'!BC6*EF!$H5)*kgtoGg)</f>
        <v>71.248035334994583</v>
      </c>
      <c r="AK1380" s="27">
        <f>IF(('Activity data'!BD6*EF!$H5)*kgtoGg=0,"NO",('Activity data'!BD6*EF!$H5)*kgtoGg)</f>
        <v>72.516284979651772</v>
      </c>
      <c r="AL1380" s="27">
        <f>IF(('Activity data'!BE6*EF!$H5)*kgtoGg=0,"NO",('Activity data'!BE6*EF!$H5)*kgtoGg)</f>
        <v>73.808435993840746</v>
      </c>
      <c r="AM1380" s="27">
        <f>IF(('Activity data'!BF6*EF!$H5)*kgtoGg=0,"NO",('Activity data'!BF6*EF!$H5)*kgtoGg)</f>
        <v>75.145306487737145</v>
      </c>
      <c r="AN1380" s="27">
        <f>IF(('Activity data'!BG6*EF!$H5)*kgtoGg=0,"NO",('Activity data'!BG6*EF!$H5)*kgtoGg)</f>
        <v>76.476989220580691</v>
      </c>
      <c r="AO1380" s="27">
        <f>IF(('Activity data'!BH6*EF!$H5)*kgtoGg=0,"NO",('Activity data'!BH6*EF!$H5)*kgtoGg)</f>
        <v>77.872639543437259</v>
      </c>
      <c r="AP1380" s="27">
        <f>IF(('Activity data'!BI6*EF!$H5)*kgtoGg=0,"NO",('Activity data'!BI6*EF!$H5)*kgtoGg)</f>
        <v>79.358024868943161</v>
      </c>
      <c r="AQ1380" s="27">
        <f>IF(('Activity data'!BJ6*EF!$H5)*kgtoGg=0,"NO",('Activity data'!BJ6*EF!$H5)*kgtoGg)</f>
        <v>80.891033882518414</v>
      </c>
      <c r="AR1380" s="27">
        <f>IF(('Activity data'!BK6*EF!$H5)*kgtoGg=0,"NO",('Activity data'!BK6*EF!$H5)*kgtoGg)</f>
        <v>82.474440042264703</v>
      </c>
      <c r="AS1380" s="27">
        <f>IF(('Activity data'!BL6*EF!$H5)*kgtoGg=0,"NO",('Activity data'!BL6*EF!$H5)*kgtoGg)</f>
        <v>84.156968536960065</v>
      </c>
      <c r="AT1380" s="27">
        <f>IF(('Activity data'!BM6*EF!$H5)*kgtoGg=0,"NO",('Activity data'!BM6*EF!$H5)*kgtoGg)</f>
        <v>85.924469209800506</v>
      </c>
      <c r="AU1380" s="27">
        <f>IF(('Activity data'!BN6*EF!$H5)*kgtoGg=0,"NO",('Activity data'!BN6*EF!$H5)*kgtoGg)</f>
        <v>87.767822976466917</v>
      </c>
      <c r="AV1380" s="27">
        <f>IF(('Activity data'!BO6*EF!$H5)*kgtoGg=0,"NO",('Activity data'!BO6*EF!$H5)*kgtoGg)</f>
        <v>89.72024568191533</v>
      </c>
      <c r="AW1380" s="27">
        <f>IF(('Activity data'!BP6*EF!$H5)*kgtoGg=0,"NO",('Activity data'!BP6*EF!$H5)*kgtoGg)</f>
        <v>91.59883625155085</v>
      </c>
    </row>
    <row r="1381" spans="1:49" x14ac:dyDescent="0.25">
      <c r="A1381" s="95" t="s">
        <v>959</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26.272250579806308</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26.947802192577253</v>
      </c>
      <c r="S1381" s="27">
        <f>IF(('Activity data'!AL7*EF!$H6)*kgtoGg=0,"NO",('Activity data'!AL7*EF!$H6)*kgtoGg)</f>
        <v>26.169460420911491</v>
      </c>
      <c r="T1381" s="27">
        <f>IF(('Activity data'!AM7*EF!$H6)*kgtoGg=0,"NO",('Activity data'!AM7*EF!$H6)*kgtoGg)</f>
        <v>26.697195150294817</v>
      </c>
      <c r="U1381" s="27">
        <f>IF(('Activity data'!AN7*EF!$H6)*kgtoGg=0,"NO",('Activity data'!AN7*EF!$H6)*kgtoGg)</f>
        <v>26.959167551075083</v>
      </c>
      <c r="V1381" s="27">
        <f>IF(('Activity data'!AO7*EF!$H6)*kgtoGg=0,"NO",('Activity data'!AO7*EF!$H6)*kgtoGg)</f>
        <v>27.027584108493112</v>
      </c>
      <c r="W1381" s="27">
        <f>IF(('Activity data'!AP7*EF!$H6)*kgtoGg=0,"NO",('Activity data'!AP7*EF!$H6)*kgtoGg)</f>
        <v>27.124864417655591</v>
      </c>
      <c r="X1381" s="27">
        <f>IF(('Activity data'!AQ7*EF!$H6)*kgtoGg=0,"NO",('Activity data'!AQ7*EF!$H6)*kgtoGg)</f>
        <v>27.288101509827889</v>
      </c>
      <c r="Y1381" s="27">
        <f>IF(('Activity data'!AR7*EF!$H6)*kgtoGg=0,"NO",('Activity data'!AR7*EF!$H6)*kgtoGg)</f>
        <v>27.503743453342821</v>
      </c>
      <c r="Z1381" s="27">
        <f>IF(('Activity data'!AS7*EF!$H6)*kgtoGg=0,"NO",('Activity data'!AS7*EF!$H6)*kgtoGg)</f>
        <v>27.745178647140875</v>
      </c>
      <c r="AA1381" s="27">
        <f>IF(('Activity data'!AT7*EF!$H6)*kgtoGg=0,"NO",('Activity data'!AT7*EF!$H6)*kgtoGg)</f>
        <v>28.020010946439662</v>
      </c>
      <c r="AB1381" s="27">
        <f>IF(('Activity data'!AU7*EF!$H6)*kgtoGg=0,"NO",('Activity data'!AU7*EF!$H6)*kgtoGg)</f>
        <v>28.351804523350385</v>
      </c>
      <c r="AC1381" s="27">
        <f>IF(('Activity data'!AV7*EF!$H6)*kgtoGg=0,"NO",('Activity data'!AV7*EF!$H6)*kgtoGg)</f>
        <v>28.738631937907769</v>
      </c>
      <c r="AD1381" s="27">
        <f>IF(('Activity data'!AW7*EF!$H6)*kgtoGg=0,"NO",('Activity data'!AW7*EF!$H6)*kgtoGg)</f>
        <v>29.159660352688871</v>
      </c>
      <c r="AE1381" s="27">
        <f>IF(('Activity data'!AX7*EF!$H6)*kgtoGg=0,"NO",('Activity data'!AX7*EF!$H6)*kgtoGg)</f>
        <v>29.614509248423072</v>
      </c>
      <c r="AF1381" s="27">
        <f>IF(('Activity data'!AY7*EF!$H6)*kgtoGg=0,"NO",('Activity data'!AY7*EF!$H6)*kgtoGg)</f>
        <v>30.09163636455321</v>
      </c>
      <c r="AG1381" s="27">
        <f>IF(('Activity data'!AZ7*EF!$H6)*kgtoGg=0,"NO",('Activity data'!AZ7*EF!$H6)*kgtoGg)</f>
        <v>30.596378278373869</v>
      </c>
      <c r="AH1381" s="27">
        <f>IF(('Activity data'!BA7*EF!$H6)*kgtoGg=0,"NO",('Activity data'!BA7*EF!$H6)*kgtoGg)</f>
        <v>31.123545134125884</v>
      </c>
      <c r="AI1381" s="27">
        <f>IF(('Activity data'!BB7*EF!$H6)*kgtoGg=0,"NO",('Activity data'!BB7*EF!$H6)*kgtoGg)</f>
        <v>31.652822982298673</v>
      </c>
      <c r="AJ1381" s="27">
        <f>IF(('Activity data'!BC7*EF!$H6)*kgtoGg=0,"NO",('Activity data'!BC7*EF!$H6)*kgtoGg)</f>
        <v>32.213982385967945</v>
      </c>
      <c r="AK1381" s="27">
        <f>IF(('Activity data'!BD7*EF!$H6)*kgtoGg=0,"NO",('Activity data'!BD7*EF!$H6)*kgtoGg)</f>
        <v>32.787406923527513</v>
      </c>
      <c r="AL1381" s="27">
        <f>IF(('Activity data'!BE7*EF!$H6)*kgtoGg=0,"NO",('Activity data'!BE7*EF!$H6)*kgtoGg)</f>
        <v>33.371638191314474</v>
      </c>
      <c r="AM1381" s="27">
        <f>IF(('Activity data'!BF7*EF!$H6)*kgtoGg=0,"NO",('Activity data'!BF7*EF!$H6)*kgtoGg)</f>
        <v>33.976088859184969</v>
      </c>
      <c r="AN1381" s="27">
        <f>IF(('Activity data'!BG7*EF!$H6)*kgtoGg=0,"NO",('Activity data'!BG7*EF!$H6)*kgtoGg)</f>
        <v>34.578193940368166</v>
      </c>
      <c r="AO1381" s="27">
        <f>IF(('Activity data'!BH7*EF!$H6)*kgtoGg=0,"NO",('Activity data'!BH7*EF!$H6)*kgtoGg)</f>
        <v>35.209221234048357</v>
      </c>
      <c r="AP1381" s="27">
        <f>IF(('Activity data'!BI7*EF!$H6)*kgtoGg=0,"NO",('Activity data'!BI7*EF!$H6)*kgtoGg)</f>
        <v>35.880821180450241</v>
      </c>
      <c r="AQ1381" s="27">
        <f>IF(('Activity data'!BJ7*EF!$H6)*kgtoGg=0,"NO",('Activity data'!BJ7*EF!$H6)*kgtoGg)</f>
        <v>36.573953631452547</v>
      </c>
      <c r="AR1381" s="27">
        <f>IF(('Activity data'!BK7*EF!$H6)*kgtoGg=0,"NO",('Activity data'!BK7*EF!$H6)*kgtoGg)</f>
        <v>37.289872574340869</v>
      </c>
      <c r="AS1381" s="27">
        <f>IF(('Activity data'!BL7*EF!$H6)*kgtoGg=0,"NO",('Activity data'!BL7*EF!$H6)*kgtoGg)</f>
        <v>38.050608544633441</v>
      </c>
      <c r="AT1381" s="27">
        <f>IF(('Activity data'!BM7*EF!$H6)*kgtoGg=0,"NO",('Activity data'!BM7*EF!$H6)*kgtoGg)</f>
        <v>38.849763711149343</v>
      </c>
      <c r="AU1381" s="27">
        <f>IF(('Activity data'!BN7*EF!$H6)*kgtoGg=0,"NO",('Activity data'!BN7*EF!$H6)*kgtoGg)</f>
        <v>39.683214984455297</v>
      </c>
      <c r="AV1381" s="27">
        <f>IF(('Activity data'!BO7*EF!$H6)*kgtoGg=0,"NO",('Activity data'!BO7*EF!$H6)*kgtoGg)</f>
        <v>40.565980528060209</v>
      </c>
      <c r="AW1381" s="27">
        <f>IF(('Activity data'!BP7*EF!$H6)*kgtoGg=0,"NO",('Activity data'!BP7*EF!$H6)*kgtoGg)</f>
        <v>41.415363717872332</v>
      </c>
    </row>
    <row r="1382" spans="1:49" x14ac:dyDescent="0.25">
      <c r="A1382" s="95" t="s">
        <v>959</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463.23498593143171</v>
      </c>
      <c r="L1382" s="27">
        <f>IF(('Activity data'!AE8*EF!$H7)*kgtoGg=0,"NO",('Activity data'!AE8*EF!$H7)*kgtoGg)</f>
        <v>459.2174968362159</v>
      </c>
      <c r="M1382" s="27">
        <f>IF(('Activity data'!AF8*EF!$H7)*kgtoGg=0,"NO",('Activity data'!AF8*EF!$H7)*kgtoGg)</f>
        <v>457.68816035731231</v>
      </c>
      <c r="N1382" s="27">
        <f>IF(('Activity data'!AG8*EF!$H7)*kgtoGg=0,"NO",('Activity data'!AG8*EF!$H7)*kgtoGg)</f>
        <v>451.57633407663525</v>
      </c>
      <c r="O1382" s="27">
        <f>IF(('Activity data'!AH8*EF!$H7)*kgtoGg=0,"NO",('Activity data'!AH8*EF!$H7)*kgtoGg)</f>
        <v>442.704868969107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369.40237691087651</v>
      </c>
      <c r="T1382" s="27">
        <f>IF(('Activity data'!AM8*EF!$H7)*kgtoGg=0,"NO",('Activity data'!AM8*EF!$H7)*kgtoGg)</f>
        <v>387.06361603448636</v>
      </c>
      <c r="U1382" s="27">
        <f>IF(('Activity data'!AN8*EF!$H7)*kgtoGg=0,"NO",('Activity data'!AN8*EF!$H7)*kgtoGg)</f>
        <v>393.17794041792496</v>
      </c>
      <c r="V1382" s="27">
        <f>IF(('Activity data'!AO8*EF!$H7)*kgtoGg=0,"NO",('Activity data'!AO8*EF!$H7)*kgtoGg)</f>
        <v>390.52270230053807</v>
      </c>
      <c r="W1382" s="27">
        <f>IF(('Activity data'!AP8*EF!$H7)*kgtoGg=0,"NO",('Activity data'!AP8*EF!$H7)*kgtoGg)</f>
        <v>388.36285305535796</v>
      </c>
      <c r="X1382" s="27">
        <f>IF(('Activity data'!AQ8*EF!$H7)*kgtoGg=0,"NO",('Activity data'!AQ8*EF!$H7)*kgtoGg)</f>
        <v>388.50473132162119</v>
      </c>
      <c r="Y1382" s="27">
        <f>IF(('Activity data'!AR8*EF!$H7)*kgtoGg=0,"NO",('Activity data'!AR8*EF!$H7)*kgtoGg)</f>
        <v>390.78606081827786</v>
      </c>
      <c r="Z1382" s="27">
        <f>IF(('Activity data'!AS8*EF!$H7)*kgtoGg=0,"NO",('Activity data'!AS8*EF!$H7)*kgtoGg)</f>
        <v>394.02311080220409</v>
      </c>
      <c r="AA1382" s="27">
        <f>IF(('Activity data'!AT8*EF!$H7)*kgtoGg=0,"NO",('Activity data'!AT8*EF!$H7)*kgtoGg)</f>
        <v>398.47662182088436</v>
      </c>
      <c r="AB1382" s="27">
        <f>IF(('Activity data'!AU8*EF!$H7)*kgtoGg=0,"NO",('Activity data'!AU8*EF!$H7)*kgtoGg)</f>
        <v>405.00014152902594</v>
      </c>
      <c r="AC1382" s="27">
        <f>IF(('Activity data'!AV8*EF!$H7)*kgtoGg=0,"NO",('Activity data'!AV8*EF!$H7)*kgtoGg)</f>
        <v>413.40943063236716</v>
      </c>
      <c r="AD1382" s="27">
        <f>IF(('Activity data'!AW8*EF!$H7)*kgtoGg=0,"NO",('Activity data'!AW8*EF!$H7)*kgtoGg)</f>
        <v>419.27234556371411</v>
      </c>
      <c r="AE1382" s="27">
        <f>IF(('Activity data'!AX8*EF!$H7)*kgtoGg=0,"NO",('Activity data'!AX8*EF!$H7)*kgtoGg)</f>
        <v>425.8278376253316</v>
      </c>
      <c r="AF1382" s="27">
        <f>IF(('Activity data'!AY8*EF!$H7)*kgtoGg=0,"NO",('Activity data'!AY8*EF!$H7)*kgtoGg)</f>
        <v>432.58187641621225</v>
      </c>
      <c r="AG1382" s="27">
        <f>IF(('Activity data'!AZ8*EF!$H7)*kgtoGg=0,"NO",('Activity data'!AZ8*EF!$H7)*kgtoGg)</f>
        <v>439.68449510593507</v>
      </c>
      <c r="AH1382" s="27">
        <f>IF(('Activity data'!BA8*EF!$H7)*kgtoGg=0,"NO",('Activity data'!BA8*EF!$H7)*kgtoGg)</f>
        <v>446.893496347981</v>
      </c>
      <c r="AI1382" s="27">
        <f>IF(('Activity data'!BB8*EF!$H7)*kgtoGg=0,"NO",('Activity data'!BB8*EF!$H7)*kgtoGg)</f>
        <v>453.4765954958275</v>
      </c>
      <c r="AJ1382" s="27">
        <f>IF(('Activity data'!BC8*EF!$H7)*kgtoGg=0,"NO",('Activity data'!BC8*EF!$H7)*kgtoGg)</f>
        <v>460.42055689435347</v>
      </c>
      <c r="AK1382" s="27">
        <f>IF(('Activity data'!BD8*EF!$H7)*kgtoGg=0,"NO",('Activity data'!BD8*EF!$H7)*kgtoGg)</f>
        <v>467.05009656830129</v>
      </c>
      <c r="AL1382" s="27">
        <f>IF(('Activity data'!BE8*EF!$H7)*kgtoGg=0,"NO",('Activity data'!BE8*EF!$H7)*kgtoGg)</f>
        <v>473.30134622451675</v>
      </c>
      <c r="AM1382" s="27">
        <f>IF(('Activity data'!BF8*EF!$H7)*kgtoGg=0,"NO",('Activity data'!BF8*EF!$H7)*kgtoGg)</f>
        <v>479.44152386893921</v>
      </c>
      <c r="AN1382" s="27">
        <f>IF(('Activity data'!BG8*EF!$H7)*kgtoGg=0,"NO",('Activity data'!BG8*EF!$H7)*kgtoGg)</f>
        <v>487.2386202384439</v>
      </c>
      <c r="AO1382" s="27">
        <f>IF(('Activity data'!BH8*EF!$H7)*kgtoGg=0,"NO",('Activity data'!BH8*EF!$H7)*kgtoGg)</f>
        <v>495.30323443397566</v>
      </c>
      <c r="AP1382" s="27">
        <f>IF(('Activity data'!BI8*EF!$H7)*kgtoGg=0,"NO",('Activity data'!BI8*EF!$H7)*kgtoGg)</f>
        <v>503.92844355873905</v>
      </c>
      <c r="AQ1382" s="27">
        <f>IF(('Activity data'!BJ8*EF!$H7)*kgtoGg=0,"NO",('Activity data'!BJ8*EF!$H7)*kgtoGg)</f>
        <v>512.52009483394647</v>
      </c>
      <c r="AR1382" s="27">
        <f>IF(('Activity data'!BK8*EF!$H7)*kgtoGg=0,"NO",('Activity data'!BK8*EF!$H7)*kgtoGg)</f>
        <v>521.08933970994713</v>
      </c>
      <c r="AS1382" s="27">
        <f>IF(('Activity data'!BL8*EF!$H7)*kgtoGg=0,"NO",('Activity data'!BL8*EF!$H7)*kgtoGg)</f>
        <v>530.19934966432822</v>
      </c>
      <c r="AT1382" s="27">
        <f>IF(('Activity data'!BM8*EF!$H7)*kgtoGg=0,"NO",('Activity data'!BM8*EF!$H7)*kgtoGg)</f>
        <v>539.61424355839688</v>
      </c>
      <c r="AU1382" s="27">
        <f>IF(('Activity data'!BN8*EF!$H7)*kgtoGg=0,"NO",('Activity data'!BN8*EF!$H7)*kgtoGg)</f>
        <v>549.17033444464153</v>
      </c>
      <c r="AV1382" s="27">
        <f>IF(('Activity data'!BO8*EF!$H7)*kgtoGg=0,"NO",('Activity data'!BO8*EF!$H7)*kgtoGg)</f>
        <v>559.19282207144863</v>
      </c>
      <c r="AW1382" s="27">
        <f>IF(('Activity data'!BP8*EF!$H7)*kgtoGg=0,"NO",('Activity data'!BP8*EF!$H7)*kgtoGg)</f>
        <v>567.59543120119042</v>
      </c>
    </row>
    <row r="1383" spans="1:49" x14ac:dyDescent="0.25">
      <c r="A1383" s="95" t="s">
        <v>959</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326.20040935577725</v>
      </c>
      <c r="L1383" s="27">
        <f>IF(('Activity data'!AE9*EF!$H8)*kgtoGg=0,"NO",('Activity data'!AE9*EF!$H8)*kgtoGg)</f>
        <v>323.37137738012308</v>
      </c>
      <c r="M1383" s="27">
        <f>IF(('Activity data'!AF9*EF!$H8)*kgtoGg=0,"NO",('Activity data'!AF9*EF!$H8)*kgtoGg)</f>
        <v>322.29445054900742</v>
      </c>
      <c r="N1383" s="27">
        <f>IF(('Activity data'!AG9*EF!$H8)*kgtoGg=0,"NO",('Activity data'!AG9*EF!$H8)*kgtoGg)</f>
        <v>317.99063003627219</v>
      </c>
      <c r="O1383" s="27">
        <f>IF(('Activity data'!AH9*EF!$H8)*kgtoGg=0,"NO",('Activity data'!AH9*EF!$H8)*kgtoGg)</f>
        <v>311.74352945546775</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260.12544437470751</v>
      </c>
      <c r="T1383" s="27">
        <f>IF(('Activity data'!AM9*EF!$H8)*kgtoGg=0,"NO",('Activity data'!AM9*EF!$H8)*kgtoGg)</f>
        <v>272.56212037461688</v>
      </c>
      <c r="U1383" s="27">
        <f>IF(('Activity data'!AN9*EF!$H8)*kgtoGg=0,"NO",('Activity data'!AN9*EF!$H8)*kgtoGg)</f>
        <v>276.86769999918118</v>
      </c>
      <c r="V1383" s="27">
        <f>IF(('Activity data'!AO9*EF!$H8)*kgtoGg=0,"NO",('Activity data'!AO9*EF!$H8)*kgtoGg)</f>
        <v>274.99793673186855</v>
      </c>
      <c r="W1383" s="27">
        <f>IF(('Activity data'!AP9*EF!$H8)*kgtoGg=0,"NO",('Activity data'!AP9*EF!$H8)*kgtoGg)</f>
        <v>273.47701596957364</v>
      </c>
      <c r="X1383" s="27">
        <f>IF(('Activity data'!AQ9*EF!$H8)*kgtoGg=0,"NO",('Activity data'!AQ9*EF!$H8)*kgtoGg)</f>
        <v>273.5769236836698</v>
      </c>
      <c r="Y1383" s="27">
        <f>IF(('Activity data'!AR9*EF!$H8)*kgtoGg=0,"NO",('Activity data'!AR9*EF!$H8)*kgtoGg)</f>
        <v>275.18338830375563</v>
      </c>
      <c r="Z1383" s="27">
        <f>IF(('Activity data'!AS9*EF!$H8)*kgtoGg=0,"NO",('Activity data'!AS9*EF!$H8)*kgtoGg)</f>
        <v>277.46285134504268</v>
      </c>
      <c r="AA1383" s="27">
        <f>IF(('Activity data'!AT9*EF!$H8)*kgtoGg=0,"NO",('Activity data'!AT9*EF!$H8)*kgtoGg)</f>
        <v>280.59892085940152</v>
      </c>
      <c r="AB1383" s="27">
        <f>IF(('Activity data'!AU9*EF!$H8)*kgtoGg=0,"NO",('Activity data'!AU9*EF!$H8)*kgtoGg)</f>
        <v>285.19264729169487</v>
      </c>
      <c r="AC1383" s="27">
        <f>IF(('Activity data'!AV9*EF!$H8)*kgtoGg=0,"NO",('Activity data'!AV9*EF!$H8)*kgtoGg)</f>
        <v>291.11429317598692</v>
      </c>
      <c r="AD1383" s="27">
        <f>IF(('Activity data'!AW9*EF!$H8)*kgtoGg=0,"NO",('Activity data'!AW9*EF!$H8)*kgtoGg)</f>
        <v>295.24283551131606</v>
      </c>
      <c r="AE1383" s="27">
        <f>IF(('Activity data'!AX9*EF!$H8)*kgtoGg=0,"NO",('Activity data'!AX9*EF!$H8)*kgtoGg)</f>
        <v>299.85907620766255</v>
      </c>
      <c r="AF1383" s="27">
        <f>IF(('Activity data'!AY9*EF!$H8)*kgtoGg=0,"NO",('Activity data'!AY9*EF!$H8)*kgtoGg)</f>
        <v>304.61512936707601</v>
      </c>
      <c r="AG1383" s="27">
        <f>IF(('Activity data'!AZ9*EF!$H8)*kgtoGg=0,"NO",('Activity data'!AZ9*EF!$H8)*kgtoGg)</f>
        <v>309.61664521637437</v>
      </c>
      <c r="AH1383" s="27">
        <f>IF(('Activity data'!BA9*EF!$H8)*kgtoGg=0,"NO",('Activity data'!BA9*EF!$H8)*kgtoGg)</f>
        <v>314.69307343880962</v>
      </c>
      <c r="AI1383" s="27">
        <f>IF(('Activity data'!BB9*EF!$H8)*kgtoGg=0,"NO",('Activity data'!BB9*EF!$H8)*kgtoGg)</f>
        <v>319.32875446911731</v>
      </c>
      <c r="AJ1383" s="27">
        <f>IF(('Activity data'!BC9*EF!$H8)*kgtoGg=0,"NO",('Activity data'!BC9*EF!$H8)*kgtoGg)</f>
        <v>324.21854716514042</v>
      </c>
      <c r="AK1383" s="27">
        <f>IF(('Activity data'!BD9*EF!$H8)*kgtoGg=0,"NO",('Activity data'!BD9*EF!$H8)*kgtoGg)</f>
        <v>328.88693064471261</v>
      </c>
      <c r="AL1383" s="27">
        <f>IF(('Activity data'!BE9*EF!$H8)*kgtoGg=0,"NO",('Activity data'!BE9*EF!$H8)*kgtoGg)</f>
        <v>333.28893018872913</v>
      </c>
      <c r="AM1383" s="27">
        <f>IF(('Activity data'!BF9*EF!$H8)*kgtoGg=0,"NO",('Activity data'!BF9*EF!$H8)*kgtoGg)</f>
        <v>337.61271514011941</v>
      </c>
      <c r="AN1383" s="27">
        <f>IF(('Activity data'!BG9*EF!$H8)*kgtoGg=0,"NO",('Activity data'!BG9*EF!$H8)*kgtoGg)</f>
        <v>343.10326767773648</v>
      </c>
      <c r="AO1383" s="27">
        <f>IF(('Activity data'!BH9*EF!$H8)*kgtoGg=0,"NO",('Activity data'!BH9*EF!$H8)*kgtoGg)</f>
        <v>348.78220068533165</v>
      </c>
      <c r="AP1383" s="27">
        <f>IF(('Activity data'!BI9*EF!$H8)*kgtoGg=0,"NO",('Activity data'!BI9*EF!$H8)*kgtoGg)</f>
        <v>354.85589294244767</v>
      </c>
      <c r="AQ1383" s="27">
        <f>IF(('Activity data'!BJ9*EF!$H8)*kgtoGg=0,"NO",('Activity data'!BJ9*EF!$H8)*kgtoGg)</f>
        <v>360.90595446226047</v>
      </c>
      <c r="AR1383" s="27">
        <f>IF(('Activity data'!BK9*EF!$H8)*kgtoGg=0,"NO",('Activity data'!BK9*EF!$H8)*kgtoGg)</f>
        <v>366.94023786337442</v>
      </c>
      <c r="AS1383" s="27">
        <f>IF(('Activity data'!BL9*EF!$H8)*kgtoGg=0,"NO",('Activity data'!BL9*EF!$H8)*kgtoGg)</f>
        <v>373.35531674688991</v>
      </c>
      <c r="AT1383" s="27">
        <f>IF(('Activity data'!BM9*EF!$H8)*kgtoGg=0,"NO",('Activity data'!BM9*EF!$H8)*kgtoGg)</f>
        <v>379.98508853779043</v>
      </c>
      <c r="AU1383" s="27">
        <f>IF(('Activity data'!BN9*EF!$H8)*kgtoGg=0,"NO",('Activity data'!BN9*EF!$H8)*kgtoGg)</f>
        <v>386.71428830379313</v>
      </c>
      <c r="AV1383" s="27">
        <f>IF(('Activity data'!BO9*EF!$H8)*kgtoGg=0,"NO",('Activity data'!BO9*EF!$H8)*kgtoGg)</f>
        <v>393.77191492077668</v>
      </c>
      <c r="AW1383" s="27">
        <f>IF(('Activity data'!BP9*EF!$H8)*kgtoGg=0,"NO",('Activity data'!BP9*EF!$H8)*kgtoGg)</f>
        <v>399.6888569070714</v>
      </c>
    </row>
    <row r="1384" spans="1:49" x14ac:dyDescent="0.25">
      <c r="A1384" s="95" t="s">
        <v>959</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31.891995988947254</v>
      </c>
      <c r="L1384" s="27">
        <f>IF(('Activity data'!AE10*EF!$H9)*kgtoGg=0,"NO",('Activity data'!AE10*EF!$H9)*kgtoGg)</f>
        <v>32.967337371253521</v>
      </c>
      <c r="M1384" s="27">
        <f>IF(('Activity data'!AF10*EF!$H9)*kgtoGg=0,"NO",('Activity data'!AF10*EF!$H9)*kgtoGg)</f>
        <v>34.243655078433662</v>
      </c>
      <c r="N1384" s="27">
        <f>IF(('Activity data'!AG10*EF!$H9)*kgtoGg=0,"NO",('Activity data'!AG10*EF!$H9)*kgtoGg)</f>
        <v>35.195504797614646</v>
      </c>
      <c r="O1384" s="27">
        <f>IF(('Activity data'!AH10*EF!$H9)*kgtoGg=0,"NO",('Activity data'!AH10*EF!$H9)*kgtoGg)</f>
        <v>35.929559405213325</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35.164164958187662</v>
      </c>
      <c r="T1384" s="27">
        <f>IF(('Activity data'!AM10*EF!$H9)*kgtoGg=0,"NO",('Activity data'!AM10*EF!$H9)*kgtoGg)</f>
        <v>37.733078614995847</v>
      </c>
      <c r="U1384" s="27">
        <f>IF(('Activity data'!AN10*EF!$H9)*kgtoGg=0,"NO",('Activity data'!AN10*EF!$H9)*kgtoGg)</f>
        <v>39.239907769283455</v>
      </c>
      <c r="V1384" s="27">
        <f>IF(('Activity data'!AO10*EF!$H9)*kgtoGg=0,"NO",('Activity data'!AO10*EF!$H9)*kgtoGg)</f>
        <v>39.889255441564949</v>
      </c>
      <c r="W1384" s="27">
        <f>IF(('Activity data'!AP10*EF!$H9)*kgtoGg=0,"NO",('Activity data'!AP10*EF!$H9)*kgtoGg)</f>
        <v>40.588307761995488</v>
      </c>
      <c r="X1384" s="27">
        <f>IF(('Activity data'!AQ10*EF!$H9)*kgtoGg=0,"NO",('Activity data'!AQ10*EF!$H9)*kgtoGg)</f>
        <v>41.534201946049016</v>
      </c>
      <c r="Y1384" s="27">
        <f>IF(('Activity data'!AR10*EF!$H9)*kgtoGg=0,"NO",('Activity data'!AR10*EF!$H9)*kgtoGg)</f>
        <v>42.726423600286481</v>
      </c>
      <c r="Z1384" s="27">
        <f>IF(('Activity data'!AS10*EF!$H9)*kgtoGg=0,"NO",('Activity data'!AS10*EF!$H9)*kgtoGg)</f>
        <v>44.049081565207047</v>
      </c>
      <c r="AA1384" s="27">
        <f>IF(('Activity data'!AT10*EF!$H9)*kgtoGg=0,"NO",('Activity data'!AT10*EF!$H9)*kgtoGg)</f>
        <v>45.539986739615941</v>
      </c>
      <c r="AB1384" s="27">
        <f>IF(('Activity data'!AU10*EF!$H9)*kgtoGg=0,"NO",('Activity data'!AU10*EF!$H9)*kgtoGg)</f>
        <v>47.309041836934135</v>
      </c>
      <c r="AC1384" s="27">
        <f>IF(('Activity data'!AV10*EF!$H9)*kgtoGg=0,"NO",('Activity data'!AV10*EF!$H9)*kgtoGg)</f>
        <v>49.351300675084218</v>
      </c>
      <c r="AD1384" s="27">
        <f>IF(('Activity data'!AW10*EF!$H9)*kgtoGg=0,"NO",('Activity data'!AW10*EF!$H9)*kgtoGg)</f>
        <v>51.711027137708825</v>
      </c>
      <c r="AE1384" s="27">
        <f>IF(('Activity data'!AX10*EF!$H9)*kgtoGg=0,"NO",('Activity data'!AX10*EF!$H9)*kgtoGg)</f>
        <v>54.264579364554088</v>
      </c>
      <c r="AF1384" s="27">
        <f>IF(('Activity data'!AY10*EF!$H9)*kgtoGg=0,"NO",('Activity data'!AY10*EF!$H9)*kgtoGg)</f>
        <v>56.961553434617372</v>
      </c>
      <c r="AG1384" s="27">
        <f>IF(('Activity data'!AZ10*EF!$H9)*kgtoGg=0,"NO",('Activity data'!AZ10*EF!$H9)*kgtoGg)</f>
        <v>59.831551165418354</v>
      </c>
      <c r="AH1384" s="27">
        <f>IF(('Activity data'!BA10*EF!$H9)*kgtoGg=0,"NO",('Activity data'!BA10*EF!$H9)*kgtoGg)</f>
        <v>62.852420493056009</v>
      </c>
      <c r="AI1384" s="27">
        <f>IF(('Activity data'!BB10*EF!$H9)*kgtoGg=0,"NO",('Activity data'!BB10*EF!$H9)*kgtoGg)</f>
        <v>65.927060453070922</v>
      </c>
      <c r="AJ1384" s="27">
        <f>IF(('Activity data'!BC10*EF!$H9)*kgtoGg=0,"NO",('Activity data'!BC10*EF!$H9)*kgtoGg)</f>
        <v>69.203040648572085</v>
      </c>
      <c r="AK1384" s="27">
        <f>IF(('Activity data'!BD10*EF!$H9)*kgtoGg=0,"NO",('Activity data'!BD10*EF!$H9)*kgtoGg)</f>
        <v>72.58973333609724</v>
      </c>
      <c r="AL1384" s="27">
        <f>IF(('Activity data'!BE10*EF!$H9)*kgtoGg=0,"NO",('Activity data'!BE10*EF!$H9)*kgtoGg)</f>
        <v>76.081547595026791</v>
      </c>
      <c r="AM1384" s="27">
        <f>IF(('Activity data'!BF10*EF!$H9)*kgtoGg=0,"NO",('Activity data'!BF10*EF!$H9)*kgtoGg)</f>
        <v>79.726894187226051</v>
      </c>
      <c r="AN1384" s="27">
        <f>IF(('Activity data'!BG10*EF!$H9)*kgtoGg=0,"NO",('Activity data'!BG10*EF!$H9)*kgtoGg)</f>
        <v>83.3095791235083</v>
      </c>
      <c r="AO1384" s="27">
        <f>IF(('Activity data'!BH10*EF!$H9)*kgtoGg=0,"NO",('Activity data'!BH10*EF!$H9)*kgtoGg)</f>
        <v>87.086258080455181</v>
      </c>
      <c r="AP1384" s="27">
        <f>IF(('Activity data'!BI10*EF!$H9)*kgtoGg=0,"NO",('Activity data'!BI10*EF!$H9)*kgtoGg)</f>
        <v>91.121139259350954</v>
      </c>
      <c r="AQ1384" s="27">
        <f>IF(('Activity data'!BJ10*EF!$H9)*kgtoGg=0,"NO",('Activity data'!BJ10*EF!$H9)*kgtoGg)</f>
        <v>95.32019758274437</v>
      </c>
      <c r="AR1384" s="27">
        <f>IF(('Activity data'!BK10*EF!$H9)*kgtoGg=0,"NO",('Activity data'!BK10*EF!$H9)*kgtoGg)</f>
        <v>99.693624550303667</v>
      </c>
      <c r="AS1384" s="27">
        <f>IF(('Activity data'!BL10*EF!$H9)*kgtoGg=0,"NO",('Activity data'!BL10*EF!$H9)*kgtoGg)</f>
        <v>104.36104732075913</v>
      </c>
      <c r="AT1384" s="27">
        <f>IF(('Activity data'!BM10*EF!$H9)*kgtoGg=0,"NO",('Activity data'!BM10*EF!$H9)*kgtoGg)</f>
        <v>109.29369918471791</v>
      </c>
      <c r="AU1384" s="27">
        <f>IF(('Activity data'!BN10*EF!$H9)*kgtoGg=0,"NO",('Activity data'!BN10*EF!$H9)*kgtoGg)</f>
        <v>114.47360844232533</v>
      </c>
      <c r="AV1384" s="27">
        <f>IF(('Activity data'!BO10*EF!$H9)*kgtoGg=0,"NO",('Activity data'!BO10*EF!$H9)*kgtoGg)</f>
        <v>119.9848328319804</v>
      </c>
      <c r="AW1384" s="27">
        <f>IF(('Activity data'!BP10*EF!$H9)*kgtoGg=0,"NO",('Activity data'!BP10*EF!$H9)*kgtoGg)</f>
        <v>125.38797876262088</v>
      </c>
    </row>
    <row r="1385" spans="1:49" x14ac:dyDescent="0.25">
      <c r="A1385" s="95" t="s">
        <v>959</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134.514372062219</v>
      </c>
      <c r="T1385" s="27">
        <f>IF(('Activity data'!AM11*EF!$H10)*kgtoGg=0,"NO",('Activity data'!AM11*EF!$H10)*kgtoGg)</f>
        <v>134.61119272537138</v>
      </c>
      <c r="U1385" s="27">
        <f>IF(('Activity data'!AN11*EF!$H10)*kgtoGg=0,"NO",('Activity data'!AN11*EF!$H10)*kgtoGg)</f>
        <v>134.57715264233437</v>
      </c>
      <c r="V1385" s="27">
        <f>IF(('Activity data'!AO11*EF!$H10)*kgtoGg=0,"NO",('Activity data'!AO11*EF!$H10)*kgtoGg)</f>
        <v>134.57470202786035</v>
      </c>
      <c r="W1385" s="27">
        <f>IF(('Activity data'!AP11*EF!$H10)*kgtoGg=0,"NO",('Activity data'!AP11*EF!$H10)*kgtoGg)</f>
        <v>134.71744668818661</v>
      </c>
      <c r="X1385" s="27">
        <f>IF(('Activity data'!AQ11*EF!$H10)*kgtoGg=0,"NO",('Activity data'!AQ11*EF!$H10)*kgtoGg)</f>
        <v>134.95106147738375</v>
      </c>
      <c r="Y1385" s="27">
        <f>IF(('Activity data'!AR11*EF!$H10)*kgtoGg=0,"NO",('Activity data'!AR11*EF!$H10)*kgtoGg)</f>
        <v>135.17521745945572</v>
      </c>
      <c r="Z1385" s="27">
        <f>IF(('Activity data'!AS11*EF!$H10)*kgtoGg=0,"NO",('Activity data'!AS11*EF!$H10)*kgtoGg)</f>
        <v>135.39063780811901</v>
      </c>
      <c r="AA1385" s="27">
        <f>IF(('Activity data'!AT11*EF!$H10)*kgtoGg=0,"NO",('Activity data'!AT11*EF!$H10)*kgtoGg)</f>
        <v>135.59702853009694</v>
      </c>
      <c r="AB1385" s="27">
        <f>IF(('Activity data'!AU11*EF!$H10)*kgtoGg=0,"NO",('Activity data'!AU11*EF!$H10)*kgtoGg)</f>
        <v>135.7986907607312</v>
      </c>
      <c r="AC1385" s="27">
        <f>IF(('Activity data'!AV11*EF!$H10)*kgtoGg=0,"NO",('Activity data'!AV11*EF!$H10)*kgtoGg)</f>
        <v>135.99857025620054</v>
      </c>
      <c r="AD1385" s="27">
        <f>IF(('Activity data'!AW11*EF!$H10)*kgtoGg=0,"NO",('Activity data'!AW11*EF!$H10)*kgtoGg)</f>
        <v>136.19466148301387</v>
      </c>
      <c r="AE1385" s="27">
        <f>IF(('Activity data'!AX11*EF!$H10)*kgtoGg=0,"NO",('Activity data'!AX11*EF!$H10)*kgtoGg)</f>
        <v>136.38978391312594</v>
      </c>
      <c r="AF1385" s="27">
        <f>IF(('Activity data'!AY11*EF!$H10)*kgtoGg=0,"NO",('Activity data'!AY11*EF!$H10)*kgtoGg)</f>
        <v>136.58332287316895</v>
      </c>
      <c r="AG1385" s="27">
        <f>IF(('Activity data'!AZ11*EF!$H10)*kgtoGg=0,"NO",('Activity data'!AZ11*EF!$H10)*kgtoGg)</f>
        <v>136.77372760735147</v>
      </c>
      <c r="AH1385" s="27">
        <f>IF(('Activity data'!BA11*EF!$H10)*kgtoGg=0,"NO",('Activity data'!BA11*EF!$H10)*kgtoGg)</f>
        <v>136.96183641513412</v>
      </c>
      <c r="AI1385" s="27">
        <f>IF(('Activity data'!BB11*EF!$H10)*kgtoGg=0,"NO",('Activity data'!BB11*EF!$H10)*kgtoGg)</f>
        <v>137.1478500354736</v>
      </c>
      <c r="AJ1385" s="27">
        <f>IF(('Activity data'!BC11*EF!$H10)*kgtoGg=0,"NO",('Activity data'!BC11*EF!$H10)*kgtoGg)</f>
        <v>137.33239997388901</v>
      </c>
      <c r="AK1385" s="27">
        <f>IF(('Activity data'!BD11*EF!$H10)*kgtoGg=0,"NO",('Activity data'!BD11*EF!$H10)*kgtoGg)</f>
        <v>137.50983936953097</v>
      </c>
      <c r="AL1385" s="27">
        <f>IF(('Activity data'!BE11*EF!$H10)*kgtoGg=0,"NO",('Activity data'!BE11*EF!$H10)*kgtoGg)</f>
        <v>137.67996062186128</v>
      </c>
      <c r="AM1385" s="27">
        <f>IF(('Activity data'!BF11*EF!$H10)*kgtoGg=0,"NO",('Activity data'!BF11*EF!$H10)*kgtoGg)</f>
        <v>137.84435369829882</v>
      </c>
      <c r="AN1385" s="27">
        <f>IF(('Activity data'!BG11*EF!$H10)*kgtoGg=0,"NO",('Activity data'!BG11*EF!$H10)*kgtoGg)</f>
        <v>138.00175275471773</v>
      </c>
      <c r="AO1385" s="27">
        <f>IF(('Activity data'!BH11*EF!$H10)*kgtoGg=0,"NO",('Activity data'!BH11*EF!$H10)*kgtoGg)</f>
        <v>138.15244332532626</v>
      </c>
      <c r="AP1385" s="27">
        <f>IF(('Activity data'!BI11*EF!$H10)*kgtoGg=0,"NO",('Activity data'!BI11*EF!$H10)*kgtoGg)</f>
        <v>138.29574669703695</v>
      </c>
      <c r="AQ1385" s="27">
        <f>IF(('Activity data'!BJ11*EF!$H10)*kgtoGg=0,"NO",('Activity data'!BJ11*EF!$H10)*kgtoGg)</f>
        <v>138.4296121873767</v>
      </c>
      <c r="AR1385" s="27">
        <f>IF(('Activity data'!BK11*EF!$H10)*kgtoGg=0,"NO",('Activity data'!BK11*EF!$H10)*kgtoGg)</f>
        <v>138.55213947392693</v>
      </c>
      <c r="AS1385" s="27">
        <f>IF(('Activity data'!BL11*EF!$H10)*kgtoGg=0,"NO",('Activity data'!BL11*EF!$H10)*kgtoGg)</f>
        <v>138.66320476976824</v>
      </c>
      <c r="AT1385" s="27">
        <f>IF(('Activity data'!BM11*EF!$H10)*kgtoGg=0,"NO",('Activity data'!BM11*EF!$H10)*kgtoGg)</f>
        <v>138.76195815463774</v>
      </c>
      <c r="AU1385" s="27">
        <f>IF(('Activity data'!BN11*EF!$H10)*kgtoGg=0,"NO",('Activity data'!BN11*EF!$H10)*kgtoGg)</f>
        <v>138.84835200114654</v>
      </c>
      <c r="AV1385" s="27">
        <f>IF(('Activity data'!BO11*EF!$H10)*kgtoGg=0,"NO",('Activity data'!BO11*EF!$H10)*kgtoGg)</f>
        <v>138.92403962400931</v>
      </c>
      <c r="AW1385" s="27">
        <f>IF(('Activity data'!BP11*EF!$H10)*kgtoGg=0,"NO",('Activity data'!BP11*EF!$H10)*kgtoGg)</f>
        <v>138.97919020206226</v>
      </c>
    </row>
    <row r="1386" spans="1:49" x14ac:dyDescent="0.25">
      <c r="A1386" s="95" t="s">
        <v>959</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14.577835829783805</v>
      </c>
      <c r="T1386" s="27">
        <f>IF(('Activity data'!AM12*EF!$H11)*kgtoGg=0,"NO",('Activity data'!AM12*EF!$H11)*kgtoGg)</f>
        <v>14.588328654533516</v>
      </c>
      <c r="U1386" s="27">
        <f>IF(('Activity data'!AN12*EF!$H11)*kgtoGg=0,"NO",('Activity data'!AN12*EF!$H11)*kgtoGg)</f>
        <v>14.584639600832128</v>
      </c>
      <c r="V1386" s="27">
        <f>IF(('Activity data'!AO12*EF!$H11)*kgtoGg=0,"NO",('Activity data'!AO12*EF!$H11)*kgtoGg)</f>
        <v>14.584374018389626</v>
      </c>
      <c r="W1386" s="27">
        <f>IF(('Activity data'!AP12*EF!$H11)*kgtoGg=0,"NO",('Activity data'!AP12*EF!$H11)*kgtoGg)</f>
        <v>14.599843801966744</v>
      </c>
      <c r="X1386" s="27">
        <f>IF(('Activity data'!AQ12*EF!$H11)*kgtoGg=0,"NO",('Activity data'!AQ12*EF!$H11)*kgtoGg)</f>
        <v>14.625161528185249</v>
      </c>
      <c r="Y1386" s="27">
        <f>IF(('Activity data'!AR12*EF!$H11)*kgtoGg=0,"NO",('Activity data'!AR12*EF!$H11)*kgtoGg)</f>
        <v>14.649454167379202</v>
      </c>
      <c r="Z1386" s="27">
        <f>IF(('Activity data'!AS12*EF!$H11)*kgtoGg=0,"NO",('Activity data'!AS12*EF!$H11)*kgtoGg)</f>
        <v>14.672800092644023</v>
      </c>
      <c r="AA1386" s="27">
        <f>IF(('Activity data'!AT12*EF!$H11)*kgtoGg=0,"NO",('Activity data'!AT12*EF!$H11)*kgtoGg)</f>
        <v>14.695167442806378</v>
      </c>
      <c r="AB1386" s="27">
        <f>IF(('Activity data'!AU12*EF!$H11)*kgtoGg=0,"NO",('Activity data'!AU12*EF!$H11)*kgtoGg)</f>
        <v>14.717022348317101</v>
      </c>
      <c r="AC1386" s="27">
        <f>IF(('Activity data'!AV12*EF!$H11)*kgtoGg=0,"NO",('Activity data'!AV12*EF!$H11)*kgtoGg)</f>
        <v>14.738684052014786</v>
      </c>
      <c r="AD1386" s="27">
        <f>IF(('Activity data'!AW12*EF!$H11)*kgtoGg=0,"NO",('Activity data'!AW12*EF!$H11)*kgtoGg)</f>
        <v>14.759935206581549</v>
      </c>
      <c r="AE1386" s="27">
        <f>IF(('Activity data'!AX12*EF!$H11)*kgtoGg=0,"NO",('Activity data'!AX12*EF!$H11)*kgtoGg)</f>
        <v>14.781081368952709</v>
      </c>
      <c r="AF1386" s="27">
        <f>IF(('Activity data'!AY12*EF!$H11)*kgtoGg=0,"NO",('Activity data'!AY12*EF!$H11)*kgtoGg)</f>
        <v>14.802055924629695</v>
      </c>
      <c r="AG1386" s="27">
        <f>IF(('Activity data'!AZ12*EF!$H11)*kgtoGg=0,"NO",('Activity data'!AZ12*EF!$H11)*kgtoGg)</f>
        <v>14.822690812289457</v>
      </c>
      <c r="AH1386" s="27">
        <f>IF(('Activity data'!BA12*EF!$H11)*kgtoGg=0,"NO",('Activity data'!BA12*EF!$H11)*kgtoGg)</f>
        <v>14.843076881643613</v>
      </c>
      <c r="AI1386" s="27">
        <f>IF(('Activity data'!BB12*EF!$H11)*kgtoGg=0,"NO",('Activity data'!BB12*EF!$H11)*kgtoGg)</f>
        <v>14.863235887538975</v>
      </c>
      <c r="AJ1386" s="27">
        <f>IF(('Activity data'!BC12*EF!$H11)*kgtoGg=0,"NO",('Activity data'!BC12*EF!$H11)*kgtoGg)</f>
        <v>14.883236268638564</v>
      </c>
      <c r="AK1386" s="27">
        <f>IF(('Activity data'!BD12*EF!$H11)*kgtoGg=0,"NO",('Activity data'!BD12*EF!$H11)*kgtoGg)</f>
        <v>14.902466053082772</v>
      </c>
      <c r="AL1386" s="27">
        <f>IF(('Activity data'!BE12*EF!$H11)*kgtoGg=0,"NO",('Activity data'!BE12*EF!$H11)*kgtoGg)</f>
        <v>14.920902742409034</v>
      </c>
      <c r="AM1386" s="27">
        <f>IF(('Activity data'!BF12*EF!$H11)*kgtoGg=0,"NO",('Activity data'!BF12*EF!$H11)*kgtoGg)</f>
        <v>14.938718647454118</v>
      </c>
      <c r="AN1386" s="27">
        <f>IF(('Activity data'!BG12*EF!$H11)*kgtoGg=0,"NO",('Activity data'!BG12*EF!$H11)*kgtoGg)</f>
        <v>14.95577658385943</v>
      </c>
      <c r="AO1386" s="27">
        <f>IF(('Activity data'!BH12*EF!$H11)*kgtoGg=0,"NO",('Activity data'!BH12*EF!$H11)*kgtoGg)</f>
        <v>14.972107496056765</v>
      </c>
      <c r="AP1386" s="27">
        <f>IF(('Activity data'!BI12*EF!$H11)*kgtoGg=0,"NO",('Activity data'!BI12*EF!$H11)*kgtoGg)</f>
        <v>14.98763782931875</v>
      </c>
      <c r="AQ1386" s="27">
        <f>IF(('Activity data'!BJ12*EF!$H11)*kgtoGg=0,"NO",('Activity data'!BJ12*EF!$H11)*kgtoGg)</f>
        <v>15.002145343360027</v>
      </c>
      <c r="AR1386" s="27">
        <f>IF(('Activity data'!BK12*EF!$H11)*kgtoGg=0,"NO",('Activity data'!BK12*EF!$H11)*kgtoGg)</f>
        <v>15.015424092988152</v>
      </c>
      <c r="AS1386" s="27">
        <f>IF(('Activity data'!BL12*EF!$H11)*kgtoGg=0,"NO",('Activity data'!BL12*EF!$H11)*kgtoGg)</f>
        <v>15.027460662942268</v>
      </c>
      <c r="AT1386" s="27">
        <f>IF(('Activity data'!BM12*EF!$H11)*kgtoGg=0,"NO",('Activity data'!BM12*EF!$H11)*kgtoGg)</f>
        <v>15.038162944120053</v>
      </c>
      <c r="AU1386" s="27">
        <f>IF(('Activity data'!BN12*EF!$H11)*kgtoGg=0,"NO",('Activity data'!BN12*EF!$H11)*kgtoGg)</f>
        <v>15.047525774959613</v>
      </c>
      <c r="AV1386" s="27">
        <f>IF(('Activity data'!BO12*EF!$H11)*kgtoGg=0,"NO",('Activity data'!BO12*EF!$H11)*kgtoGg)</f>
        <v>15.055728331485913</v>
      </c>
      <c r="AW1386" s="27">
        <f>IF(('Activity data'!BP12*EF!$H11)*kgtoGg=0,"NO",('Activity data'!BP12*EF!$H11)*kgtoGg)</f>
        <v>15.061705210093363</v>
      </c>
    </row>
    <row r="1387" spans="1:49" x14ac:dyDescent="0.25">
      <c r="A1387" s="95" t="s">
        <v>959</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15.123414197798356</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15.545788610572219</v>
      </c>
      <c r="R1387" s="27">
        <f>IF(('Activity data'!AK13*EF!$H12)*kgtoGg=0,"NO",('Activity data'!AK13*EF!$H12)*kgtoGg)</f>
        <v>15.648067752449878</v>
      </c>
      <c r="S1387" s="27">
        <f>IF(('Activity data'!AL13*EF!$H12)*kgtoGg=0,"NO",('Activity data'!AL13*EF!$H12)*kgtoGg)</f>
        <v>15.609698922895241</v>
      </c>
      <c r="T1387" s="27">
        <f>IF(('Activity data'!AM13*EF!$H12)*kgtoGg=0,"NO",('Activity data'!AM13*EF!$H12)*kgtoGg)</f>
        <v>15.636532010302831</v>
      </c>
      <c r="U1387" s="27">
        <f>IF(('Activity data'!AN13*EF!$H12)*kgtoGg=0,"NO",('Activity data'!AN13*EF!$H12)*kgtoGg)</f>
        <v>15.639135853628233</v>
      </c>
      <c r="V1387" s="27">
        <f>IF(('Activity data'!AO13*EF!$H12)*kgtoGg=0,"NO",('Activity data'!AO13*EF!$H12)*kgtoGg)</f>
        <v>15.646294761850147</v>
      </c>
      <c r="W1387" s="27">
        <f>IF(('Activity data'!AP13*EF!$H12)*kgtoGg=0,"NO",('Activity data'!AP13*EF!$H12)*kgtoGg)</f>
        <v>15.677946241783271</v>
      </c>
      <c r="X1387" s="27">
        <f>IF(('Activity data'!AQ13*EF!$H12)*kgtoGg=0,"NO",('Activity data'!AQ13*EF!$H12)*kgtoGg)</f>
        <v>15.724503798989753</v>
      </c>
      <c r="Y1387" s="27">
        <f>IF(('Activity data'!AR13*EF!$H12)*kgtoGg=0,"NO",('Activity data'!AR13*EF!$H12)*kgtoGg)</f>
        <v>15.768451676063824</v>
      </c>
      <c r="Z1387" s="27">
        <f>IF(('Activity data'!AS13*EF!$H12)*kgtoGg=0,"NO",('Activity data'!AS13*EF!$H12)*kgtoGg)</f>
        <v>15.809996509627668</v>
      </c>
      <c r="AA1387" s="27">
        <f>IF(('Activity data'!AT13*EF!$H12)*kgtoGg=0,"NO",('Activity data'!AT13*EF!$H12)*kgtoGg)</f>
        <v>15.849159564668597</v>
      </c>
      <c r="AB1387" s="27">
        <f>IF(('Activity data'!AU13*EF!$H12)*kgtoGg=0,"NO",('Activity data'!AU13*EF!$H12)*kgtoGg)</f>
        <v>15.886751198222623</v>
      </c>
      <c r="AC1387" s="27">
        <f>IF(('Activity data'!AV13*EF!$H12)*kgtoGg=0,"NO",('Activity data'!AV13*EF!$H12)*kgtoGg)</f>
        <v>15.923335433500936</v>
      </c>
      <c r="AD1387" s="27">
        <f>IF(('Activity data'!AW13*EF!$H12)*kgtoGg=0,"NO",('Activity data'!AW13*EF!$H12)*kgtoGg)</f>
        <v>15.958613587829067</v>
      </c>
      <c r="AE1387" s="27">
        <f>IF(('Activity data'!AX13*EF!$H12)*kgtoGg=0,"NO",('Activity data'!AX13*EF!$H12)*kgtoGg)</f>
        <v>15.993115538730159</v>
      </c>
      <c r="AF1387" s="27">
        <f>IF(('Activity data'!AY13*EF!$H12)*kgtoGg=0,"NO",('Activity data'!AY13*EF!$H12)*kgtoGg)</f>
        <v>16.026773849205178</v>
      </c>
      <c r="AG1387" s="27">
        <f>IF(('Activity data'!AZ13*EF!$H12)*kgtoGg=0,"NO",('Activity data'!AZ13*EF!$H12)*kgtoGg)</f>
        <v>16.059358210664367</v>
      </c>
      <c r="AH1387" s="27">
        <f>IF(('Activity data'!BA13*EF!$H12)*kgtoGg=0,"NO",('Activity data'!BA13*EF!$H12)*kgtoGg)</f>
        <v>16.091045965246145</v>
      </c>
      <c r="AI1387" s="27">
        <f>IF(('Activity data'!BB13*EF!$H12)*kgtoGg=0,"NO",('Activity data'!BB13*EF!$H12)*kgtoGg)</f>
        <v>16.121901844149729</v>
      </c>
      <c r="AJ1387" s="27">
        <f>IF(('Activity data'!BC13*EF!$H12)*kgtoGg=0,"NO",('Activity data'!BC13*EF!$H12)*kgtoGg)</f>
        <v>16.152061326115707</v>
      </c>
      <c r="AK1387" s="27">
        <f>IF(('Activity data'!BD13*EF!$H12)*kgtoGg=0,"NO",('Activity data'!BD13*EF!$H12)*kgtoGg)</f>
        <v>16.180589301116473</v>
      </c>
      <c r="AL1387" s="27">
        <f>IF(('Activity data'!BE13*EF!$H12)*kgtoGg=0,"NO",('Activity data'!BE13*EF!$H12)*kgtoGg)</f>
        <v>16.207479025870157</v>
      </c>
      <c r="AM1387" s="27">
        <f>IF(('Activity data'!BF13*EF!$H12)*kgtoGg=0,"NO",('Activity data'!BF13*EF!$H12)*kgtoGg)</f>
        <v>16.233026710727977</v>
      </c>
      <c r="AN1387" s="27">
        <f>IF(('Activity data'!BG13*EF!$H12)*kgtoGg=0,"NO",('Activity data'!BG13*EF!$H12)*kgtoGg)</f>
        <v>16.257041914334369</v>
      </c>
      <c r="AO1387" s="27">
        <f>IF(('Activity data'!BH13*EF!$H12)*kgtoGg=0,"NO",('Activity data'!BH13*EF!$H12)*kgtoGg)</f>
        <v>16.279596122288691</v>
      </c>
      <c r="AP1387" s="27">
        <f>IF(('Activity data'!BI13*EF!$H12)*kgtoGg=0,"NO",('Activity data'!BI13*EF!$H12)*kgtoGg)</f>
        <v>16.300596548995752</v>
      </c>
      <c r="AQ1387" s="27">
        <f>IF(('Activity data'!BJ13*EF!$H12)*kgtoGg=0,"NO",('Activity data'!BJ13*EF!$H12)*kgtoGg)</f>
        <v>16.31971904310852</v>
      </c>
      <c r="AR1387" s="27">
        <f>IF(('Activity data'!BK13*EF!$H12)*kgtoGg=0,"NO",('Activity data'!BK13*EF!$H12)*kgtoGg)</f>
        <v>16.336665838044137</v>
      </c>
      <c r="AS1387" s="27">
        <f>IF(('Activity data'!BL13*EF!$H12)*kgtoGg=0,"NO",('Activity data'!BL13*EF!$H12)*kgtoGg)</f>
        <v>16.351438090046905</v>
      </c>
      <c r="AT1387" s="27">
        <f>IF(('Activity data'!BM13*EF!$H12)*kgtoGg=0,"NO",('Activity data'!BM13*EF!$H12)*kgtoGg)</f>
        <v>16.363914421549605</v>
      </c>
      <c r="AU1387" s="27">
        <f>IF(('Activity data'!BN13*EF!$H12)*kgtoGg=0,"NO",('Activity data'!BN13*EF!$H12)*kgtoGg)</f>
        <v>16.374107486259209</v>
      </c>
      <c r="AV1387" s="27">
        <f>IF(('Activity data'!BO13*EF!$H12)*kgtoGg=0,"NO",('Activity data'!BO13*EF!$H12)*kgtoGg)</f>
        <v>16.382312930249284</v>
      </c>
      <c r="AW1387" s="27">
        <f>IF(('Activity data'!BP13*EF!$H12)*kgtoGg=0,"NO",('Activity data'!BP13*EF!$H12)*kgtoGg)</f>
        <v>16.386910096993194</v>
      </c>
    </row>
    <row r="1388" spans="1:49" x14ac:dyDescent="0.25">
      <c r="A1388" s="95" t="s">
        <v>959</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22.381101687842737</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23.100753199022172</v>
      </c>
      <c r="T1388" s="27">
        <f>IF(('Activity data'!AM14*EF!$H13)*kgtoGg=0,"NO",('Activity data'!AM14*EF!$H13)*kgtoGg)</f>
        <v>23.140463415909274</v>
      </c>
      <c r="U1388" s="27">
        <f>IF(('Activity data'!AN14*EF!$H13)*kgtoGg=0,"NO",('Activity data'!AN14*EF!$H13)*kgtoGg)</f>
        <v>23.144316836934628</v>
      </c>
      <c r="V1388" s="27">
        <f>IF(('Activity data'!AO14*EF!$H13)*kgtoGg=0,"NO",('Activity data'!AO14*EF!$H13)*kgtoGg)</f>
        <v>23.154911286758789</v>
      </c>
      <c r="W1388" s="27">
        <f>IF(('Activity data'!AP14*EF!$H13)*kgtoGg=0,"NO",('Activity data'!AP14*EF!$H13)*kgtoGg)</f>
        <v>23.201752230324114</v>
      </c>
      <c r="X1388" s="27">
        <f>IF(('Activity data'!AQ14*EF!$H13)*kgtoGg=0,"NO",('Activity data'!AQ14*EF!$H13)*kgtoGg)</f>
        <v>23.270652639223016</v>
      </c>
      <c r="Y1388" s="27">
        <f>IF(('Activity data'!AR14*EF!$H13)*kgtoGg=0,"NO",('Activity data'!AR14*EF!$H13)*kgtoGg)</f>
        <v>23.335690989220911</v>
      </c>
      <c r="Z1388" s="27">
        <f>IF(('Activity data'!AS14*EF!$H13)*kgtoGg=0,"NO",('Activity data'!AS14*EF!$H13)*kgtoGg)</f>
        <v>23.397173081322329</v>
      </c>
      <c r="AA1388" s="27">
        <f>IF(('Activity data'!AT14*EF!$H13)*kgtoGg=0,"NO",('Activity data'!AT14*EF!$H13)*kgtoGg)</f>
        <v>23.455130385527173</v>
      </c>
      <c r="AB1388" s="27">
        <f>IF(('Activity data'!AU14*EF!$H13)*kgtoGg=0,"NO",('Activity data'!AU14*EF!$H13)*kgtoGg)</f>
        <v>23.510762147124183</v>
      </c>
      <c r="AC1388" s="27">
        <f>IF(('Activity data'!AV14*EF!$H13)*kgtoGg=0,"NO",('Activity data'!AV14*EF!$H13)*kgtoGg)</f>
        <v>23.564903062609726</v>
      </c>
      <c r="AD1388" s="27">
        <f>IF(('Activity data'!AW14*EF!$H13)*kgtoGg=0,"NO",('Activity data'!AW14*EF!$H13)*kgtoGg)</f>
        <v>23.617111112263775</v>
      </c>
      <c r="AE1388" s="27">
        <f>IF(('Activity data'!AX14*EF!$H13)*kgtoGg=0,"NO",('Activity data'!AX14*EF!$H13)*kgtoGg)</f>
        <v>23.668170460466953</v>
      </c>
      <c r="AF1388" s="27">
        <f>IF(('Activity data'!AY14*EF!$H13)*kgtoGg=0,"NO",('Activity data'!AY14*EF!$H13)*kgtoGg)</f>
        <v>23.717981307378224</v>
      </c>
      <c r="AG1388" s="27">
        <f>IF(('Activity data'!AZ14*EF!$H13)*kgtoGg=0,"NO",('Activity data'!AZ14*EF!$H13)*kgtoGg)</f>
        <v>23.766202819909285</v>
      </c>
      <c r="AH1388" s="27">
        <f>IF(('Activity data'!BA14*EF!$H13)*kgtoGg=0,"NO",('Activity data'!BA14*EF!$H13)*kgtoGg)</f>
        <v>23.813097446233641</v>
      </c>
      <c r="AI1388" s="27">
        <f>IF(('Activity data'!BB14*EF!$H13)*kgtoGg=0,"NO",('Activity data'!BB14*EF!$H13)*kgtoGg)</f>
        <v>23.858760981886149</v>
      </c>
      <c r="AJ1388" s="27">
        <f>IF(('Activity data'!BC14*EF!$H13)*kgtoGg=0,"NO",('Activity data'!BC14*EF!$H13)*kgtoGg)</f>
        <v>23.903393921505796</v>
      </c>
      <c r="AK1388" s="27">
        <f>IF(('Activity data'!BD14*EF!$H13)*kgtoGg=0,"NO",('Activity data'!BD14*EF!$H13)*kgtoGg)</f>
        <v>23.94561239817315</v>
      </c>
      <c r="AL1388" s="27">
        <f>IF(('Activity data'!BE14*EF!$H13)*kgtoGg=0,"NO",('Activity data'!BE14*EF!$H13)*kgtoGg)</f>
        <v>23.985406432522741</v>
      </c>
      <c r="AM1388" s="27">
        <f>IF(('Activity data'!BF14*EF!$H13)*kgtoGg=0,"NO",('Activity data'!BF14*EF!$H13)*kgtoGg)</f>
        <v>24.023214385489801</v>
      </c>
      <c r="AN1388" s="27">
        <f>IF(('Activity data'!BG14*EF!$H13)*kgtoGg=0,"NO",('Activity data'!BG14*EF!$H13)*kgtoGg)</f>
        <v>24.058754423403148</v>
      </c>
      <c r="AO1388" s="27">
        <f>IF(('Activity data'!BH14*EF!$H13)*kgtoGg=0,"NO",('Activity data'!BH14*EF!$H13)*kgtoGg)</f>
        <v>24.092132337616977</v>
      </c>
      <c r="AP1388" s="27">
        <f>IF(('Activity data'!BI14*EF!$H13)*kgtoGg=0,"NO",('Activity data'!BI14*EF!$H13)*kgtoGg)</f>
        <v>24.123210814968164</v>
      </c>
      <c r="AQ1388" s="27">
        <f>IF(('Activity data'!BJ14*EF!$H13)*kgtoGg=0,"NO",('Activity data'!BJ14*EF!$H13)*kgtoGg)</f>
        <v>24.151510144713775</v>
      </c>
      <c r="AR1388" s="27">
        <f>IF(('Activity data'!BK14*EF!$H13)*kgtoGg=0,"NO",('Activity data'!BK14*EF!$H13)*kgtoGg)</f>
        <v>24.176589662855413</v>
      </c>
      <c r="AS1388" s="27">
        <f>IF(('Activity data'!BL14*EF!$H13)*kgtoGg=0,"NO",('Activity data'!BL14*EF!$H13)*kgtoGg)</f>
        <v>24.198451080516016</v>
      </c>
      <c r="AT1388" s="27">
        <f>IF(('Activity data'!BM14*EF!$H13)*kgtoGg=0,"NO",('Activity data'!BM14*EF!$H13)*kgtoGg)</f>
        <v>24.21691477134674</v>
      </c>
      <c r="AU1388" s="27">
        <f>IF(('Activity data'!BN14*EF!$H13)*kgtoGg=0,"NO",('Activity data'!BN14*EF!$H13)*kgtoGg)</f>
        <v>24.231999461535917</v>
      </c>
      <c r="AV1388" s="27">
        <f>IF(('Activity data'!BO14*EF!$H13)*kgtoGg=0,"NO",('Activity data'!BO14*EF!$H13)*kgtoGg)</f>
        <v>24.244142676945735</v>
      </c>
      <c r="AW1388" s="27">
        <f>IF(('Activity data'!BP14*EF!$H13)*kgtoGg=0,"NO",('Activity data'!BP14*EF!$H13)*kgtoGg)</f>
        <v>24.250946012159979</v>
      </c>
    </row>
    <row r="1389" spans="1:49" x14ac:dyDescent="0.25">
      <c r="A1389" s="95" t="s">
        <v>959</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5.579523571019652</v>
      </c>
      <c r="M1389" s="27">
        <f>IF(('Activity data'!AF15*EF!$H14)*kgtoGg=0,"NO",('Activity data'!AF15*EF!$H14)*kgtoGg)</f>
        <v>5.6203482259438013</v>
      </c>
      <c r="N1389" s="27">
        <f>IF(('Activity data'!AG15*EF!$H14)*kgtoGg=0,"NO",('Activity data'!AG15*EF!$H14)*kgtoGg)</f>
        <v>5.629075655008374</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5.5483103177944031</v>
      </c>
      <c r="S1389" s="27">
        <f>IF(('Activity data'!AL15*EF!$H14)*kgtoGg=0,"NO",('Activity data'!AL15*EF!$H14)*kgtoGg)</f>
        <v>5.2971852508905934</v>
      </c>
      <c r="T1389" s="27">
        <f>IF(('Activity data'!AM15*EF!$H14)*kgtoGg=0,"NO",('Activity data'!AM15*EF!$H14)*kgtoGg)</f>
        <v>5.4545032105207021</v>
      </c>
      <c r="U1389" s="27">
        <f>IF(('Activity data'!AN15*EF!$H14)*kgtoGg=0,"NO",('Activity data'!AN15*EF!$H14)*kgtoGg)</f>
        <v>5.5329638064801401</v>
      </c>
      <c r="V1389" s="27">
        <f>IF(('Activity data'!AO15*EF!$H14)*kgtoGg=0,"NO",('Activity data'!AO15*EF!$H14)*kgtoGg)</f>
        <v>5.544813640469159</v>
      </c>
      <c r="W1389" s="27">
        <f>IF(('Activity data'!AP15*EF!$H14)*kgtoGg=0,"NO",('Activity data'!AP15*EF!$H14)*kgtoGg)</f>
        <v>5.5552394312209037</v>
      </c>
      <c r="X1389" s="27">
        <f>IF(('Activity data'!AQ15*EF!$H14)*kgtoGg=0,"NO",('Activity data'!AQ15*EF!$H14)*kgtoGg)</f>
        <v>5.5805371243140618</v>
      </c>
      <c r="Y1389" s="27">
        <f>IF(('Activity data'!AR15*EF!$H14)*kgtoGg=0,"NO",('Activity data'!AR15*EF!$H14)*kgtoGg)</f>
        <v>5.6237182797404808</v>
      </c>
      <c r="Z1389" s="27">
        <f>IF(('Activity data'!AS15*EF!$H14)*kgtoGg=0,"NO",('Activity data'!AS15*EF!$H14)*kgtoGg)</f>
        <v>5.6758191216830927</v>
      </c>
      <c r="AA1389" s="27">
        <f>IF(('Activity data'!AT15*EF!$H14)*kgtoGg=0,"NO",('Activity data'!AT15*EF!$H14)*kgtoGg)</f>
        <v>5.7392036522982304</v>
      </c>
      <c r="AB1389" s="27">
        <f>IF(('Activity data'!AU15*EF!$H14)*kgtoGg=0,"NO",('Activity data'!AU15*EF!$H14)*kgtoGg)</f>
        <v>5.8209863133515896</v>
      </c>
      <c r="AC1389" s="27">
        <f>IF(('Activity data'!AV15*EF!$H14)*kgtoGg=0,"NO",('Activity data'!AV15*EF!$H14)*kgtoGg)</f>
        <v>5.9200988769206573</v>
      </c>
      <c r="AD1389" s="27">
        <f>IF(('Activity data'!AW15*EF!$H14)*kgtoGg=0,"NO",('Activity data'!AW15*EF!$H14)*kgtoGg)</f>
        <v>6.0298529321871719</v>
      </c>
      <c r="AE1389" s="27">
        <f>IF(('Activity data'!AX15*EF!$H14)*kgtoGg=0,"NO",('Activity data'!AX15*EF!$H14)*kgtoGg)</f>
        <v>6.1497995952254207</v>
      </c>
      <c r="AF1389" s="27">
        <f>IF(('Activity data'!AY15*EF!$H14)*kgtoGg=0,"NO",('Activity data'!AY15*EF!$H14)*kgtoGg)</f>
        <v>6.2762315807434783</v>
      </c>
      <c r="AG1389" s="27">
        <f>IF(('Activity data'!AZ15*EF!$H14)*kgtoGg=0,"NO",('Activity data'!AZ15*EF!$H14)*kgtoGg)</f>
        <v>6.4109152413607369</v>
      </c>
      <c r="AH1389" s="27">
        <f>IF(('Activity data'!BA15*EF!$H14)*kgtoGg=0,"NO",('Activity data'!BA15*EF!$H14)*kgtoGg)</f>
        <v>6.552086974601302</v>
      </c>
      <c r="AI1389" s="27">
        <f>IF(('Activity data'!BB15*EF!$H14)*kgtoGg=0,"NO",('Activity data'!BB15*EF!$H14)*kgtoGg)</f>
        <v>6.6933077398392395</v>
      </c>
      <c r="AJ1389" s="27">
        <f>IF(('Activity data'!BC15*EF!$H14)*kgtoGg=0,"NO",('Activity data'!BC15*EF!$H14)*kgtoGg)</f>
        <v>6.8438679121481307</v>
      </c>
      <c r="AK1389" s="27">
        <f>IF(('Activity data'!BD15*EF!$H14)*kgtoGg=0,"NO",('Activity data'!BD15*EF!$H14)*kgtoGg)</f>
        <v>6.9980784680830306</v>
      </c>
      <c r="AL1389" s="27">
        <f>IF(('Activity data'!BE15*EF!$H14)*kgtoGg=0,"NO",('Activity data'!BE15*EF!$H14)*kgtoGg)</f>
        <v>7.1555200224058177</v>
      </c>
      <c r="AM1389" s="27">
        <f>IF(('Activity data'!BF15*EF!$H14)*kgtoGg=0,"NO",('Activity data'!BF15*EF!$H14)*kgtoGg)</f>
        <v>7.3189945558292679</v>
      </c>
      <c r="AN1389" s="27">
        <f>IF(('Activity data'!BG15*EF!$H14)*kgtoGg=0,"NO",('Activity data'!BG15*EF!$H14)*kgtoGg)</f>
        <v>7.4816205294730294</v>
      </c>
      <c r="AO1389" s="27">
        <f>IF(('Activity data'!BH15*EF!$H14)*kgtoGg=0,"NO",('Activity data'!BH15*EF!$H14)*kgtoGg)</f>
        <v>7.6530966093944661</v>
      </c>
      <c r="AP1389" s="27">
        <f>IF(('Activity data'!BI15*EF!$H14)*kgtoGg=0,"NO",('Activity data'!BI15*EF!$H14)*kgtoGg)</f>
        <v>7.8370750081366163</v>
      </c>
      <c r="AQ1389" s="27">
        <f>IF(('Activity data'!BJ15*EF!$H14)*kgtoGg=0,"NO",('Activity data'!BJ15*EF!$H14)*kgtoGg)</f>
        <v>8.0278701064246079</v>
      </c>
      <c r="AR1389" s="27">
        <f>IF(('Activity data'!BK15*EF!$H14)*kgtoGg=0,"NO",('Activity data'!BK15*EF!$H14)*kgtoGg)</f>
        <v>8.2260903165664789</v>
      </c>
      <c r="AS1389" s="27">
        <f>IF(('Activity data'!BL15*EF!$H14)*kgtoGg=0,"NO",('Activity data'!BL15*EF!$H14)*kgtoGg)</f>
        <v>8.4385648916420113</v>
      </c>
      <c r="AT1389" s="27">
        <f>IF(('Activity data'!BM15*EF!$H14)*kgtoGg=0,"NO",('Activity data'!BM15*EF!$H14)*kgtoGg)</f>
        <v>8.6634503637197486</v>
      </c>
      <c r="AU1389" s="27">
        <f>IF(('Activity data'!BN15*EF!$H14)*kgtoGg=0,"NO",('Activity data'!BN15*EF!$H14)*kgtoGg)</f>
        <v>8.8995458740132776</v>
      </c>
      <c r="AV1389" s="27">
        <f>IF(('Activity data'!BO15*EF!$H14)*kgtoGg=0,"NO",('Activity data'!BO15*EF!$H14)*kgtoGg)</f>
        <v>9.151348341874078</v>
      </c>
      <c r="AW1389" s="27">
        <f>IF(('Activity data'!BP15*EF!$H14)*kgtoGg=0,"NO",('Activity data'!BP15*EF!$H14)*kgtoGg)</f>
        <v>9.3946927055732683</v>
      </c>
    </row>
    <row r="1390" spans="1:49" x14ac:dyDescent="0.25">
      <c r="A1390" s="95" t="s">
        <v>959</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5">
      <c r="A1391" s="95" t="s">
        <v>959</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1.8300977880312248</v>
      </c>
      <c r="M1391" s="27">
        <f>IF(('Activity data'!AF17*EF!$H16)*kgtoGg=0,"NO",('Activity data'!AF17*EF!$H16)*kgtoGg)</f>
        <v>1.8309187348828144</v>
      </c>
      <c r="N1391" s="27">
        <f>IF(('Activity data'!AG17*EF!$H16)*kgtoGg=0,"NO",('Activity data'!AG17*EF!$H16)*kgtoGg)</f>
        <v>1.8141094978660446</v>
      </c>
      <c r="O1391" s="27">
        <f>IF(('Activity data'!AH17*EF!$H16)*kgtoGg=0,"NO",('Activity data'!AH17*EF!$H16)*kgtoGg)</f>
        <v>1.7866561368117291</v>
      </c>
      <c r="P1391" s="27">
        <f>IF(('Activity data'!AI17*EF!$H16)*kgtoGg=0,"NO",('Activity data'!AI17*EF!$H16)*kgtoGg)</f>
        <v>1.7489975228040082</v>
      </c>
      <c r="Q1391" s="27">
        <f>IF(('Activity data'!AJ17*EF!$H16)*kgtoGg=0,"NO",('Activity data'!AJ17*EF!$H16)*kgtoGg)</f>
        <v>1.7216531928010093</v>
      </c>
      <c r="R1391" s="27">
        <f>IF(('Activity data'!AK17*EF!$H16)*kgtoGg=0,"NO",('Activity data'!AK17*EF!$H16)*kgtoGg)</f>
        <v>1.6967284692901876</v>
      </c>
      <c r="S1391" s="27">
        <f>IF(('Activity data'!AL17*EF!$H16)*kgtoGg=0,"NO",('Activity data'!AL17*EF!$H16)*kgtoGg)</f>
        <v>1.524204734718916</v>
      </c>
      <c r="T1391" s="27">
        <f>IF(('Activity data'!AM17*EF!$H16)*kgtoGg=0,"NO",('Activity data'!AM17*EF!$H16)*kgtoGg)</f>
        <v>1.593081714161948</v>
      </c>
      <c r="U1391" s="27">
        <f>IF(('Activity data'!AN17*EF!$H16)*kgtoGg=0,"NO",('Activity data'!AN17*EF!$H16)*kgtoGg)</f>
        <v>1.6139052959558671</v>
      </c>
      <c r="V1391" s="27">
        <f>IF(('Activity data'!AO17*EF!$H16)*kgtoGg=0,"NO",('Activity data'!AO17*EF!$H16)*kgtoGg)</f>
        <v>1.5979776175047269</v>
      </c>
      <c r="W1391" s="27">
        <f>IF(('Activity data'!AP17*EF!$H16)*kgtoGg=0,"NO",('Activity data'!AP17*EF!$H16)*kgtoGg)</f>
        <v>1.5839693089985563</v>
      </c>
      <c r="X1391" s="27">
        <f>IF(('Activity data'!AQ17*EF!$H16)*kgtoGg=0,"NO",('Activity data'!AQ17*EF!$H16)*kgtoGg)</f>
        <v>1.5796400354975273</v>
      </c>
      <c r="Y1391" s="27">
        <f>IF(('Activity data'!AR17*EF!$H16)*kgtoGg=0,"NO",('Activity data'!AR17*EF!$H16)*kgtoGg)</f>
        <v>1.5846136319816619</v>
      </c>
      <c r="Z1391" s="27">
        <f>IF(('Activity data'!AS17*EF!$H16)*kgtoGg=0,"NO",('Activity data'!AS17*EF!$H16)*kgtoGg)</f>
        <v>1.5938774465709915</v>
      </c>
      <c r="AA1391" s="27">
        <f>IF(('Activity data'!AT17*EF!$H16)*kgtoGg=0,"NO",('Activity data'!AT17*EF!$H16)*kgtoGg)</f>
        <v>1.6084883569821753</v>
      </c>
      <c r="AB1391" s="27">
        <f>IF(('Activity data'!AU17*EF!$H16)*kgtoGg=0,"NO",('Activity data'!AU17*EF!$H16)*kgtoGg)</f>
        <v>1.6319593485428836</v>
      </c>
      <c r="AC1391" s="27">
        <f>IF(('Activity data'!AV17*EF!$H16)*kgtoGg=0,"NO",('Activity data'!AV17*EF!$H16)*kgtoGg)</f>
        <v>1.6634709540368702</v>
      </c>
      <c r="AD1391" s="27">
        <f>IF(('Activity data'!AW17*EF!$H16)*kgtoGg=0,"NO",('Activity data'!AW17*EF!$H16)*kgtoGg)</f>
        <v>1.6993359016898217</v>
      </c>
      <c r="AE1391" s="27">
        <f>IF(('Activity data'!AX17*EF!$H16)*kgtoGg=0,"NO",('Activity data'!AX17*EF!$H16)*kgtoGg)</f>
        <v>1.7391981590716521</v>
      </c>
      <c r="AF1391" s="27">
        <f>IF(('Activity data'!AY17*EF!$H16)*kgtoGg=0,"NO",('Activity data'!AY17*EF!$H16)*kgtoGg)</f>
        <v>1.7810637998476497</v>
      </c>
      <c r="AG1391" s="27">
        <f>IF(('Activity data'!AZ17*EF!$H16)*kgtoGg=0,"NO",('Activity data'!AZ17*EF!$H16)*kgtoGg)</f>
        <v>1.8256518272462501</v>
      </c>
      <c r="AH1391" s="27">
        <f>IF(('Activity data'!BA17*EF!$H16)*kgtoGg=0,"NO",('Activity data'!BA17*EF!$H16)*kgtoGg)</f>
        <v>1.8720011956576361</v>
      </c>
      <c r="AI1391" s="27">
        <f>IF(('Activity data'!BB17*EF!$H16)*kgtoGg=0,"NO",('Activity data'!BB17*EF!$H16)*kgtoGg)</f>
        <v>1.9169799867438404</v>
      </c>
      <c r="AJ1391" s="27">
        <f>IF(('Activity data'!BC17*EF!$H16)*kgtoGg=0,"NO",('Activity data'!BC17*EF!$H16)*kgtoGg)</f>
        <v>1.9649335737465348</v>
      </c>
      <c r="AK1391" s="27">
        <f>IF(('Activity data'!BD17*EF!$H16)*kgtoGg=0,"NO",('Activity data'!BD17*EF!$H16)*kgtoGg)</f>
        <v>2.0129828074709066</v>
      </c>
      <c r="AL1391" s="27">
        <f>IF(('Activity data'!BE17*EF!$H16)*kgtoGg=0,"NO",('Activity data'!BE17*EF!$H16)*kgtoGg)</f>
        <v>2.0608754146421031</v>
      </c>
      <c r="AM1391" s="27">
        <f>IF(('Activity data'!BF17*EF!$H16)*kgtoGg=0,"NO",('Activity data'!BF17*EF!$H16)*kgtoGg)</f>
        <v>2.1098506270361996</v>
      </c>
      <c r="AN1391" s="27">
        <f>IF(('Activity data'!BG17*EF!$H16)*kgtoGg=0,"NO",('Activity data'!BG17*EF!$H16)*kgtoGg)</f>
        <v>2.1567413105664199</v>
      </c>
      <c r="AO1391" s="27">
        <f>IF(('Activity data'!BH17*EF!$H16)*kgtoGg=0,"NO",('Activity data'!BH17*EF!$H16)*kgtoGg)</f>
        <v>2.2058096743065145</v>
      </c>
      <c r="AP1391" s="27">
        <f>IF(('Activity data'!BI17*EF!$H16)*kgtoGg=0,"NO",('Activity data'!BI17*EF!$H16)*kgtoGg)</f>
        <v>2.258470217432818</v>
      </c>
      <c r="AQ1391" s="27">
        <f>IF(('Activity data'!BJ17*EF!$H16)*kgtoGg=0,"NO",('Activity data'!BJ17*EF!$H16)*kgtoGg)</f>
        <v>2.3120510725576544</v>
      </c>
      <c r="AR1391" s="27">
        <f>IF(('Activity data'!BK17*EF!$H16)*kgtoGg=0,"NO",('Activity data'!BK17*EF!$H16)*kgtoGg)</f>
        <v>2.3666507440832505</v>
      </c>
      <c r="AS1391" s="27">
        <f>IF(('Activity data'!BL17*EF!$H16)*kgtoGg=0,"NO",('Activity data'!BL17*EF!$H16)*kgtoGg)</f>
        <v>2.4249672048017872</v>
      </c>
      <c r="AT1391" s="27">
        <f>IF(('Activity data'!BM17*EF!$H16)*kgtoGg=0,"NO",('Activity data'!BM17*EF!$H16)*kgtoGg)</f>
        <v>2.4859852344978988</v>
      </c>
      <c r="AU1391" s="27">
        <f>IF(('Activity data'!BN17*EF!$H16)*kgtoGg=0,"NO",('Activity data'!BN17*EF!$H16)*kgtoGg)</f>
        <v>2.5490093093778539</v>
      </c>
      <c r="AV1391" s="27">
        <f>IF(('Activity data'!BO17*EF!$H16)*kgtoGg=0,"NO",('Activity data'!BO17*EF!$H16)*kgtoGg)</f>
        <v>2.6156743076501083</v>
      </c>
      <c r="AW1391" s="27">
        <f>IF(('Activity data'!BP17*EF!$H16)*kgtoGg=0,"NO",('Activity data'!BP17*EF!$H16)*kgtoGg)</f>
        <v>2.6760181986485878</v>
      </c>
    </row>
    <row r="1392" spans="1:49" x14ac:dyDescent="0.25">
      <c r="A1392" s="95" t="s">
        <v>959</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0.25358132281546891</v>
      </c>
      <c r="M1392" s="27">
        <f>IF(('Activity data'!AF18*EF!$H17)*kgtoGg=0,"NO",('Activity data'!AF18*EF!$H17)*kgtoGg)</f>
        <v>0.25369507454499329</v>
      </c>
      <c r="N1392" s="27">
        <f>IF(('Activity data'!AG18*EF!$H17)*kgtoGg=0,"NO",('Activity data'!AG18*EF!$H17)*kgtoGg)</f>
        <v>0.25136595935447836</v>
      </c>
      <c r="O1392" s="27">
        <f>IF(('Activity data'!AH18*EF!$H17)*kgtoGg=0,"NO",('Activity data'!AH18*EF!$H17)*kgtoGg)</f>
        <v>0.24756197704412694</v>
      </c>
      <c r="P1392" s="27">
        <f>IF(('Activity data'!AI18*EF!$H17)*kgtoGg=0,"NO",('Activity data'!AI18*EF!$H17)*kgtoGg)</f>
        <v>0.24234393830437845</v>
      </c>
      <c r="Q1392" s="27">
        <f>IF(('Activity data'!AJ18*EF!$H17)*kgtoGg=0,"NO",('Activity data'!AJ18*EF!$H17)*kgtoGg)</f>
        <v>0.23855506351363698</v>
      </c>
      <c r="R1392" s="27">
        <f>IF(('Activity data'!AK18*EF!$H17)*kgtoGg=0,"NO",('Activity data'!AK18*EF!$H17)*kgtoGg)</f>
        <v>0.2351014533295149</v>
      </c>
      <c r="S1392" s="27">
        <f>IF(('Activity data'!AL18*EF!$H17)*kgtoGg=0,"NO",('Activity data'!AL18*EF!$H17)*kgtoGg)</f>
        <v>0.21119628437309981</v>
      </c>
      <c r="T1392" s="27">
        <f>IF(('Activity data'!AM18*EF!$H17)*kgtoGg=0,"NO",('Activity data'!AM18*EF!$H17)*kgtoGg)</f>
        <v>0.22073999054712201</v>
      </c>
      <c r="U1392" s="27">
        <f>IF(('Activity data'!AN18*EF!$H17)*kgtoGg=0,"NO",('Activity data'!AN18*EF!$H17)*kgtoGg)</f>
        <v>0.22362533987194619</v>
      </c>
      <c r="V1392" s="27">
        <f>IF(('Activity data'!AO18*EF!$H17)*kgtoGg=0,"NO",('Activity data'!AO18*EF!$H17)*kgtoGg)</f>
        <v>0.22141837486852711</v>
      </c>
      <c r="W1392" s="27">
        <f>IF(('Activity data'!AP18*EF!$H17)*kgtoGg=0,"NO",('Activity data'!AP18*EF!$H17)*kgtoGg)</f>
        <v>0.21947736088302675</v>
      </c>
      <c r="X1392" s="27">
        <f>IF(('Activity data'!AQ18*EF!$H17)*kgtoGg=0,"NO",('Activity data'!AQ18*EF!$H17)*kgtoGg)</f>
        <v>0.2188774897130813</v>
      </c>
      <c r="Y1392" s="27">
        <f>IF(('Activity data'!AR18*EF!$H17)*kgtoGg=0,"NO",('Activity data'!AR18*EF!$H17)*kgtoGg)</f>
        <v>0.21956663932237841</v>
      </c>
      <c r="Z1392" s="27">
        <f>IF(('Activity data'!AS18*EF!$H17)*kgtoGg=0,"NO",('Activity data'!AS18*EF!$H17)*kgtoGg)</f>
        <v>0.22085024852252202</v>
      </c>
      <c r="AA1392" s="27">
        <f>IF(('Activity data'!AT18*EF!$H17)*kgtoGg=0,"NO",('Activity data'!AT18*EF!$H17)*kgtoGg)</f>
        <v>0.22287476000701054</v>
      </c>
      <c r="AB1392" s="27">
        <f>IF(('Activity data'!AU18*EF!$H17)*kgtoGg=0,"NO",('Activity data'!AU18*EF!$H17)*kgtoGg)</f>
        <v>0.22612693873028961</v>
      </c>
      <c r="AC1392" s="27">
        <f>IF(('Activity data'!AV18*EF!$H17)*kgtoGg=0,"NO",('Activity data'!AV18*EF!$H17)*kgtoGg)</f>
        <v>0.23049323798351176</v>
      </c>
      <c r="AD1392" s="27">
        <f>IF(('Activity data'!AW18*EF!$H17)*kgtoGg=0,"NO",('Activity data'!AW18*EF!$H17)*kgtoGg)</f>
        <v>0.23546274339902665</v>
      </c>
      <c r="AE1392" s="27">
        <f>IF(('Activity data'!AX18*EF!$H17)*kgtoGg=0,"NO",('Activity data'!AX18*EF!$H17)*kgtoGg)</f>
        <v>0.24098612254488616</v>
      </c>
      <c r="AF1392" s="27">
        <f>IF(('Activity data'!AY18*EF!$H17)*kgtoGg=0,"NO",('Activity data'!AY18*EF!$H17)*kgtoGg)</f>
        <v>0.24678709374867933</v>
      </c>
      <c r="AG1392" s="27">
        <f>IF(('Activity data'!AZ18*EF!$H17)*kgtoGg=0,"NO",('Activity data'!AZ18*EF!$H17)*kgtoGg)</f>
        <v>0.25296528326588152</v>
      </c>
      <c r="AH1392" s="27">
        <f>IF(('Activity data'!BA18*EF!$H17)*kgtoGg=0,"NO",('Activity data'!BA18*EF!$H17)*kgtoGg)</f>
        <v>0.25938752705541407</v>
      </c>
      <c r="AI1392" s="27">
        <f>IF(('Activity data'!BB18*EF!$H17)*kgtoGg=0,"NO",('Activity data'!BB18*EF!$H17)*kgtoGg)</f>
        <v>0.26561986142403288</v>
      </c>
      <c r="AJ1392" s="27">
        <f>IF(('Activity data'!BC18*EF!$H17)*kgtoGg=0,"NO",('Activity data'!BC18*EF!$H17)*kgtoGg)</f>
        <v>0.27226438834790373</v>
      </c>
      <c r="AK1392" s="27">
        <f>IF(('Activity data'!BD18*EF!$H17)*kgtoGg=0,"NO",('Activity data'!BD18*EF!$H17)*kgtoGg)</f>
        <v>0.27892216823692451</v>
      </c>
      <c r="AL1392" s="27">
        <f>IF(('Activity data'!BE18*EF!$H17)*kgtoGg=0,"NO",('Activity data'!BE18*EF!$H17)*kgtoGg)</f>
        <v>0.28555824569627086</v>
      </c>
      <c r="AM1392" s="27">
        <f>IF(('Activity data'!BF18*EF!$H17)*kgtoGg=0,"NO",('Activity data'!BF18*EF!$H17)*kgtoGg)</f>
        <v>0.29234433069417909</v>
      </c>
      <c r="AN1392" s="27">
        <f>IF(('Activity data'!BG18*EF!$H17)*kgtoGg=0,"NO",('Activity data'!BG18*EF!$H17)*kgtoGg)</f>
        <v>0.298841579986036</v>
      </c>
      <c r="AO1392" s="27">
        <f>IF(('Activity data'!BH18*EF!$H17)*kgtoGg=0,"NO",('Activity data'!BH18*EF!$H17)*kgtoGg)</f>
        <v>0.30564057218578583</v>
      </c>
      <c r="AP1392" s="27">
        <f>IF(('Activity data'!BI18*EF!$H17)*kgtoGg=0,"NO",('Activity data'!BI18*EF!$H17)*kgtoGg)</f>
        <v>0.3129373025973966</v>
      </c>
      <c r="AQ1392" s="27">
        <f>IF(('Activity data'!BJ18*EF!$H17)*kgtoGg=0,"NO",('Activity data'!BJ18*EF!$H17)*kgtoGg)</f>
        <v>0.32036155293472796</v>
      </c>
      <c r="AR1392" s="27">
        <f>IF(('Activity data'!BK18*EF!$H17)*kgtoGg=0,"NO",('Activity data'!BK18*EF!$H17)*kgtoGg)</f>
        <v>0.32792697212778937</v>
      </c>
      <c r="AS1392" s="27">
        <f>IF(('Activity data'!BL18*EF!$H17)*kgtoGg=0,"NO",('Activity data'!BL18*EF!$H17)*kgtoGg)</f>
        <v>0.33600739566998233</v>
      </c>
      <c r="AT1392" s="27">
        <f>IF(('Activity data'!BM18*EF!$H17)*kgtoGg=0,"NO",('Activity data'!BM18*EF!$H17)*kgtoGg)</f>
        <v>0.34446215299886757</v>
      </c>
      <c r="AU1392" s="27">
        <f>IF(('Activity data'!BN18*EF!$H17)*kgtoGg=0,"NO",('Activity data'!BN18*EF!$H17)*kgtoGg)</f>
        <v>0.35319487120758841</v>
      </c>
      <c r="AV1392" s="27">
        <f>IF(('Activity data'!BO18*EF!$H17)*kgtoGg=0,"NO",('Activity data'!BO18*EF!$H17)*kgtoGg)</f>
        <v>0.3624320816768471</v>
      </c>
      <c r="AW1392" s="27">
        <f>IF(('Activity data'!BP18*EF!$H17)*kgtoGg=0,"NO",('Activity data'!BP18*EF!$H17)*kgtoGg)</f>
        <v>0.37079342925253511</v>
      </c>
    </row>
    <row r="1393" spans="1:49" x14ac:dyDescent="0.25">
      <c r="A1393" s="95" t="s">
        <v>959</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7.3924283487896005</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7.5825135825669054</v>
      </c>
      <c r="S1393" s="27">
        <f>IF(('Activity data'!AL5*EF!$H18)*kgtoGg=0,"NO",('Activity data'!AL5*EF!$H18)*kgtoGg)</f>
        <v>7.3635054789242087</v>
      </c>
      <c r="T1393" s="27">
        <f>IF(('Activity data'!AM5*EF!$H18)*kgtoGg=0,"NO",('Activity data'!AM5*EF!$H18)*kgtoGg)</f>
        <v>7.5119983216779529</v>
      </c>
      <c r="U1393" s="27">
        <f>IF(('Activity data'!AN5*EF!$H18)*kgtoGg=0,"NO",('Activity data'!AN5*EF!$H18)*kgtoGg)</f>
        <v>7.5857115422581893</v>
      </c>
      <c r="V1393" s="27">
        <f>IF(('Activity data'!AO5*EF!$H18)*kgtoGg=0,"NO",('Activity data'!AO5*EF!$H18)*kgtoGg)</f>
        <v>7.6049624433961522</v>
      </c>
      <c r="W1393" s="27">
        <f>IF(('Activity data'!AP5*EF!$H18)*kgtoGg=0,"NO",('Activity data'!AP5*EF!$H18)*kgtoGg)</f>
        <v>7.6323349638068887</v>
      </c>
      <c r="X1393" s="27">
        <f>IF(('Activity data'!AQ5*EF!$H18)*kgtoGg=0,"NO",('Activity data'!AQ5*EF!$H18)*kgtoGg)</f>
        <v>7.6782662594179314</v>
      </c>
      <c r="Y1393" s="27">
        <f>IF(('Activity data'!AR5*EF!$H18)*kgtoGg=0,"NO",('Activity data'!AR5*EF!$H18)*kgtoGg)</f>
        <v>7.7389431173667962</v>
      </c>
      <c r="Z1393" s="27">
        <f>IF(('Activity data'!AS5*EF!$H18)*kgtoGg=0,"NO",('Activity data'!AS5*EF!$H18)*kgtoGg)</f>
        <v>7.8068776236096697</v>
      </c>
      <c r="AA1393" s="27">
        <f>IF(('Activity data'!AT5*EF!$H18)*kgtoGg=0,"NO",('Activity data'!AT5*EF!$H18)*kgtoGg)</f>
        <v>7.88420933428013</v>
      </c>
      <c r="AB1393" s="27">
        <f>IF(('Activity data'!AU5*EF!$H18)*kgtoGg=0,"NO",('Activity data'!AU5*EF!$H18)*kgtoGg)</f>
        <v>7.9775686845364202</v>
      </c>
      <c r="AC1393" s="27">
        <f>IF(('Activity data'!AV5*EF!$H18)*kgtoGg=0,"NO",('Activity data'!AV5*EF!$H18)*kgtoGg)</f>
        <v>8.0864133355409642</v>
      </c>
      <c r="AD1393" s="27">
        <f>IF(('Activity data'!AW5*EF!$H18)*kgtoGg=0,"NO",('Activity data'!AW5*EF!$H18)*kgtoGg)</f>
        <v>8.2048813891102359</v>
      </c>
      <c r="AE1393" s="27">
        <f>IF(('Activity data'!AX5*EF!$H18)*kgtoGg=0,"NO",('Activity data'!AX5*EF!$H18)*kgtoGg)</f>
        <v>8.3328657755649527</v>
      </c>
      <c r="AF1393" s="27">
        <f>IF(('Activity data'!AY5*EF!$H18)*kgtoGg=0,"NO",('Activity data'!AY5*EF!$H18)*kgtoGg)</f>
        <v>8.4671187588996872</v>
      </c>
      <c r="AG1393" s="27">
        <f>IF(('Activity data'!AZ5*EF!$H18)*kgtoGg=0,"NO",('Activity data'!AZ5*EF!$H18)*kgtoGg)</f>
        <v>8.6091419335499069</v>
      </c>
      <c r="AH1393" s="27">
        <f>IF(('Activity data'!BA5*EF!$H18)*kgtoGg=0,"NO",('Activity data'!BA5*EF!$H18)*kgtoGg)</f>
        <v>8.7574749892645496</v>
      </c>
      <c r="AI1393" s="27">
        <f>IF(('Activity data'!BB5*EF!$H18)*kgtoGg=0,"NO",('Activity data'!BB5*EF!$H18)*kgtoGg)</f>
        <v>8.9064020314048324</v>
      </c>
      <c r="AJ1393" s="27">
        <f>IF(('Activity data'!BC5*EF!$H18)*kgtoGg=0,"NO",('Activity data'!BC5*EF!$H18)*kgtoGg)</f>
        <v>9.0642998358305835</v>
      </c>
      <c r="AK1393" s="27">
        <f>IF(('Activity data'!BD5*EF!$H18)*kgtoGg=0,"NO",('Activity data'!BD5*EF!$H18)*kgtoGg)</f>
        <v>9.2256487767776196</v>
      </c>
      <c r="AL1393" s="27">
        <f>IF(('Activity data'!BE5*EF!$H18)*kgtoGg=0,"NO",('Activity data'!BE5*EF!$H18)*kgtoGg)</f>
        <v>9.3900384918162416</v>
      </c>
      <c r="AM1393" s="27">
        <f>IF(('Activity data'!BF5*EF!$H18)*kgtoGg=0,"NO",('Activity data'!BF5*EF!$H18)*kgtoGg)</f>
        <v>9.5601174973828691</v>
      </c>
      <c r="AN1393" s="27">
        <f>IF(('Activity data'!BG5*EF!$H18)*kgtoGg=0,"NO",('Activity data'!BG5*EF!$H18)*kgtoGg)</f>
        <v>9.7295365069027504</v>
      </c>
      <c r="AO1393" s="27">
        <f>IF(('Activity data'!BH5*EF!$H18)*kgtoGg=0,"NO",('Activity data'!BH5*EF!$H18)*kgtoGg)</f>
        <v>9.9070935852539623</v>
      </c>
      <c r="AP1393" s="27">
        <f>IF(('Activity data'!BI5*EF!$H18)*kgtoGg=0,"NO",('Activity data'!BI5*EF!$H18)*kgtoGg)</f>
        <v>10.096066907799957</v>
      </c>
      <c r="AQ1393" s="27">
        <f>IF(('Activity data'!BJ5*EF!$H18)*kgtoGg=0,"NO",('Activity data'!BJ5*EF!$H18)*kgtoGg)</f>
        <v>10.291098999348057</v>
      </c>
      <c r="AR1393" s="27">
        <f>IF(('Activity data'!BK5*EF!$H18)*kgtoGg=0,"NO",('Activity data'!BK5*EF!$H18)*kgtoGg)</f>
        <v>10.492542704095264</v>
      </c>
      <c r="AS1393" s="27">
        <f>IF(('Activity data'!BL5*EF!$H18)*kgtoGg=0,"NO",('Activity data'!BL5*EF!$H18)*kgtoGg)</f>
        <v>10.706596925892969</v>
      </c>
      <c r="AT1393" s="27">
        <f>IF(('Activity data'!BM5*EF!$H18)*kgtoGg=0,"NO",('Activity data'!BM5*EF!$H18)*kgtoGg)</f>
        <v>10.931461457010631</v>
      </c>
      <c r="AU1393" s="27">
        <f>IF(('Activity data'!BN5*EF!$H18)*kgtoGg=0,"NO",('Activity data'!BN5*EF!$H18)*kgtoGg)</f>
        <v>11.165976151570428</v>
      </c>
      <c r="AV1393" s="27">
        <f>IF(('Activity data'!BO5*EF!$H18)*kgtoGg=0,"NO",('Activity data'!BO5*EF!$H18)*kgtoGg)</f>
        <v>11.414366787540366</v>
      </c>
      <c r="AW1393" s="27">
        <f>IF(('Activity data'!BP5*EF!$H18)*kgtoGg=0,"NO",('Activity data'!BP5*EF!$H18)*kgtoGg)</f>
        <v>11.653364369886001</v>
      </c>
    </row>
    <row r="1394" spans="1:49" x14ac:dyDescent="0.25">
      <c r="A1394" s="95" t="s">
        <v>959</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2.1061581299686476</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2.1603148348588097</v>
      </c>
      <c r="S1394" s="27">
        <f>IF(('Activity data'!AL6*EF!$H19)*kgtoGg=0,"NO",('Activity data'!AL6*EF!$H19)*kgtoGg)</f>
        <v>2.0979177880086217</v>
      </c>
      <c r="T1394" s="27">
        <f>IF(('Activity data'!AM6*EF!$H19)*kgtoGg=0,"NO",('Activity data'!AM6*EF!$H19)*kgtoGg)</f>
        <v>2.1402245095961443</v>
      </c>
      <c r="U1394" s="27">
        <f>IF(('Activity data'!AN6*EF!$H19)*kgtoGg=0,"NO",('Activity data'!AN6*EF!$H19)*kgtoGg)</f>
        <v>2.1612259574947443</v>
      </c>
      <c r="V1394" s="27">
        <f>IF(('Activity data'!AO6*EF!$H19)*kgtoGg=0,"NO",('Activity data'!AO6*EF!$H19)*kgtoGg)</f>
        <v>2.1667106832205718</v>
      </c>
      <c r="W1394" s="27">
        <f>IF(('Activity data'!AP6*EF!$H19)*kgtoGg=0,"NO",('Activity data'!AP6*EF!$H19)*kgtoGg)</f>
        <v>2.1745093190247649</v>
      </c>
      <c r="X1394" s="27">
        <f>IF(('Activity data'!AQ6*EF!$H19)*kgtoGg=0,"NO",('Activity data'!AQ6*EF!$H19)*kgtoGg)</f>
        <v>2.1875954886982294</v>
      </c>
      <c r="Y1394" s="27">
        <f>IF(('Activity data'!AR6*EF!$H19)*kgtoGg=0,"NO",('Activity data'!AR6*EF!$H19)*kgtoGg)</f>
        <v>2.2048827793746253</v>
      </c>
      <c r="Z1394" s="27">
        <f>IF(('Activity data'!AS6*EF!$H19)*kgtoGg=0,"NO",('Activity data'!AS6*EF!$H19)*kgtoGg)</f>
        <v>2.224237828335264</v>
      </c>
      <c r="AA1394" s="27">
        <f>IF(('Activity data'!AT6*EF!$H19)*kgtoGg=0,"NO",('Activity data'!AT6*EF!$H19)*kgtoGg)</f>
        <v>2.2462702111259123</v>
      </c>
      <c r="AB1394" s="27">
        <f>IF(('Activity data'!AU6*EF!$H19)*kgtoGg=0,"NO",('Activity data'!AU6*EF!$H19)*kgtoGg)</f>
        <v>2.2728689883170463</v>
      </c>
      <c r="AC1394" s="27">
        <f>IF(('Activity data'!AV6*EF!$H19)*kgtoGg=0,"NO",('Activity data'!AV6*EF!$H19)*kgtoGg)</f>
        <v>2.3038796435172904</v>
      </c>
      <c r="AD1394" s="27">
        <f>IF(('Activity data'!AW6*EF!$H19)*kgtoGg=0,"NO",('Activity data'!AW6*EF!$H19)*kgtoGg)</f>
        <v>2.3376320780887165</v>
      </c>
      <c r="AE1394" s="27">
        <f>IF(('Activity data'!AX6*EF!$H19)*kgtoGg=0,"NO",('Activity data'!AX6*EF!$H19)*kgtoGg)</f>
        <v>2.3740957870788466</v>
      </c>
      <c r="AF1394" s="27">
        <f>IF(('Activity data'!AY6*EF!$H19)*kgtoGg=0,"NO",('Activity data'!AY6*EF!$H19)*kgtoGg)</f>
        <v>2.4123454662075314</v>
      </c>
      <c r="AG1394" s="27">
        <f>IF(('Activity data'!AZ6*EF!$H19)*kgtoGg=0,"NO",('Activity data'!AZ6*EF!$H19)*kgtoGg)</f>
        <v>2.4528089309609635</v>
      </c>
      <c r="AH1394" s="27">
        <f>IF(('Activity data'!BA6*EF!$H19)*kgtoGg=0,"NO",('Activity data'!BA6*EF!$H19)*kgtoGg)</f>
        <v>2.495070128025882</v>
      </c>
      <c r="AI1394" s="27">
        <f>IF(('Activity data'!BB6*EF!$H19)*kgtoGg=0,"NO",('Activity data'!BB6*EF!$H19)*kgtoGg)</f>
        <v>2.537500556266326</v>
      </c>
      <c r="AJ1394" s="27">
        <f>IF(('Activity data'!BC6*EF!$H19)*kgtoGg=0,"NO",('Activity data'!BC6*EF!$H19)*kgtoGg)</f>
        <v>2.5824868217808161</v>
      </c>
      <c r="AK1394" s="27">
        <f>IF(('Activity data'!BD6*EF!$H19)*kgtoGg=0,"NO",('Activity data'!BD6*EF!$H19)*kgtoGg)</f>
        <v>2.6284563419038043</v>
      </c>
      <c r="AL1394" s="27">
        <f>IF(('Activity data'!BE6*EF!$H19)*kgtoGg=0,"NO",('Activity data'!BE6*EF!$H19)*kgtoGg)</f>
        <v>2.6752922013096669</v>
      </c>
      <c r="AM1394" s="27">
        <f>IF(('Activity data'!BF6*EF!$H19)*kgtoGg=0,"NO",('Activity data'!BF6*EF!$H19)*kgtoGg)</f>
        <v>2.7237489821413385</v>
      </c>
      <c r="AN1394" s="27">
        <f>IF(('Activity data'!BG6*EF!$H19)*kgtoGg=0,"NO",('Activity data'!BG6*EF!$H19)*kgtoGg)</f>
        <v>2.772017725162697</v>
      </c>
      <c r="AO1394" s="27">
        <f>IF(('Activity data'!BH6*EF!$H19)*kgtoGg=0,"NO",('Activity data'!BH6*EF!$H19)*kgtoGg)</f>
        <v>2.8226050648646934</v>
      </c>
      <c r="AP1394" s="27">
        <f>IF(('Activity data'!BI6*EF!$H19)*kgtoGg=0,"NO",('Activity data'!BI6*EF!$H19)*kgtoGg)</f>
        <v>2.8764449779282546</v>
      </c>
      <c r="AQ1394" s="27">
        <f>IF(('Activity data'!BJ6*EF!$H19)*kgtoGg=0,"NO",('Activity data'!BJ6*EF!$H19)*kgtoGg)</f>
        <v>2.9320110795984959</v>
      </c>
      <c r="AR1394" s="27">
        <f>IF(('Activity data'!BK6*EF!$H19)*kgtoGg=0,"NO",('Activity data'!BK6*EF!$H19)*kgtoGg)</f>
        <v>2.989403897826326</v>
      </c>
      <c r="AS1394" s="27">
        <f>IF(('Activity data'!BL6*EF!$H19)*kgtoGg=0,"NO",('Activity data'!BL6*EF!$H19)*kgtoGg)</f>
        <v>3.0503895466851563</v>
      </c>
      <c r="AT1394" s="27">
        <f>IF(('Activity data'!BM6*EF!$H19)*kgtoGg=0,"NO",('Activity data'!BM6*EF!$H19)*kgtoGg)</f>
        <v>3.1144551335274819</v>
      </c>
      <c r="AU1394" s="27">
        <f>IF(('Activity data'!BN6*EF!$H19)*kgtoGg=0,"NO",('Activity data'!BN6*EF!$H19)*kgtoGg)</f>
        <v>3.1812701241151289</v>
      </c>
      <c r="AV1394" s="27">
        <f>IF(('Activity data'!BO6*EF!$H19)*kgtoGg=0,"NO",('Activity data'!BO6*EF!$H19)*kgtoGg)</f>
        <v>3.2520384741988773</v>
      </c>
      <c r="AW1394" s="27">
        <f>IF(('Activity data'!BP6*EF!$H19)*kgtoGg=0,"NO",('Activity data'!BP6*EF!$H19)*kgtoGg)</f>
        <v>3.3201306730475184</v>
      </c>
    </row>
    <row r="1395" spans="1:49" x14ac:dyDescent="0.25">
      <c r="A1395" s="95" t="s">
        <v>959</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0.43500213637199753</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0.44618756541973903</v>
      </c>
      <c r="S1395" s="27">
        <f>IF(('Activity data'!AL7*EF!$H20)*kgtoGg=0,"NO",('Activity data'!AL7*EF!$H20)*kgtoGg)</f>
        <v>0.4333001908694058</v>
      </c>
      <c r="T1395" s="27">
        <f>IF(('Activity data'!AM7*EF!$H20)*kgtoGg=0,"NO",('Activity data'!AM7*EF!$H20)*kgtoGg)</f>
        <v>0.44203814554223075</v>
      </c>
      <c r="U1395" s="27">
        <f>IF(('Activity data'!AN7*EF!$H20)*kgtoGg=0,"NO",('Activity data'!AN7*EF!$H20)*kgtoGg)</f>
        <v>0.44637574706075117</v>
      </c>
      <c r="V1395" s="27">
        <f>IF(('Activity data'!AO7*EF!$H20)*kgtoGg=0,"NO",('Activity data'!AO7*EF!$H20)*kgtoGg)</f>
        <v>0.44750855251073168</v>
      </c>
      <c r="W1395" s="27">
        <f>IF(('Activity data'!AP7*EF!$H20)*kgtoGg=0,"NO",('Activity data'!AP7*EF!$H20)*kgtoGg)</f>
        <v>0.44911926881324493</v>
      </c>
      <c r="X1395" s="27">
        <f>IF(('Activity data'!AQ7*EF!$H20)*kgtoGg=0,"NO",('Activity data'!AQ7*EF!$H20)*kgtoGg)</f>
        <v>0.45182206291207566</v>
      </c>
      <c r="Y1395" s="27">
        <f>IF(('Activity data'!AR7*EF!$H20)*kgtoGg=0,"NO",('Activity data'!AR7*EF!$H20)*kgtoGg)</f>
        <v>0.45539254903527465</v>
      </c>
      <c r="Z1395" s="27">
        <f>IF(('Activity data'!AS7*EF!$H20)*kgtoGg=0,"NO",('Activity data'!AS7*EF!$H20)*kgtoGg)</f>
        <v>0.45939010625933163</v>
      </c>
      <c r="AA1395" s="27">
        <f>IF(('Activity data'!AT7*EF!$H20)*kgtoGg=0,"NO",('Activity data'!AT7*EF!$H20)*kgtoGg)</f>
        <v>0.46394063522813239</v>
      </c>
      <c r="AB1395" s="27">
        <f>IF(('Activity data'!AU7*EF!$H20)*kgtoGg=0,"NO",('Activity data'!AU7*EF!$H20)*kgtoGg)</f>
        <v>0.46943429913607365</v>
      </c>
      <c r="AC1395" s="27">
        <f>IF(('Activity data'!AV7*EF!$H20)*kgtoGg=0,"NO",('Activity data'!AV7*EF!$H20)*kgtoGg)</f>
        <v>0.47583918444380807</v>
      </c>
      <c r="AD1395" s="27">
        <f>IF(('Activity data'!AW7*EF!$H20)*kgtoGg=0,"NO",('Activity data'!AW7*EF!$H20)*kgtoGg)</f>
        <v>0.48281035196319333</v>
      </c>
      <c r="AE1395" s="27">
        <f>IF(('Activity data'!AX7*EF!$H20)*kgtoGg=0,"NO",('Activity data'!AX7*EF!$H20)*kgtoGg)</f>
        <v>0.49034150125585807</v>
      </c>
      <c r="AF1395" s="27">
        <f>IF(('Activity data'!AY7*EF!$H20)*kgtoGg=0,"NO",('Activity data'!AY7*EF!$H20)*kgtoGg)</f>
        <v>0.49824152162933733</v>
      </c>
      <c r="AG1395" s="27">
        <f>IF(('Activity data'!AZ7*EF!$H20)*kgtoGg=0,"NO",('Activity data'!AZ7*EF!$H20)*kgtoGg)</f>
        <v>0.50659877332962533</v>
      </c>
      <c r="AH1395" s="27">
        <f>IF(('Activity data'!BA7*EF!$H20)*kgtoGg=0,"NO",('Activity data'!BA7*EF!$H20)*kgtoGg)</f>
        <v>0.51532732544890569</v>
      </c>
      <c r="AI1395" s="27">
        <f>IF(('Activity data'!BB7*EF!$H20)*kgtoGg=0,"NO",('Activity data'!BB7*EF!$H20)*kgtoGg)</f>
        <v>0.52409083027275605</v>
      </c>
      <c r="AJ1395" s="27">
        <f>IF(('Activity data'!BC7*EF!$H20)*kgtoGg=0,"NO",('Activity data'!BC7*EF!$H20)*kgtoGg)</f>
        <v>0.53338221315980094</v>
      </c>
      <c r="AK1395" s="27">
        <f>IF(('Activity data'!BD7*EF!$H20)*kgtoGg=0,"NO",('Activity data'!BD7*EF!$H20)*kgtoGg)</f>
        <v>0.54287667569656828</v>
      </c>
      <c r="AL1395" s="27">
        <f>IF(('Activity data'!BE7*EF!$H20)*kgtoGg=0,"NO",('Activity data'!BE7*EF!$H20)*kgtoGg)</f>
        <v>0.55255007040063653</v>
      </c>
      <c r="AM1395" s="27">
        <f>IF(('Activity data'!BF7*EF!$H20)*kgtoGg=0,"NO",('Activity data'!BF7*EF!$H20)*kgtoGg)</f>
        <v>0.56255824731933757</v>
      </c>
      <c r="AN1395" s="27">
        <f>IF(('Activity data'!BG7*EF!$H20)*kgtoGg=0,"NO",('Activity data'!BG7*EF!$H20)*kgtoGg)</f>
        <v>0.57252758724472796</v>
      </c>
      <c r="AO1395" s="27">
        <f>IF(('Activity data'!BH7*EF!$H20)*kgtoGg=0,"NO",('Activity data'!BH7*EF!$H20)*kgtoGg)</f>
        <v>0.58297580598510912</v>
      </c>
      <c r="AP1395" s="27">
        <f>IF(('Activity data'!BI7*EF!$H20)*kgtoGg=0,"NO",('Activity data'!BI7*EF!$H20)*kgtoGg)</f>
        <v>0.59409580541510443</v>
      </c>
      <c r="AQ1395" s="27">
        <f>IF(('Activity data'!BJ7*EF!$H20)*kgtoGg=0,"NO",('Activity data'!BJ7*EF!$H20)*kgtoGg)</f>
        <v>0.60557232875515321</v>
      </c>
      <c r="AR1395" s="27">
        <f>IF(('Activity data'!BK7*EF!$H20)*kgtoGg=0,"NO",('Activity data'!BK7*EF!$H20)*kgtoGg)</f>
        <v>0.61742613886858821</v>
      </c>
      <c r="AS1395" s="27">
        <f>IF(('Activity data'!BL7*EF!$H20)*kgtoGg=0,"NO",('Activity data'!BL7*EF!$H20)*kgtoGg)</f>
        <v>0.63002200580001311</v>
      </c>
      <c r="AT1395" s="27">
        <f>IF(('Activity data'!BM7*EF!$H20)*kgtoGg=0,"NO",('Activity data'!BM7*EF!$H20)*kgtoGg)</f>
        <v>0.64325399761857238</v>
      </c>
      <c r="AU1395" s="27">
        <f>IF(('Activity data'!BN7*EF!$H20)*kgtoGg=0,"NO",('Activity data'!BN7*EF!$H20)*kgtoGg)</f>
        <v>0.65705384637339226</v>
      </c>
      <c r="AV1395" s="27">
        <f>IF(('Activity data'!BO7*EF!$H20)*kgtoGg=0,"NO",('Activity data'!BO7*EF!$H20)*kgtoGg)</f>
        <v>0.6716702149337197</v>
      </c>
      <c r="AW1395" s="27">
        <f>IF(('Activity data'!BP7*EF!$H20)*kgtoGg=0,"NO",('Activity data'!BP7*EF!$H20)*kgtoGg)</f>
        <v>0.6857338560003412</v>
      </c>
    </row>
    <row r="1396" spans="1:49" x14ac:dyDescent="0.25">
      <c r="A1396" s="95" t="s">
        <v>959</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9.4871637196006511E-2</v>
      </c>
      <c r="L1396" s="27">
        <f>IF(('Activity data'!AE8*EF!$H21)*kgtoGg=0,"NO",('Activity data'!AE8*EF!$H21)*kgtoGg)</f>
        <v>9.404884578461549E-2</v>
      </c>
      <c r="M1396" s="27">
        <f>IF(('Activity data'!AF8*EF!$H21)*kgtoGg=0,"NO",('Activity data'!AF8*EF!$H21)*kgtoGg)</f>
        <v>9.3735634002294205E-2</v>
      </c>
      <c r="N1396" s="27">
        <f>IF(('Activity data'!AG8*EF!$H21)*kgtoGg=0,"NO",('Activity data'!AG8*EF!$H21)*kgtoGg)</f>
        <v>9.2483917307495084E-2</v>
      </c>
      <c r="O1396" s="27">
        <f>IF(('Activity data'!AH8*EF!$H21)*kgtoGg=0,"NO",('Activity data'!AH8*EF!$H21)*kgtoGg)</f>
        <v>9.0667019955957301E-2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7.5654493606876719E-2</v>
      </c>
      <c r="T1396" s="27">
        <f>IF(('Activity data'!AM8*EF!$H21)*kgtoGg=0,"NO",('Activity data'!AM8*EF!$H21)*kgtoGg)</f>
        <v>7.9271557778310117E-2</v>
      </c>
      <c r="U1396" s="27">
        <f>IF(('Activity data'!AN8*EF!$H21)*kgtoGg=0,"NO",('Activity data'!AN8*EF!$H21)*kgtoGg)</f>
        <v>8.0523786090551941E-2</v>
      </c>
      <c r="V1396" s="27">
        <f>IF(('Activity data'!AO8*EF!$H21)*kgtoGg=0,"NO",('Activity data'!AO8*EF!$H21)*kgtoGg)</f>
        <v>7.9979986949743884E-2</v>
      </c>
      <c r="W1396" s="27">
        <f>IF(('Activity data'!AP8*EF!$H21)*kgtoGg=0,"NO",('Activity data'!AP8*EF!$H21)*kgtoGg)</f>
        <v>7.953764463923213E-2</v>
      </c>
      <c r="X1396" s="27">
        <f>IF(('Activity data'!AQ8*EF!$H21)*kgtoGg=0,"NO",('Activity data'!AQ8*EF!$H21)*kgtoGg)</f>
        <v>7.9566701648766641E-2</v>
      </c>
      <c r="Y1396" s="27">
        <f>IF(('Activity data'!AR8*EF!$H21)*kgtoGg=0,"NO",('Activity data'!AR8*EF!$H21)*kgtoGg)</f>
        <v>8.0033923406415561E-2</v>
      </c>
      <c r="Z1396" s="27">
        <f>IF(('Activity data'!AS8*EF!$H21)*kgtoGg=0,"NO",('Activity data'!AS8*EF!$H21)*kgtoGg)</f>
        <v>8.0696879014232822E-2</v>
      </c>
      <c r="AA1396" s="27">
        <f>IF(('Activity data'!AT8*EF!$H21)*kgtoGg=0,"NO",('Activity data'!AT8*EF!$H21)*kgtoGg)</f>
        <v>8.1608968762296855E-2</v>
      </c>
      <c r="AB1396" s="27">
        <f>IF(('Activity data'!AU8*EF!$H21)*kgtoGg=0,"NO",('Activity data'!AU8*EF!$H21)*kgtoGg)</f>
        <v>8.294500125938338E-2</v>
      </c>
      <c r="AC1396" s="27">
        <f>IF(('Activity data'!AV8*EF!$H21)*kgtoGg=0,"NO",('Activity data'!AV8*EF!$H21)*kgtoGg)</f>
        <v>8.4667243855728658E-2</v>
      </c>
      <c r="AD1396" s="27">
        <f>IF(('Activity data'!AW8*EF!$H21)*kgtoGg=0,"NO",('Activity data'!AW8*EF!$H21)*kgtoGg)</f>
        <v>8.5867982908629403E-2</v>
      </c>
      <c r="AE1396" s="27">
        <f>IF(('Activity data'!AX8*EF!$H21)*kgtoGg=0,"NO",('Activity data'!AX8*EF!$H21)*kgtoGg)</f>
        <v>8.7210563420463058E-2</v>
      </c>
      <c r="AF1396" s="27">
        <f>IF(('Activity data'!AY8*EF!$H21)*kgtoGg=0,"NO",('Activity data'!AY8*EF!$H21)*kgtoGg)</f>
        <v>8.8593806779096215E-2</v>
      </c>
      <c r="AG1396" s="27">
        <f>IF(('Activity data'!AZ8*EF!$H21)*kgtoGg=0,"NO",('Activity data'!AZ8*EF!$H21)*kgtoGg)</f>
        <v>9.0048440137839775E-2</v>
      </c>
      <c r="AH1396" s="27">
        <f>IF(('Activity data'!BA8*EF!$H21)*kgtoGg=0,"NO",('Activity data'!BA8*EF!$H21)*kgtoGg)</f>
        <v>9.1524860898689164E-2</v>
      </c>
      <c r="AI1396" s="27">
        <f>IF(('Activity data'!BB8*EF!$H21)*kgtoGg=0,"NO",('Activity data'!BB8*EF!$H21)*kgtoGg)</f>
        <v>9.2873095408058187E-2</v>
      </c>
      <c r="AJ1396" s="27">
        <f>IF(('Activity data'!BC8*EF!$H21)*kgtoGg=0,"NO",('Activity data'!BC8*EF!$H21)*kgtoGg)</f>
        <v>9.4295235372679823E-2</v>
      </c>
      <c r="AK1396" s="27">
        <f>IF(('Activity data'!BD8*EF!$H21)*kgtoGg=0,"NO",('Activity data'!BD8*EF!$H21)*kgtoGg)</f>
        <v>9.5652981013283067E-2</v>
      </c>
      <c r="AL1396" s="27">
        <f>IF(('Activity data'!BE8*EF!$H21)*kgtoGg=0,"NO",('Activity data'!BE8*EF!$H21)*kgtoGg)</f>
        <v>9.6933251950102856E-2</v>
      </c>
      <c r="AM1396" s="27">
        <f>IF(('Activity data'!BF8*EF!$H21)*kgtoGg=0,"NO",('Activity data'!BF8*EF!$H21)*kgtoGg)</f>
        <v>9.8190775072259484E-2</v>
      </c>
      <c r="AN1396" s="27">
        <f>IF(('Activity data'!BG8*EF!$H21)*kgtoGg=0,"NO",('Activity data'!BG8*EF!$H21)*kgtoGg)</f>
        <v>9.9787639127038461E-2</v>
      </c>
      <c r="AO1396" s="27">
        <f>IF(('Activity data'!BH8*EF!$H21)*kgtoGg=0,"NO",('Activity data'!BH8*EF!$H21)*kgtoGg)</f>
        <v>0.1014392914748115</v>
      </c>
      <c r="AP1396" s="27">
        <f>IF(('Activity data'!BI8*EF!$H21)*kgtoGg=0,"NO",('Activity data'!BI8*EF!$H21)*kgtoGg)</f>
        <v>0.10320575500989811</v>
      </c>
      <c r="AQ1396" s="27">
        <f>IF(('Activity data'!BJ8*EF!$H21)*kgtoGg=0,"NO",('Activity data'!BJ8*EF!$H21)*kgtoGg)</f>
        <v>0.10496534581683413</v>
      </c>
      <c r="AR1396" s="27">
        <f>IF(('Activity data'!BK8*EF!$H21)*kgtoGg=0,"NO",('Activity data'!BK8*EF!$H21)*kgtoGg)</f>
        <v>0.10672034773942209</v>
      </c>
      <c r="AS1396" s="27">
        <f>IF(('Activity data'!BL8*EF!$H21)*kgtoGg=0,"NO",('Activity data'!BL8*EF!$H21)*kgtoGg)</f>
        <v>0.10858609964826429</v>
      </c>
      <c r="AT1396" s="27">
        <f>IF(('Activity data'!BM8*EF!$H21)*kgtoGg=0,"NO",('Activity data'!BM8*EF!$H21)*kgtoGg)</f>
        <v>0.11051429251988212</v>
      </c>
      <c r="AU1396" s="27">
        <f>IF(('Activity data'!BN8*EF!$H21)*kgtoGg=0,"NO",('Activity data'!BN8*EF!$H21)*kgtoGg)</f>
        <v>0.11247140287446589</v>
      </c>
      <c r="AV1396" s="27">
        <f>IF(('Activity data'!BO8*EF!$H21)*kgtoGg=0,"NO",('Activity data'!BO8*EF!$H21)*kgtoGg)</f>
        <v>0.11452403240118444</v>
      </c>
      <c r="AW1396" s="27">
        <f>IF(('Activity data'!BP8*EF!$H21)*kgtoGg=0,"NO",('Activity data'!BP8*EF!$H21)*kgtoGg)</f>
        <v>0.1162449069229001</v>
      </c>
    </row>
    <row r="1397" spans="1:49" x14ac:dyDescent="0.25">
      <c r="A1397" s="95" t="s">
        <v>959</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6.9689449734106276E-2</v>
      </c>
      <c r="L1397" s="27">
        <f>IF(('Activity data'!AE9*EF!$H22)*kgtoGg=0,"NO",('Activity data'!AE9*EF!$H22)*kgtoGg)</f>
        <v>6.9085055392440989E-2</v>
      </c>
      <c r="M1397" s="27">
        <f>IF(('Activity data'!AF9*EF!$H22)*kgtoGg=0,"NO",('Activity data'!AF9*EF!$H22)*kgtoGg)</f>
        <v>6.8854980763127779E-2</v>
      </c>
      <c r="N1397" s="27">
        <f>IF(('Activity data'!AG9*EF!$H22)*kgtoGg=0,"NO",('Activity data'!AG9*EF!$H22)*kgtoGg)</f>
        <v>6.7935512624264269E-2</v>
      </c>
      <c r="O1397" s="27">
        <f>IF(('Activity data'!AH9*EF!$H22)*kgtoGg=0,"NO",('Activity data'!AH9*EF!$H22)*kgtoGg)</f>
        <v>6.6600882165738229E-2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5.5573195374324494E-2</v>
      </c>
      <c r="T1397" s="27">
        <f>IF(('Activity data'!AM9*EF!$H22)*kgtoGg=0,"NO",('Activity data'!AM9*EF!$H22)*kgtoGg)</f>
        <v>5.8230166616839892E-2</v>
      </c>
      <c r="U1397" s="27">
        <f>IF(('Activity data'!AN9*EF!$H22)*kgtoGg=0,"NO",('Activity data'!AN9*EF!$H22)*kgtoGg)</f>
        <v>5.9150010572323733E-2</v>
      </c>
      <c r="V1397" s="27">
        <f>IF(('Activity data'!AO9*EF!$H22)*kgtoGg=0,"NO",('Activity data'!AO9*EF!$H22)*kgtoGg)</f>
        <v>5.8750554380685591E-2</v>
      </c>
      <c r="W1397" s="27">
        <f>IF(('Activity data'!AP9*EF!$H22)*kgtoGg=0,"NO",('Activity data'!AP9*EF!$H22)*kgtoGg)</f>
        <v>5.8425624895701689E-2</v>
      </c>
      <c r="X1397" s="27">
        <f>IF(('Activity data'!AQ9*EF!$H22)*kgtoGg=0,"NO",('Activity data'!AQ9*EF!$H22)*kgtoGg)</f>
        <v>5.8446969177989083E-2</v>
      </c>
      <c r="Y1397" s="27">
        <f>IF(('Activity data'!AR9*EF!$H22)*kgtoGg=0,"NO",('Activity data'!AR9*EF!$H22)*kgtoGg)</f>
        <v>5.8790174251251236E-2</v>
      </c>
      <c r="Z1397" s="27">
        <f>IF(('Activity data'!AS9*EF!$H22)*kgtoGg=0,"NO",('Activity data'!AS9*EF!$H22)*kgtoGg)</f>
        <v>5.9277158695416256E-2</v>
      </c>
      <c r="AA1397" s="27">
        <f>IF(('Activity data'!AT9*EF!$H22)*kgtoGg=0,"NO",('Activity data'!AT9*EF!$H22)*kgtoGg)</f>
        <v>5.9947148531465801E-2</v>
      </c>
      <c r="AB1397" s="27">
        <f>IF(('Activity data'!AU9*EF!$H22)*kgtoGg=0,"NO",('Activity data'!AU9*EF!$H22)*kgtoGg)</f>
        <v>6.0928552165899576E-2</v>
      </c>
      <c r="AC1397" s="27">
        <f>IF(('Activity data'!AV9*EF!$H22)*kgtoGg=0,"NO",('Activity data'!AV9*EF!$H22)*kgtoGg)</f>
        <v>6.2193652488770283E-2</v>
      </c>
      <c r="AD1397" s="27">
        <f>IF(('Activity data'!AW9*EF!$H22)*kgtoGg=0,"NO",('Activity data'!AW9*EF!$H22)*kgtoGg)</f>
        <v>6.3075674200886653E-2</v>
      </c>
      <c r="AE1397" s="27">
        <f>IF(('Activity data'!AX9*EF!$H22)*kgtoGg=0,"NO",('Activity data'!AX9*EF!$H22)*kgtoGg)</f>
        <v>6.4061887782297905E-2</v>
      </c>
      <c r="AF1397" s="27">
        <f>IF(('Activity data'!AY9*EF!$H22)*kgtoGg=0,"NO",('Activity data'!AY9*EF!$H22)*kgtoGg)</f>
        <v>6.5077970895866852E-2</v>
      </c>
      <c r="AG1397" s="27">
        <f>IF(('Activity data'!AZ9*EF!$H22)*kgtoGg=0,"NO",('Activity data'!AZ9*EF!$H22)*kgtoGg)</f>
        <v>6.6146494654198057E-2</v>
      </c>
      <c r="AH1397" s="27">
        <f>IF(('Activity data'!BA9*EF!$H22)*kgtoGg=0,"NO",('Activity data'!BA9*EF!$H22)*kgtoGg)</f>
        <v>6.7231022690612471E-2</v>
      </c>
      <c r="AI1397" s="27">
        <f>IF(('Activity data'!BB9*EF!$H22)*kgtoGg=0,"NO",('Activity data'!BB9*EF!$H22)*kgtoGg)</f>
        <v>6.8221389504630262E-2</v>
      </c>
      <c r="AJ1397" s="27">
        <f>IF(('Activity data'!BC9*EF!$H22)*kgtoGg=0,"NO",('Activity data'!BC9*EF!$H22)*kgtoGg)</f>
        <v>6.9266044730455056E-2</v>
      </c>
      <c r="AK1397" s="27">
        <f>IF(('Activity data'!BD9*EF!$H22)*kgtoGg=0,"NO",('Activity data'!BD9*EF!$H22)*kgtoGg)</f>
        <v>7.026339809516019E-2</v>
      </c>
      <c r="AL1397" s="27">
        <f>IF(('Activity data'!BE9*EF!$H22)*kgtoGg=0,"NO",('Activity data'!BE9*EF!$H22)*kgtoGg)</f>
        <v>7.1203841200544876E-2</v>
      </c>
      <c r="AM1397" s="27">
        <f>IF(('Activity data'!BF9*EF!$H22)*kgtoGg=0,"NO",('Activity data'!BF9*EF!$H22)*kgtoGg)</f>
        <v>7.2127574541732534E-2</v>
      </c>
      <c r="AN1397" s="27">
        <f>IF(('Activity data'!BG9*EF!$H22)*kgtoGg=0,"NO",('Activity data'!BG9*EF!$H22)*kgtoGg)</f>
        <v>7.3300576089579794E-2</v>
      </c>
      <c r="AO1397" s="27">
        <f>IF(('Activity data'!BH9*EF!$H22)*kgtoGg=0,"NO",('Activity data'!BH9*EF!$H22)*kgtoGg)</f>
        <v>7.4513823237729482E-2</v>
      </c>
      <c r="AP1397" s="27">
        <f>IF(('Activity data'!BI9*EF!$H22)*kgtoGg=0,"NO",('Activity data'!BI9*EF!$H22)*kgtoGg)</f>
        <v>7.5811406745023818E-2</v>
      </c>
      <c r="AQ1397" s="27">
        <f>IF(('Activity data'!BJ9*EF!$H22)*kgtoGg=0,"NO",('Activity data'!BJ9*EF!$H22)*kgtoGg)</f>
        <v>7.7103941782015115E-2</v>
      </c>
      <c r="AR1397" s="27">
        <f>IF(('Activity data'!BK9*EF!$H22)*kgtoGg=0,"NO",('Activity data'!BK9*EF!$H22)*kgtoGg)</f>
        <v>7.8393105982004302E-2</v>
      </c>
      <c r="AS1397" s="27">
        <f>IF(('Activity data'!BL9*EF!$H22)*kgtoGg=0,"NO",('Activity data'!BL9*EF!$H22)*kgtoGg)</f>
        <v>7.9763623322175625E-2</v>
      </c>
      <c r="AT1397" s="27">
        <f>IF(('Activity data'!BM9*EF!$H22)*kgtoGg=0,"NO",('Activity data'!BM9*EF!$H22)*kgtoGg)</f>
        <v>8.1180007651315583E-2</v>
      </c>
      <c r="AU1397" s="27">
        <f>IF(('Activity data'!BN9*EF!$H22)*kgtoGg=0,"NO",('Activity data'!BN9*EF!$H22)*kgtoGg)</f>
        <v>8.2617633771312649E-2</v>
      </c>
      <c r="AV1397" s="27">
        <f>IF(('Activity data'!BO9*EF!$H22)*kgtoGg=0,"NO",('Activity data'!BO9*EF!$H22)*kgtoGg)</f>
        <v>8.4125424997993567E-2</v>
      </c>
      <c r="AW1397" s="27">
        <f>IF(('Activity data'!BP9*EF!$H22)*kgtoGg=0,"NO",('Activity data'!BP9*EF!$H22)*kgtoGg)</f>
        <v>8.5389520380178607E-2</v>
      </c>
    </row>
    <row r="1398" spans="1:49" x14ac:dyDescent="0.25">
      <c r="A1398" s="95" t="s">
        <v>959</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0.47107022937833815</v>
      </c>
      <c r="L1398" s="27">
        <f>IF(('Activity data'!AE10*EF!$H23)*kgtoGg=0,"NO",('Activity data'!AE10*EF!$H23)*kgtoGg)</f>
        <v>0.48695387967725917</v>
      </c>
      <c r="M1398" s="27">
        <f>IF(('Activity data'!AF10*EF!$H23)*kgtoGg=0,"NO",('Activity data'!AF10*EF!$H23)*kgtoGg)</f>
        <v>0.50580611066616787</v>
      </c>
      <c r="N1398" s="27">
        <f>IF(('Activity data'!AG10*EF!$H23)*kgtoGg=0,"NO",('Activity data'!AG10*EF!$H23)*kgtoGg)</f>
        <v>0.5198656905589939</v>
      </c>
      <c r="O1398" s="27">
        <f>IF(('Activity data'!AH10*EF!$H23)*kgtoGg=0,"NO",('Activity data'!AH10*EF!$H23)*kgtoGg)</f>
        <v>0.53070826286138517</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0.51940277612263608</v>
      </c>
      <c r="T1398" s="27">
        <f>IF(('Activity data'!AM10*EF!$H23)*kgtoGg=0,"NO",('Activity data'!AM10*EF!$H23)*kgtoGg)</f>
        <v>0.55734768073083851</v>
      </c>
      <c r="U1398" s="27">
        <f>IF(('Activity data'!AN10*EF!$H23)*kgtoGg=0,"NO",('Activity data'!AN10*EF!$H23)*kgtoGg)</f>
        <v>0.57960474973304943</v>
      </c>
      <c r="V1398" s="27">
        <f>IF(('Activity data'!AO10*EF!$H23)*kgtoGg=0,"NO",('Activity data'!AO10*EF!$H23)*kgtoGg)</f>
        <v>0.58919613300783547</v>
      </c>
      <c r="W1398" s="27">
        <f>IF(('Activity data'!AP10*EF!$H23)*kgtoGg=0,"NO",('Activity data'!AP10*EF!$H23)*kgtoGg)</f>
        <v>0.59952169359823548</v>
      </c>
      <c r="X1398" s="27">
        <f>IF(('Activity data'!AQ10*EF!$H23)*kgtoGg=0,"NO",('Activity data'!AQ10*EF!$H23)*kgtoGg)</f>
        <v>0.61349330548493453</v>
      </c>
      <c r="Y1398" s="27">
        <f>IF(('Activity data'!AR10*EF!$H23)*kgtoGg=0,"NO",('Activity data'!AR10*EF!$H23)*kgtoGg)</f>
        <v>0.63110337066637079</v>
      </c>
      <c r="Z1398" s="27">
        <f>IF(('Activity data'!AS10*EF!$H23)*kgtoGg=0,"NO",('Activity data'!AS10*EF!$H23)*kgtoGg)</f>
        <v>0.65064008423990027</v>
      </c>
      <c r="AA1398" s="27">
        <f>IF(('Activity data'!AT10*EF!$H23)*kgtoGg=0,"NO",('Activity data'!AT10*EF!$H23)*kgtoGg)</f>
        <v>0.67266194335256146</v>
      </c>
      <c r="AB1398" s="27">
        <f>IF(('Activity data'!AU10*EF!$H23)*kgtoGg=0,"NO",('Activity data'!AU10*EF!$H23)*kgtoGg)</f>
        <v>0.69879229877984206</v>
      </c>
      <c r="AC1398" s="27">
        <f>IF(('Activity data'!AV10*EF!$H23)*kgtoGg=0,"NO",('Activity data'!AV10*EF!$H23)*kgtoGg)</f>
        <v>0.72895809146559021</v>
      </c>
      <c r="AD1398" s="27">
        <f>IF(('Activity data'!AW10*EF!$H23)*kgtoGg=0,"NO",('Activity data'!AW10*EF!$H23)*kgtoGg)</f>
        <v>0.76381313429213382</v>
      </c>
      <c r="AE1398" s="27">
        <f>IF(('Activity data'!AX10*EF!$H23)*kgtoGg=0,"NO",('Activity data'!AX10*EF!$H23)*kgtoGg)</f>
        <v>0.80153113832193645</v>
      </c>
      <c r="AF1398" s="27">
        <f>IF(('Activity data'!AY10*EF!$H23)*kgtoGg=0,"NO",('Activity data'!AY10*EF!$H23)*kgtoGg)</f>
        <v>0.84136759742134326</v>
      </c>
      <c r="AG1398" s="27">
        <f>IF(('Activity data'!AZ10*EF!$H23)*kgtoGg=0,"NO",('Activity data'!AZ10*EF!$H23)*kgtoGg)</f>
        <v>0.88375975405626439</v>
      </c>
      <c r="AH1398" s="27">
        <f>IF(('Activity data'!BA10*EF!$H23)*kgtoGg=0,"NO",('Activity data'!BA10*EF!$H23)*kgtoGg)</f>
        <v>0.92838040456636217</v>
      </c>
      <c r="AI1398" s="27">
        <f>IF(('Activity data'!BB10*EF!$H23)*kgtoGg=0,"NO",('Activity data'!BB10*EF!$H23)*kgtoGg)</f>
        <v>0.97379529022362832</v>
      </c>
      <c r="AJ1398" s="27">
        <f>IF(('Activity data'!BC10*EF!$H23)*kgtoGg=0,"NO",('Activity data'!BC10*EF!$H23)*kgtoGg)</f>
        <v>1.0221841318210139</v>
      </c>
      <c r="AK1398" s="27">
        <f>IF(('Activity data'!BD10*EF!$H23)*kgtoGg=0,"NO",('Activity data'!BD10*EF!$H23)*kgtoGg)</f>
        <v>1.072208285270027</v>
      </c>
      <c r="AL1398" s="27">
        <f>IF(('Activity data'!BE10*EF!$H23)*kgtoGg=0,"NO",('Activity data'!BE10*EF!$H23)*kgtoGg)</f>
        <v>1.123785168211771</v>
      </c>
      <c r="AM1398" s="27">
        <f>IF(('Activity data'!BF10*EF!$H23)*kgtoGg=0,"NO",('Activity data'!BF10*EF!$H23)*kgtoGg)</f>
        <v>1.1776298462289758</v>
      </c>
      <c r="AN1398" s="27">
        <f>IF(('Activity data'!BG10*EF!$H23)*kgtoGg=0,"NO",('Activity data'!BG10*EF!$H23)*kgtoGg)</f>
        <v>1.2305489615866252</v>
      </c>
      <c r="AO1398" s="27">
        <f>IF(('Activity data'!BH10*EF!$H23)*kgtoGg=0,"NO",('Activity data'!BH10*EF!$H23)*kgtoGg)</f>
        <v>1.2863335234294737</v>
      </c>
      <c r="AP1398" s="27">
        <f>IF(('Activity data'!BI10*EF!$H23)*kgtoGg=0,"NO",('Activity data'!BI10*EF!$H23)*kgtoGg)</f>
        <v>1.3459319381262367</v>
      </c>
      <c r="AQ1398" s="27">
        <f>IF(('Activity data'!BJ10*EF!$H23)*kgtoGg=0,"NO",('Activity data'!BJ10*EF!$H23)*kgtoGg)</f>
        <v>1.4079553802544587</v>
      </c>
      <c r="AR1398" s="27">
        <f>IF(('Activity data'!BK10*EF!$H23)*kgtoGg=0,"NO",('Activity data'!BK10*EF!$H23)*kgtoGg)</f>
        <v>1.4725543863966755</v>
      </c>
      <c r="AS1398" s="27">
        <f>IF(('Activity data'!BL10*EF!$H23)*kgtoGg=0,"NO",('Activity data'!BL10*EF!$H23)*kgtoGg)</f>
        <v>1.5414959451453387</v>
      </c>
      <c r="AT1398" s="27">
        <f>IF(('Activity data'!BM10*EF!$H23)*kgtoGg=0,"NO",('Activity data'!BM10*EF!$H23)*kgtoGg)</f>
        <v>1.6143551492479555</v>
      </c>
      <c r="AU1398" s="27">
        <f>IF(('Activity data'!BN10*EF!$H23)*kgtoGg=0,"NO",('Activity data'!BN10*EF!$H23)*kgtoGg)</f>
        <v>1.6908665423569276</v>
      </c>
      <c r="AV1398" s="27">
        <f>IF(('Activity data'!BO10*EF!$H23)*kgtoGg=0,"NO",('Activity data'!BO10*EF!$H23)*kgtoGg)</f>
        <v>1.7722717243433437</v>
      </c>
      <c r="AW1398" s="27">
        <f>IF(('Activity data'!BP10*EF!$H23)*kgtoGg=0,"NO",('Activity data'!BP10*EF!$H23)*kgtoGg)</f>
        <v>1.852080501247541</v>
      </c>
    </row>
    <row r="1399" spans="1:49" x14ac:dyDescent="0.25">
      <c r="A1399" s="95" t="s">
        <v>959</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3.6577867645106926E-2</v>
      </c>
      <c r="T1399" s="27">
        <f>IF(('Activity data'!AM11*EF!$H24)*kgtoGg=0,"NO",('Activity data'!AM11*EF!$H24)*kgtoGg)</f>
        <v>3.6604195637780168E-2</v>
      </c>
      <c r="U1399" s="27">
        <f>IF(('Activity data'!AN11*EF!$H24)*kgtoGg=0,"NO",('Activity data'!AN11*EF!$H24)*kgtoGg)</f>
        <v>3.6594939276300961E-2</v>
      </c>
      <c r="V1399" s="27">
        <f>IF(('Activity data'!AO11*EF!$H24)*kgtoGg=0,"NO",('Activity data'!AO11*EF!$H24)*kgtoGg)</f>
        <v>3.6594272892103465E-2</v>
      </c>
      <c r="W1399" s="27">
        <f>IF(('Activity data'!AP11*EF!$H24)*kgtoGg=0,"NO",('Activity data'!AP11*EF!$H24)*kgtoGg)</f>
        <v>3.663308878376182E-2</v>
      </c>
      <c r="X1399" s="27">
        <f>IF(('Activity data'!AQ11*EF!$H24)*kgtoGg=0,"NO",('Activity data'!AQ11*EF!$H24)*kgtoGg)</f>
        <v>3.66966145669788E-2</v>
      </c>
      <c r="Y1399" s="27">
        <f>IF(('Activity data'!AR11*EF!$H24)*kgtoGg=0,"NO",('Activity data'!AR11*EF!$H24)*kgtoGg)</f>
        <v>3.6757568260761757E-2</v>
      </c>
      <c r="Z1399" s="27">
        <f>IF(('Activity data'!AS11*EF!$H24)*kgtoGg=0,"NO",('Activity data'!AS11*EF!$H24)*kgtoGg)</f>
        <v>3.6816146514376355E-2</v>
      </c>
      <c r="AA1399" s="27">
        <f>IF(('Activity data'!AT11*EF!$H24)*kgtoGg=0,"NO",('Activity data'!AT11*EF!$H24)*kgtoGg)</f>
        <v>3.6872269383598041E-2</v>
      </c>
      <c r="AB1399" s="27">
        <f>IF(('Activity data'!AU11*EF!$H24)*kgtoGg=0,"NO",('Activity data'!AU11*EF!$H24)*kgtoGg)</f>
        <v>3.6927106456158189E-2</v>
      </c>
      <c r="AC1399" s="27">
        <f>IF(('Activity data'!AV11*EF!$H24)*kgtoGg=0,"NO",('Activity data'!AV11*EF!$H24)*kgtoGg)</f>
        <v>3.6981458757835407E-2</v>
      </c>
      <c r="AD1399" s="27">
        <f>IF(('Activity data'!AW11*EF!$H24)*kgtoGg=0,"NO",('Activity data'!AW11*EF!$H24)*kgtoGg)</f>
        <v>3.7034780933234084E-2</v>
      </c>
      <c r="AE1399" s="27">
        <f>IF(('Activity data'!AX11*EF!$H24)*kgtoGg=0,"NO",('Activity data'!AX11*EF!$H24)*kgtoGg)</f>
        <v>3.7087839668251105E-2</v>
      </c>
      <c r="AF1399" s="27">
        <f>IF(('Activity data'!AY11*EF!$H24)*kgtoGg=0,"NO",('Activity data'!AY11*EF!$H24)*kgtoGg)</f>
        <v>3.7140467817616069E-2</v>
      </c>
      <c r="AG1399" s="27">
        <f>IF(('Activity data'!AZ11*EF!$H24)*kgtoGg=0,"NO",('Activity data'!AZ11*EF!$H24)*kgtoGg)</f>
        <v>3.7192243691518308E-2</v>
      </c>
      <c r="AH1399" s="27">
        <f>IF(('Activity data'!BA11*EF!$H24)*kgtoGg=0,"NO",('Activity data'!BA11*EF!$H24)*kgtoGg)</f>
        <v>3.7243395244831647E-2</v>
      </c>
      <c r="AI1399" s="27">
        <f>IF(('Activity data'!BB11*EF!$H24)*kgtoGg=0,"NO",('Activity data'!BB11*EF!$H24)*kgtoGg)</f>
        <v>3.7293977063567109E-2</v>
      </c>
      <c r="AJ1399" s="27">
        <f>IF(('Activity data'!BC11*EF!$H24)*kgtoGg=0,"NO",('Activity data'!BC11*EF!$H24)*kgtoGg)</f>
        <v>3.7344160870083701E-2</v>
      </c>
      <c r="AK1399" s="27">
        <f>IF(('Activity data'!BD11*EF!$H24)*kgtoGg=0,"NO",('Activity data'!BD11*EF!$H24)*kgtoGg)</f>
        <v>3.7392411139770994E-2</v>
      </c>
      <c r="AL1399" s="27">
        <f>IF(('Activity data'!BE11*EF!$H24)*kgtoGg=0,"NO",('Activity data'!BE11*EF!$H24)*kgtoGg)</f>
        <v>3.743867142078007E-2</v>
      </c>
      <c r="AM1399" s="27">
        <f>IF(('Activity data'!BF11*EF!$H24)*kgtoGg=0,"NO",('Activity data'!BF11*EF!$H24)*kgtoGg)</f>
        <v>3.7483374065557115E-2</v>
      </c>
      <c r="AN1399" s="27">
        <f>IF(('Activity data'!BG11*EF!$H24)*kgtoGg=0,"NO",('Activity data'!BG11*EF!$H24)*kgtoGg)</f>
        <v>3.7526174858995696E-2</v>
      </c>
      <c r="AO1399" s="27">
        <f>IF(('Activity data'!BH11*EF!$H24)*kgtoGg=0,"NO",('Activity data'!BH11*EF!$H24)*kgtoGg)</f>
        <v>3.7567151445085212E-2</v>
      </c>
      <c r="AP1399" s="27">
        <f>IF(('Activity data'!BI11*EF!$H24)*kgtoGg=0,"NO",('Activity data'!BI11*EF!$H24)*kgtoGg)</f>
        <v>3.7606119264532091E-2</v>
      </c>
      <c r="AQ1399" s="27">
        <f>IF(('Activity data'!BJ11*EF!$H24)*kgtoGg=0,"NO",('Activity data'!BJ11*EF!$H24)*kgtoGg)</f>
        <v>3.7642520684787982E-2</v>
      </c>
      <c r="AR1399" s="27">
        <f>IF(('Activity data'!BK11*EF!$H24)*kgtoGg=0,"NO",('Activity data'!BK11*EF!$H24)*kgtoGg)</f>
        <v>3.7675838960014932E-2</v>
      </c>
      <c r="AS1399" s="27">
        <f>IF(('Activity data'!BL11*EF!$H24)*kgtoGg=0,"NO",('Activity data'!BL11*EF!$H24)*kgtoGg)</f>
        <v>3.7706040429411586E-2</v>
      </c>
      <c r="AT1399" s="27">
        <f>IF(('Activity data'!BM11*EF!$H24)*kgtoGg=0,"NO",('Activity data'!BM11*EF!$H24)*kgtoGg)</f>
        <v>3.7732893978113372E-2</v>
      </c>
      <c r="AU1399" s="27">
        <f>IF(('Activity data'!BN11*EF!$H24)*kgtoGg=0,"NO",('Activity data'!BN11*EF!$H24)*kgtoGg)</f>
        <v>3.7756386655025911E-2</v>
      </c>
      <c r="AV1399" s="27">
        <f>IF(('Activity data'!BO11*EF!$H24)*kgtoGg=0,"NO",('Activity data'!BO11*EF!$H24)*kgtoGg)</f>
        <v>3.7776968038330937E-2</v>
      </c>
      <c r="AW1399" s="27">
        <f>IF(('Activity data'!BP11*EF!$H24)*kgtoGg=0,"NO",('Activity data'!BP11*EF!$H24)*kgtoGg)</f>
        <v>3.7791964878546927E-2</v>
      </c>
    </row>
    <row r="1400" spans="1:49" x14ac:dyDescent="0.25">
      <c r="A1400" s="95" t="s">
        <v>959</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4.1773668344855536E-3</v>
      </c>
      <c r="T1400" s="27">
        <f>IF(('Activity data'!AM12*EF!$H25)*kgtoGg=0,"NO",('Activity data'!AM12*EF!$H25)*kgtoGg)</f>
        <v>4.1803736167419408E-3</v>
      </c>
      <c r="U1400" s="27">
        <f>IF(('Activity data'!AN12*EF!$H25)*kgtoGg=0,"NO",('Activity data'!AN12*EF!$H25)*kgtoGg)</f>
        <v>4.1793164961403135E-3</v>
      </c>
      <c r="V1400" s="27">
        <f>IF(('Activity data'!AO12*EF!$H25)*kgtoGg=0,"NO",('Activity data'!AO12*EF!$H25)*kgtoGg)</f>
        <v>4.1792403918886204E-3</v>
      </c>
      <c r="W1400" s="27">
        <f>IF(('Activity data'!AP12*EF!$H25)*kgtoGg=0,"NO",('Activity data'!AP12*EF!$H25)*kgtoGg)</f>
        <v>4.1836733517330218E-3</v>
      </c>
      <c r="X1400" s="27">
        <f>IF(('Activity data'!AQ12*EF!$H25)*kgtoGg=0,"NO",('Activity data'!AQ12*EF!$H25)*kgtoGg)</f>
        <v>4.190928298973798E-3</v>
      </c>
      <c r="Y1400" s="27">
        <f>IF(('Activity data'!AR12*EF!$H25)*kgtoGg=0,"NO",('Activity data'!AR12*EF!$H25)*kgtoGg)</f>
        <v>4.197889501341273E-3</v>
      </c>
      <c r="Z1400" s="27">
        <f>IF(('Activity data'!AS12*EF!$H25)*kgtoGg=0,"NO",('Activity data'!AS12*EF!$H25)*kgtoGg)</f>
        <v>4.204579417118921E-3</v>
      </c>
      <c r="AA1400" s="27">
        <f>IF(('Activity data'!AT12*EF!$H25)*kgtoGg=0,"NO",('Activity data'!AT12*EF!$H25)*kgtoGg)</f>
        <v>4.2109889162952416E-3</v>
      </c>
      <c r="AB1400" s="27">
        <f>IF(('Activity data'!AU12*EF!$H25)*kgtoGg=0,"NO",('Activity data'!AU12*EF!$H25)*kgtoGg)</f>
        <v>4.2172515713640264E-3</v>
      </c>
      <c r="AC1400" s="27">
        <f>IF(('Activity data'!AV12*EF!$H25)*kgtoGg=0,"NO",('Activity data'!AV12*EF!$H25)*kgtoGg)</f>
        <v>4.2234588632873099E-3</v>
      </c>
      <c r="AD1400" s="27">
        <f>IF(('Activity data'!AW12*EF!$H25)*kgtoGg=0,"NO",('Activity data'!AW12*EF!$H25)*kgtoGg)</f>
        <v>4.2295485098794577E-3</v>
      </c>
      <c r="AE1400" s="27">
        <f>IF(('Activity data'!AX12*EF!$H25)*kgtoGg=0,"NO",('Activity data'!AX12*EF!$H25)*kgtoGg)</f>
        <v>4.2356080703243246E-3</v>
      </c>
      <c r="AF1400" s="27">
        <f>IF(('Activity data'!AY12*EF!$H25)*kgtoGg=0,"NO",('Activity data'!AY12*EF!$H25)*kgtoGg)</f>
        <v>4.2416184558353278E-3</v>
      </c>
      <c r="AG1400" s="27">
        <f>IF(('Activity data'!AZ12*EF!$H25)*kgtoGg=0,"NO",('Activity data'!AZ12*EF!$H25)*kgtoGg)</f>
        <v>4.247531507426093E-3</v>
      </c>
      <c r="AH1400" s="27">
        <f>IF(('Activity data'!BA12*EF!$H25)*kgtoGg=0,"NO",('Activity data'!BA12*EF!$H25)*kgtoGg)</f>
        <v>4.2533732586297656E-3</v>
      </c>
      <c r="AI1400" s="27">
        <f>IF(('Activity data'!BB12*EF!$H25)*kgtoGg=0,"NO",('Activity data'!BB12*EF!$H25)*kgtoGg)</f>
        <v>4.2591499434289888E-3</v>
      </c>
      <c r="AJ1400" s="27">
        <f>IF(('Activity data'!BC12*EF!$H25)*kgtoGg=0,"NO",('Activity data'!BC12*EF!$H25)*kgtoGg)</f>
        <v>4.2648811733356808E-3</v>
      </c>
      <c r="AK1400" s="27">
        <f>IF(('Activity data'!BD12*EF!$H25)*kgtoGg=0,"NO",('Activity data'!BD12*EF!$H25)*kgtoGg)</f>
        <v>4.2703915841202098E-3</v>
      </c>
      <c r="AL1400" s="27">
        <f>IF(('Activity data'!BE12*EF!$H25)*kgtoGg=0,"NO",('Activity data'!BE12*EF!$H25)*kgtoGg)</f>
        <v>4.2756747287123493E-3</v>
      </c>
      <c r="AM1400" s="27">
        <f>IF(('Activity data'!BF12*EF!$H25)*kgtoGg=0,"NO",('Activity data'!BF12*EF!$H25)*kgtoGg)</f>
        <v>4.2807799838222773E-3</v>
      </c>
      <c r="AN1400" s="27">
        <f>IF(('Activity data'!BG12*EF!$H25)*kgtoGg=0,"NO",('Activity data'!BG12*EF!$H25)*kgtoGg)</f>
        <v>4.2856680384441249E-3</v>
      </c>
      <c r="AO1400" s="27">
        <f>IF(('Activity data'!BH12*EF!$H25)*kgtoGg=0,"NO",('Activity data'!BH12*EF!$H25)*kgtoGg)</f>
        <v>4.2903477598915749E-3</v>
      </c>
      <c r="AP1400" s="27">
        <f>IF(('Activity data'!BI12*EF!$H25)*kgtoGg=0,"NO",('Activity data'!BI12*EF!$H25)*kgtoGg)</f>
        <v>4.2947980706135938E-3</v>
      </c>
      <c r="AQ1400" s="27">
        <f>IF(('Activity data'!BJ12*EF!$H25)*kgtoGg=0,"NO",('Activity data'!BJ12*EF!$H25)*kgtoGg)</f>
        <v>4.2989552863151904E-3</v>
      </c>
      <c r="AR1400" s="27">
        <f>IF(('Activity data'!BK12*EF!$H25)*kgtoGg=0,"NO",('Activity data'!BK12*EF!$H25)*kgtoGg)</f>
        <v>4.3027603921585852E-3</v>
      </c>
      <c r="AS1400" s="27">
        <f>IF(('Activity data'!BL12*EF!$H25)*kgtoGg=0,"NO",('Activity data'!BL12*EF!$H25)*kgtoGg)</f>
        <v>4.3062095439198199E-3</v>
      </c>
      <c r="AT1400" s="27">
        <f>IF(('Activity data'!BM12*EF!$H25)*kgtoGg=0,"NO",('Activity data'!BM12*EF!$H25)*kgtoGg)</f>
        <v>4.3092763471797441E-3</v>
      </c>
      <c r="AU1400" s="27">
        <f>IF(('Activity data'!BN12*EF!$H25)*kgtoGg=0,"NO",('Activity data'!BN12*EF!$H25)*kgtoGg)</f>
        <v>4.3119593228616469E-3</v>
      </c>
      <c r="AV1400" s="27">
        <f>IF(('Activity data'!BO12*EF!$H25)*kgtoGg=0,"NO",('Activity data'!BO12*EF!$H25)*kgtoGg)</f>
        <v>4.3143098149368113E-3</v>
      </c>
      <c r="AW1400" s="27">
        <f>IF(('Activity data'!BP12*EF!$H25)*kgtoGg=0,"NO",('Activity data'!BP12*EF!$H25)*kgtoGg)</f>
        <v>4.3160225255723297E-3</v>
      </c>
    </row>
    <row r="1401" spans="1:49" x14ac:dyDescent="0.25">
      <c r="A1401" s="95" t="s">
        <v>959</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1.5789672763163298E-2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1.623065478441902E-2</v>
      </c>
      <c r="R1401" s="27">
        <f>IF(('Activity data'!AK13*EF!$H26)*kgtoGg=0,"NO",('Activity data'!AK13*EF!$H26)*kgtoGg)</f>
        <v>1.6337439810579345E-2</v>
      </c>
      <c r="S1401" s="27">
        <f>IF(('Activity data'!AL13*EF!$H26)*kgtoGg=0,"NO",('Activity data'!AL13*EF!$H26)*kgtoGg)</f>
        <v>1.6297380650984187E-2</v>
      </c>
      <c r="T1401" s="27">
        <f>IF(('Activity data'!AM13*EF!$H26)*kgtoGg=0,"NO",('Activity data'!AM13*EF!$H26)*kgtoGg)</f>
        <v>1.6325395863941383E-2</v>
      </c>
      <c r="U1401" s="27">
        <f>IF(('Activity data'!AN13*EF!$H26)*kgtoGg=0,"NO",('Activity data'!AN13*EF!$H26)*kgtoGg)</f>
        <v>1.6328114418990985E-2</v>
      </c>
      <c r="V1401" s="27">
        <f>IF(('Activity data'!AO13*EF!$H26)*kgtoGg=0,"NO",('Activity data'!AO13*EF!$H26)*kgtoGg)</f>
        <v>1.6335588711282864E-2</v>
      </c>
      <c r="W1401" s="27">
        <f>IF(('Activity data'!AP13*EF!$H26)*kgtoGg=0,"NO",('Activity data'!AP13*EF!$H26)*kgtoGg)</f>
        <v>1.6368634589950044E-2</v>
      </c>
      <c r="X1401" s="27">
        <f>IF(('Activity data'!AQ13*EF!$H26)*kgtoGg=0,"NO",('Activity data'!AQ13*EF!$H26)*kgtoGg)</f>
        <v>1.641724322972727E-2</v>
      </c>
      <c r="Y1401" s="27">
        <f>IF(('Activity data'!AR13*EF!$H26)*kgtoGg=0,"NO",('Activity data'!AR13*EF!$H26)*kgtoGg)</f>
        <v>1.6463127220508685E-2</v>
      </c>
      <c r="Z1401" s="27">
        <f>IF(('Activity data'!AS13*EF!$H26)*kgtoGg=0,"NO",('Activity data'!AS13*EF!$H26)*kgtoGg)</f>
        <v>1.6506502302245762E-2</v>
      </c>
      <c r="AA1401" s="27">
        <f>IF(('Activity data'!AT13*EF!$H26)*kgtoGg=0,"NO",('Activity data'!AT13*EF!$H26)*kgtoGg)</f>
        <v>1.6547390676749981E-2</v>
      </c>
      <c r="AB1401" s="27">
        <f>IF(('Activity data'!AU13*EF!$H26)*kgtoGg=0,"NO",('Activity data'!AU13*EF!$H26)*kgtoGg)</f>
        <v>1.6586638401151873E-2</v>
      </c>
      <c r="AC1401" s="27">
        <f>IF(('Activity data'!AV13*EF!$H26)*kgtoGg=0,"NO",('Activity data'!AV13*EF!$H26)*kgtoGg)</f>
        <v>1.6624834346576634E-2</v>
      </c>
      <c r="AD1401" s="27">
        <f>IF(('Activity data'!AW13*EF!$H26)*kgtoGg=0,"NO",('Activity data'!AW13*EF!$H26)*kgtoGg)</f>
        <v>1.6661666671952648E-2</v>
      </c>
      <c r="AE1401" s="27">
        <f>IF(('Activity data'!AX13*EF!$H26)*kgtoGg=0,"NO",('Activity data'!AX13*EF!$H26)*kgtoGg)</f>
        <v>1.669768859843657E-2</v>
      </c>
      <c r="AF1401" s="27">
        <f>IF(('Activity data'!AY13*EF!$H26)*kgtoGg=0,"NO",('Activity data'!AY13*EF!$H26)*kgtoGg)</f>
        <v>1.6732829718107738E-2</v>
      </c>
      <c r="AG1401" s="27">
        <f>IF(('Activity data'!AZ13*EF!$H26)*kgtoGg=0,"NO",('Activity data'!AZ13*EF!$H26)*kgtoGg)</f>
        <v>1.6766849576183976E-2</v>
      </c>
      <c r="AH1401" s="27">
        <f>IF(('Activity data'!BA13*EF!$H26)*kgtoGg=0,"NO",('Activity data'!BA13*EF!$H26)*kgtoGg)</f>
        <v>1.6799933327571178E-2</v>
      </c>
      <c r="AI1401" s="27">
        <f>IF(('Activity data'!BB13*EF!$H26)*kgtoGg=0,"NO",('Activity data'!BB13*EF!$H26)*kgtoGg)</f>
        <v>1.6832148555186801E-2</v>
      </c>
      <c r="AJ1401" s="27">
        <f>IF(('Activity data'!BC13*EF!$H26)*kgtoGg=0,"NO",('Activity data'!BC13*EF!$H26)*kgtoGg)</f>
        <v>1.6863636706256461E-2</v>
      </c>
      <c r="AK1401" s="27">
        <f>IF(('Activity data'!BD13*EF!$H26)*kgtoGg=0,"NO",('Activity data'!BD13*EF!$H26)*kgtoGg)</f>
        <v>1.6893421474693429E-2</v>
      </c>
      <c r="AL1401" s="27">
        <f>IF(('Activity data'!BE13*EF!$H26)*kgtoGg=0,"NO",('Activity data'!BE13*EF!$H26)*kgtoGg)</f>
        <v>1.6921495820142095E-2</v>
      </c>
      <c r="AM1401" s="27">
        <f>IF(('Activity data'!BF13*EF!$H26)*kgtoGg=0,"NO",('Activity data'!BF13*EF!$H26)*kgtoGg)</f>
        <v>1.6948169002433171E-2</v>
      </c>
      <c r="AN1401" s="27">
        <f>IF(('Activity data'!BG13*EF!$H26)*kgtoGg=0,"NO",('Activity data'!BG13*EF!$H26)*kgtoGg)</f>
        <v>1.6973242190360595E-2</v>
      </c>
      <c r="AO1401" s="27">
        <f>IF(('Activity data'!BH13*EF!$H26)*kgtoGg=0,"NO",('Activity data'!BH13*EF!$H26)*kgtoGg)</f>
        <v>1.699679001880551E-2</v>
      </c>
      <c r="AP1401" s="27">
        <f>IF(('Activity data'!BI13*EF!$H26)*kgtoGg=0,"NO",('Activity data'!BI13*EF!$H26)*kgtoGg)</f>
        <v>1.701871561452447E-2</v>
      </c>
      <c r="AQ1401" s="27">
        <f>IF(('Activity data'!BJ13*EF!$H26)*kgtoGg=0,"NO",('Activity data'!BJ13*EF!$H26)*kgtoGg)</f>
        <v>1.7038680545756732E-2</v>
      </c>
      <c r="AR1401" s="27">
        <f>IF(('Activity data'!BK13*EF!$H26)*kgtoGg=0,"NO",('Activity data'!BK13*EF!$H26)*kgtoGg)</f>
        <v>1.7056373927880512E-2</v>
      </c>
      <c r="AS1401" s="27">
        <f>IF(('Activity data'!BL13*EF!$H26)*kgtoGg=0,"NO",('Activity data'!BL13*EF!$H26)*kgtoGg)</f>
        <v>1.7071796968078184E-2</v>
      </c>
      <c r="AT1401" s="27">
        <f>IF(('Activity data'!BM13*EF!$H26)*kgtoGg=0,"NO",('Activity data'!BM13*EF!$H26)*kgtoGg)</f>
        <v>1.7084822941521471E-2</v>
      </c>
      <c r="AU1401" s="27">
        <f>IF(('Activity data'!BN13*EF!$H26)*kgtoGg=0,"NO",('Activity data'!BN13*EF!$H26)*kgtoGg)</f>
        <v>1.7095465059373528E-2</v>
      </c>
      <c r="AV1401" s="27">
        <f>IF(('Activity data'!BO13*EF!$H26)*kgtoGg=0,"NO",('Activity data'!BO13*EF!$H26)*kgtoGg)</f>
        <v>1.7104031992328298E-2</v>
      </c>
      <c r="AW1401" s="27">
        <f>IF(('Activity data'!BP13*EF!$H26)*kgtoGg=0,"NO",('Activity data'!BP13*EF!$H26)*kgtoGg)</f>
        <v>1.7108831686205268E-2</v>
      </c>
    </row>
    <row r="1402" spans="1:49" x14ac:dyDescent="0.25">
      <c r="A1402" s="95" t="s">
        <v>959</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2.6592218800664796E-2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2.7334899828466049E-2</v>
      </c>
      <c r="R1402" s="27">
        <f>IF(('Activity data'!AK14*EF!$H27)*kgtoGg=0,"NO",('Activity data'!AK14*EF!$H27)*kgtoGg)</f>
        <v>2.7514742110372921E-2</v>
      </c>
      <c r="S1402" s="27">
        <f>IF(('Activity data'!AL14*EF!$H27)*kgtoGg=0,"NO",('Activity data'!AL14*EF!$H27)*kgtoGg)</f>
        <v>2.7447276371664872E-2</v>
      </c>
      <c r="T1402" s="27">
        <f>IF(('Activity data'!AM14*EF!$H27)*kgtoGg=0,"NO",('Activity data'!AM14*EF!$H27)*kgtoGg)</f>
        <v>2.7494458266051122E-2</v>
      </c>
      <c r="U1402" s="27">
        <f>IF(('Activity data'!AN14*EF!$H27)*kgtoGg=0,"NO",('Activity data'!AN14*EF!$H27)*kgtoGg)</f>
        <v>2.7499036727668718E-2</v>
      </c>
      <c r="V1402" s="27">
        <f>IF(('Activity data'!AO14*EF!$H27)*kgtoGg=0,"NO",('Activity data'!AO14*EF!$H27)*kgtoGg)</f>
        <v>2.7511624576637288E-2</v>
      </c>
      <c r="W1402" s="27">
        <f>IF(('Activity data'!AP14*EF!$H27)*kgtoGg=0,"NO",('Activity data'!AP14*EF!$H27)*kgtoGg)</f>
        <v>2.7567278879874528E-2</v>
      </c>
      <c r="X1402" s="27">
        <f>IF(('Activity data'!AQ14*EF!$H27)*kgtoGg=0,"NO",('Activity data'!AQ14*EF!$H27)*kgtoGg)</f>
        <v>2.7649143248056639E-2</v>
      </c>
      <c r="Y1402" s="27">
        <f>IF(('Activity data'!AR14*EF!$H27)*kgtoGg=0,"NO",('Activity data'!AR14*EF!$H27)*kgtoGg)</f>
        <v>2.7726418891485655E-2</v>
      </c>
      <c r="Z1402" s="27">
        <f>IF(('Activity data'!AS14*EF!$H27)*kgtoGg=0,"NO",('Activity data'!AS14*EF!$H27)*kgtoGg)</f>
        <v>2.7799469149166745E-2</v>
      </c>
      <c r="AA1402" s="27">
        <f>IF(('Activity data'!AT14*EF!$H27)*kgtoGg=0,"NO",('Activity data'!AT14*EF!$H27)*kgtoGg)</f>
        <v>2.7868331412338937E-2</v>
      </c>
      <c r="AB1402" s="27">
        <f>IF(('Activity data'!AU14*EF!$H27)*kgtoGg=0,"NO",('Activity data'!AU14*EF!$H27)*kgtoGg)</f>
        <v>2.7934430570337832E-2</v>
      </c>
      <c r="AC1402" s="27">
        <f>IF(('Activity data'!AV14*EF!$H27)*kgtoGg=0,"NO",('Activity data'!AV14*EF!$H27)*kgtoGg)</f>
        <v>2.7998758372013564E-2</v>
      </c>
      <c r="AD1402" s="27">
        <f>IF(('Activity data'!AW14*EF!$H27)*kgtoGg=0,"NO",('Activity data'!AW14*EF!$H27)*kgtoGg)</f>
        <v>2.8060789629407407E-2</v>
      </c>
      <c r="AE1402" s="27">
        <f>IF(('Activity data'!AX14*EF!$H27)*kgtoGg=0,"NO",('Activity data'!AX14*EF!$H27)*kgtoGg)</f>
        <v>2.8121456051381433E-2</v>
      </c>
      <c r="AF1402" s="27">
        <f>IF(('Activity data'!AY14*EF!$H27)*kgtoGg=0,"NO",('Activity data'!AY14*EF!$H27)*kgtoGg)</f>
        <v>2.8180639060251388E-2</v>
      </c>
      <c r="AG1402" s="27">
        <f>IF(('Activity data'!AZ14*EF!$H27)*kgtoGg=0,"NO",('Activity data'!AZ14*EF!$H27)*kgtoGg)</f>
        <v>2.8237933693465157E-2</v>
      </c>
      <c r="AH1402" s="27">
        <f>IF(('Activity data'!BA14*EF!$H27)*kgtoGg=0,"NO",('Activity data'!BA14*EF!$H27)*kgtoGg)</f>
        <v>2.8293651780143172E-2</v>
      </c>
      <c r="AI1402" s="27">
        <f>IF(('Activity data'!BB14*EF!$H27)*kgtoGg=0,"NO",('Activity data'!BB14*EF!$H27)*kgtoGg)</f>
        <v>2.8347907140233115E-2</v>
      </c>
      <c r="AJ1402" s="27">
        <f>IF(('Activity data'!BC14*EF!$H27)*kgtoGg=0,"NO",('Activity data'!BC14*EF!$H27)*kgtoGg)</f>
        <v>2.8400937992451046E-2</v>
      </c>
      <c r="AK1402" s="27">
        <f>IF(('Activity data'!BD14*EF!$H27)*kgtoGg=0,"NO",('Activity data'!BD14*EF!$H27)*kgtoGg)</f>
        <v>2.845110008834013E-2</v>
      </c>
      <c r="AL1402" s="27">
        <f>IF(('Activity data'!BE14*EF!$H27)*kgtoGg=0,"NO",('Activity data'!BE14*EF!$H27)*kgtoGg)</f>
        <v>2.8498381570866985E-2</v>
      </c>
      <c r="AM1402" s="27">
        <f>IF(('Activity data'!BF14*EF!$H27)*kgtoGg=0,"NO",('Activity data'!BF14*EF!$H27)*kgtoGg)</f>
        <v>2.8543303280786723E-2</v>
      </c>
      <c r="AN1402" s="27">
        <f>IF(('Activity data'!BG14*EF!$H27)*kgtoGg=0,"NO",('Activity data'!BG14*EF!$H27)*kgtoGg)</f>
        <v>2.8585530356002101E-2</v>
      </c>
      <c r="AO1402" s="27">
        <f>IF(('Activity data'!BH14*EF!$H27)*kgtoGg=0,"NO",('Activity data'!BH14*EF!$H27)*kgtoGg)</f>
        <v>2.8625188493043956E-2</v>
      </c>
      <c r="AP1402" s="27">
        <f>IF(('Activity data'!BI14*EF!$H27)*kgtoGg=0,"NO",('Activity data'!BI14*EF!$H27)*kgtoGg)</f>
        <v>2.8662114542585253E-2</v>
      </c>
      <c r="AQ1402" s="27">
        <f>IF(('Activity data'!BJ14*EF!$H27)*kgtoGg=0,"NO",('Activity data'!BJ14*EF!$H27)*kgtoGg)</f>
        <v>2.8695738533888428E-2</v>
      </c>
      <c r="AR1402" s="27">
        <f>IF(('Activity data'!BK14*EF!$H27)*kgtoGg=0,"NO",('Activity data'!BK14*EF!$H27)*kgtoGg)</f>
        <v>2.8725536889802242E-2</v>
      </c>
      <c r="AS1402" s="27">
        <f>IF(('Activity data'!BL14*EF!$H27)*kgtoGg=0,"NO",('Activity data'!BL14*EF!$H27)*kgtoGg)</f>
        <v>2.8751511643406051E-2</v>
      </c>
      <c r="AT1402" s="27">
        <f>IF(('Activity data'!BM14*EF!$H27)*kgtoGg=0,"NO",('Activity data'!BM14*EF!$H27)*kgtoGg)</f>
        <v>2.8773449370747915E-2</v>
      </c>
      <c r="AU1402" s="27">
        <f>IF(('Activity data'!BN14*EF!$H27)*kgtoGg=0,"NO",('Activity data'!BN14*EF!$H27)*kgtoGg)</f>
        <v>2.8791372321442913E-2</v>
      </c>
      <c r="AV1402" s="27">
        <f>IF(('Activity data'!BO14*EF!$H27)*kgtoGg=0,"NO",('Activity data'!BO14*EF!$H27)*kgtoGg)</f>
        <v>2.8805800344049892E-2</v>
      </c>
      <c r="AW1402" s="27">
        <f>IF(('Activity data'!BP14*EF!$H27)*kgtoGg=0,"NO",('Activity data'!BP14*EF!$H27)*kgtoGg)</f>
        <v>2.8813883761082477E-2</v>
      </c>
    </row>
    <row r="1403" spans="1:49" x14ac:dyDescent="0.25">
      <c r="A1403" s="95" t="s">
        <v>959</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4.1536453250924079E-3</v>
      </c>
      <c r="M1403" s="27">
        <f>IF(('Activity data'!AF15*EF!$H28)*kgtoGg=0,"NO",('Activity data'!AF15*EF!$H28)*kgtoGg)</f>
        <v>4.1840370126470525E-3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4.130408792135833E-3</v>
      </c>
      <c r="S1403" s="27">
        <f>IF(('Activity data'!AL15*EF!$H28)*kgtoGg=0,"NO",('Activity data'!AL15*EF!$H28)*kgtoGg)</f>
        <v>3.9434601312185527E-3</v>
      </c>
      <c r="T1403" s="27">
        <f>IF(('Activity data'!AM15*EF!$H28)*kgtoGg=0,"NO",('Activity data'!AM15*EF!$H28)*kgtoGg)</f>
        <v>4.0605746122765228E-3</v>
      </c>
      <c r="U1403" s="27">
        <f>IF(('Activity data'!AN15*EF!$H28)*kgtoGg=0,"NO",('Activity data'!AN15*EF!$H28)*kgtoGg)</f>
        <v>4.1189841670463273E-3</v>
      </c>
      <c r="V1403" s="27">
        <f>IF(('Activity data'!AO15*EF!$H28)*kgtoGg=0,"NO",('Activity data'!AO15*EF!$H28)*kgtoGg)</f>
        <v>4.1278057101270405E-3</v>
      </c>
      <c r="W1403" s="27">
        <f>IF(('Activity data'!AP15*EF!$H28)*kgtoGg=0,"NO",('Activity data'!AP15*EF!$H28)*kgtoGg)</f>
        <v>4.1355671321311174E-3</v>
      </c>
      <c r="X1403" s="27">
        <f>IF(('Activity data'!AQ15*EF!$H28)*kgtoGg=0,"NO",('Activity data'!AQ15*EF!$H28)*kgtoGg)</f>
        <v>4.1543998592115791E-3</v>
      </c>
      <c r="Y1403" s="27">
        <f>IF(('Activity data'!AR15*EF!$H28)*kgtoGg=0,"NO",('Activity data'!AR15*EF!$H28)*kgtoGg)</f>
        <v>4.1865458304734694E-3</v>
      </c>
      <c r="Z1403" s="27">
        <f>IF(('Activity data'!AS15*EF!$H28)*kgtoGg=0,"NO",('Activity data'!AS15*EF!$H28)*kgtoGg)</f>
        <v>4.2253320128085251E-3</v>
      </c>
      <c r="AA1403" s="27">
        <f>IF(('Activity data'!AT15*EF!$H28)*kgtoGg=0,"NO",('Activity data'!AT15*EF!$H28)*kgtoGg)</f>
        <v>4.272518274488683E-3</v>
      </c>
      <c r="AB1403" s="27">
        <f>IF(('Activity data'!AU15*EF!$H28)*kgtoGg=0,"NO",('Activity data'!AU15*EF!$H28)*kgtoGg)</f>
        <v>4.3334009221617396E-3</v>
      </c>
      <c r="AC1403" s="27">
        <f>IF(('Activity data'!AV15*EF!$H28)*kgtoGg=0,"NO",('Activity data'!AV15*EF!$H28)*kgtoGg)</f>
        <v>4.4071847194853781E-3</v>
      </c>
      <c r="AD1403" s="27">
        <f>IF(('Activity data'!AW15*EF!$H28)*kgtoGg=0,"NO",('Activity data'!AW15*EF!$H28)*kgtoGg)</f>
        <v>4.4888905161837847E-3</v>
      </c>
      <c r="AE1403" s="27">
        <f>IF(('Activity data'!AX15*EF!$H28)*kgtoGg=0,"NO",('Activity data'!AX15*EF!$H28)*kgtoGg)</f>
        <v>4.5781841431122572E-3</v>
      </c>
      <c r="AF1403" s="27">
        <f>IF(('Activity data'!AY15*EF!$H28)*kgtoGg=0,"NO",('Activity data'!AY15*EF!$H28)*kgtoGg)</f>
        <v>4.6723057323312554E-3</v>
      </c>
      <c r="AG1403" s="27">
        <f>IF(('Activity data'!AZ15*EF!$H28)*kgtoGg=0,"NO",('Activity data'!AZ15*EF!$H28)*kgtoGg)</f>
        <v>4.7725702352352153E-3</v>
      </c>
      <c r="AH1403" s="27">
        <f>IF(('Activity data'!BA15*EF!$H28)*kgtoGg=0,"NO",('Activity data'!BA15*EF!$H28)*kgtoGg)</f>
        <v>4.8776647477587476E-3</v>
      </c>
      <c r="AI1403" s="27">
        <f>IF(('Activity data'!BB15*EF!$H28)*kgtoGg=0,"NO",('Activity data'!BB15*EF!$H28)*kgtoGg)</f>
        <v>4.9827957618803235E-3</v>
      </c>
      <c r="AJ1403" s="27">
        <f>IF(('Activity data'!BC15*EF!$H28)*kgtoGg=0,"NO",('Activity data'!BC15*EF!$H28)*kgtoGg)</f>
        <v>5.0948794457102743E-3</v>
      </c>
      <c r="AK1403" s="27">
        <f>IF(('Activity data'!BD15*EF!$H28)*kgtoGg=0,"NO",('Activity data'!BD15*EF!$H28)*kgtoGg)</f>
        <v>5.2096806373507004E-3</v>
      </c>
      <c r="AL1403" s="27">
        <f>IF(('Activity data'!BE15*EF!$H28)*kgtoGg=0,"NO",('Activity data'!BE15*EF!$H28)*kgtoGg)</f>
        <v>5.326887127790998E-3</v>
      </c>
      <c r="AM1403" s="27">
        <f>IF(('Activity data'!BF15*EF!$H28)*kgtoGg=0,"NO",('Activity data'!BF15*EF!$H28)*kgtoGg)</f>
        <v>5.4485848360062324E-3</v>
      </c>
      <c r="AN1403" s="27">
        <f>IF(('Activity data'!BG15*EF!$H28)*kgtoGg=0,"NO",('Activity data'!BG15*EF!$H28)*kgtoGg)</f>
        <v>5.5696508386077004E-3</v>
      </c>
      <c r="AO1403" s="27">
        <f>IF(('Activity data'!BH15*EF!$H28)*kgtoGg=0,"NO",('Activity data'!BH15*EF!$H28)*kgtoGg)</f>
        <v>5.6973052536603251E-3</v>
      </c>
      <c r="AP1403" s="27">
        <f>IF(('Activity data'!BI15*EF!$H28)*kgtoGg=0,"NO",('Activity data'!BI15*EF!$H28)*kgtoGg)</f>
        <v>5.8342669505017037E-3</v>
      </c>
      <c r="AQ1403" s="27">
        <f>IF(('Activity data'!BJ15*EF!$H28)*kgtoGg=0,"NO",('Activity data'!BJ15*EF!$H28)*kgtoGg)</f>
        <v>5.9763033014494302E-3</v>
      </c>
      <c r="AR1403" s="27">
        <f>IF(('Activity data'!BK15*EF!$H28)*kgtoGg=0,"NO",('Activity data'!BK15*EF!$H28)*kgtoGg)</f>
        <v>6.1238672356661557E-3</v>
      </c>
      <c r="AS1403" s="27">
        <f>IF(('Activity data'!BL15*EF!$H28)*kgtoGg=0,"NO",('Activity data'!BL15*EF!$H28)*kgtoGg)</f>
        <v>6.2820427526668306E-3</v>
      </c>
      <c r="AT1403" s="27">
        <f>IF(('Activity data'!BM15*EF!$H28)*kgtoGg=0,"NO",('Activity data'!BM15*EF!$H28)*kgtoGg)</f>
        <v>6.4494574929913678E-3</v>
      </c>
      <c r="AU1403" s="27">
        <f>IF(('Activity data'!BN15*EF!$H28)*kgtoGg=0,"NO",('Activity data'!BN15*EF!$H28)*kgtoGg)</f>
        <v>6.6252174839876625E-3</v>
      </c>
      <c r="AV1403" s="27">
        <f>IF(('Activity data'!BO15*EF!$H28)*kgtoGg=0,"NO",('Activity data'!BO15*EF!$H28)*kgtoGg)</f>
        <v>6.8126704322840365E-3</v>
      </c>
      <c r="AW1403" s="27">
        <f>IF(('Activity data'!BP15*EF!$H28)*kgtoGg=0,"NO",('Activity data'!BP15*EF!$H28)*kgtoGg)</f>
        <v>6.9938267919267671E-3</v>
      </c>
    </row>
    <row r="1404" spans="1:49" x14ac:dyDescent="0.25">
      <c r="A1404" s="95" t="s">
        <v>959</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5">
      <c r="A1405" s="95" t="s">
        <v>959</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22.60295118682059</v>
      </c>
      <c r="P1405" s="27">
        <f>IF(('Activity data'!AI17*EF!$H30)*kgtoGg=0,"NO",('Activity data'!AI17*EF!$H30)*kgtoGg)</f>
        <v>22.12653281137495</v>
      </c>
      <c r="Q1405" s="27">
        <f>IF(('Activity data'!AJ17*EF!$H30)*kgtoGg=0,"NO",('Activity data'!AJ17*EF!$H30)*kgtoGg)</f>
        <v>21.780600237355966</v>
      </c>
      <c r="R1405" s="27">
        <f>IF(('Activity data'!AK17*EF!$H30)*kgtoGg=0,"NO",('Activity data'!AK17*EF!$H30)*kgtoGg)</f>
        <v>21.465278056857684</v>
      </c>
      <c r="S1405" s="27">
        <f>IF(('Activity data'!AL17*EF!$H30)*kgtoGg=0,"NO",('Activity data'!AL17*EF!$H30)*kgtoGg)</f>
        <v>19.28268372841509</v>
      </c>
      <c r="T1405" s="27">
        <f>IF(('Activity data'!AM17*EF!$H30)*kgtoGg=0,"NO",('Activity data'!AM17*EF!$H30)*kgtoGg)</f>
        <v>20.154045022941879</v>
      </c>
      <c r="U1405" s="27">
        <f>IF(('Activity data'!AN17*EF!$H30)*kgtoGg=0,"NO",('Activity data'!AN17*EF!$H30)*kgtoGg)</f>
        <v>20.417483741296842</v>
      </c>
      <c r="V1405" s="27">
        <f>IF(('Activity data'!AO17*EF!$H30)*kgtoGg=0,"NO",('Activity data'!AO17*EF!$H30)*kgtoGg)</f>
        <v>20.215982998578138</v>
      </c>
      <c r="W1405" s="27">
        <f>IF(('Activity data'!AP17*EF!$H30)*kgtoGg=0,"NO",('Activity data'!AP17*EF!$H30)*kgtoGg)</f>
        <v>20.038764166788877</v>
      </c>
      <c r="X1405" s="27">
        <f>IF(('Activity data'!AQ17*EF!$H30)*kgtoGg=0,"NO",('Activity data'!AQ17*EF!$H30)*kgtoGg)</f>
        <v>19.983994613990216</v>
      </c>
      <c r="Y1405" s="27">
        <f>IF(('Activity data'!AR17*EF!$H30)*kgtoGg=0,"NO",('Activity data'!AR17*EF!$H30)*kgtoGg)</f>
        <v>20.046915484009698</v>
      </c>
      <c r="Z1405" s="27">
        <f>IF(('Activity data'!AS17*EF!$H30)*kgtoGg=0,"NO",('Activity data'!AS17*EF!$H30)*kgtoGg)</f>
        <v>20.164111817793334</v>
      </c>
      <c r="AA1405" s="27">
        <f>IF(('Activity data'!AT17*EF!$H30)*kgtoGg=0,"NO",('Activity data'!AT17*EF!$H30)*kgtoGg)</f>
        <v>20.348954154275784</v>
      </c>
      <c r="AB1405" s="27">
        <f>IF(('Activity data'!AU17*EF!$H30)*kgtoGg=0,"NO",('Activity data'!AU17*EF!$H30)*kgtoGg)</f>
        <v>20.645885200839494</v>
      </c>
      <c r="AC1405" s="27">
        <f>IF(('Activity data'!AV17*EF!$H30)*kgtoGg=0,"NO",('Activity data'!AV17*EF!$H30)*kgtoGg)</f>
        <v>21.044537894059989</v>
      </c>
      <c r="AD1405" s="27">
        <f>IF(('Activity data'!AW17*EF!$H30)*kgtoGg=0,"NO",('Activity data'!AW17*EF!$H30)*kgtoGg)</f>
        <v>21.498264632191113</v>
      </c>
      <c r="AE1405" s="27">
        <f>IF(('Activity data'!AX17*EF!$H30)*kgtoGg=0,"NO",('Activity data'!AX17*EF!$H30)*kgtoGg)</f>
        <v>22.002561256053959</v>
      </c>
      <c r="AF1405" s="27">
        <f>IF(('Activity data'!AY17*EF!$H30)*kgtoGg=0,"NO",('Activity data'!AY17*EF!$H30)*kgtoGg)</f>
        <v>22.532202643318037</v>
      </c>
      <c r="AG1405" s="27">
        <f>IF(('Activity data'!AZ17*EF!$H30)*kgtoGg=0,"NO",('Activity data'!AZ17*EF!$H30)*kgtoGg)</f>
        <v>23.096284889499795</v>
      </c>
      <c r="AH1405" s="27">
        <f>IF(('Activity data'!BA17*EF!$H30)*kgtoGg=0,"NO",('Activity data'!BA17*EF!$H30)*kgtoGg)</f>
        <v>23.682649825738739</v>
      </c>
      <c r="AI1405" s="27">
        <f>IF(('Activity data'!BB17*EF!$H30)*kgtoGg=0,"NO",('Activity data'!BB17*EF!$H30)*kgtoGg)</f>
        <v>24.251675615546215</v>
      </c>
      <c r="AJ1405" s="27">
        <f>IF(('Activity data'!BC17*EF!$H30)*kgtoGg=0,"NO",('Activity data'!BC17*EF!$H30)*kgtoGg)</f>
        <v>24.858335489218973</v>
      </c>
      <c r="AK1405" s="27">
        <f>IF(('Activity data'!BD17*EF!$H30)*kgtoGg=0,"NO",('Activity data'!BD17*EF!$H30)*kgtoGg)</f>
        <v>25.466205387661859</v>
      </c>
      <c r="AL1405" s="27">
        <f>IF(('Activity data'!BE17*EF!$H30)*kgtoGg=0,"NO",('Activity data'!BE17*EF!$H30)*kgtoGg)</f>
        <v>26.072093806701385</v>
      </c>
      <c r="AM1405" s="27">
        <f>IF(('Activity data'!BF17*EF!$H30)*kgtoGg=0,"NO",('Activity data'!BF17*EF!$H30)*kgtoGg)</f>
        <v>26.691678242844393</v>
      </c>
      <c r="AN1405" s="27">
        <f>IF(('Activity data'!BG17*EF!$H30)*kgtoGg=0,"NO",('Activity data'!BG17*EF!$H30)*kgtoGg)</f>
        <v>27.284891345865745</v>
      </c>
      <c r="AO1405" s="27">
        <f>IF(('Activity data'!BH17*EF!$H30)*kgtoGg=0,"NO",('Activity data'!BH17*EF!$H30)*kgtoGg)</f>
        <v>27.905654237830884</v>
      </c>
      <c r="AP1405" s="27">
        <f>IF(('Activity data'!BI17*EF!$H30)*kgtoGg=0,"NO",('Activity data'!BI17*EF!$H30)*kgtoGg)</f>
        <v>28.571861719635045</v>
      </c>
      <c r="AQ1405" s="27">
        <f>IF(('Activity data'!BJ17*EF!$H30)*kgtoGg=0,"NO",('Activity data'!BJ17*EF!$H30)*kgtoGg)</f>
        <v>29.249712050194997</v>
      </c>
      <c r="AR1405" s="27">
        <f>IF(('Activity data'!BK17*EF!$H30)*kgtoGg=0,"NO",('Activity data'!BK17*EF!$H30)*kgtoGg)</f>
        <v>29.940451406740536</v>
      </c>
      <c r="AS1405" s="27">
        <f>IF(('Activity data'!BL17*EF!$H30)*kgtoGg=0,"NO",('Activity data'!BL17*EF!$H30)*kgtoGg)</f>
        <v>30.678211789307159</v>
      </c>
      <c r="AT1405" s="27">
        <f>IF(('Activity data'!BM17*EF!$H30)*kgtoGg=0,"NO",('Activity data'!BM17*EF!$H30)*kgtoGg)</f>
        <v>31.450149667179016</v>
      </c>
      <c r="AU1405" s="27">
        <f>IF(('Activity data'!BN17*EF!$H30)*kgtoGg=0,"NO",('Activity data'!BN17*EF!$H30)*kgtoGg)</f>
        <v>32.247465982700263</v>
      </c>
      <c r="AV1405" s="27">
        <f>IF(('Activity data'!BO17*EF!$H30)*kgtoGg=0,"NO",('Activity data'!BO17*EF!$H30)*kgtoGg)</f>
        <v>33.090843547510339</v>
      </c>
      <c r="AW1405" s="27">
        <f>IF(('Activity data'!BP17*EF!$H30)*kgtoGg=0,"NO",('Activity data'!BP17*EF!$H30)*kgtoGg)</f>
        <v>33.85425291015099</v>
      </c>
    </row>
    <row r="1406" spans="1:49" x14ac:dyDescent="0.25">
      <c r="A1406" s="95" t="s">
        <v>959</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7.7543217949140569E-2</v>
      </c>
      <c r="N1406" s="27">
        <f>IF(('Activity data'!AG18*EF!$H31)*kgtoGg=0,"NO",('Activity data'!AG18*EF!$H31)*kgtoGg)</f>
        <v>7.6831311787104603E-2</v>
      </c>
      <c r="O1406" s="27">
        <f>IF(('Activity data'!AH18*EF!$H31)*kgtoGg=0,"NO",('Activity data'!AH18*EF!$H31)*kgtoGg)</f>
        <v>7.5668604825231994E-2</v>
      </c>
      <c r="P1406" s="27">
        <f>IF(('Activity data'!AI18*EF!$H31)*kgtoGg=0,"NO",('Activity data'!AI18*EF!$H31)*kgtoGg)</f>
        <v>7.4073684167079393E-2</v>
      </c>
      <c r="Q1406" s="27">
        <f>IF(('Activity data'!AJ18*EF!$H31)*kgtoGg=0,"NO",('Activity data'!AJ18*EF!$H31)*kgtoGg)</f>
        <v>7.291559489708703E-2</v>
      </c>
      <c r="R1406" s="27">
        <f>IF(('Activity data'!AK18*EF!$H31)*kgtoGg=0,"NO",('Activity data'!AK18*EF!$H31)*kgtoGg)</f>
        <v>7.1859980996426709E-2</v>
      </c>
      <c r="S1406" s="27">
        <f>IF(('Activity data'!AL18*EF!$H31)*kgtoGg=0,"NO",('Activity data'!AL18*EF!$H31)*kgtoGg)</f>
        <v>6.455324187339509E-2</v>
      </c>
      <c r="T1406" s="27">
        <f>IF(('Activity data'!AM18*EF!$H31)*kgtoGg=0,"NO",('Activity data'!AM18*EF!$H31)*kgtoGg)</f>
        <v>6.7470325262664888E-2</v>
      </c>
      <c r="U1406" s="27">
        <f>IF(('Activity data'!AN18*EF!$H31)*kgtoGg=0,"NO",('Activity data'!AN18*EF!$H31)*kgtoGg)</f>
        <v>6.8352247278516104E-2</v>
      </c>
      <c r="V1406" s="27">
        <f>IF(('Activity data'!AO18*EF!$H31)*kgtoGg=0,"NO",('Activity data'!AO18*EF!$H31)*kgtoGg)</f>
        <v>6.767767695596183E-2</v>
      </c>
      <c r="W1406" s="27">
        <f>IF(('Activity data'!AP18*EF!$H31)*kgtoGg=0,"NO",('Activity data'!AP18*EF!$H31)*kgtoGg)</f>
        <v>6.7084395944141104E-2</v>
      </c>
      <c r="X1406" s="27">
        <f>IF(('Activity data'!AQ18*EF!$H31)*kgtoGg=0,"NO",('Activity data'!AQ18*EF!$H31)*kgtoGg)</f>
        <v>6.6901042203608638E-2</v>
      </c>
      <c r="Y1406" s="27">
        <f>IF(('Activity data'!AR18*EF!$H31)*kgtoGg=0,"NO",('Activity data'!AR18*EF!$H31)*kgtoGg)</f>
        <v>6.7111684363095322E-2</v>
      </c>
      <c r="Z1406" s="27">
        <f>IF(('Activity data'!AS18*EF!$H31)*kgtoGg=0,"NO",('Activity data'!AS18*EF!$H31)*kgtoGg)</f>
        <v>6.7504026185839727E-2</v>
      </c>
      <c r="AA1406" s="27">
        <f>IF(('Activity data'!AT18*EF!$H31)*kgtoGg=0,"NO",('Activity data'!AT18*EF!$H31)*kgtoGg)</f>
        <v>6.8122828642149871E-2</v>
      </c>
      <c r="AB1406" s="27">
        <f>IF(('Activity data'!AU18*EF!$H31)*kgtoGg=0,"NO",('Activity data'!AU18*EF!$H31)*kgtoGg)</f>
        <v>6.9116873969995066E-2</v>
      </c>
      <c r="AC1406" s="27">
        <f>IF(('Activity data'!AV18*EF!$H31)*kgtoGg=0,"NO",('Activity data'!AV18*EF!$H31)*kgtoGg)</f>
        <v>7.0451456027731174E-2</v>
      </c>
      <c r="AD1406" s="27">
        <f>IF(('Activity data'!AW18*EF!$H31)*kgtoGg=0,"NO",('Activity data'!AW18*EF!$H31)*kgtoGg)</f>
        <v>7.1970411183742145E-2</v>
      </c>
      <c r="AE1406" s="27">
        <f>IF(('Activity data'!AX18*EF!$H31)*kgtoGg=0,"NO",('Activity data'!AX18*EF!$H31)*kgtoGg)</f>
        <v>7.3658660723829941E-2</v>
      </c>
      <c r="AF1406" s="27">
        <f>IF(('Activity data'!AY18*EF!$H31)*kgtoGg=0,"NO",('Activity data'!AY18*EF!$H31)*kgtoGg)</f>
        <v>7.5431757719028575E-2</v>
      </c>
      <c r="AG1406" s="27">
        <f>IF(('Activity data'!AZ18*EF!$H31)*kgtoGg=0,"NO",('Activity data'!AZ18*EF!$H31)*kgtoGg)</f>
        <v>7.7320153452066526E-2</v>
      </c>
      <c r="AH1406" s="27">
        <f>IF(('Activity data'!BA18*EF!$H31)*kgtoGg=0,"NO",('Activity data'!BA18*EF!$H31)*kgtoGg)</f>
        <v>7.9283145641754912E-2</v>
      </c>
      <c r="AI1406" s="27">
        <f>IF(('Activity data'!BB18*EF!$H31)*kgtoGg=0,"NO",('Activity data'!BB18*EF!$H31)*kgtoGg)</f>
        <v>8.1188091030010831E-2</v>
      </c>
      <c r="AJ1406" s="27">
        <f>IF(('Activity data'!BC18*EF!$H31)*kgtoGg=0,"NO",('Activity data'!BC18*EF!$H31)*kgtoGg)</f>
        <v>8.3219025214881143E-2</v>
      </c>
      <c r="AK1406" s="27">
        <f>IF(('Activity data'!BD18*EF!$H31)*kgtoGg=0,"NO",('Activity data'!BD18*EF!$H31)*kgtoGg)</f>
        <v>8.525401023742317E-2</v>
      </c>
      <c r="AL1406" s="27">
        <f>IF(('Activity data'!BE18*EF!$H31)*kgtoGg=0,"NO",('Activity data'!BE18*EF!$H31)*kgtoGg)</f>
        <v>8.7282361799551011E-2</v>
      </c>
      <c r="AM1406" s="27">
        <f>IF(('Activity data'!BF18*EF!$H31)*kgtoGg=0,"NO",('Activity data'!BF18*EF!$H31)*kgtoGg)</f>
        <v>8.9356563945406475E-2</v>
      </c>
      <c r="AN1406" s="27">
        <f>IF(('Activity data'!BG18*EF!$H31)*kgtoGg=0,"NO",('Activity data'!BG18*EF!$H31)*kgtoGg)</f>
        <v>9.1342481956672425E-2</v>
      </c>
      <c r="AO1406" s="27">
        <f>IF(('Activity data'!BH18*EF!$H31)*kgtoGg=0,"NO",('Activity data'!BH18*EF!$H31)*kgtoGg)</f>
        <v>9.3420629255847557E-2</v>
      </c>
      <c r="AP1406" s="27">
        <f>IF(('Activity data'!BI18*EF!$H31)*kgtoGg=0,"NO",('Activity data'!BI18*EF!$H31)*kgtoGg)</f>
        <v>9.5650912826147239E-2</v>
      </c>
      <c r="AQ1406" s="27">
        <f>IF(('Activity data'!BJ18*EF!$H31)*kgtoGg=0,"NO",('Activity data'!BJ18*EF!$H31)*kgtoGg)</f>
        <v>9.7920173524444973E-2</v>
      </c>
      <c r="AR1406" s="27">
        <f>IF(('Activity data'!BK18*EF!$H31)*kgtoGg=0,"NO",('Activity data'!BK18*EF!$H31)*kgtoGg)</f>
        <v>0.10023258321712952</v>
      </c>
      <c r="AS1406" s="27">
        <f>IF(('Activity data'!BL18*EF!$H31)*kgtoGg=0,"NO",('Activity data'!BL18*EF!$H31)*kgtoGg)</f>
        <v>0.1027024066655249</v>
      </c>
      <c r="AT1406" s="27">
        <f>IF(('Activity data'!BM18*EF!$H31)*kgtoGg=0,"NO",('Activity data'!BM18*EF!$H31)*kgtoGg)</f>
        <v>0.10528664718117813</v>
      </c>
      <c r="AU1406" s="27">
        <f>IF(('Activity data'!BN18*EF!$H31)*kgtoGg=0,"NO",('Activity data'!BN18*EF!$H31)*kgtoGg)</f>
        <v>0.10795584788427327</v>
      </c>
      <c r="AV1406" s="27">
        <f>IF(('Activity data'!BO18*EF!$H31)*kgtoGg=0,"NO",('Activity data'!BO18*EF!$H31)*kgtoGg)</f>
        <v>0.11077924926857086</v>
      </c>
      <c r="AW1406" s="27">
        <f>IF(('Activity data'!BP18*EF!$H31)*kgtoGg=0,"NO",('Activity data'!BP18*EF!$H31)*kgtoGg)</f>
        <v>0.11333493860772317</v>
      </c>
    </row>
    <row r="1407" spans="1:49" x14ac:dyDescent="0.25">
      <c r="A1407" s="95" t="s">
        <v>959</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0.59573243019488353</v>
      </c>
      <c r="T1407" s="27">
        <f>IF(('Activity data'!AM19*EF!$H32)*kgtoGg=0,"NO",('Activity data'!AM19*EF!$H32)*kgtoGg)</f>
        <v>0.62060528502680601</v>
      </c>
      <c r="U1407" s="27">
        <f>IF(('Activity data'!AN19*EF!$H32)*kgtoGg=0,"NO",('Activity data'!AN19*EF!$H32)*kgtoGg)</f>
        <v>0.63538739650332932</v>
      </c>
      <c r="V1407" s="27">
        <f>IF(('Activity data'!AO19*EF!$H32)*kgtoGg=0,"NO",('Activity data'!AO19*EF!$H32)*kgtoGg)</f>
        <v>0.64244306993256506</v>
      </c>
      <c r="W1407" s="27">
        <f>IF(('Activity data'!AP19*EF!$H32)*kgtoGg=0,"NO",('Activity data'!AP19*EF!$H32)*kgtoGg)</f>
        <v>0.65026805947534316</v>
      </c>
      <c r="X1407" s="27">
        <f>IF(('Activity data'!AQ19*EF!$H32)*kgtoGg=0,"NO",('Activity data'!AQ19*EF!$H32)*kgtoGg)</f>
        <v>0.66047268102504608</v>
      </c>
      <c r="Y1407" s="27">
        <f>IF(('Activity data'!AR19*EF!$H32)*kgtoGg=0,"NO",('Activity data'!AR19*EF!$H32)*kgtoGg)</f>
        <v>0.67275642094337218</v>
      </c>
      <c r="Z1407" s="27">
        <f>IF(('Activity data'!AS19*EF!$H32)*kgtoGg=0,"NO",('Activity data'!AS19*EF!$H32)*kgtoGg)</f>
        <v>0.68607919631568115</v>
      </c>
      <c r="AA1407" s="27">
        <f>IF(('Activity data'!AT19*EF!$H32)*kgtoGg=0,"NO",('Activity data'!AT19*EF!$H32)*kgtoGg)</f>
        <v>0.70076804403320936</v>
      </c>
      <c r="AB1407" s="27">
        <f>IF(('Activity data'!AU19*EF!$H32)*kgtoGg=0,"NO",('Activity data'!AU19*EF!$H32)*kgtoGg)</f>
        <v>0.71779554918535993</v>
      </c>
      <c r="AC1407" s="27">
        <f>IF(('Activity data'!AV19*EF!$H32)*kgtoGg=0,"NO",('Activity data'!AV19*EF!$H32)*kgtoGg)</f>
        <v>0.73711000301021679</v>
      </c>
      <c r="AD1407" s="27">
        <f>IF(('Activity data'!AW19*EF!$H32)*kgtoGg=0,"NO",('Activity data'!AW19*EF!$H32)*kgtoGg)</f>
        <v>0.75788984228274747</v>
      </c>
      <c r="AE1407" s="27">
        <f>IF(('Activity data'!AX19*EF!$H32)*kgtoGg=0,"NO",('Activity data'!AX19*EF!$H32)*kgtoGg)</f>
        <v>0.78013180876638377</v>
      </c>
      <c r="AF1407" s="27">
        <f>IF(('Activity data'!AY19*EF!$H32)*kgtoGg=0,"NO",('Activity data'!AY19*EF!$H32)*kgtoGg)</f>
        <v>0.80337597870999389</v>
      </c>
      <c r="AG1407" s="27">
        <f>IF(('Activity data'!AZ19*EF!$H32)*kgtoGg=0,"NO",('Activity data'!AZ19*EF!$H32)*kgtoGg)</f>
        <v>0.82785833709156575</v>
      </c>
      <c r="AH1407" s="27">
        <f>IF(('Activity data'!BA19*EF!$H32)*kgtoGg=0,"NO",('Activity data'!BA19*EF!$H32)*kgtoGg)</f>
        <v>0.85337321588031811</v>
      </c>
      <c r="AI1407" s="27">
        <f>IF(('Activity data'!BB19*EF!$H32)*kgtoGg=0,"NO",('Activity data'!BB19*EF!$H32)*kgtoGg)</f>
        <v>0.87907798873871268</v>
      </c>
      <c r="AJ1407" s="27">
        <f>IF(('Activity data'!BC19*EF!$H32)*kgtoGg=0,"NO",('Activity data'!BC19*EF!$H32)*kgtoGg)</f>
        <v>0.90622461339542404</v>
      </c>
      <c r="AK1407" s="27">
        <f>IF(('Activity data'!BD19*EF!$H32)*kgtoGg=0,"NO",('Activity data'!BD19*EF!$H32)*kgtoGg)</f>
        <v>0.93400977893113157</v>
      </c>
      <c r="AL1407" s="27">
        <f>IF(('Activity data'!BE19*EF!$H32)*kgtoGg=0,"NO",('Activity data'!BE19*EF!$H32)*kgtoGg)</f>
        <v>0.96237643638695936</v>
      </c>
      <c r="AM1407" s="27">
        <f>IF(('Activity data'!BF19*EF!$H32)*kgtoGg=0,"NO",('Activity data'!BF19*EF!$H32)*kgtoGg)</f>
        <v>0.99172546365777581</v>
      </c>
      <c r="AN1407" s="27">
        <f>IF(('Activity data'!BG19*EF!$H32)*kgtoGg=0,"NO",('Activity data'!BG19*EF!$H32)*kgtoGg)</f>
        <v>1.0211032601995891</v>
      </c>
      <c r="AO1407" s="27">
        <f>IF(('Activity data'!BH19*EF!$H32)*kgtoGg=0,"NO",('Activity data'!BH19*EF!$H32)*kgtoGg)</f>
        <v>1.0518470326965137</v>
      </c>
      <c r="AP1407" s="27">
        <f>IF(('Activity data'!BI19*EF!$H32)*kgtoGg=0,"NO",('Activity data'!BI19*EF!$H32)*kgtoGg)</f>
        <v>1.0844705032412159</v>
      </c>
      <c r="AQ1407" s="27">
        <f>IF(('Activity data'!BJ19*EF!$H32)*kgtoGg=0,"NO",('Activity data'!BJ19*EF!$H32)*kgtoGg)</f>
        <v>1.1181722864478278</v>
      </c>
      <c r="AR1407" s="27">
        <f>IF(('Activity data'!BK19*EF!$H32)*kgtoGg=0,"NO",('Activity data'!BK19*EF!$H32)*kgtoGg)</f>
        <v>1.1530181967657136</v>
      </c>
      <c r="AS1407" s="27">
        <f>IF(('Activity data'!BL19*EF!$H32)*kgtoGg=0,"NO",('Activity data'!BL19*EF!$H32)*kgtoGg)</f>
        <v>1.1899731342287589</v>
      </c>
      <c r="AT1407" s="27">
        <f>IF(('Activity data'!BM19*EF!$H32)*kgtoGg=0,"NO",('Activity data'!BM19*EF!$H32)*kgtoGg)</f>
        <v>1.2287768115471775</v>
      </c>
      <c r="AU1407" s="27">
        <f>IF(('Activity data'!BN19*EF!$H32)*kgtoGg=0,"NO",('Activity data'!BN19*EF!$H32)*kgtoGg)</f>
        <v>1.2692627400827883</v>
      </c>
      <c r="AV1407" s="27">
        <f>IF(('Activity data'!BO19*EF!$H32)*kgtoGg=0,"NO",('Activity data'!BO19*EF!$H32)*kgtoGg)</f>
        <v>1.3120972726435587</v>
      </c>
      <c r="AW1407" s="27">
        <f>IF(('Activity data'!BP19*EF!$H32)*kgtoGg=0,"NO",('Activity data'!BP19*EF!$H32)*kgtoGg)</f>
        <v>1.3536832016924076</v>
      </c>
    </row>
    <row r="1408" spans="1:49" x14ac:dyDescent="0.25">
      <c r="A1408" s="95" t="s">
        <v>959</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2.2858678822724814</v>
      </c>
      <c r="N1408" s="27">
        <f>IF(('Activity data'!AG20*EF!$H33)*kgtoGg=0,"NO",('Activity data'!AG20*EF!$H33)*kgtoGg)</f>
        <v>2.2992900748078591</v>
      </c>
      <c r="O1408" s="27">
        <f>IF(('Activity data'!AH20*EF!$H33)*kgtoGg=0,"NO",('Activity data'!AH20*EF!$H33)*kgtoGg)</f>
        <v>2.2910596881616558</v>
      </c>
      <c r="P1408" s="27">
        <f>IF(('Activity data'!AI20*EF!$H33)*kgtoGg=0,"NO",('Activity data'!AI20*EF!$H33)*kgtoGg)</f>
        <v>2.2612642885898917</v>
      </c>
      <c r="Q1408" s="27">
        <f>IF(('Activity data'!AJ20*EF!$H33)*kgtoGg=0,"NO",('Activity data'!AJ20*EF!$H33)*kgtoGg)</f>
        <v>2.2487211059946204</v>
      </c>
      <c r="R1408" s="27">
        <f>IF(('Activity data'!AK20*EF!$H33)*kgtoGg=0,"NO",('Activity data'!AK20*EF!$H33)*kgtoGg)</f>
        <v>2.2390235702415184</v>
      </c>
      <c r="S1408" s="27">
        <f>IF(('Activity data'!AL20*EF!$H33)*kgtoGg=0,"NO",('Activity data'!AL20*EF!$H33)*kgtoGg)</f>
        <v>1.9480109024353172</v>
      </c>
      <c r="T1408" s="27">
        <f>IF(('Activity data'!AM20*EF!$H33)*kgtoGg=0,"NO",('Activity data'!AM20*EF!$H33)*kgtoGg)</f>
        <v>2.1242573648526935</v>
      </c>
      <c r="U1408" s="27">
        <f>IF(('Activity data'!AN20*EF!$H33)*kgtoGg=0,"NO",('Activity data'!AN20*EF!$H33)*kgtoGg)</f>
        <v>2.2090616174503466</v>
      </c>
      <c r="V1408" s="27">
        <f>IF(('Activity data'!AO20*EF!$H33)*kgtoGg=0,"NO",('Activity data'!AO20*EF!$H33)*kgtoGg)</f>
        <v>2.219672639907655</v>
      </c>
      <c r="W1408" s="27">
        <f>IF(('Activity data'!AP20*EF!$H33)*kgtoGg=0,"NO",('Activity data'!AP20*EF!$H33)*kgtoGg)</f>
        <v>2.2319049749890385</v>
      </c>
      <c r="X1408" s="27">
        <f>IF(('Activity data'!AQ20*EF!$H33)*kgtoGg=0,"NO",('Activity data'!AQ20*EF!$H33)*kgtoGg)</f>
        <v>2.2629262949362925</v>
      </c>
      <c r="Y1408" s="27">
        <f>IF(('Activity data'!AR20*EF!$H33)*kgtoGg=0,"NO",('Activity data'!AR20*EF!$H33)*kgtoGg)</f>
        <v>2.3140044447008137</v>
      </c>
      <c r="Z1408" s="27">
        <f>IF(('Activity data'!AS20*EF!$H33)*kgtoGg=0,"NO",('Activity data'!AS20*EF!$H33)*kgtoGg)</f>
        <v>2.3751177408865005</v>
      </c>
      <c r="AA1408" s="27">
        <f>IF(('Activity data'!AT20*EF!$H33)*kgtoGg=0,"NO",('Activity data'!AT20*EF!$H33)*kgtoGg)</f>
        <v>2.4489635487241519</v>
      </c>
      <c r="AB1408" s="27">
        <f>IF(('Activity data'!AU20*EF!$H33)*kgtoGg=0,"NO",('Activity data'!AU20*EF!$H33)*kgtoGg)</f>
        <v>2.5437406386090786</v>
      </c>
      <c r="AC1408" s="27">
        <f>IF(('Activity data'!AV20*EF!$H33)*kgtoGg=0,"NO",('Activity data'!AV20*EF!$H33)*kgtoGg)</f>
        <v>2.6583677679701894</v>
      </c>
      <c r="AD1408" s="27">
        <f>IF(('Activity data'!AW20*EF!$H33)*kgtoGg=0,"NO",('Activity data'!AW20*EF!$H33)*kgtoGg)</f>
        <v>2.7852398205087883</v>
      </c>
      <c r="AE1408" s="27">
        <f>IF(('Activity data'!AX20*EF!$H33)*kgtoGg=0,"NO",('Activity data'!AX20*EF!$H33)*kgtoGg)</f>
        <v>2.9239358907782309</v>
      </c>
      <c r="AF1408" s="27">
        <f>IF(('Activity data'!AY20*EF!$H33)*kgtoGg=0,"NO",('Activity data'!AY20*EF!$H33)*kgtoGg)</f>
        <v>3.0702342900973978</v>
      </c>
      <c r="AG1408" s="27">
        <f>IF(('Activity data'!AZ20*EF!$H33)*kgtoGg=0,"NO",('Activity data'!AZ20*EF!$H33)*kgtoGg)</f>
        <v>3.2260927445342245</v>
      </c>
      <c r="AH1408" s="27">
        <f>IF(('Activity data'!BA20*EF!$H33)*kgtoGg=0,"NO",('Activity data'!BA20*EF!$H33)*kgtoGg)</f>
        <v>3.3895233708783912</v>
      </c>
      <c r="AI1408" s="27">
        <f>IF(('Activity data'!BB20*EF!$H33)*kgtoGg=0,"NO",('Activity data'!BB20*EF!$H33)*kgtoGg)</f>
        <v>3.5531911169091885</v>
      </c>
      <c r="AJ1408" s="27">
        <f>IF(('Activity data'!BC20*EF!$H33)*kgtoGg=0,"NO",('Activity data'!BC20*EF!$H33)*kgtoGg)</f>
        <v>3.7276822125599338</v>
      </c>
      <c r="AK1408" s="27">
        <f>IF(('Activity data'!BD20*EF!$H33)*kgtoGg=0,"NO",('Activity data'!BD20*EF!$H33)*kgtoGg)</f>
        <v>3.9062898323416295</v>
      </c>
      <c r="AL1408" s="27">
        <f>IF(('Activity data'!BE20*EF!$H33)*kgtoGg=0,"NO",('Activity data'!BE20*EF!$H33)*kgtoGg)</f>
        <v>4.0884842597865152</v>
      </c>
      <c r="AM1408" s="27">
        <f>IF(('Activity data'!BF20*EF!$H33)*kgtoGg=0,"NO",('Activity data'!BF20*EF!$H33)*kgtoGg)</f>
        <v>4.2774788120039364</v>
      </c>
      <c r="AN1408" s="27">
        <f>IF(('Activity data'!BG20*EF!$H33)*kgtoGg=0,"NO",('Activity data'!BG20*EF!$H33)*kgtoGg)</f>
        <v>4.4653386243384539</v>
      </c>
      <c r="AO1408" s="27">
        <f>IF(('Activity data'!BH20*EF!$H33)*kgtoGg=0,"NO",('Activity data'!BH20*EF!$H33)*kgtoGg)</f>
        <v>4.6630770817729719</v>
      </c>
      <c r="AP1408" s="27">
        <f>IF(('Activity data'!BI20*EF!$H33)*kgtoGg=0,"NO",('Activity data'!BI20*EF!$H33)*kgtoGg)</f>
        <v>4.8747652719370373</v>
      </c>
      <c r="AQ1408" s="27">
        <f>IF(('Activity data'!BJ20*EF!$H33)*kgtoGg=0,"NO",('Activity data'!BJ20*EF!$H33)*kgtoGg)</f>
        <v>5.0937607978342658</v>
      </c>
      <c r="AR1408" s="27">
        <f>IF(('Activity data'!BK20*EF!$H33)*kgtoGg=0,"NO",('Activity data'!BK20*EF!$H33)*kgtoGg)</f>
        <v>5.3205750433635002</v>
      </c>
      <c r="AS1408" s="27">
        <f>IF(('Activity data'!BL20*EF!$H33)*kgtoGg=0,"NO",('Activity data'!BL20*EF!$H33)*kgtoGg)</f>
        <v>5.5628565017727221</v>
      </c>
      <c r="AT1408" s="27">
        <f>IF(('Activity data'!BM20*EF!$H33)*kgtoGg=0,"NO",('Activity data'!BM20*EF!$H33)*kgtoGg)</f>
        <v>5.8183308290473201</v>
      </c>
      <c r="AU1408" s="27">
        <f>IF(('Activity data'!BN20*EF!$H33)*kgtoGg=0,"NO",('Activity data'!BN20*EF!$H33)*kgtoGg)</f>
        <v>6.0854872952292993</v>
      </c>
      <c r="AV1408" s="27">
        <f>IF(('Activity data'!BO20*EF!$H33)*kgtoGg=0,"NO",('Activity data'!BO20*EF!$H33)*kgtoGg)</f>
        <v>6.3693601721837521</v>
      </c>
      <c r="AW1408" s="27">
        <f>IF(('Activity data'!BP20*EF!$H33)*kgtoGg=0,"NO",('Activity data'!BP20*EF!$H33)*kgtoGg)</f>
        <v>6.641848924312276</v>
      </c>
    </row>
    <row r="1409" spans="1:49" x14ac:dyDescent="0.25">
      <c r="A1409" s="95" t="s">
        <v>959</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2.4944242822745922E-2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2.4822184591453505E-2</v>
      </c>
      <c r="T1409" s="27">
        <f>IF(('Activity data'!AM21*EF!$H34)*kgtoGg=0,"NO",('Activity data'!AM21*EF!$H34)*kgtoGg)</f>
        <v>2.5858553542783609E-2</v>
      </c>
      <c r="U1409" s="27">
        <f>IF(('Activity data'!AN21*EF!$H34)*kgtoGg=0,"NO",('Activity data'!AN21*EF!$H34)*kgtoGg)</f>
        <v>2.6474474854305419E-2</v>
      </c>
      <c r="V1409" s="27">
        <f>IF(('Activity data'!AO21*EF!$H34)*kgtoGg=0,"NO",('Activity data'!AO21*EF!$H34)*kgtoGg)</f>
        <v>2.6768461247190234E-2</v>
      </c>
      <c r="W1409" s="27">
        <f>IF(('Activity data'!AP21*EF!$H34)*kgtoGg=0,"NO",('Activity data'!AP21*EF!$H34)*kgtoGg)</f>
        <v>2.709450247813933E-2</v>
      </c>
      <c r="X1409" s="27">
        <f>IF(('Activity data'!AQ21*EF!$H34)*kgtoGg=0,"NO",('Activity data'!AQ21*EF!$H34)*kgtoGg)</f>
        <v>2.751969504271028E-2</v>
      </c>
      <c r="Y1409" s="27">
        <f>IF(('Activity data'!AR21*EF!$H34)*kgtoGg=0,"NO",('Activity data'!AR21*EF!$H34)*kgtoGg)</f>
        <v>2.8031517539307202E-2</v>
      </c>
      <c r="Z1409" s="27">
        <f>IF(('Activity data'!AS21*EF!$H34)*kgtoGg=0,"NO",('Activity data'!AS21*EF!$H34)*kgtoGg)</f>
        <v>2.8586633179820076E-2</v>
      </c>
      <c r="AA1409" s="27">
        <f>IF(('Activity data'!AT21*EF!$H34)*kgtoGg=0,"NO",('Activity data'!AT21*EF!$H34)*kgtoGg)</f>
        <v>2.9198668501383751E-2</v>
      </c>
      <c r="AB1409" s="27">
        <f>IF(('Activity data'!AU21*EF!$H34)*kgtoGg=0,"NO",('Activity data'!AU21*EF!$H34)*kgtoGg)</f>
        <v>2.9908147882723356E-2</v>
      </c>
      <c r="AC1409" s="27">
        <f>IF(('Activity data'!AV21*EF!$H34)*kgtoGg=0,"NO",('Activity data'!AV21*EF!$H34)*kgtoGg)</f>
        <v>3.0712916792092395E-2</v>
      </c>
      <c r="AD1409" s="27">
        <f>IF(('Activity data'!AW21*EF!$H34)*kgtoGg=0,"NO",('Activity data'!AW21*EF!$H34)*kgtoGg)</f>
        <v>3.1578743428447839E-2</v>
      </c>
      <c r="AE1409" s="27">
        <f>IF(('Activity data'!AX21*EF!$H34)*kgtoGg=0,"NO",('Activity data'!AX21*EF!$H34)*kgtoGg)</f>
        <v>3.250549203193269E-2</v>
      </c>
      <c r="AF1409" s="27">
        <f>IF(('Activity data'!AY21*EF!$H34)*kgtoGg=0,"NO",('Activity data'!AY21*EF!$H34)*kgtoGg)</f>
        <v>3.3473999112916437E-2</v>
      </c>
      <c r="AG1409" s="27">
        <f>IF(('Activity data'!AZ21*EF!$H34)*kgtoGg=0,"NO",('Activity data'!AZ21*EF!$H34)*kgtoGg)</f>
        <v>3.4494097378815265E-2</v>
      </c>
      <c r="AH1409" s="27">
        <f>IF(('Activity data'!BA21*EF!$H34)*kgtoGg=0,"NO",('Activity data'!BA21*EF!$H34)*kgtoGg)</f>
        <v>3.5557217328346623E-2</v>
      </c>
      <c r="AI1409" s="27">
        <f>IF(('Activity data'!BB21*EF!$H34)*kgtoGg=0,"NO",('Activity data'!BB21*EF!$H34)*kgtoGg)</f>
        <v>3.6628249530779734E-2</v>
      </c>
      <c r="AJ1409" s="27">
        <f>IF(('Activity data'!BC21*EF!$H34)*kgtoGg=0,"NO",('Activity data'!BC21*EF!$H34)*kgtoGg)</f>
        <v>3.7759358891476039E-2</v>
      </c>
      <c r="AK1409" s="27">
        <f>IF(('Activity data'!BD21*EF!$H34)*kgtoGg=0,"NO",('Activity data'!BD21*EF!$H34)*kgtoGg)</f>
        <v>3.8917074122130517E-2</v>
      </c>
      <c r="AL1409" s="27">
        <f>IF(('Activity data'!BE21*EF!$H34)*kgtoGg=0,"NO",('Activity data'!BE21*EF!$H34)*kgtoGg)</f>
        <v>4.0099018182790006E-2</v>
      </c>
      <c r="AM1409" s="27">
        <f>IF(('Activity data'!BF21*EF!$H34)*kgtoGg=0,"NO",('Activity data'!BF21*EF!$H34)*kgtoGg)</f>
        <v>4.1321894319074036E-2</v>
      </c>
      <c r="AN1409" s="27">
        <f>IF(('Activity data'!BG21*EF!$H34)*kgtoGg=0,"NO",('Activity data'!BG21*EF!$H34)*kgtoGg)</f>
        <v>4.2545969174982913E-2</v>
      </c>
      <c r="AO1409" s="27">
        <f>IF(('Activity data'!BH21*EF!$H34)*kgtoGg=0,"NO",('Activity data'!BH21*EF!$H34)*kgtoGg)</f>
        <v>4.382695969568811E-2</v>
      </c>
      <c r="AP1409" s="27">
        <f>IF(('Activity data'!BI21*EF!$H34)*kgtoGg=0,"NO",('Activity data'!BI21*EF!$H34)*kgtoGg)</f>
        <v>4.5186270968384026E-2</v>
      </c>
      <c r="AQ1409" s="27">
        <f>IF(('Activity data'!BJ21*EF!$H34)*kgtoGg=0,"NO",('Activity data'!BJ21*EF!$H34)*kgtoGg)</f>
        <v>4.6590511935326193E-2</v>
      </c>
      <c r="AR1409" s="27">
        <f>IF(('Activity data'!BK21*EF!$H34)*kgtoGg=0,"NO",('Activity data'!BK21*EF!$H34)*kgtoGg)</f>
        <v>4.8042424865238111E-2</v>
      </c>
      <c r="AS1409" s="27">
        <f>IF(('Activity data'!BL21*EF!$H34)*kgtoGg=0,"NO",('Activity data'!BL21*EF!$H34)*kgtoGg)</f>
        <v>4.958221392619834E-2</v>
      </c>
      <c r="AT1409" s="27">
        <f>IF(('Activity data'!BM21*EF!$H34)*kgtoGg=0,"NO",('Activity data'!BM21*EF!$H34)*kgtoGg)</f>
        <v>5.1199033814465784E-2</v>
      </c>
      <c r="AU1409" s="27">
        <f>IF(('Activity data'!BN21*EF!$H34)*kgtoGg=0,"NO",('Activity data'!BN21*EF!$H34)*kgtoGg)</f>
        <v>5.2885947503449555E-2</v>
      </c>
      <c r="AV1409" s="27">
        <f>IF(('Activity data'!BO21*EF!$H34)*kgtoGg=0,"NO",('Activity data'!BO21*EF!$H34)*kgtoGg)</f>
        <v>5.4670719693481661E-2</v>
      </c>
      <c r="AW1409" s="27">
        <f>IF(('Activity data'!BP21*EF!$H34)*kgtoGg=0,"NO",('Activity data'!BP21*EF!$H34)*kgtoGg)</f>
        <v>5.6403466737183702E-2</v>
      </c>
    </row>
    <row r="1410" spans="1:49" x14ac:dyDescent="0.25">
      <c r="A1410" s="95" t="s">
        <v>959</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9.5244495094686812E-2</v>
      </c>
      <c r="N1410" s="27">
        <f>IF(('Activity data'!AG22*EF!$H35)*kgtoGg=0,"NO",('Activity data'!AG22*EF!$H35)*kgtoGg)</f>
        <v>9.5803753116994184E-2</v>
      </c>
      <c r="O1410" s="27">
        <f>IF(('Activity data'!AH22*EF!$H35)*kgtoGg=0,"NO",('Activity data'!AH22*EF!$H35)*kgtoGg)</f>
        <v>9.5460820340069058E-2</v>
      </c>
      <c r="P1410" s="27">
        <f>IF(('Activity data'!AI22*EF!$H35)*kgtoGg=0,"NO",('Activity data'!AI22*EF!$H35)*kgtoGg)</f>
        <v>9.4219345357912251E-2</v>
      </c>
      <c r="Q1410" s="27">
        <f>IF(('Activity data'!AJ22*EF!$H35)*kgtoGg=0,"NO",('Activity data'!AJ22*EF!$H35)*kgtoGg)</f>
        <v>9.3696712749775937E-2</v>
      </c>
      <c r="R1410" s="27">
        <f>IF(('Activity data'!AK22*EF!$H35)*kgtoGg=0,"NO",('Activity data'!AK22*EF!$H35)*kgtoGg)</f>
        <v>9.3292648760063338E-2</v>
      </c>
      <c r="S1410" s="27">
        <f>IF(('Activity data'!AL22*EF!$H35)*kgtoGg=0,"NO",('Activity data'!AL22*EF!$H35)*kgtoGg)</f>
        <v>8.1167120934804951E-2</v>
      </c>
      <c r="T1410" s="27">
        <f>IF(('Activity data'!AM22*EF!$H35)*kgtoGg=0,"NO",('Activity data'!AM22*EF!$H35)*kgtoGg)</f>
        <v>8.8510723535528968E-2</v>
      </c>
      <c r="U1410" s="27">
        <f>IF(('Activity data'!AN22*EF!$H35)*kgtoGg=0,"NO",('Activity data'!AN22*EF!$H35)*kgtoGg)</f>
        <v>9.2044234060431204E-2</v>
      </c>
      <c r="V1410" s="27">
        <f>IF(('Activity data'!AO22*EF!$H35)*kgtoGg=0,"NO",('Activity data'!AO22*EF!$H35)*kgtoGg)</f>
        <v>9.2486359996152387E-2</v>
      </c>
      <c r="W1410" s="27">
        <f>IF(('Activity data'!AP22*EF!$H35)*kgtoGg=0,"NO",('Activity data'!AP22*EF!$H35)*kgtoGg)</f>
        <v>9.299604062454335E-2</v>
      </c>
      <c r="X1410" s="27">
        <f>IF(('Activity data'!AQ22*EF!$H35)*kgtoGg=0,"NO",('Activity data'!AQ22*EF!$H35)*kgtoGg)</f>
        <v>9.4288595622345608E-2</v>
      </c>
      <c r="Y1410" s="27">
        <f>IF(('Activity data'!AR22*EF!$H35)*kgtoGg=0,"NO",('Activity data'!AR22*EF!$H35)*kgtoGg)</f>
        <v>9.6416851862533987E-2</v>
      </c>
      <c r="Z1410" s="27">
        <f>IF(('Activity data'!AS22*EF!$H35)*kgtoGg=0,"NO",('Activity data'!AS22*EF!$H35)*kgtoGg)</f>
        <v>9.8963239203604281E-2</v>
      </c>
      <c r="AA1410" s="27">
        <f>IF(('Activity data'!AT22*EF!$H35)*kgtoGg=0,"NO",('Activity data'!AT22*EF!$H35)*kgtoGg)</f>
        <v>0.1020401478635064</v>
      </c>
      <c r="AB1410" s="27">
        <f>IF(('Activity data'!AU22*EF!$H35)*kgtoGg=0,"NO",('Activity data'!AU22*EF!$H35)*kgtoGg)</f>
        <v>0.10598919327537835</v>
      </c>
      <c r="AC1410" s="27">
        <f>IF(('Activity data'!AV22*EF!$H35)*kgtoGg=0,"NO",('Activity data'!AV22*EF!$H35)*kgtoGg)</f>
        <v>0.11076532366542467</v>
      </c>
      <c r="AD1410" s="27">
        <f>IF(('Activity data'!AW22*EF!$H35)*kgtoGg=0,"NO",('Activity data'!AW22*EF!$H35)*kgtoGg)</f>
        <v>0.11605165918786628</v>
      </c>
      <c r="AE1410" s="27">
        <f>IF(('Activity data'!AX22*EF!$H35)*kgtoGg=0,"NO",('Activity data'!AX22*EF!$H35)*kgtoGg)</f>
        <v>0.12183066211575974</v>
      </c>
      <c r="AF1410" s="27">
        <f>IF(('Activity data'!AY22*EF!$H35)*kgtoGg=0,"NO",('Activity data'!AY22*EF!$H35)*kgtoGg)</f>
        <v>0.12792642875405835</v>
      </c>
      <c r="AG1410" s="27">
        <f>IF(('Activity data'!AZ22*EF!$H35)*kgtoGg=0,"NO",('Activity data'!AZ22*EF!$H35)*kgtoGg)</f>
        <v>0.13442053102225948</v>
      </c>
      <c r="AH1410" s="27">
        <f>IF(('Activity data'!BA22*EF!$H35)*kgtoGg=0,"NO",('Activity data'!BA22*EF!$H35)*kgtoGg)</f>
        <v>0.1412301404532664</v>
      </c>
      <c r="AI1410" s="27">
        <f>IF(('Activity data'!BB22*EF!$H35)*kgtoGg=0,"NO",('Activity data'!BB22*EF!$H35)*kgtoGg)</f>
        <v>0.14804962987121634</v>
      </c>
      <c r="AJ1410" s="27">
        <f>IF(('Activity data'!BC22*EF!$H35)*kgtoGg=0,"NO",('Activity data'!BC22*EF!$H35)*kgtoGg)</f>
        <v>0.15532009218999737</v>
      </c>
      <c r="AK1410" s="27">
        <f>IF(('Activity data'!BD22*EF!$H35)*kgtoGg=0,"NO",('Activity data'!BD22*EF!$H35)*kgtoGg)</f>
        <v>0.16276207634756804</v>
      </c>
      <c r="AL1410" s="27">
        <f>IF(('Activity data'!BE22*EF!$H35)*kgtoGg=0,"NO",('Activity data'!BE22*EF!$H35)*kgtoGg)</f>
        <v>0.17035351082443828</v>
      </c>
      <c r="AM1410" s="27">
        <f>IF(('Activity data'!BF22*EF!$H35)*kgtoGg=0,"NO",('Activity data'!BF22*EF!$H35)*kgtoGg)</f>
        <v>0.17822828383349751</v>
      </c>
      <c r="AN1410" s="27">
        <f>IF(('Activity data'!BG22*EF!$H35)*kgtoGg=0,"NO",('Activity data'!BG22*EF!$H35)*kgtoGg)</f>
        <v>0.18605577601410239</v>
      </c>
      <c r="AO1410" s="27">
        <f>IF(('Activity data'!BH22*EF!$H35)*kgtoGg=0,"NO",('Activity data'!BH22*EF!$H35)*kgtoGg)</f>
        <v>0.19429487840720733</v>
      </c>
      <c r="AP1410" s="27">
        <f>IF(('Activity data'!BI22*EF!$H35)*kgtoGg=0,"NO",('Activity data'!BI22*EF!$H35)*kgtoGg)</f>
        <v>0.20311521966404342</v>
      </c>
      <c r="AQ1410" s="27">
        <f>IF(('Activity data'!BJ22*EF!$H35)*kgtoGg=0,"NO",('Activity data'!BJ22*EF!$H35)*kgtoGg)</f>
        <v>0.21224003324309459</v>
      </c>
      <c r="AR1410" s="27">
        <f>IF(('Activity data'!BK22*EF!$H35)*kgtoGg=0,"NO",('Activity data'!BK22*EF!$H35)*kgtoGg)</f>
        <v>0.22169062680681273</v>
      </c>
      <c r="AS1410" s="27">
        <f>IF(('Activity data'!BL22*EF!$H35)*kgtoGg=0,"NO",('Activity data'!BL22*EF!$H35)*kgtoGg)</f>
        <v>0.23178568757386364</v>
      </c>
      <c r="AT1410" s="27">
        <f>IF(('Activity data'!BM22*EF!$H35)*kgtoGg=0,"NO",('Activity data'!BM22*EF!$H35)*kgtoGg)</f>
        <v>0.24243045121030524</v>
      </c>
      <c r="AU1410" s="27">
        <f>IF(('Activity data'!BN22*EF!$H35)*kgtoGg=0,"NO",('Activity data'!BN22*EF!$H35)*kgtoGg)</f>
        <v>0.25356197063455443</v>
      </c>
      <c r="AV1410" s="27">
        <f>IF(('Activity data'!BO22*EF!$H35)*kgtoGg=0,"NO",('Activity data'!BO22*EF!$H35)*kgtoGg)</f>
        <v>0.26539000717432326</v>
      </c>
      <c r="AW1410" s="27">
        <f>IF(('Activity data'!BP22*EF!$H35)*kgtoGg=0,"NO",('Activity data'!BP22*EF!$H35)*kgtoGg)</f>
        <v>0.27674370517967845</v>
      </c>
    </row>
    <row r="1411" spans="1:49" x14ac:dyDescent="0.25">
      <c r="A1411" s="95" t="s">
        <v>959</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5.9806569587962537E-2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5.9572576433389555E-2</v>
      </c>
      <c r="T1411" s="27">
        <f>IF(('Activity data'!AM5*EF!$H36*EF!$H54)*NtoN2O*kgtoGg=0,"NO",('Activity data'!AM5*EF!$H36*EF!$H54)*NtoN2O*kgtoGg)</f>
        <v>6.0773920175181823E-2</v>
      </c>
      <c r="U1411" s="27">
        <f>IF(('Activity data'!AN5*EF!$H36*EF!$H54)*NtoN2O*kgtoGg=0,"NO",('Activity data'!AN5*EF!$H36*EF!$H54)*NtoN2O*kgtoGg)</f>
        <v>6.1370278320054004E-2</v>
      </c>
      <c r="V1411" s="27">
        <f>IF(('Activity data'!AO5*EF!$H36*EF!$H54)*NtoN2O*kgtoGg=0,"NO",('Activity data'!AO5*EF!$H36*EF!$H54)*NtoN2O*kgtoGg)</f>
        <v>6.1526022860848524E-2</v>
      </c>
      <c r="W1411" s="27">
        <f>IF(('Activity data'!AP5*EF!$H36*EF!$H54)*NtoN2O*kgtoGg=0,"NO",('Activity data'!AP5*EF!$H36*EF!$H54)*NtoN2O*kgtoGg)</f>
        <v>6.174747330575011E-2</v>
      </c>
      <c r="X1411" s="27">
        <f>IF(('Activity data'!AQ5*EF!$H36*EF!$H54)*NtoN2O*kgtoGg=0,"NO",('Activity data'!AQ5*EF!$H36*EF!$H54)*NtoN2O*kgtoGg)</f>
        <v>6.2119068821813103E-2</v>
      </c>
      <c r="Y1411" s="27">
        <f>IF(('Activity data'!AR5*EF!$H36*EF!$H54)*NtoN2O*kgtoGg=0,"NO",('Activity data'!AR5*EF!$H36*EF!$H54)*NtoN2O*kgtoGg)</f>
        <v>6.2609959575984822E-2</v>
      </c>
      <c r="Z1411" s="27">
        <f>IF(('Activity data'!AS5*EF!$H36*EF!$H54)*NtoN2O*kgtoGg=0,"NO",('Activity data'!AS5*EF!$H36*EF!$H54)*NtoN2O*kgtoGg)</f>
        <v>6.3159566495841341E-2</v>
      </c>
      <c r="AA1411" s="27">
        <f>IF(('Activity data'!AT5*EF!$H36*EF!$H54)*NtoN2O*kgtoGg=0,"NO",('Activity data'!AT5*EF!$H36*EF!$H54)*NtoN2O*kgtoGg)</f>
        <v>6.3785199118486416E-2</v>
      </c>
      <c r="AB1411" s="27">
        <f>IF(('Activity data'!AU5*EF!$H36*EF!$H54)*NtoN2O*kgtoGg=0,"NO",('Activity data'!AU5*EF!$H36*EF!$H54)*NtoN2O*kgtoGg)</f>
        <v>6.4540499300557705E-2</v>
      </c>
      <c r="AC1411" s="27">
        <f>IF(('Activity data'!AV5*EF!$H36*EF!$H54)*NtoN2O*kgtoGg=0,"NO",('Activity data'!AV5*EF!$H36*EF!$H54)*NtoN2O*kgtoGg)</f>
        <v>6.5421079387025072E-2</v>
      </c>
      <c r="AD1411" s="27">
        <f>IF(('Activity data'!AW5*EF!$H36*EF!$H54)*NtoN2O*kgtoGg=0,"NO",('Activity data'!AW5*EF!$H36*EF!$H54)*NtoN2O*kgtoGg)</f>
        <v>6.6379515175029838E-2</v>
      </c>
      <c r="AE1411" s="27">
        <f>IF(('Activity data'!AX5*EF!$H36*EF!$H54)*NtoN2O*kgtoGg=0,"NO",('Activity data'!AX5*EF!$H36*EF!$H54)*NtoN2O*kgtoGg)</f>
        <v>6.7414940444444876E-2</v>
      </c>
      <c r="AF1411" s="27">
        <f>IF(('Activity data'!AY5*EF!$H36*EF!$H54)*NtoN2O*kgtoGg=0,"NO",('Activity data'!AY5*EF!$H36*EF!$H54)*NtoN2O*kgtoGg)</f>
        <v>6.8501080209535048E-2</v>
      </c>
      <c r="AG1411" s="27">
        <f>IF(('Activity data'!AZ5*EF!$H36*EF!$H54)*NtoN2O*kgtoGg=0,"NO",('Activity data'!AZ5*EF!$H36*EF!$H54)*NtoN2O*kgtoGg)</f>
        <v>6.9650082739835181E-2</v>
      </c>
      <c r="AH1411" s="27">
        <f>IF(('Activity data'!BA5*EF!$H36*EF!$H54)*NtoN2O*kgtoGg=0,"NO",('Activity data'!BA5*EF!$H36*EF!$H54)*NtoN2O*kgtoGg)</f>
        <v>7.085013376505013E-2</v>
      </c>
      <c r="AI1411" s="27">
        <f>IF(('Activity data'!BB5*EF!$H36*EF!$H54)*NtoN2O*kgtoGg=0,"NO",('Activity data'!BB5*EF!$H36*EF!$H54)*NtoN2O*kgtoGg)</f>
        <v>7.2054990287027845E-2</v>
      </c>
      <c r="AJ1411" s="27">
        <f>IF(('Activity data'!BC5*EF!$H36*EF!$H54)*NtoN2O*kgtoGg=0,"NO",('Activity data'!BC5*EF!$H36*EF!$H54)*NtoN2O*kgtoGg)</f>
        <v>7.3332422489630317E-2</v>
      </c>
      <c r="AK1411" s="27">
        <f>IF(('Activity data'!BD5*EF!$H36*EF!$H54)*NtoN2O*kgtoGg=0,"NO",('Activity data'!BD5*EF!$H36*EF!$H54)*NtoN2O*kgtoGg)</f>
        <v>7.4637775238334716E-2</v>
      </c>
      <c r="AL1411" s="27">
        <f>IF(('Activity data'!BE5*EF!$H36*EF!$H54)*NtoN2O*kgtoGg=0,"NO",('Activity data'!BE5*EF!$H36*EF!$H54)*NtoN2O*kgtoGg)</f>
        <v>7.596772859981879E-2</v>
      </c>
      <c r="AM1411" s="27">
        <f>IF(('Activity data'!BF5*EF!$H36*EF!$H54)*NtoN2O*kgtoGg=0,"NO",('Activity data'!BF5*EF!$H36*EF!$H54)*NtoN2O*kgtoGg)</f>
        <v>7.734370972563348E-2</v>
      </c>
      <c r="AN1411" s="27">
        <f>IF(('Activity data'!BG5*EF!$H36*EF!$H54)*NtoN2O*kgtoGg=0,"NO",('Activity data'!BG5*EF!$H36*EF!$H54)*NtoN2O*kgtoGg)</f>
        <v>7.871435132056126E-2</v>
      </c>
      <c r="AO1411" s="27">
        <f>IF(('Activity data'!BH5*EF!$H36*EF!$H54)*NtoN2O*kgtoGg=0,"NO",('Activity data'!BH5*EF!$H36*EF!$H54)*NtoN2O*kgtoGg)</f>
        <v>8.0150831900584182E-2</v>
      </c>
      <c r="AP1411" s="27">
        <f>IF(('Activity data'!BI5*EF!$H36*EF!$H54)*NtoN2O*kgtoGg=0,"NO",('Activity data'!BI5*EF!$H36*EF!$H54)*NtoN2O*kgtoGg)</f>
        <v>8.1679672713355286E-2</v>
      </c>
      <c r="AQ1411" s="27">
        <f>IF(('Activity data'!BJ5*EF!$H36*EF!$H54)*NtoN2O*kgtoGg=0,"NO",('Activity data'!BJ5*EF!$H36*EF!$H54)*NtoN2O*kgtoGg)</f>
        <v>8.3257530462489515E-2</v>
      </c>
      <c r="AR1411" s="27">
        <f>IF(('Activity data'!BK5*EF!$H36*EF!$H54)*NtoN2O*kgtoGg=0,"NO",('Activity data'!BK5*EF!$H36*EF!$H54)*NtoN2O*kgtoGg)</f>
        <v>8.4887259744612836E-2</v>
      </c>
      <c r="AS1411" s="27">
        <f>IF(('Activity data'!BL5*EF!$H36*EF!$H54)*NtoN2O*kgtoGg=0,"NO",('Activity data'!BL5*EF!$H36*EF!$H54)*NtoN2O*kgtoGg)</f>
        <v>8.6619011221600456E-2</v>
      </c>
      <c r="AT1411" s="27">
        <f>IF(('Activity data'!BM5*EF!$H36*EF!$H54)*NtoN2O*kgtoGg=0,"NO",('Activity data'!BM5*EF!$H36*EF!$H54)*NtoN2O*kgtoGg)</f>
        <v>8.8438220768671E-2</v>
      </c>
      <c r="AU1411" s="27">
        <f>IF(('Activity data'!BN5*EF!$H36*EF!$H54)*NtoN2O*kgtoGg=0,"NO",('Activity data'!BN5*EF!$H36*EF!$H54)*NtoN2O*kgtoGg)</f>
        <v>9.0335502519381064E-2</v>
      </c>
      <c r="AV1411" s="27">
        <f>IF(('Activity data'!BO5*EF!$H36*EF!$H54)*NtoN2O*kgtoGg=0,"NO",('Activity data'!BO5*EF!$H36*EF!$H54)*NtoN2O*kgtoGg)</f>
        <v>9.2345044060296602E-2</v>
      </c>
      <c r="AW1411" s="27">
        <f>IF(('Activity data'!BP5*EF!$H36*EF!$H54)*NtoN2O*kgtoGg=0,"NO",('Activity data'!BP5*EF!$H36*EF!$H54)*NtoN2O*kgtoGg)</f>
        <v>9.4278593479446449E-2</v>
      </c>
    </row>
    <row r="1412" spans="1:49" x14ac:dyDescent="0.25">
      <c r="A1412" s="95" t="s">
        <v>959</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0.26187096745907495</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0.26084639751318123</v>
      </c>
      <c r="T1412" s="27">
        <f>IF(('Activity data'!AM6*EF!$H37*EF!$H55)*NtoN2O*kgtoGg=0,"NO",('Activity data'!AM6*EF!$H37*EF!$H55)*NtoN2O*kgtoGg)</f>
        <v>0.26610663982571414</v>
      </c>
      <c r="U1412" s="27">
        <f>IF(('Activity data'!AN6*EF!$H37*EF!$H55)*NtoN2O*kgtoGg=0,"NO",('Activity data'!AN6*EF!$H37*EF!$H55)*NtoN2O*kgtoGg)</f>
        <v>0.26871787276259229</v>
      </c>
      <c r="V1412" s="27">
        <f>IF(('Activity data'!AO6*EF!$H37*EF!$H55)*NtoN2O*kgtoGg=0,"NO",('Activity data'!AO6*EF!$H37*EF!$H55)*NtoN2O*kgtoGg)</f>
        <v>0.26939982081370628</v>
      </c>
      <c r="W1412" s="27">
        <f>IF(('Activity data'!AP6*EF!$H37*EF!$H55)*NtoN2O*kgtoGg=0,"NO",('Activity data'!AP6*EF!$H37*EF!$H55)*NtoN2O*kgtoGg)</f>
        <v>0.27036947084797774</v>
      </c>
      <c r="X1412" s="27">
        <f>IF(('Activity data'!AQ6*EF!$H37*EF!$H55)*NtoN2O*kgtoGg=0,"NO",('Activity data'!AQ6*EF!$H37*EF!$H55)*NtoN2O*kgtoGg)</f>
        <v>0.27199655091569075</v>
      </c>
      <c r="Y1412" s="27">
        <f>IF(('Activity data'!AR6*EF!$H37*EF!$H55)*NtoN2O*kgtoGg=0,"NO",('Activity data'!AR6*EF!$H37*EF!$H55)*NtoN2O*kgtoGg)</f>
        <v>0.27414598094649351</v>
      </c>
      <c r="Z1412" s="27">
        <f>IF(('Activity data'!AS6*EF!$H37*EF!$H55)*NtoN2O*kgtoGg=0,"NO",('Activity data'!AS6*EF!$H37*EF!$H55)*NtoN2O*kgtoGg)</f>
        <v>0.27655250746718535</v>
      </c>
      <c r="AA1412" s="27">
        <f>IF(('Activity data'!AT6*EF!$H37*EF!$H55)*NtoN2O*kgtoGg=0,"NO",('Activity data'!AT6*EF!$H37*EF!$H55)*NtoN2O*kgtoGg)</f>
        <v>0.27929192257316399</v>
      </c>
      <c r="AB1412" s="27">
        <f>IF(('Activity data'!AU6*EF!$H37*EF!$H55)*NtoN2O*kgtoGg=0,"NO",('Activity data'!AU6*EF!$H37*EF!$H55)*NtoN2O*kgtoGg)</f>
        <v>0.28259910422166357</v>
      </c>
      <c r="AC1412" s="27">
        <f>IF(('Activity data'!AV6*EF!$H37*EF!$H55)*NtoN2O*kgtoGg=0,"NO",('Activity data'!AV6*EF!$H37*EF!$H55)*NtoN2O*kgtoGg)</f>
        <v>0.28645484048537356</v>
      </c>
      <c r="AD1412" s="27">
        <f>IF(('Activity data'!AW6*EF!$H37*EF!$H55)*NtoN2O*kgtoGg=0,"NO",('Activity data'!AW6*EF!$H37*EF!$H55)*NtoN2O*kgtoGg)</f>
        <v>0.29065147822569842</v>
      </c>
      <c r="AE1412" s="27">
        <f>IF(('Activity data'!AX6*EF!$H37*EF!$H55)*NtoN2O*kgtoGg=0,"NO",('Activity data'!AX6*EF!$H37*EF!$H55)*NtoN2O*kgtoGg)</f>
        <v>0.29518522458335378</v>
      </c>
      <c r="AF1412" s="27">
        <f>IF(('Activity data'!AY6*EF!$H37*EF!$H55)*NtoN2O*kgtoGg=0,"NO",('Activity data'!AY6*EF!$H37*EF!$H55)*NtoN2O*kgtoGg)</f>
        <v>0.2999410310614633</v>
      </c>
      <c r="AG1412" s="27">
        <f>IF(('Activity data'!AZ6*EF!$H37*EF!$H55)*NtoN2O*kgtoGg=0,"NO",('Activity data'!AZ6*EF!$H37*EF!$H55)*NtoN2O*kgtoGg)</f>
        <v>0.30497209046339202</v>
      </c>
      <c r="AH1412" s="27">
        <f>IF(('Activity data'!BA6*EF!$H37*EF!$H55)*NtoN2O*kgtoGg=0,"NO",('Activity data'!BA6*EF!$H37*EF!$H55)*NtoN2O*kgtoGg)</f>
        <v>0.31022667244557844</v>
      </c>
      <c r="AI1412" s="27">
        <f>IF(('Activity data'!BB6*EF!$H37*EF!$H55)*NtoN2O*kgtoGg=0,"NO",('Activity data'!BB6*EF!$H37*EF!$H55)*NtoN2O*kgtoGg)</f>
        <v>0.31550229593031343</v>
      </c>
      <c r="AJ1412" s="27">
        <f>IF(('Activity data'!BC6*EF!$H37*EF!$H55)*NtoN2O*kgtoGg=0,"NO",('Activity data'!BC6*EF!$H37*EF!$H55)*NtoN2O*kgtoGg)</f>
        <v>0.32109570162242335</v>
      </c>
      <c r="AK1412" s="27">
        <f>IF(('Activity data'!BD6*EF!$H37*EF!$H55)*NtoN2O*kgtoGg=0,"NO",('Activity data'!BD6*EF!$H37*EF!$H55)*NtoN2O*kgtoGg)</f>
        <v>0.32681136111491149</v>
      </c>
      <c r="AL1412" s="27">
        <f>IF(('Activity data'!BE6*EF!$H37*EF!$H55)*NtoN2O*kgtoGg=0,"NO",('Activity data'!BE6*EF!$H37*EF!$H55)*NtoN2O*kgtoGg)</f>
        <v>0.33263473764104773</v>
      </c>
      <c r="AM1412" s="27">
        <f>IF(('Activity data'!BF6*EF!$H37*EF!$H55)*NtoN2O*kgtoGg=0,"NO",('Activity data'!BF6*EF!$H37*EF!$H55)*NtoN2O*kgtoGg)</f>
        <v>0.33865965281516675</v>
      </c>
      <c r="AN1412" s="27">
        <f>IF(('Activity data'!BG6*EF!$H37*EF!$H55)*NtoN2O*kgtoGg=0,"NO",('Activity data'!BG6*EF!$H37*EF!$H55)*NtoN2O*kgtoGg)</f>
        <v>0.34466118814776064</v>
      </c>
      <c r="AO1412" s="27">
        <f>IF(('Activity data'!BH6*EF!$H37*EF!$H55)*NtoN2O*kgtoGg=0,"NO",('Activity data'!BH6*EF!$H37*EF!$H55)*NtoN2O*kgtoGg)</f>
        <v>0.35095100817620256</v>
      </c>
      <c r="AP1412" s="27">
        <f>IF(('Activity data'!BI6*EF!$H37*EF!$H55)*NtoN2O*kgtoGg=0,"NO",('Activity data'!BI6*EF!$H37*EF!$H55)*NtoN2O*kgtoGg)</f>
        <v>0.35764523968771644</v>
      </c>
      <c r="AQ1412" s="27">
        <f>IF(('Activity data'!BJ6*EF!$H37*EF!$H55)*NtoN2O*kgtoGg=0,"NO",('Activity data'!BJ6*EF!$H37*EF!$H55)*NtoN2O*kgtoGg)</f>
        <v>0.36455409833193048</v>
      </c>
      <c r="AR1412" s="27">
        <f>IF(('Activity data'!BK6*EF!$H37*EF!$H55)*NtoN2O*kgtoGg=0,"NO",('Activity data'!BK6*EF!$H37*EF!$H55)*NtoN2O*kgtoGg)</f>
        <v>0.37169008333736225</v>
      </c>
      <c r="AS1412" s="27">
        <f>IF(('Activity data'!BL6*EF!$H37*EF!$H55)*NtoN2O*kgtoGg=0,"NO",('Activity data'!BL6*EF!$H37*EF!$H55)*NtoN2O*kgtoGg)</f>
        <v>0.37927278600367109</v>
      </c>
      <c r="AT1412" s="27">
        <f>IF(('Activity data'!BM6*EF!$H37*EF!$H55)*NtoN2O*kgtoGg=0,"NO",('Activity data'!BM6*EF!$H37*EF!$H55)*NtoN2O*kgtoGg)</f>
        <v>0.38723843538607666</v>
      </c>
      <c r="AU1412" s="27">
        <f>IF(('Activity data'!BN6*EF!$H37*EF!$H55)*NtoN2O*kgtoGg=0,"NO",('Activity data'!BN6*EF!$H37*EF!$H55)*NtoN2O*kgtoGg)</f>
        <v>0.39554593422815865</v>
      </c>
      <c r="AV1412" s="27">
        <f>IF(('Activity data'!BO6*EF!$H37*EF!$H55)*NtoN2O*kgtoGg=0,"NO",('Activity data'!BO6*EF!$H37*EF!$H55)*NtoN2O*kgtoGg)</f>
        <v>0.4043449773950597</v>
      </c>
      <c r="AW1412" s="27">
        <f>IF(('Activity data'!BP6*EF!$H37*EF!$H55)*NtoN2O*kgtoGg=0,"NO",('Activity data'!BP6*EF!$H37*EF!$H55)*NtoN2O*kgtoGg)</f>
        <v>0.41281127901561981</v>
      </c>
    </row>
    <row r="1413" spans="1:49" x14ac:dyDescent="0.25">
      <c r="A1413" s="95" t="s">
        <v>959</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1.1651711689683767E-2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1.1606124377232515E-2</v>
      </c>
      <c r="T1413" s="27">
        <f>IF(('Activity data'!AM7*EF!$H38*EF!$H56)*NtoN2O*kgtoGg=0,"NO",('Activity data'!AM7*EF!$H38*EF!$H56)*NtoN2O*kgtoGg)</f>
        <v>1.1840174098124497E-2</v>
      </c>
      <c r="U1413" s="27">
        <f>IF(('Activity data'!AN7*EF!$H38*EF!$H56)*NtoN2O*kgtoGg=0,"NO",('Activity data'!AN7*EF!$H38*EF!$H56)*NtoN2O*kgtoGg)</f>
        <v>1.1956358544343662E-2</v>
      </c>
      <c r="V1413" s="27">
        <f>IF(('Activity data'!AO7*EF!$H38*EF!$H56)*NtoN2O*kgtoGg=0,"NO",('Activity data'!AO7*EF!$H38*EF!$H56)*NtoN2O*kgtoGg)</f>
        <v>1.198670120567806E-2</v>
      </c>
      <c r="W1413" s="27">
        <f>IF(('Activity data'!AP7*EF!$H38*EF!$H56)*NtoN2O*kgtoGg=0,"NO",('Activity data'!AP7*EF!$H38*EF!$H56)*NtoN2O*kgtoGg)</f>
        <v>1.2029844906367174E-2</v>
      </c>
      <c r="X1413" s="27">
        <f>IF(('Activity data'!AQ7*EF!$H38*EF!$H56)*NtoN2O*kgtoGg=0,"NO",('Activity data'!AQ7*EF!$H38*EF!$H56)*NtoN2O*kgtoGg)</f>
        <v>1.2102240361384485E-2</v>
      </c>
      <c r="Y1413" s="27">
        <f>IF(('Activity data'!AR7*EF!$H38*EF!$H56)*NtoN2O*kgtoGg=0,"NO",('Activity data'!AR7*EF!$H38*EF!$H56)*NtoN2O*kgtoGg)</f>
        <v>1.2197877305254469E-2</v>
      </c>
      <c r="Z1413" s="27">
        <f>IF(('Activity data'!AS7*EF!$H38*EF!$H56)*NtoN2O*kgtoGg=0,"NO",('Activity data'!AS7*EF!$H38*EF!$H56)*NtoN2O*kgtoGg)</f>
        <v>1.2304953524755821E-2</v>
      </c>
      <c r="AA1413" s="27">
        <f>IF(('Activity data'!AT7*EF!$H38*EF!$H56)*NtoN2O*kgtoGg=0,"NO",('Activity data'!AT7*EF!$H38*EF!$H56)*NtoN2O*kgtoGg)</f>
        <v>1.2426841320577307E-2</v>
      </c>
      <c r="AB1413" s="27">
        <f>IF(('Activity data'!AU7*EF!$H38*EF!$H56)*NtoN2O*kgtoGg=0,"NO",('Activity data'!AU7*EF!$H38*EF!$H56)*NtoN2O*kgtoGg)</f>
        <v>1.2573991374848796E-2</v>
      </c>
      <c r="AC1413" s="27">
        <f>IF(('Activity data'!AV7*EF!$H38*EF!$H56)*NtoN2O*kgtoGg=0,"NO",('Activity data'!AV7*EF!$H38*EF!$H56)*NtoN2O*kgtoGg)</f>
        <v>1.2745548870252437E-2</v>
      </c>
      <c r="AD1413" s="27">
        <f>IF(('Activity data'!AW7*EF!$H38*EF!$H56)*NtoN2O*kgtoGg=0,"NO",('Activity data'!AW7*EF!$H38*EF!$H56)*NtoN2O*kgtoGg)</f>
        <v>1.2932274468323759E-2</v>
      </c>
      <c r="AE1413" s="27">
        <f>IF(('Activity data'!AX7*EF!$H38*EF!$H56)*NtoN2O*kgtoGg=0,"NO",('Activity data'!AX7*EF!$H38*EF!$H56)*NtoN2O*kgtoGg)</f>
        <v>1.3133999409221648E-2</v>
      </c>
      <c r="AF1413" s="27">
        <f>IF(('Activity data'!AY7*EF!$H38*EF!$H56)*NtoN2O*kgtoGg=0,"NO",('Activity data'!AY7*EF!$H38*EF!$H56)*NtoN2O*kgtoGg)</f>
        <v>1.3345604714202703E-2</v>
      </c>
      <c r="AG1413" s="27">
        <f>IF(('Activity data'!AZ7*EF!$H38*EF!$H56)*NtoN2O*kgtoGg=0,"NO",('Activity data'!AZ7*EF!$H38*EF!$H56)*NtoN2O*kgtoGg)</f>
        <v>1.3569457148910296E-2</v>
      </c>
      <c r="AH1413" s="27">
        <f>IF(('Activity data'!BA7*EF!$H38*EF!$H56)*NtoN2O*kgtoGg=0,"NO",('Activity data'!BA7*EF!$H38*EF!$H56)*NtoN2O*kgtoGg)</f>
        <v>1.3803255018526413E-2</v>
      </c>
      <c r="AI1413" s="27">
        <f>IF(('Activity data'!BB7*EF!$H38*EF!$H56)*NtoN2O*kgtoGg=0,"NO",('Activity data'!BB7*EF!$H38*EF!$H56)*NtoN2O*kgtoGg)</f>
        <v>1.4037989110754724E-2</v>
      </c>
      <c r="AJ1413" s="27">
        <f>IF(('Activity data'!BC7*EF!$H38*EF!$H56)*NtoN2O*kgtoGg=0,"NO",('Activity data'!BC7*EF!$H38*EF!$H56)*NtoN2O*kgtoGg)</f>
        <v>1.4286862634690086E-2</v>
      </c>
      <c r="AK1413" s="27">
        <f>IF(('Activity data'!BD7*EF!$H38*EF!$H56)*NtoN2O*kgtoGg=0,"NO",('Activity data'!BD7*EF!$H38*EF!$H56)*NtoN2O*kgtoGg)</f>
        <v>1.4541175730826956E-2</v>
      </c>
      <c r="AL1413" s="27">
        <f>IF(('Activity data'!BE7*EF!$H38*EF!$H56)*NtoN2O*kgtoGg=0,"NO",('Activity data'!BE7*EF!$H38*EF!$H56)*NtoN2O*kgtoGg)</f>
        <v>1.4800281598886257E-2</v>
      </c>
      <c r="AM1413" s="27">
        <f>IF(('Activity data'!BF7*EF!$H38*EF!$H56)*NtoN2O*kgtoGg=0,"NO",('Activity data'!BF7*EF!$H38*EF!$H56)*NtoN2O*kgtoGg)</f>
        <v>1.5068354746684156E-2</v>
      </c>
      <c r="AN1413" s="27">
        <f>IF(('Activity data'!BG7*EF!$H38*EF!$H56)*NtoN2O*kgtoGg=0,"NO",('Activity data'!BG7*EF!$H38*EF!$H56)*NtoN2O*kgtoGg)</f>
        <v>1.533538762959342E-2</v>
      </c>
      <c r="AO1413" s="27">
        <f>IF(('Activity data'!BH7*EF!$H38*EF!$H56)*NtoN2O*kgtoGg=0,"NO",('Activity data'!BH7*EF!$H38*EF!$H56)*NtoN2O*kgtoGg)</f>
        <v>1.5615247479131181E-2</v>
      </c>
      <c r="AP1413" s="27">
        <f>IF(('Activity data'!BI7*EF!$H38*EF!$H56)*NtoN2O*kgtoGg=0,"NO",('Activity data'!BI7*EF!$H38*EF!$H56)*NtoN2O*kgtoGg)</f>
        <v>1.5913101251593929E-2</v>
      </c>
      <c r="AQ1413" s="27">
        <f>IF(('Activity data'!BJ7*EF!$H38*EF!$H56)*NtoN2O*kgtoGg=0,"NO",('Activity data'!BJ7*EF!$H38*EF!$H56)*NtoN2O*kgtoGg)</f>
        <v>1.6220504664076991E-2</v>
      </c>
      <c r="AR1413" s="27">
        <f>IF(('Activity data'!BK7*EF!$H38*EF!$H56)*NtoN2O*kgtoGg=0,"NO",('Activity data'!BK7*EF!$H38*EF!$H56)*NtoN2O*kgtoGg)</f>
        <v>1.6538013858440784E-2</v>
      </c>
      <c r="AS1413" s="27">
        <f>IF(('Activity data'!BL7*EF!$H38*EF!$H56)*NtoN2O*kgtoGg=0,"NO",('Activity data'!BL7*EF!$H38*EF!$H56)*NtoN2O*kgtoGg)</f>
        <v>1.6875399350821628E-2</v>
      </c>
      <c r="AT1413" s="27">
        <f>IF(('Activity data'!BM7*EF!$H38*EF!$H56)*NtoN2O*kgtoGg=0,"NO",('Activity data'!BM7*EF!$H38*EF!$H56)*NtoN2O*kgtoGg)</f>
        <v>1.7229823710747674E-2</v>
      </c>
      <c r="AU1413" s="27">
        <f>IF(('Activity data'!BN7*EF!$H38*EF!$H56)*NtoN2O*kgtoGg=0,"NO",('Activity data'!BN7*EF!$H38*EF!$H56)*NtoN2O*kgtoGg)</f>
        <v>1.7599458352989747E-2</v>
      </c>
      <c r="AV1413" s="27">
        <f>IF(('Activity data'!BO7*EF!$H38*EF!$H56)*NtoN2O*kgtoGg=0,"NO",('Activity data'!BO7*EF!$H38*EF!$H56)*NtoN2O*kgtoGg)</f>
        <v>1.7990963815090407E-2</v>
      </c>
      <c r="AW1413" s="27">
        <f>IF(('Activity data'!BP7*EF!$H38*EF!$H56)*NtoN2O*kgtoGg=0,"NO",('Activity data'!BP7*EF!$H38*EF!$H56)*NtoN2O*kgtoGg)</f>
        <v>1.836766424323575E-2</v>
      </c>
    </row>
    <row r="1414" spans="1:49" x14ac:dyDescent="0.25">
      <c r="A1414" s="95" t="s">
        <v>959</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0.52069690445710348</v>
      </c>
      <c r="M1414" s="27">
        <f>IF(('Activity data'!AF8*EF!$H39*EF!$H57)*NtoN2O*kgtoGg=0,"NO",('Activity data'!AF8*EF!$H39*EF!$H57)*NtoN2O*kgtoGg)</f>
        <v>0.51896282251134851</v>
      </c>
      <c r="N1414" s="27">
        <f>IF(('Activity data'!AG8*EF!$H39*EF!$H57)*NtoN2O*kgtoGg=0,"NO",('Activity data'!AG8*EF!$H39*EF!$H57)*NtoN2O*kgtoGg)</f>
        <v>0.51203275332440912</v>
      </c>
      <c r="O1414" s="27">
        <f>IF(('Activity data'!AH8*EF!$H39*EF!$H57)*NtoN2O*kgtoGg=0,"NO",('Activity data'!AH8*EF!$H39*EF!$H57)*NtoN2O*kgtoGg)</f>
        <v>0.50197358865556663</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0.41885745966075799</v>
      </c>
      <c r="T1414" s="27">
        <f>IF(('Activity data'!AM8*EF!$H39*EF!$H57)*NtoN2O*kgtoGg=0,"NO",('Activity data'!AM8*EF!$H39*EF!$H57)*NtoN2O*kgtoGg)</f>
        <v>0.43888316121589754</v>
      </c>
      <c r="U1414" s="27">
        <f>IF(('Activity data'!AN8*EF!$H39*EF!$H57)*NtoN2O*kgtoGg=0,"NO",('Activity data'!AN8*EF!$H39*EF!$H57)*NtoN2O*kgtoGg)</f>
        <v>0.44581606294816456</v>
      </c>
      <c r="V1414" s="27">
        <f>IF(('Activity data'!AO8*EF!$H39*EF!$H57)*NtoN2O*kgtoGg=0,"NO",('Activity data'!AO8*EF!$H39*EF!$H57)*NtoN2O*kgtoGg)</f>
        <v>0.4428053451992871</v>
      </c>
      <c r="W1414" s="27">
        <f>IF(('Activity data'!AP8*EF!$H39*EF!$H57)*NtoN2O*kgtoGg=0,"NO",('Activity data'!AP8*EF!$H39*EF!$H57)*NtoN2O*kgtoGg)</f>
        <v>0.44035633830428106</v>
      </c>
      <c r="X1414" s="27">
        <f>IF(('Activity data'!AQ8*EF!$H39*EF!$H57)*NtoN2O*kgtoGg=0,"NO",('Activity data'!AQ8*EF!$H39*EF!$H57)*NtoN2O*kgtoGg)</f>
        <v>0.44051721103792468</v>
      </c>
      <c r="Y1414" s="27">
        <f>IF(('Activity data'!AR8*EF!$H39*EF!$H57)*NtoN2O*kgtoGg=0,"NO",('Activity data'!AR8*EF!$H39*EF!$H57)*NtoN2O*kgtoGg)</f>
        <v>0.44310396179359002</v>
      </c>
      <c r="Z1414" s="27">
        <f>IF(('Activity data'!AS8*EF!$H39*EF!$H57)*NtoN2O*kgtoGg=0,"NO",('Activity data'!AS8*EF!$H39*EF!$H57)*NtoN2O*kgtoGg)</f>
        <v>0.4467743835824281</v>
      </c>
      <c r="AA1414" s="27">
        <f>IF(('Activity data'!AT8*EF!$H39*EF!$H57)*NtoN2O*kgtoGg=0,"NO",('Activity data'!AT8*EF!$H39*EF!$H57)*NtoN2O*kgtoGg)</f>
        <v>0.45182412453822507</v>
      </c>
      <c r="AB1414" s="27">
        <f>IF(('Activity data'!AU8*EF!$H39*EF!$H57)*NtoN2O*kgtoGg=0,"NO",('Activity data'!AU8*EF!$H39*EF!$H57)*NtoN2O*kgtoGg)</f>
        <v>0.4592210041031291</v>
      </c>
      <c r="AC1414" s="27">
        <f>IF(('Activity data'!AV8*EF!$H39*EF!$H57)*NtoN2O*kgtoGg=0,"NO",('Activity data'!AV8*EF!$H39*EF!$H57)*NtoN2O*kgtoGg)</f>
        <v>0.46875611727926397</v>
      </c>
      <c r="AD1414" s="27">
        <f>IF(('Activity data'!AW8*EF!$H39*EF!$H57)*NtoN2O*kgtoGg=0,"NO",('Activity data'!AW8*EF!$H39*EF!$H57)*NtoN2O*kgtoGg)</f>
        <v>0.47540395120736983</v>
      </c>
      <c r="AE1414" s="27">
        <f>IF(('Activity data'!AX8*EF!$H39*EF!$H57)*NtoN2O*kgtoGg=0,"NO",('Activity data'!AX8*EF!$H39*EF!$H57)*NtoN2O*kgtoGg)</f>
        <v>0.48283708354051091</v>
      </c>
      <c r="AF1414" s="27">
        <f>IF(('Activity data'!AY8*EF!$H39*EF!$H57)*NtoN2O*kgtoGg=0,"NO",('Activity data'!AY8*EF!$H39*EF!$H57)*NtoN2O*kgtoGg)</f>
        <v>0.49049534376627268</v>
      </c>
      <c r="AG1414" s="27">
        <f>IF(('Activity data'!AZ8*EF!$H39*EF!$H57)*NtoN2O*kgtoGg=0,"NO",('Activity data'!AZ8*EF!$H39*EF!$H57)*NtoN2O*kgtoGg)</f>
        <v>0.49854885128886806</v>
      </c>
      <c r="AH1414" s="27">
        <f>IF(('Activity data'!BA8*EF!$H39*EF!$H57)*NtoN2O*kgtoGg=0,"NO",('Activity data'!BA8*EF!$H39*EF!$H57)*NtoN2O*kgtoGg)</f>
        <v>0.50672298371374713</v>
      </c>
      <c r="AI1414" s="27">
        <f>IF(('Activity data'!BB8*EF!$H39*EF!$H57)*NtoN2O*kgtoGg=0,"NO",('Activity data'!BB8*EF!$H39*EF!$H57)*NtoN2O*kgtoGg)</f>
        <v>0.51418741913189581</v>
      </c>
      <c r="AJ1414" s="27">
        <f>IF(('Activity data'!BC8*EF!$H39*EF!$H57)*NtoN2O*kgtoGg=0,"NO",('Activity data'!BC8*EF!$H39*EF!$H57)*NtoN2O*kgtoGg)</f>
        <v>0.52206102854310632</v>
      </c>
      <c r="AK1414" s="27">
        <f>IF(('Activity data'!BD8*EF!$H39*EF!$H57)*NtoN2O*kgtoGg=0,"NO",('Activity data'!BD8*EF!$H39*EF!$H57)*NtoN2O*kgtoGg)</f>
        <v>0.52957812188119258</v>
      </c>
      <c r="AL1414" s="27">
        <f>IF(('Activity data'!BE8*EF!$H39*EF!$H57)*NtoN2O*kgtoGg=0,"NO",('Activity data'!BE8*EF!$H39*EF!$H57)*NtoN2O*kgtoGg)</f>
        <v>0.53666628025365293</v>
      </c>
      <c r="AM1414" s="27">
        <f>IF(('Activity data'!BF8*EF!$H39*EF!$H57)*NtoN2O*kgtoGg=0,"NO",('Activity data'!BF8*EF!$H39*EF!$H57)*NtoN2O*kgtoGg)</f>
        <v>0.543628496445968</v>
      </c>
      <c r="AN1414" s="27">
        <f>IF(('Activity data'!BG8*EF!$H39*EF!$H57)*NtoN2O*kgtoGg=0,"NO",('Activity data'!BG8*EF!$H39*EF!$H57)*NtoN2O*kgtoGg)</f>
        <v>0.55246945736606723</v>
      </c>
      <c r="AO1414" s="27">
        <f>IF(('Activity data'!BH8*EF!$H39*EF!$H57)*NtoN2O*kgtoGg=0,"NO",('Activity data'!BH8*EF!$H39*EF!$H57)*NtoN2O*kgtoGg)</f>
        <v>0.56161375103123634</v>
      </c>
      <c r="AP1414" s="27">
        <f>IF(('Activity data'!BI8*EF!$H39*EF!$H57)*NtoN2O*kgtoGg=0,"NO",('Activity data'!BI8*EF!$H39*EF!$H57)*NtoN2O*kgtoGg)</f>
        <v>0.57139369130463846</v>
      </c>
      <c r="AQ1414" s="27">
        <f>IF(('Activity data'!BJ8*EF!$H39*EF!$H57)*NtoN2O*kgtoGg=0,"NO",('Activity data'!BJ8*EF!$H39*EF!$H57)*NtoN2O*kgtoGg)</f>
        <v>0.58113558104968666</v>
      </c>
      <c r="AR1414" s="27">
        <f>IF(('Activity data'!BK8*EF!$H39*EF!$H57)*NtoN2O*kgtoGg=0,"NO",('Activity data'!BK8*EF!$H39*EF!$H57)*NtoN2O*kgtoGg)</f>
        <v>0.59085206465758344</v>
      </c>
      <c r="AS1414" s="27">
        <f>IF(('Activity data'!BL8*EF!$H39*EF!$H57)*NtoN2O*kgtoGg=0,"NO",('Activity data'!BL8*EF!$H39*EF!$H57)*NtoN2O*kgtoGg)</f>
        <v>0.6011817102296716</v>
      </c>
      <c r="AT1414" s="27">
        <f>IF(('Activity data'!BM8*EF!$H39*EF!$H57)*NtoN2O*kgtoGg=0,"NO",('Activity data'!BM8*EF!$H39*EF!$H57)*NtoN2O*kgtoGg)</f>
        <v>0.61185705718445471</v>
      </c>
      <c r="AU1414" s="27">
        <f>IF(('Activity data'!BN8*EF!$H39*EF!$H57)*NtoN2O*kgtoGg=0,"NO",('Activity data'!BN8*EF!$H39*EF!$H57)*NtoN2O*kgtoGg)</f>
        <v>0.6226925043907553</v>
      </c>
      <c r="AV1414" s="27">
        <f>IF(('Activity data'!BO8*EF!$H39*EF!$H57)*NtoN2O*kgtoGg=0,"NO",('Activity data'!BO8*EF!$H39*EF!$H57)*NtoN2O*kgtoGg)</f>
        <v>0.63405678889252681</v>
      </c>
      <c r="AW1414" s="27">
        <f>IF(('Activity data'!BP8*EF!$H39*EF!$H57)*NtoN2O*kgtoGg=0,"NO",('Activity data'!BP8*EF!$H39*EF!$H57)*NtoN2O*kgtoGg)</f>
        <v>0.64358432778937325</v>
      </c>
    </row>
    <row r="1415" spans="1:49" x14ac:dyDescent="0.25">
      <c r="A1415" s="95" t="s">
        <v>959</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0.80452586370517842</v>
      </c>
      <c r="L1415" s="27">
        <f>IF(('Activity data'!AE9*EF!$H40*EF!$H58)*NtoN2O*kgtoGg=0,"NO",('Activity data'!AE9*EF!$H40*EF!$H58)*NtoN2O*kgtoGg)</f>
        <v>0.79754846782098032</v>
      </c>
      <c r="M1415" s="27">
        <f>IF(('Activity data'!AF9*EF!$H40*EF!$H58)*NtoN2O*kgtoGg=0,"NO",('Activity data'!AF9*EF!$H40*EF!$H58)*NtoN2O*kgtoGg)</f>
        <v>0.79489238443144161</v>
      </c>
      <c r="N1415" s="27">
        <f>IF(('Activity data'!AG9*EF!$H40*EF!$H58)*NtoN2O*kgtoGg=0,"NO",('Activity data'!AG9*EF!$H40*EF!$H58)*NtoN2O*kgtoGg)</f>
        <v>0.78427763712907439</v>
      </c>
      <c r="O1415" s="27">
        <f>IF(('Activity data'!AH9*EF!$H40*EF!$H58)*NtoN2O*kgtoGg=0,"NO",('Activity data'!AH9*EF!$H40*EF!$H58)*NtoN2O*kgtoGg)</f>
        <v>0.76887007218962278</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0.64156157320759799</v>
      </c>
      <c r="T1415" s="27">
        <f>IF(('Activity data'!AM9*EF!$H40*EF!$H58)*NtoN2O*kgtoGg=0,"NO",('Activity data'!AM9*EF!$H40*EF!$H58)*NtoN2O*kgtoGg)</f>
        <v>0.67223482564222559</v>
      </c>
      <c r="U1415" s="27">
        <f>IF(('Activity data'!AN9*EF!$H40*EF!$H58)*NtoN2O*kgtoGg=0,"NO",('Activity data'!AN9*EF!$H40*EF!$H58)*NtoN2O*kgtoGg)</f>
        <v>0.68285391153805586</v>
      </c>
      <c r="V1415" s="27">
        <f>IF(('Activity data'!AO9*EF!$H40*EF!$H58)*NtoN2O*kgtoGg=0,"NO",('Activity data'!AO9*EF!$H40*EF!$H58)*NtoN2O*kgtoGg)</f>
        <v>0.67824241239699168</v>
      </c>
      <c r="W1415" s="27">
        <f>IF(('Activity data'!AP9*EF!$H40*EF!$H58)*NtoN2O*kgtoGg=0,"NO",('Activity data'!AP9*EF!$H40*EF!$H58)*NtoN2O*kgtoGg)</f>
        <v>0.67449128255528179</v>
      </c>
      <c r="X1415" s="27">
        <f>IF(('Activity data'!AQ9*EF!$H40*EF!$H58)*NtoN2O*kgtoGg=0,"NO",('Activity data'!AQ9*EF!$H40*EF!$H58)*NtoN2O*kgtoGg)</f>
        <v>0.67473769040048559</v>
      </c>
      <c r="Y1415" s="27">
        <f>IF(('Activity data'!AR9*EF!$H40*EF!$H58)*NtoN2O*kgtoGg=0,"NO",('Activity data'!AR9*EF!$H40*EF!$H58)*NtoN2O*kgtoGg)</f>
        <v>0.67869980172505096</v>
      </c>
      <c r="Z1415" s="27">
        <f>IF(('Activity data'!AS9*EF!$H40*EF!$H58)*NtoN2O*kgtoGg=0,"NO",('Activity data'!AS9*EF!$H40*EF!$H58)*NtoN2O*kgtoGg)</f>
        <v>0.68432176576763859</v>
      </c>
      <c r="AA1415" s="27">
        <f>IF(('Activity data'!AT9*EF!$H40*EF!$H58)*NtoN2O*kgtoGg=0,"NO",('Activity data'!AT9*EF!$H40*EF!$H58)*NtoN2O*kgtoGg)</f>
        <v>0.69205642508232745</v>
      </c>
      <c r="AB1415" s="27">
        <f>IF(('Activity data'!AU9*EF!$H40*EF!$H58)*NtoN2O*kgtoGg=0,"NO",('Activity data'!AU9*EF!$H40*EF!$H58)*NtoN2O*kgtoGg)</f>
        <v>0.70338618316836132</v>
      </c>
      <c r="AC1415" s="27">
        <f>IF(('Activity data'!AV9*EF!$H40*EF!$H58)*NtoN2O*kgtoGg=0,"NO",('Activity data'!AV9*EF!$H40*EF!$H58)*NtoN2O*kgtoGg)</f>
        <v>0.71799106143637159</v>
      </c>
      <c r="AD1415" s="27">
        <f>IF(('Activity data'!AW9*EF!$H40*EF!$H58)*NtoN2O*kgtoGg=0,"NO",('Activity data'!AW9*EF!$H40*EF!$H58)*NtoN2O*kgtoGg)</f>
        <v>0.72817351060844282</v>
      </c>
      <c r="AE1415" s="27">
        <f>IF(('Activity data'!AX9*EF!$H40*EF!$H58)*NtoN2O*kgtoGg=0,"NO",('Activity data'!AX9*EF!$H40*EF!$H58)*NtoN2O*kgtoGg)</f>
        <v>0.7395587968520555</v>
      </c>
      <c r="AF1415" s="27">
        <f>IF(('Activity data'!AY9*EF!$H40*EF!$H58)*NtoN2O*kgtoGg=0,"NO",('Activity data'!AY9*EF!$H40*EF!$H58)*NtoN2O*kgtoGg)</f>
        <v>0.75128891020004818</v>
      </c>
      <c r="AG1415" s="27">
        <f>IF(('Activity data'!AZ9*EF!$H40*EF!$H58)*NtoN2O*kgtoGg=0,"NO",('Activity data'!AZ9*EF!$H40*EF!$H58)*NtoN2O*kgtoGg)</f>
        <v>0.76362442157000243</v>
      </c>
      <c r="AH1415" s="27">
        <f>IF(('Activity data'!BA9*EF!$H40*EF!$H58)*NtoN2O*kgtoGg=0,"NO",('Activity data'!BA9*EF!$H40*EF!$H58)*NtoN2O*kgtoGg)</f>
        <v>0.77614469341226622</v>
      </c>
      <c r="AI1415" s="27">
        <f>IF(('Activity data'!BB9*EF!$H40*EF!$H58)*NtoN2O*kgtoGg=0,"NO",('Activity data'!BB9*EF!$H40*EF!$H58)*NtoN2O*kgtoGg)</f>
        <v>0.78757792641199043</v>
      </c>
      <c r="AJ1415" s="27">
        <f>IF(('Activity data'!BC9*EF!$H40*EF!$H58)*NtoN2O*kgtoGg=0,"NO",('Activity data'!BC9*EF!$H40*EF!$H58)*NtoN2O*kgtoGg)</f>
        <v>0.79963788887456544</v>
      </c>
      <c r="AK1415" s="27">
        <f>IF(('Activity data'!BD9*EF!$H40*EF!$H58)*NtoN2O*kgtoGg=0,"NO",('Activity data'!BD9*EF!$H40*EF!$H58)*NtoN2O*kgtoGg)</f>
        <v>0.81115177770881697</v>
      </c>
      <c r="AL1415" s="27">
        <f>IF(('Activity data'!BE9*EF!$H40*EF!$H58)*NtoN2O*kgtoGg=0,"NO",('Activity data'!BE9*EF!$H40*EF!$H58)*NtoN2O*kgtoGg)</f>
        <v>0.82200866931166305</v>
      </c>
      <c r="AM1415" s="27">
        <f>IF(('Activity data'!BF9*EF!$H40*EF!$H58)*NtoN2O*kgtoGg=0,"NO",('Activity data'!BF9*EF!$H40*EF!$H58)*NtoN2O*kgtoGg)</f>
        <v>0.83267265599813822</v>
      </c>
      <c r="AN1415" s="27">
        <f>IF(('Activity data'!BG9*EF!$H40*EF!$H58)*NtoN2O*kgtoGg=0,"NO",('Activity data'!BG9*EF!$H40*EF!$H58)*NtoN2O*kgtoGg)</f>
        <v>0.84621430522926222</v>
      </c>
      <c r="AO1415" s="27">
        <f>IF(('Activity data'!BH9*EF!$H40*EF!$H58)*NtoN2O*kgtoGg=0,"NO",('Activity data'!BH9*EF!$H40*EF!$H58)*NtoN2O*kgtoGg)</f>
        <v>0.86022056748957776</v>
      </c>
      <c r="AP1415" s="27">
        <f>IF(('Activity data'!BI9*EF!$H40*EF!$H58)*NtoN2O*kgtoGg=0,"NO",('Activity data'!BI9*EF!$H40*EF!$H58)*NtoN2O*kgtoGg)</f>
        <v>0.87520044602095726</v>
      </c>
      <c r="AQ1415" s="27">
        <f>IF(('Activity data'!BJ9*EF!$H40*EF!$H58)*NtoN2O*kgtoGg=0,"NO",('Activity data'!BJ9*EF!$H40*EF!$H58)*NtoN2O*kgtoGg)</f>
        <v>0.89012204277587748</v>
      </c>
      <c r="AR1415" s="27">
        <f>IF(('Activity data'!BK9*EF!$H40*EF!$H58)*NtoN2O*kgtoGg=0,"NO",('Activity data'!BK9*EF!$H40*EF!$H58)*NtoN2O*kgtoGg)</f>
        <v>0.90500472509596042</v>
      </c>
      <c r="AS1415" s="27">
        <f>IF(('Activity data'!BL9*EF!$H40*EF!$H58)*NtoN2O*kgtoGg=0,"NO",('Activity data'!BL9*EF!$H40*EF!$H58)*NtoN2O*kgtoGg)</f>
        <v>0.92082658408654217</v>
      </c>
      <c r="AT1415" s="27">
        <f>IF(('Activity data'!BM9*EF!$H40*EF!$H58)*NtoN2O*kgtoGg=0,"NO",('Activity data'!BM9*EF!$H40*EF!$H58)*NtoN2O*kgtoGg)</f>
        <v>0.93717795190602593</v>
      </c>
      <c r="AU1415" s="27">
        <f>IF(('Activity data'!BN9*EF!$H40*EF!$H58)*NtoN2O*kgtoGg=0,"NO",('Activity data'!BN9*EF!$H40*EF!$H58)*NtoN2O*kgtoGg)</f>
        <v>0.95377454436426301</v>
      </c>
      <c r="AV1415" s="27">
        <f>IF(('Activity data'!BO9*EF!$H40*EF!$H58)*NtoN2O*kgtoGg=0,"NO",('Activity data'!BO9*EF!$H40*EF!$H58)*NtoN2O*kgtoGg)</f>
        <v>0.97118115388063697</v>
      </c>
      <c r="AW1415" s="27">
        <f>IF(('Activity data'!BP9*EF!$H40*EF!$H58)*NtoN2O*kgtoGg=0,"NO",('Activity data'!BP9*EF!$H40*EF!$H58)*NtoN2O*kgtoGg)</f>
        <v>0.98577443066842085</v>
      </c>
    </row>
    <row r="1416" spans="1:49" x14ac:dyDescent="0.25">
      <c r="A1416" s="95" t="s">
        <v>959</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0.97926119892671459</v>
      </c>
      <c r="L1416" s="27">
        <f>IF(('Activity data'!AE10*EF!$H41*EF!$H59)*NtoN2O*kgtoGg=0,"NO",('Activity data'!AE10*EF!$H41*EF!$H59)*NtoN2O*kgtoGg)</f>
        <v>1.0122801448609138</v>
      </c>
      <c r="M1416" s="27">
        <f>IF(('Activity data'!AF10*EF!$H41*EF!$H59)*NtoN2O*kgtoGg=0,"NO",('Activity data'!AF10*EF!$H41*EF!$H59)*NtoN2O*kgtoGg)</f>
        <v>1.0514701788925804</v>
      </c>
      <c r="N1416" s="27">
        <f>IF(('Activity data'!AG10*EF!$H41*EF!$H59)*NtoN2O*kgtoGg=0,"NO",('Activity data'!AG10*EF!$H41*EF!$H59)*NtoN2O*kgtoGg)</f>
        <v>1.0806972456941148</v>
      </c>
      <c r="O1416" s="27">
        <f>IF(('Activity data'!AH10*EF!$H41*EF!$H59)*NtoN2O*kgtoGg=0,"NO",('Activity data'!AH10*EF!$H41*EF!$H59)*NtoN2O*kgtoGg)</f>
        <v>1.103236794343371</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1.0797349387647497</v>
      </c>
      <c r="T1416" s="27">
        <f>IF(('Activity data'!AM10*EF!$H41*EF!$H59)*NtoN2O*kgtoGg=0,"NO",('Activity data'!AM10*EF!$H41*EF!$H59)*NtoN2O*kgtoGg)</f>
        <v>1.1586148391754056</v>
      </c>
      <c r="U1416" s="27">
        <f>IF(('Activity data'!AN10*EF!$H41*EF!$H59)*NtoN2O*kgtoGg=0,"NO",('Activity data'!AN10*EF!$H41*EF!$H59)*NtoN2O*kgtoGg)</f>
        <v>1.2048828534043301</v>
      </c>
      <c r="V1416" s="27">
        <f>IF(('Activity data'!AO10*EF!$H41*EF!$H59)*NtoN2O*kgtoGg=0,"NO",('Activity data'!AO10*EF!$H41*EF!$H59)*NtoN2O*kgtoGg)</f>
        <v>1.2248214292243891</v>
      </c>
      <c r="W1416" s="27">
        <f>IF(('Activity data'!AP10*EF!$H41*EF!$H59)*NtoN2O*kgtoGg=0,"NO",('Activity data'!AP10*EF!$H41*EF!$H59)*NtoN2O*kgtoGg)</f>
        <v>1.2462862134810584</v>
      </c>
      <c r="X1416" s="27">
        <f>IF(('Activity data'!AQ10*EF!$H41*EF!$H59)*NtoN2O*kgtoGg=0,"NO",('Activity data'!AQ10*EF!$H41*EF!$H59)*NtoN2O*kgtoGg)</f>
        <v>1.2753304123156213</v>
      </c>
      <c r="Y1416" s="27">
        <f>IF(('Activity data'!AR10*EF!$H41*EF!$H59)*NtoN2O*kgtoGg=0,"NO",('Activity data'!AR10*EF!$H41*EF!$H59)*NtoN2O*kgtoGg)</f>
        <v>1.3119382309958816</v>
      </c>
      <c r="Z1416" s="27">
        <f>IF(('Activity data'!AS10*EF!$H41*EF!$H59)*NtoN2O*kgtoGg=0,"NO",('Activity data'!AS10*EF!$H41*EF!$H59)*NtoN2O*kgtoGg)</f>
        <v>1.352551168014529</v>
      </c>
      <c r="AA1416" s="27">
        <f>IF(('Activity data'!AT10*EF!$H41*EF!$H59)*NtoN2O*kgtoGg=0,"NO",('Activity data'!AT10*EF!$H41*EF!$H59)*NtoN2O*kgtoGg)</f>
        <v>1.3983302277222904</v>
      </c>
      <c r="AB1416" s="27">
        <f>IF(('Activity data'!AU10*EF!$H41*EF!$H59)*NtoN2O*kgtoGg=0,"NO",('Activity data'!AU10*EF!$H41*EF!$H59)*NtoN2O*kgtoGg)</f>
        <v>1.45265003311069</v>
      </c>
      <c r="AC1416" s="27">
        <f>IF(('Activity data'!AV10*EF!$H41*EF!$H59)*NtoN2O*kgtoGg=0,"NO",('Activity data'!AV10*EF!$H41*EF!$H59)*NtoN2O*kgtoGg)</f>
        <v>1.5153587089508171</v>
      </c>
      <c r="AD1416" s="27">
        <f>IF(('Activity data'!AW10*EF!$H41*EF!$H59)*NtoN2O*kgtoGg=0,"NO",('Activity data'!AW10*EF!$H41*EF!$H59)*NtoN2O*kgtoGg)</f>
        <v>1.5878154020260862</v>
      </c>
      <c r="AE1416" s="27">
        <f>IF(('Activity data'!AX10*EF!$H41*EF!$H59)*NtoN2O*kgtoGg=0,"NO",('Activity data'!AX10*EF!$H41*EF!$H59)*NtoN2O*kgtoGg)</f>
        <v>1.6662236213187609</v>
      </c>
      <c r="AF1416" s="27">
        <f>IF(('Activity data'!AY10*EF!$H41*EF!$H59)*NtoN2O*kgtoGg=0,"NO",('Activity data'!AY10*EF!$H41*EF!$H59)*NtoN2O*kgtoGg)</f>
        <v>1.7490356868363826</v>
      </c>
      <c r="AG1416" s="27">
        <f>IF(('Activity data'!AZ10*EF!$H41*EF!$H59)*NtoN2O*kgtoGg=0,"NO",('Activity data'!AZ10*EF!$H41*EF!$H59)*NtoN2O*kgtoGg)</f>
        <v>1.8371605385940195</v>
      </c>
      <c r="AH1416" s="27">
        <f>IF(('Activity data'!BA10*EF!$H41*EF!$H59)*NtoN2O*kgtoGg=0,"NO",('Activity data'!BA10*EF!$H41*EF!$H59)*NtoN2O*kgtoGg)</f>
        <v>1.9299179853404884</v>
      </c>
      <c r="AI1416" s="27">
        <f>IF(('Activity data'!BB10*EF!$H41*EF!$H59)*NtoN2O*kgtoGg=0,"NO",('Activity data'!BB10*EF!$H41*EF!$H59)*NtoN2O*kgtoGg)</f>
        <v>2.0243264887955772</v>
      </c>
      <c r="AJ1416" s="27">
        <f>IF(('Activity data'!BC10*EF!$H41*EF!$H59)*NtoN2O*kgtoGg=0,"NO",('Activity data'!BC10*EF!$H41*EF!$H59)*NtoN2O*kgtoGg)</f>
        <v>2.1249172544227406</v>
      </c>
      <c r="AK1416" s="27">
        <f>IF(('Activity data'!BD10*EF!$H41*EF!$H59)*NtoN2O*kgtoGg=0,"NO",('Activity data'!BD10*EF!$H41*EF!$H59)*NtoN2O*kgtoGg)</f>
        <v>2.2289075077368197</v>
      </c>
      <c r="AL1416" s="27">
        <f>IF(('Activity data'!BE10*EF!$H41*EF!$H59)*NtoN2O*kgtoGg=0,"NO",('Activity data'!BE10*EF!$H41*EF!$H59)*NtoN2O*kgtoGg)</f>
        <v>2.3361255764589468</v>
      </c>
      <c r="AM1416" s="27">
        <f>IF(('Activity data'!BF10*EF!$H41*EF!$H59)*NtoN2O*kgtoGg=0,"NO",('Activity data'!BF10*EF!$H41*EF!$H59)*NtoN2O*kgtoGg)</f>
        <v>2.4480579395389377</v>
      </c>
      <c r="AN1416" s="27">
        <f>IF(('Activity data'!BG10*EF!$H41*EF!$H59)*NtoN2O*kgtoGg=0,"NO",('Activity data'!BG10*EF!$H41*EF!$H59)*NtoN2O*kgtoGg)</f>
        <v>2.5580662421643461</v>
      </c>
      <c r="AO1416" s="27">
        <f>IF(('Activity data'!BH10*EF!$H41*EF!$H59)*NtoN2O*kgtoGg=0,"NO",('Activity data'!BH10*EF!$H41*EF!$H59)*NtoN2O*kgtoGg)</f>
        <v>2.6740312374133999</v>
      </c>
      <c r="AP1416" s="27">
        <f>IF(('Activity data'!BI10*EF!$H41*EF!$H59)*NtoN2O*kgtoGg=0,"NO",('Activity data'!BI10*EF!$H41*EF!$H59)*NtoN2O*kgtoGg)</f>
        <v>2.7979244732629738</v>
      </c>
      <c r="AQ1416" s="27">
        <f>IF(('Activity data'!BJ10*EF!$H41*EF!$H59)*NtoN2O*kgtoGg=0,"NO",('Activity data'!BJ10*EF!$H41*EF!$H59)*NtoN2O*kgtoGg)</f>
        <v>2.9268588582276069</v>
      </c>
      <c r="AR1416" s="27">
        <f>IF(('Activity data'!BK10*EF!$H41*EF!$H59)*NtoN2O*kgtoGg=0,"NO",('Activity data'!BK10*EF!$H41*EF!$H59)*NtoN2O*kgtoGg)</f>
        <v>3.0611473278848456</v>
      </c>
      <c r="AS1416" s="27">
        <f>IF(('Activity data'!BL10*EF!$H41*EF!$H59)*NtoN2O*kgtoGg=0,"NO",('Activity data'!BL10*EF!$H41*EF!$H59)*NtoN2O*kgtoGg)</f>
        <v>3.2044630996439452</v>
      </c>
      <c r="AT1416" s="27">
        <f>IF(('Activity data'!BM10*EF!$H41*EF!$H59)*NtoN2O*kgtoGg=0,"NO",('Activity data'!BM10*EF!$H41*EF!$H59)*NtoN2O*kgtoGg)</f>
        <v>3.3559228759421229</v>
      </c>
      <c r="AU1416" s="27">
        <f>IF(('Activity data'!BN10*EF!$H41*EF!$H59)*NtoN2O*kgtoGg=0,"NO",('Activity data'!BN10*EF!$H41*EF!$H59)*NtoN2O*kgtoGg)</f>
        <v>3.5149748258951519</v>
      </c>
      <c r="AV1416" s="27">
        <f>IF(('Activity data'!BO10*EF!$H41*EF!$H59)*NtoN2O*kgtoGg=0,"NO",('Activity data'!BO10*EF!$H41*EF!$H59)*NtoN2O*kgtoGg)</f>
        <v>3.6841999883853953</v>
      </c>
      <c r="AW1416" s="27">
        <f>IF(('Activity data'!BP10*EF!$H41*EF!$H59)*NtoN2O*kgtoGg=0,"NO",('Activity data'!BP10*EF!$H41*EF!$H59)*NtoN2O*kgtoGg)</f>
        <v>3.8501065426145096</v>
      </c>
    </row>
    <row r="1417" spans="1:49" x14ac:dyDescent="0.25">
      <c r="A1417" s="95" t="s">
        <v>959</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0.11888884787446641</v>
      </c>
      <c r="T1417" s="27">
        <f>IF(('Activity data'!AM11*EF!$H42*EF!$H60)*NtoN2O*kgtoGg=0,"NO",('Activity data'!AM11*EF!$H42*EF!$H60)*NtoN2O*kgtoGg)</f>
        <v>0.11897442160845599</v>
      </c>
      <c r="U1417" s="27">
        <f>IF(('Activity data'!AN11*EF!$H42*EF!$H60)*NtoN2O*kgtoGg=0,"NO",('Activity data'!AN11*EF!$H42*EF!$H60)*NtoN2O*kgtoGg)</f>
        <v>0.11894433570617077</v>
      </c>
      <c r="V1417" s="27">
        <f>IF(('Activity data'!AO11*EF!$H42*EF!$H60)*NtoN2O*kgtoGg=0,"NO",('Activity data'!AO11*EF!$H42*EF!$H60)*NtoN2O*kgtoGg)</f>
        <v>0.11894216976117228</v>
      </c>
      <c r="W1417" s="27">
        <f>IF(('Activity data'!AP11*EF!$H42*EF!$H60)*NtoN2O*kgtoGg=0,"NO",('Activity data'!AP11*EF!$H42*EF!$H60)*NtoN2O*kgtoGg)</f>
        <v>0.11906833284654554</v>
      </c>
      <c r="X1417" s="27">
        <f>IF(('Activity data'!AQ11*EF!$H42*EF!$H60)*NtoN2O*kgtoGg=0,"NO",('Activity data'!AQ11*EF!$H42*EF!$H60)*NtoN2O*kgtoGg)</f>
        <v>0.1192748103604965</v>
      </c>
      <c r="Y1417" s="27">
        <f>IF(('Activity data'!AR11*EF!$H42*EF!$H60)*NtoN2O*kgtoGg=0,"NO",('Activity data'!AR11*EF!$H42*EF!$H60)*NtoN2O*kgtoGg)</f>
        <v>0.11947292782589553</v>
      </c>
      <c r="Z1417" s="27">
        <f>IF(('Activity data'!AS11*EF!$H42*EF!$H60)*NtoN2O*kgtoGg=0,"NO",('Activity data'!AS11*EF!$H42*EF!$H60)*NtoN2O*kgtoGg)</f>
        <v>0.11966332441080059</v>
      </c>
      <c r="AA1417" s="27">
        <f>IF(('Activity data'!AT11*EF!$H42*EF!$H60)*NtoN2O*kgtoGg=0,"NO",('Activity data'!AT11*EF!$H42*EF!$H60)*NtoN2O*kgtoGg)</f>
        <v>0.11984574027292559</v>
      </c>
      <c r="AB1417" s="27">
        <f>IF(('Activity data'!AU11*EF!$H42*EF!$H60)*NtoN2O*kgtoGg=0,"NO",('Activity data'!AU11*EF!$H42*EF!$H60)*NtoN2O*kgtoGg)</f>
        <v>0.12002397691702794</v>
      </c>
      <c r="AC1417" s="27">
        <f>IF(('Activity data'!AV11*EF!$H42*EF!$H60)*NtoN2O*kgtoGg=0,"NO",('Activity data'!AV11*EF!$H42*EF!$H60)*NtoN2O*kgtoGg)</f>
        <v>0.12020063791291828</v>
      </c>
      <c r="AD1417" s="27">
        <f>IF(('Activity data'!AW11*EF!$H42*EF!$H60)*NtoN2O*kgtoGg=0,"NO",('Activity data'!AW11*EF!$H42*EF!$H60)*NtoN2O*kgtoGg)</f>
        <v>0.12037395069486655</v>
      </c>
      <c r="AE1417" s="27">
        <f>IF(('Activity data'!AX11*EF!$H42*EF!$H60)*NtoN2O*kgtoGg=0,"NO",('Activity data'!AX11*EF!$H42*EF!$H60)*NtoN2O*kgtoGg)</f>
        <v>0.12054640721794915</v>
      </c>
      <c r="AF1417" s="27">
        <f>IF(('Activity data'!AY11*EF!$H42*EF!$H60)*NtoN2O*kgtoGg=0,"NO",('Activity data'!AY11*EF!$H42*EF!$H60)*NtoN2O*kgtoGg)</f>
        <v>0.12071746421078627</v>
      </c>
      <c r="AG1417" s="27">
        <f>IF(('Activity data'!AZ11*EF!$H42*EF!$H60)*NtoN2O*kgtoGg=0,"NO",('Activity data'!AZ11*EF!$H42*EF!$H60)*NtoN2O*kgtoGg)</f>
        <v>0.12088575105723816</v>
      </c>
      <c r="AH1417" s="27">
        <f>IF(('Activity data'!BA11*EF!$H42*EF!$H60)*NtoN2O*kgtoGg=0,"NO",('Activity data'!BA11*EF!$H42*EF!$H60)*NtoN2O*kgtoGg)</f>
        <v>0.12105200867781399</v>
      </c>
      <c r="AI1417" s="27">
        <f>IF(('Activity data'!BB11*EF!$H42*EF!$H60)*NtoN2O*kgtoGg=0,"NO",('Activity data'!BB11*EF!$H42*EF!$H60)*NtoN2O*kgtoGg)</f>
        <v>0.12121641449313381</v>
      </c>
      <c r="AJ1417" s="27">
        <f>IF(('Activity data'!BC11*EF!$H42*EF!$H60)*NtoN2O*kgtoGg=0,"NO",('Activity data'!BC11*EF!$H42*EF!$H60)*NtoN2O*kgtoGg)</f>
        <v>0.12137952665146406</v>
      </c>
      <c r="AK1417" s="27">
        <f>IF(('Activity data'!BD11*EF!$H42*EF!$H60)*NtoN2O*kgtoGg=0,"NO",('Activity data'!BD11*EF!$H42*EF!$H60)*NtoN2O*kgtoGg)</f>
        <v>0.12153635424536353</v>
      </c>
      <c r="AL1417" s="27">
        <f>IF(('Activity data'!BE11*EF!$H42*EF!$H60)*NtoN2O*kgtoGg=0,"NO",('Activity data'!BE11*EF!$H42*EF!$H60)*NtoN2O*kgtoGg)</f>
        <v>0.12168671378968904</v>
      </c>
      <c r="AM1417" s="27">
        <f>IF(('Activity data'!BF11*EF!$H42*EF!$H60)*NtoN2O*kgtoGg=0,"NO",('Activity data'!BF11*EF!$H42*EF!$H60)*NtoN2O*kgtoGg)</f>
        <v>0.12183201055728769</v>
      </c>
      <c r="AN1417" s="27">
        <f>IF(('Activity data'!BG11*EF!$H42*EF!$H60)*NtoN2O*kgtoGg=0,"NO",('Activity data'!BG11*EF!$H42*EF!$H60)*NtoN2O*kgtoGg)</f>
        <v>0.12197112574763715</v>
      </c>
      <c r="AO1417" s="27">
        <f>IF(('Activity data'!BH11*EF!$H42*EF!$H60)*NtoN2O*kgtoGg=0,"NO",('Activity data'!BH11*EF!$H42*EF!$H60)*NtoN2O*kgtoGg)</f>
        <v>0.12210431172658152</v>
      </c>
      <c r="AP1417" s="27">
        <f>IF(('Activity data'!BI11*EF!$H42*EF!$H60)*NtoN2O*kgtoGg=0,"NO",('Activity data'!BI11*EF!$H42*EF!$H60)*NtoN2O*kgtoGg)</f>
        <v>0.12223096862203452</v>
      </c>
      <c r="AQ1417" s="27">
        <f>IF(('Activity data'!BJ11*EF!$H42*EF!$H60)*NtoN2O*kgtoGg=0,"NO",('Activity data'!BJ11*EF!$H42*EF!$H60)*NtoN2O*kgtoGg)</f>
        <v>0.12234928396390207</v>
      </c>
      <c r="AR1417" s="27">
        <f>IF(('Activity data'!BK11*EF!$H42*EF!$H60)*NtoN2O*kgtoGg=0,"NO",('Activity data'!BK11*EF!$H42*EF!$H60)*NtoN2O*kgtoGg)</f>
        <v>0.12245757817594662</v>
      </c>
      <c r="AS1417" s="27">
        <f>IF(('Activity data'!BL11*EF!$H42*EF!$H60)*NtoN2O*kgtoGg=0,"NO",('Activity data'!BL11*EF!$H42*EF!$H60)*NtoN2O*kgtoGg)</f>
        <v>0.12255574185064526</v>
      </c>
      <c r="AT1417" s="27">
        <f>IF(('Activity data'!BM11*EF!$H42*EF!$H60)*NtoN2O*kgtoGg=0,"NO",('Activity data'!BM11*EF!$H42*EF!$H60)*NtoN2O*kgtoGg)</f>
        <v>0.12264302379658787</v>
      </c>
      <c r="AU1417" s="27">
        <f>IF(('Activity data'!BN11*EF!$H42*EF!$H60)*NtoN2O*kgtoGg=0,"NO",('Activity data'!BN11*EF!$H42*EF!$H60)*NtoN2O*kgtoGg)</f>
        <v>0.12271938191890155</v>
      </c>
      <c r="AV1417" s="27">
        <f>IF(('Activity data'!BO11*EF!$H42*EF!$H60)*NtoN2O*kgtoGg=0,"NO",('Activity data'!BO11*EF!$H42*EF!$H60)*NtoN2O*kgtoGg)</f>
        <v>0.12278627747914957</v>
      </c>
      <c r="AW1417" s="27">
        <f>IF(('Activity data'!BP11*EF!$H42*EF!$H60)*NtoN2O*kgtoGg=0,"NO",('Activity data'!BP11*EF!$H42*EF!$H60)*NtoN2O*kgtoGg)</f>
        <v>0.12283502162881774</v>
      </c>
    </row>
    <row r="1418" spans="1:49" x14ac:dyDescent="0.25">
      <c r="A1418" s="95" t="s">
        <v>959</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6.3574794121898134E-2</v>
      </c>
      <c r="T1418" s="27">
        <f>IF(('Activity data'!AM12*EF!$H43*EF!$H61)*NtoN2O*kgtoGg=0,"NO",('Activity data'!AM12*EF!$H43*EF!$H61)*NtoN2O*kgtoGg)</f>
        <v>6.362055394393272E-2</v>
      </c>
      <c r="U1418" s="27">
        <f>IF(('Activity data'!AN12*EF!$H43*EF!$H61)*NtoN2O*kgtoGg=0,"NO",('Activity data'!AN12*EF!$H43*EF!$H61)*NtoN2O*kgtoGg)</f>
        <v>6.3604465765117371E-2</v>
      </c>
      <c r="V1418" s="27">
        <f>IF(('Activity data'!AO12*EF!$H43*EF!$H61)*NtoN2O*kgtoGg=0,"NO",('Activity data'!AO12*EF!$H43*EF!$H61)*NtoN2O*kgtoGg)</f>
        <v>6.3603307544562435E-2</v>
      </c>
      <c r="W1418" s="27">
        <f>IF(('Activity data'!AP12*EF!$H43*EF!$H61)*NtoN2O*kgtoGg=0,"NO",('Activity data'!AP12*EF!$H43*EF!$H61)*NtoN2O*kgtoGg)</f>
        <v>6.3670772174944407E-2</v>
      </c>
      <c r="X1418" s="27">
        <f>IF(('Activity data'!AQ12*EF!$H43*EF!$H61)*NtoN2O*kgtoGg=0,"NO",('Activity data'!AQ12*EF!$H43*EF!$H61)*NtoN2O*kgtoGg)</f>
        <v>6.3781184258793491E-2</v>
      </c>
      <c r="Y1418" s="27">
        <f>IF(('Activity data'!AR12*EF!$H43*EF!$H61)*NtoN2O*kgtoGg=0,"NO",('Activity data'!AR12*EF!$H43*EF!$H61)*NtoN2O*kgtoGg)</f>
        <v>6.3887125878212575E-2</v>
      </c>
      <c r="Z1418" s="27">
        <f>IF(('Activity data'!AS12*EF!$H43*EF!$H61)*NtoN2O*kgtoGg=0,"NO",('Activity data'!AS12*EF!$H43*EF!$H61)*NtoN2O*kgtoGg)</f>
        <v>6.3988938822851713E-2</v>
      </c>
      <c r="AA1418" s="27">
        <f>IF(('Activity data'!AT12*EF!$H43*EF!$H61)*NtoN2O*kgtoGg=0,"NO",('Activity data'!AT12*EF!$H43*EF!$H61)*NtoN2O*kgtoGg)</f>
        <v>6.4086484144271705E-2</v>
      </c>
      <c r="AB1418" s="27">
        <f>IF(('Activity data'!AU12*EF!$H43*EF!$H61)*NtoN2O*kgtoGg=0,"NO",('Activity data'!AU12*EF!$H43*EF!$H61)*NtoN2O*kgtoGg)</f>
        <v>6.4181794664613767E-2</v>
      </c>
      <c r="AC1418" s="27">
        <f>IF(('Activity data'!AV12*EF!$H43*EF!$H61)*NtoN2O*kgtoGg=0,"NO",('Activity data'!AV12*EF!$H43*EF!$H61)*NtoN2O*kgtoGg)</f>
        <v>6.4276262620556607E-2</v>
      </c>
      <c r="AD1418" s="27">
        <f>IF(('Activity data'!AW12*EF!$H43*EF!$H61)*NtoN2O*kgtoGg=0,"NO",('Activity data'!AW12*EF!$H43*EF!$H61)*NtoN2O*kgtoGg)</f>
        <v>6.4368940147743067E-2</v>
      </c>
      <c r="AE1418" s="27">
        <f>IF(('Activity data'!AX12*EF!$H43*EF!$H61)*NtoN2O*kgtoGg=0,"NO",('Activity data'!AX12*EF!$H43*EF!$H61)*NtoN2O*kgtoGg)</f>
        <v>6.4461159797827752E-2</v>
      </c>
      <c r="AF1418" s="27">
        <f>IF(('Activity data'!AY12*EF!$H43*EF!$H61)*NtoN2O*kgtoGg=0,"NO",('Activity data'!AY12*EF!$H43*EF!$H61)*NtoN2O*kgtoGg)</f>
        <v>6.4552631061088828E-2</v>
      </c>
      <c r="AG1418" s="27">
        <f>IF(('Activity data'!AZ12*EF!$H43*EF!$H61)*NtoN2O*kgtoGg=0,"NO",('Activity data'!AZ12*EF!$H43*EF!$H61)*NtoN2O*kgtoGg)</f>
        <v>6.4642621012273305E-2</v>
      </c>
      <c r="AH1418" s="27">
        <f>IF(('Activity data'!BA12*EF!$H43*EF!$H61)*NtoN2O*kgtoGg=0,"NO",('Activity data'!BA12*EF!$H43*EF!$H61)*NtoN2O*kgtoGg)</f>
        <v>6.4731525852283742E-2</v>
      </c>
      <c r="AI1418" s="27">
        <f>IF(('Activity data'!BB12*EF!$H43*EF!$H61)*NtoN2O*kgtoGg=0,"NO",('Activity data'!BB12*EF!$H43*EF!$H61)*NtoN2O*kgtoGg)</f>
        <v>6.4819440455278599E-2</v>
      </c>
      <c r="AJ1418" s="27">
        <f>IF(('Activity data'!BC12*EF!$H43*EF!$H61)*NtoN2O*kgtoGg=0,"NO",('Activity data'!BC12*EF!$H43*EF!$H61)*NtoN2O*kgtoGg)</f>
        <v>6.4906663286267555E-2</v>
      </c>
      <c r="AK1418" s="27">
        <f>IF(('Activity data'!BD12*EF!$H43*EF!$H61)*NtoN2O*kgtoGg=0,"NO",('Activity data'!BD12*EF!$H43*EF!$H61)*NtoN2O*kgtoGg)</f>
        <v>6.499052550020136E-2</v>
      </c>
      <c r="AL1418" s="27">
        <f>IF(('Activity data'!BE12*EF!$H43*EF!$H61)*NtoN2O*kgtoGg=0,"NO",('Activity data'!BE12*EF!$H43*EF!$H61)*NtoN2O*kgtoGg)</f>
        <v>6.5070928979969703E-2</v>
      </c>
      <c r="AM1418" s="27">
        <f>IF(('Activity data'!BF12*EF!$H43*EF!$H61)*NtoN2O*kgtoGg=0,"NO",('Activity data'!BF12*EF!$H43*EF!$H61)*NtoN2O*kgtoGg)</f>
        <v>6.5148625183203274E-2</v>
      </c>
      <c r="AN1418" s="27">
        <f>IF(('Activity data'!BG12*EF!$H43*EF!$H61)*NtoN2O*kgtoGg=0,"NO",('Activity data'!BG12*EF!$H43*EF!$H61)*NtoN2O*kgtoGg)</f>
        <v>6.5223015840895862E-2</v>
      </c>
      <c r="AO1418" s="27">
        <f>IF(('Activity data'!BH12*EF!$H43*EF!$H61)*NtoN2O*kgtoGg=0,"NO",('Activity data'!BH12*EF!$H43*EF!$H61)*NtoN2O*kgtoGg)</f>
        <v>6.5294235903523207E-2</v>
      </c>
      <c r="AP1418" s="27">
        <f>IF(('Activity data'!BI12*EF!$H43*EF!$H61)*NtoN2O*kgtoGg=0,"NO",('Activity data'!BI12*EF!$H43*EF!$H61)*NtoN2O*kgtoGg)</f>
        <v>6.5361964594620001E-2</v>
      </c>
      <c r="AQ1418" s="27">
        <f>IF(('Activity data'!BJ12*EF!$H43*EF!$H61)*NtoN2O*kgtoGg=0,"NO",('Activity data'!BJ12*EF!$H43*EF!$H61)*NtoN2O*kgtoGg)</f>
        <v>6.542523271131194E-2</v>
      </c>
      <c r="AR1418" s="27">
        <f>IF(('Activity data'!BK12*EF!$H43*EF!$H61)*NtoN2O*kgtoGg=0,"NO",('Activity data'!BK12*EF!$H43*EF!$H61)*NtoN2O*kgtoGg)</f>
        <v>6.548314211457737E-2</v>
      </c>
      <c r="AS1418" s="27">
        <f>IF(('Activity data'!BL12*EF!$H43*EF!$H61)*NtoN2O*kgtoGg=0,"NO",('Activity data'!BL12*EF!$H43*EF!$H61)*NtoN2O*kgtoGg)</f>
        <v>6.5535634299679582E-2</v>
      </c>
      <c r="AT1418" s="27">
        <f>IF(('Activity data'!BM12*EF!$H43*EF!$H61)*NtoN2O*kgtoGg=0,"NO",('Activity data'!BM12*EF!$H43*EF!$H61)*NtoN2O*kgtoGg)</f>
        <v>6.5582307573439622E-2</v>
      </c>
      <c r="AU1418" s="27">
        <f>IF(('Activity data'!BN12*EF!$H43*EF!$H61)*NtoN2O*kgtoGg=0,"NO",('Activity data'!BN12*EF!$H43*EF!$H61)*NtoN2O*kgtoGg)</f>
        <v>6.5623139425984384E-2</v>
      </c>
      <c r="AV1418" s="27">
        <f>IF(('Activity data'!BO12*EF!$H43*EF!$H61)*NtoN2O*kgtoGg=0,"NO",('Activity data'!BO12*EF!$H43*EF!$H61)*NtoN2O*kgtoGg)</f>
        <v>6.5658911254431448E-2</v>
      </c>
      <c r="AW1418" s="27">
        <f>IF(('Activity data'!BP12*EF!$H43*EF!$H61)*NtoN2O*kgtoGg=0,"NO",('Activity data'!BP12*EF!$H43*EF!$H61)*NtoN2O*kgtoGg)</f>
        <v>6.5684976771384518E-2</v>
      </c>
    </row>
    <row r="1419" spans="1:49" x14ac:dyDescent="0.25">
      <c r="A1419" s="95" t="s">
        <v>959</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1.4486129996083083E-2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1.4890706011157254E-2</v>
      </c>
      <c r="R1419" s="27">
        <f>IF(('Activity data'!AK13*EF!$H44*EF!$H62)*NtoN2O*kgtoGg=0,"NO",('Activity data'!AK13*EF!$H44*EF!$H62)*NtoN2O*kgtoGg)</f>
        <v>1.4988675221399694E-2</v>
      </c>
      <c r="S1419" s="27">
        <f>IF(('Activity data'!AL13*EF!$H44*EF!$H62)*NtoN2O*kgtoGg=0,"NO",('Activity data'!AL13*EF!$H44*EF!$H62)*NtoN2O*kgtoGg)</f>
        <v>1.4951923212530764E-2</v>
      </c>
      <c r="T1419" s="27">
        <f>IF(('Activity data'!AM13*EF!$H44*EF!$H62)*NtoN2O*kgtoGg=0,"NO",('Activity data'!AM13*EF!$H44*EF!$H62)*NtoN2O*kgtoGg)</f>
        <v>1.4977625582861876E-2</v>
      </c>
      <c r="U1419" s="27">
        <f>IF(('Activity data'!AN13*EF!$H44*EF!$H62)*NtoN2O*kgtoGg=0,"NO",('Activity data'!AN13*EF!$H44*EF!$H62)*NtoN2O*kgtoGg)</f>
        <v>1.4980119703065675E-2</v>
      </c>
      <c r="V1419" s="27">
        <f>IF(('Activity data'!AO13*EF!$H44*EF!$H62)*NtoN2O*kgtoGg=0,"NO",('Activity data'!AO13*EF!$H44*EF!$H62)*NtoN2O*kgtoGg)</f>
        <v>1.4986976942692673E-2</v>
      </c>
      <c r="W1419" s="27">
        <f>IF(('Activity data'!AP13*EF!$H44*EF!$H62)*NtoN2O*kgtoGg=0,"NO",('Activity data'!AP13*EF!$H44*EF!$H62)*NtoN2O*kgtoGg)</f>
        <v>1.5017294663736542E-2</v>
      </c>
      <c r="X1419" s="27">
        <f>IF(('Activity data'!AQ13*EF!$H44*EF!$H62)*NtoN2O*kgtoGg=0,"NO",('Activity data'!AQ13*EF!$H44*EF!$H62)*NtoN2O*kgtoGg)</f>
        <v>1.5061890336193319E-2</v>
      </c>
      <c r="Y1419" s="27">
        <f>IF(('Activity data'!AR13*EF!$H44*EF!$H62)*NtoN2O*kgtoGg=0,"NO",('Activity data'!AR13*EF!$H44*EF!$H62)*NtoN2O*kgtoGg)</f>
        <v>1.5103986297595969E-2</v>
      </c>
      <c r="Z1419" s="27">
        <f>IF(('Activity data'!AS13*EF!$H44*EF!$H62)*NtoN2O*kgtoGg=0,"NO",('Activity data'!AS13*EF!$H44*EF!$H62)*NtoN2O*kgtoGg)</f>
        <v>1.5143780477124499E-2</v>
      </c>
      <c r="AA1419" s="27">
        <f>IF(('Activity data'!AT13*EF!$H44*EF!$H62)*NtoN2O*kgtoGg=0,"NO",('Activity data'!AT13*EF!$H44*EF!$H62)*NtoN2O*kgtoGg)</f>
        <v>1.518129324368281E-2</v>
      </c>
      <c r="AB1419" s="27">
        <f>IF(('Activity data'!AU13*EF!$H44*EF!$H62)*NtoN2O*kgtoGg=0,"NO",('Activity data'!AU13*EF!$H44*EF!$H62)*NtoN2O*kgtoGg)</f>
        <v>1.5217300806744069E-2</v>
      </c>
      <c r="AC1419" s="27">
        <f>IF(('Activity data'!AV13*EF!$H44*EF!$H62)*NtoN2O*kgtoGg=0,"NO",('Activity data'!AV13*EF!$H44*EF!$H62)*NtoN2O*kgtoGg)</f>
        <v>1.5252343422195683E-2</v>
      </c>
      <c r="AD1419" s="27">
        <f>IF(('Activity data'!AW13*EF!$H44*EF!$H62)*NtoN2O*kgtoGg=0,"NO",('Activity data'!AW13*EF!$H44*EF!$H62)*NtoN2O*kgtoGg)</f>
        <v>1.528613499352576E-2</v>
      </c>
      <c r="AE1419" s="27">
        <f>IF(('Activity data'!AX13*EF!$H44*EF!$H62)*NtoN2O*kgtoGg=0,"NO",('Activity data'!AX13*EF!$H44*EF!$H62)*NtoN2O*kgtoGg)</f>
        <v>1.5319183069795761E-2</v>
      </c>
      <c r="AF1419" s="27">
        <f>IF(('Activity data'!AY13*EF!$H44*EF!$H62)*NtoN2O*kgtoGg=0,"NO",('Activity data'!AY13*EF!$H44*EF!$H62)*NtoN2O*kgtoGg)</f>
        <v>1.5351423055728343E-2</v>
      </c>
      <c r="AG1419" s="27">
        <f>IF(('Activity data'!AZ13*EF!$H44*EF!$H62)*NtoN2O*kgtoGg=0,"NO",('Activity data'!AZ13*EF!$H44*EF!$H62)*NtoN2O*kgtoGg)</f>
        <v>1.5382634347686872E-2</v>
      </c>
      <c r="AH1419" s="27">
        <f>IF(('Activity data'!BA13*EF!$H44*EF!$H62)*NtoN2O*kgtoGg=0,"NO",('Activity data'!BA13*EF!$H44*EF!$H62)*NtoN2O*kgtoGg)</f>
        <v>1.5412986814805201E-2</v>
      </c>
      <c r="AI1419" s="27">
        <f>IF(('Activity data'!BB13*EF!$H44*EF!$H62)*NtoN2O*kgtoGg=0,"NO",('Activity data'!BB13*EF!$H44*EF!$H62)*NtoN2O*kgtoGg)</f>
        <v>1.5442542460580333E-2</v>
      </c>
      <c r="AJ1419" s="27">
        <f>IF(('Activity data'!BC13*EF!$H44*EF!$H62)*NtoN2O*kgtoGg=0,"NO",('Activity data'!BC13*EF!$H44*EF!$H62)*NtoN2O*kgtoGg)</f>
        <v>1.5471431054826285E-2</v>
      </c>
      <c r="AK1419" s="27">
        <f>IF(('Activity data'!BD13*EF!$H44*EF!$H62)*NtoN2O*kgtoGg=0,"NO",('Activity data'!BD13*EF!$H44*EF!$H62)*NtoN2O*kgtoGg)</f>
        <v>1.5498756892033489E-2</v>
      </c>
      <c r="AL1419" s="27">
        <f>IF(('Activity data'!BE13*EF!$H44*EF!$H62)*NtoN2O*kgtoGg=0,"NO",('Activity data'!BE13*EF!$H44*EF!$H62)*NtoN2O*kgtoGg)</f>
        <v>1.5524513513074619E-2</v>
      </c>
      <c r="AM1419" s="27">
        <f>IF(('Activity data'!BF13*EF!$H44*EF!$H62)*NtoN2O*kgtoGg=0,"NO",('Activity data'!BF13*EF!$H44*EF!$H62)*NtoN2O*kgtoGg)</f>
        <v>1.5548984646319333E-2</v>
      </c>
      <c r="AN1419" s="27">
        <f>IF(('Activity data'!BG13*EF!$H44*EF!$H62)*NtoN2O*kgtoGg=0,"NO",('Activity data'!BG13*EF!$H44*EF!$H62)*NtoN2O*kgtoGg)</f>
        <v>1.5571987875403363E-2</v>
      </c>
      <c r="AO1419" s="27">
        <f>IF(('Activity data'!BH13*EF!$H44*EF!$H62)*NtoN2O*kgtoGg=0,"NO",('Activity data'!BH13*EF!$H44*EF!$H62)*NtoN2O*kgtoGg)</f>
        <v>1.5593591673600768E-2</v>
      </c>
      <c r="AP1419" s="27">
        <f>IF(('Activity data'!BI13*EF!$H44*EF!$H62)*NtoN2O*kgtoGg=0,"NO",('Activity data'!BI13*EF!$H44*EF!$H62)*NtoN2O*kgtoGg)</f>
        <v>1.5613707165200276E-2</v>
      </c>
      <c r="AQ1419" s="27">
        <f>IF(('Activity data'!BJ13*EF!$H44*EF!$H62)*NtoN2O*kgtoGg=0,"NO",('Activity data'!BJ13*EF!$H44*EF!$H62)*NtoN2O*kgtoGg)</f>
        <v>1.5632023858239551E-2</v>
      </c>
      <c r="AR1419" s="27">
        <f>IF(('Activity data'!BK13*EF!$H44*EF!$H62)*NtoN2O*kgtoGg=0,"NO",('Activity data'!BK13*EF!$H44*EF!$H62)*NtoN2O*kgtoGg)</f>
        <v>1.5648256533695205E-2</v>
      </c>
      <c r="AS1419" s="27">
        <f>IF(('Activity data'!BL13*EF!$H44*EF!$H62)*NtoN2O*kgtoGg=0,"NO",('Activity data'!BL13*EF!$H44*EF!$H62)*NtoN2O*kgtoGg)</f>
        <v>1.5662406299088667E-2</v>
      </c>
      <c r="AT1419" s="27">
        <f>IF(('Activity data'!BM13*EF!$H44*EF!$H62)*NtoN2O*kgtoGg=0,"NO",('Activity data'!BM13*EF!$H44*EF!$H62)*NtoN2O*kgtoGg)</f>
        <v>1.5674356891571192E-2</v>
      </c>
      <c r="AU1419" s="27">
        <f>IF(('Activity data'!BN13*EF!$H44*EF!$H62)*NtoN2O*kgtoGg=0,"NO",('Activity data'!BN13*EF!$H44*EF!$H62)*NtoN2O*kgtoGg)</f>
        <v>1.568412043163633E-2</v>
      </c>
      <c r="AV1419" s="27">
        <f>IF(('Activity data'!BO13*EF!$H44*EF!$H62)*NtoN2O*kgtoGg=0,"NO",('Activity data'!BO13*EF!$H44*EF!$H62)*NtoN2O*kgtoGg)</f>
        <v>1.5691980107154113E-2</v>
      </c>
      <c r="AW1419" s="27">
        <f>IF(('Activity data'!BP13*EF!$H44*EF!$H62)*NtoN2O*kgtoGg=0,"NO",('Activity data'!BP13*EF!$H44*EF!$H62)*NtoN2O*kgtoGg)</f>
        <v>1.5696383554298719E-2</v>
      </c>
    </row>
    <row r="1420" spans="1:49" x14ac:dyDescent="0.25">
      <c r="A1420" s="95" t="s">
        <v>959</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0.11805182815822723</v>
      </c>
      <c r="R1420" s="27">
        <f>IF(('Activity data'!AK14*EF!$H45*EF!$H63)*NtoN2O*kgtoGg=0,"NO",('Activity data'!AK14*EF!$H45*EF!$H63)*NtoN2O*kgtoGg)</f>
        <v>0.11882851694408277</v>
      </c>
      <c r="S1420" s="27">
        <f>IF(('Activity data'!AL14*EF!$H45*EF!$H63)*NtoN2O*kgtoGg=0,"NO",('Activity data'!AL14*EF!$H45*EF!$H63)*NtoN2O*kgtoGg)</f>
        <v>0.11853715118666242</v>
      </c>
      <c r="T1420" s="27">
        <f>IF(('Activity data'!AM14*EF!$H45*EF!$H63)*NtoN2O*kgtoGg=0,"NO",('Activity data'!AM14*EF!$H45*EF!$H63)*NtoN2O*kgtoGg)</f>
        <v>0.11874091666314918</v>
      </c>
      <c r="U1420" s="27">
        <f>IF(('Activity data'!AN14*EF!$H45*EF!$H63)*NtoN2O*kgtoGg=0,"NO",('Activity data'!AN14*EF!$H45*EF!$H63)*NtoN2O*kgtoGg)</f>
        <v>0.11876068976520925</v>
      </c>
      <c r="V1420" s="27">
        <f>IF(('Activity data'!AO14*EF!$H45*EF!$H63)*NtoN2O*kgtoGg=0,"NO",('Activity data'!AO14*EF!$H45*EF!$H63)*NtoN2O*kgtoGg)</f>
        <v>0.11881505318313448</v>
      </c>
      <c r="W1420" s="27">
        <f>IF(('Activity data'!AP14*EF!$H45*EF!$H63)*NtoN2O*kgtoGg=0,"NO",('Activity data'!AP14*EF!$H45*EF!$H63)*NtoN2O*kgtoGg)</f>
        <v>0.11905540863653861</v>
      </c>
      <c r="X1420" s="27">
        <f>IF(('Activity data'!AQ14*EF!$H45*EF!$H63)*NtoN2O*kgtoGg=0,"NO",('Activity data'!AQ14*EF!$H45*EF!$H63)*NtoN2O*kgtoGg)</f>
        <v>0.11940895806915272</v>
      </c>
      <c r="Y1420" s="27">
        <f>IF(('Activity data'!AR14*EF!$H45*EF!$H63)*NtoN2O*kgtoGg=0,"NO",('Activity data'!AR14*EF!$H45*EF!$H63)*NtoN2O*kgtoGg)</f>
        <v>0.11974269007607956</v>
      </c>
      <c r="Z1420" s="27">
        <f>IF(('Activity data'!AS14*EF!$H45*EF!$H63)*NtoN2O*kgtoGg=0,"NO",('Activity data'!AS14*EF!$H45*EF!$H63)*NtoN2O*kgtoGg)</f>
        <v>0.12005817381740651</v>
      </c>
      <c r="AA1420" s="27">
        <f>IF(('Activity data'!AT14*EF!$H45*EF!$H63)*NtoN2O*kgtoGg=0,"NO",('Activity data'!AT14*EF!$H45*EF!$H63)*NtoN2O*kgtoGg)</f>
        <v>0.12035557077549322</v>
      </c>
      <c r="AB1420" s="27">
        <f>IF(('Activity data'!AU14*EF!$H45*EF!$H63)*NtoN2O*kgtoGg=0,"NO",('Activity data'!AU14*EF!$H45*EF!$H63)*NtoN2O*kgtoGg)</f>
        <v>0.12064103465099509</v>
      </c>
      <c r="AC1420" s="27">
        <f>IF(('Activity data'!AV14*EF!$H45*EF!$H63)*NtoN2O*kgtoGg=0,"NO",('Activity data'!AV14*EF!$H45*EF!$H63)*NtoN2O*kgtoGg)</f>
        <v>0.12091884853130468</v>
      </c>
      <c r="AD1420" s="27">
        <f>IF(('Activity data'!AW14*EF!$H45*EF!$H63)*NtoN2O*kgtoGg=0,"NO",('Activity data'!AW14*EF!$H45*EF!$H63)*NtoN2O*kgtoGg)</f>
        <v>0.12118674427572847</v>
      </c>
      <c r="AE1420" s="27">
        <f>IF(('Activity data'!AX14*EF!$H45*EF!$H63)*NtoN2O*kgtoGg=0,"NO",('Activity data'!AX14*EF!$H45*EF!$H63)*NtoN2O*kgtoGg)</f>
        <v>0.12144874567565288</v>
      </c>
      <c r="AF1420" s="27">
        <f>IF(('Activity data'!AY14*EF!$H45*EF!$H63)*NtoN2O*kgtoGg=0,"NO",('Activity data'!AY14*EF!$H45*EF!$H63)*NtoN2O*kgtoGg)</f>
        <v>0.1217043406270464</v>
      </c>
      <c r="AG1420" s="27">
        <f>IF(('Activity data'!AZ14*EF!$H45*EF!$H63)*NtoN2O*kgtoGg=0,"NO",('Activity data'!AZ14*EF!$H45*EF!$H63)*NtoN2O*kgtoGg)</f>
        <v>0.12195178020930149</v>
      </c>
      <c r="AH1420" s="27">
        <f>IF(('Activity data'!BA14*EF!$H45*EF!$H63)*NtoN2O*kgtoGg=0,"NO",('Activity data'!BA14*EF!$H45*EF!$H63)*NtoN2O*kgtoGg)</f>
        <v>0.12219241112564265</v>
      </c>
      <c r="AI1420" s="27">
        <f>IF(('Activity data'!BB14*EF!$H45*EF!$H63)*NtoN2O*kgtoGg=0,"NO",('Activity data'!BB14*EF!$H45*EF!$H63)*NtoN2O*kgtoGg)</f>
        <v>0.1224267249327608</v>
      </c>
      <c r="AJ1420" s="27">
        <f>IF(('Activity data'!BC14*EF!$H45*EF!$H63)*NtoN2O*kgtoGg=0,"NO",('Activity data'!BC14*EF!$H45*EF!$H63)*NtoN2O*kgtoGg)</f>
        <v>0.1226557504310213</v>
      </c>
      <c r="AK1420" s="27">
        <f>IF(('Activity data'!BD14*EF!$H45*EF!$H63)*NtoN2O*kgtoGg=0,"NO",('Activity data'!BD14*EF!$H45*EF!$H63)*NtoN2O*kgtoGg)</f>
        <v>0.12287238656874688</v>
      </c>
      <c r="AL1420" s="27">
        <f>IF(('Activity data'!BE14*EF!$H45*EF!$H63)*NtoN2O*kgtoGg=0,"NO",('Activity data'!BE14*EF!$H45*EF!$H63)*NtoN2O*kgtoGg)</f>
        <v>0.12307658213870883</v>
      </c>
      <c r="AM1420" s="27">
        <f>IF(('Activity data'!BF14*EF!$H45*EF!$H63)*NtoN2O*kgtoGg=0,"NO",('Activity data'!BF14*EF!$H45*EF!$H63)*NtoN2O*kgtoGg)</f>
        <v>0.1232705865072376</v>
      </c>
      <c r="AN1420" s="27">
        <f>IF(('Activity data'!BG14*EF!$H45*EF!$H63)*NtoN2O*kgtoGg=0,"NO",('Activity data'!BG14*EF!$H45*EF!$H63)*NtoN2O*kgtoGg)</f>
        <v>0.12345295349808931</v>
      </c>
      <c r="AO1420" s="27">
        <f>IF(('Activity data'!BH14*EF!$H45*EF!$H63)*NtoN2O*kgtoGg=0,"NO",('Activity data'!BH14*EF!$H45*EF!$H63)*NtoN2O*kgtoGg)</f>
        <v>0.12362422595961356</v>
      </c>
      <c r="AP1420" s="27">
        <f>IF(('Activity data'!BI14*EF!$H45*EF!$H63)*NtoN2O*kgtoGg=0,"NO",('Activity data'!BI14*EF!$H45*EF!$H63)*NtoN2O*kgtoGg)</f>
        <v>0.12378369929525287</v>
      </c>
      <c r="AQ1420" s="27">
        <f>IF(('Activity data'!BJ14*EF!$H45*EF!$H63)*NtoN2O*kgtoGg=0,"NO",('Activity data'!BJ14*EF!$H45*EF!$H63)*NtoN2O*kgtoGg)</f>
        <v>0.12392891195994982</v>
      </c>
      <c r="AR1420" s="27">
        <f>IF(('Activity data'!BK14*EF!$H45*EF!$H63)*NtoN2O*kgtoGg=0,"NO",('Activity data'!BK14*EF!$H45*EF!$H63)*NtoN2O*kgtoGg)</f>
        <v>0.12405760276964035</v>
      </c>
      <c r="AS1420" s="27">
        <f>IF(('Activity data'!BL14*EF!$H45*EF!$H63)*NtoN2O*kgtoGg=0,"NO",('Activity data'!BL14*EF!$H45*EF!$H63)*NtoN2O*kgtoGg)</f>
        <v>0.12416978050462869</v>
      </c>
      <c r="AT1420" s="27">
        <f>IF(('Activity data'!BM14*EF!$H45*EF!$H63)*NtoN2O*kgtoGg=0,"NO",('Activity data'!BM14*EF!$H45*EF!$H63)*NtoN2O*kgtoGg)</f>
        <v>0.12426452344623794</v>
      </c>
      <c r="AU1420" s="27">
        <f>IF(('Activity data'!BN14*EF!$H45*EF!$H63)*NtoN2O*kgtoGg=0,"NO",('Activity data'!BN14*EF!$H45*EF!$H63)*NtoN2O*kgtoGg)</f>
        <v>0.12434192768436619</v>
      </c>
      <c r="AV1420" s="27">
        <f>IF(('Activity data'!BO14*EF!$H45*EF!$H63)*NtoN2O*kgtoGg=0,"NO",('Activity data'!BO14*EF!$H45*EF!$H63)*NtoN2O*kgtoGg)</f>
        <v>0.1244042383003242</v>
      </c>
      <c r="AW1420" s="27">
        <f>IF(('Activity data'!BP14*EF!$H45*EF!$H63)*NtoN2O*kgtoGg=0,"NO",('Activity data'!BP14*EF!$H45*EF!$H63)*NtoN2O*kgtoGg)</f>
        <v>0.12443914832979021</v>
      </c>
    </row>
    <row r="1421" spans="1:49" x14ac:dyDescent="0.25">
      <c r="A1421" s="95" t="s">
        <v>959</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5">
      <c r="A1422" s="95" t="s">
        <v>959</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5">
      <c r="A1423" s="95" t="s">
        <v>959</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9.6937181363551519E-2</v>
      </c>
      <c r="M1423" s="27">
        <f>IF(('Activity data'!AF17*EF!$H48*EF!$H66)*NtoN2O*kgtoGg=0,"NO",('Activity data'!AF17*EF!$H48*EF!$H66)*NtoN2O*kgtoGg)</f>
        <v>9.6980665528366566E-2</v>
      </c>
      <c r="N1423" s="27">
        <f>IF(('Activity data'!AG17*EF!$H48*EF!$H66)*NtoN2O*kgtoGg=0,"NO",('Activity data'!AG17*EF!$H48*EF!$H66)*NtoN2O*kgtoGg)</f>
        <v>9.6090308702663552E-2</v>
      </c>
      <c r="O1423" s="27">
        <f>IF(('Activity data'!AH17*EF!$H48*EF!$H66)*NtoN2O*kgtoGg=0,"NO",('Activity data'!AH17*EF!$H48*EF!$H66)*NtoN2O*kgtoGg)</f>
        <v>9.4636150647850456E-2</v>
      </c>
      <c r="P1423" s="27">
        <f>IF(('Activity data'!AI17*EF!$H48*EF!$H66)*NtoN2O*kgtoGg=0,"NO",('Activity data'!AI17*EF!$H48*EF!$H66)*NtoN2O*kgtoGg)</f>
        <v>9.2641437622218339E-2</v>
      </c>
      <c r="Q1423" s="27">
        <f>IF(('Activity data'!AJ17*EF!$H48*EF!$H66)*NtoN2O*kgtoGg=0,"NO",('Activity data'!AJ17*EF!$H48*EF!$H66)*NtoN2O*kgtoGg)</f>
        <v>9.1193054757597189E-2</v>
      </c>
      <c r="R1423" s="27">
        <f>IF(('Activity data'!AK17*EF!$H48*EF!$H66)*NtoN2O*kgtoGg=0,"NO",('Activity data'!AK17*EF!$H48*EF!$H66)*NtoN2O*kgtoGg)</f>
        <v>8.9872834352323586E-2</v>
      </c>
      <c r="S1423" s="27">
        <f>IF(('Activity data'!AL17*EF!$H48*EF!$H66)*NtoN2O*kgtoGg=0,"NO",('Activity data'!AL17*EF!$H48*EF!$H66)*NtoN2O*kgtoGg)</f>
        <v>8.0734544225409766E-2</v>
      </c>
      <c r="T1423" s="27">
        <f>IF(('Activity data'!AM17*EF!$H48*EF!$H66)*NtoN2O*kgtoGg=0,"NO",('Activity data'!AM17*EF!$H48*EF!$H66)*NtoN2O*kgtoGg)</f>
        <v>8.4382841213531623E-2</v>
      </c>
      <c r="U1423" s="27">
        <f>IF(('Activity data'!AN17*EF!$H48*EF!$H66)*NtoN2O*kgtoGg=0,"NO",('Activity data'!AN17*EF!$H48*EF!$H66)*NtoN2O*kgtoGg)</f>
        <v>8.5485831085546846E-2</v>
      </c>
      <c r="V1423" s="27">
        <f>IF(('Activity data'!AO17*EF!$H48*EF!$H66)*NtoN2O*kgtoGg=0,"NO",('Activity data'!AO17*EF!$H48*EF!$H66)*NtoN2O*kgtoGg)</f>
        <v>8.4642168924532232E-2</v>
      </c>
      <c r="W1423" s="27">
        <f>IF(('Activity data'!AP17*EF!$H48*EF!$H66)*NtoN2O*kgtoGg=0,"NO",('Activity data'!AP17*EF!$H48*EF!$H66)*NtoN2O*kgtoGg)</f>
        <v>8.3900172539890919E-2</v>
      </c>
      <c r="X1423" s="27">
        <f>IF(('Activity data'!AQ17*EF!$H48*EF!$H66)*NtoN2O*kgtoGg=0,"NO",('Activity data'!AQ17*EF!$H48*EF!$H66)*NtoN2O*kgtoGg)</f>
        <v>8.3670858252268526E-2</v>
      </c>
      <c r="Y1423" s="27">
        <f>IF(('Activity data'!AR17*EF!$H48*EF!$H66)*NtoN2O*kgtoGg=0,"NO",('Activity data'!AR17*EF!$H48*EF!$H66)*NtoN2O*kgtoGg)</f>
        <v>8.3934301237427442E-2</v>
      </c>
      <c r="Z1423" s="27">
        <f>IF(('Activity data'!AS17*EF!$H48*EF!$H66)*NtoN2O*kgtoGg=0,"NO",('Activity data'!AS17*EF!$H48*EF!$H66)*NtoN2O*kgtoGg)</f>
        <v>8.44249898120146E-2</v>
      </c>
      <c r="AA1423" s="27">
        <f>IF(('Activity data'!AT17*EF!$H48*EF!$H66)*NtoN2O*kgtoGg=0,"NO",('Activity data'!AT17*EF!$H48*EF!$H66)*NtoN2O*kgtoGg)</f>
        <v>8.5198904999322256E-2</v>
      </c>
      <c r="AB1423" s="27">
        <f>IF(('Activity data'!AU17*EF!$H48*EF!$H66)*NtoN2O*kgtoGg=0,"NO",('Activity data'!AU17*EF!$H48*EF!$H66)*NtoN2O*kgtoGg)</f>
        <v>8.6442123684456251E-2</v>
      </c>
      <c r="AC1423" s="27">
        <f>IF(('Activity data'!AV17*EF!$H48*EF!$H66)*NtoN2O*kgtoGg=0,"NO",('Activity data'!AV17*EF!$H48*EF!$H66)*NtoN2O*kgtoGg)</f>
        <v>8.8111240076380506E-2</v>
      </c>
      <c r="AD1423" s="27">
        <f>IF(('Activity data'!AW17*EF!$H48*EF!$H66)*NtoN2O*kgtoGg=0,"NO",('Activity data'!AW17*EF!$H48*EF!$H66)*NtoN2O*kgtoGg)</f>
        <v>9.001094563198829E-2</v>
      </c>
      <c r="AE1423" s="27">
        <f>IF(('Activity data'!AX17*EF!$H48*EF!$H66)*NtoN2O*kgtoGg=0,"NO",('Activity data'!AX17*EF!$H48*EF!$H66)*NtoN2O*kgtoGg)</f>
        <v>9.2122381916242821E-2</v>
      </c>
      <c r="AF1423" s="27">
        <f>IF(('Activity data'!AY17*EF!$H48*EF!$H66)*NtoN2O*kgtoGg=0,"NO",('Activity data'!AY17*EF!$H48*EF!$H66)*NtoN2O*kgtoGg)</f>
        <v>9.433993402703468E-2</v>
      </c>
      <c r="AG1423" s="27">
        <f>IF(('Activity data'!AZ17*EF!$H48*EF!$H66)*NtoN2O*kgtoGg=0,"NO",('Activity data'!AZ17*EF!$H48*EF!$H66)*NtoN2O*kgtoGg)</f>
        <v>9.6701686348057328E-2</v>
      </c>
      <c r="AH1423" s="27">
        <f>IF(('Activity data'!BA17*EF!$H48*EF!$H66)*NtoN2O*kgtoGg=0,"NO",('Activity data'!BA17*EF!$H48*EF!$H66)*NtoN2O*kgtoGg)</f>
        <v>9.9156733920468212E-2</v>
      </c>
      <c r="AI1423" s="27">
        <f>IF(('Activity data'!BB17*EF!$H48*EF!$H66)*NtoN2O*kgtoGg=0,"NO",('Activity data'!BB17*EF!$H48*EF!$H66)*NtoN2O*kgtoGg)</f>
        <v>0.10153918433243618</v>
      </c>
      <c r="AJ1423" s="27">
        <f>IF(('Activity data'!BC17*EF!$H48*EF!$H66)*NtoN2O*kgtoGg=0,"NO",('Activity data'!BC17*EF!$H48*EF!$H66)*NtoN2O*kgtoGg)</f>
        <v>0.10407920464758763</v>
      </c>
      <c r="AK1423" s="27">
        <f>IF(('Activity data'!BD17*EF!$H48*EF!$H66)*NtoN2O*kgtoGg=0,"NO",('Activity data'!BD17*EF!$H48*EF!$H66)*NtoN2O*kgtoGg)</f>
        <v>0.10662429120765052</v>
      </c>
      <c r="AL1423" s="27">
        <f>IF(('Activity data'!BE17*EF!$H48*EF!$H66)*NtoN2O*kgtoGg=0,"NO",('Activity data'!BE17*EF!$H48*EF!$H66)*NtoN2O*kgtoGg)</f>
        <v>0.10916108152437015</v>
      </c>
      <c r="AM1423" s="27">
        <f>IF(('Activity data'!BF17*EF!$H48*EF!$H66)*NtoN2O*kgtoGg=0,"NO",('Activity data'!BF17*EF!$H48*EF!$H66)*NtoN2O*kgtoGg)</f>
        <v>0.11175521560682936</v>
      </c>
      <c r="AN1423" s="27">
        <f>IF(('Activity data'!BG17*EF!$H48*EF!$H66)*NtoN2O*kgtoGg=0,"NO",('Activity data'!BG17*EF!$H48*EF!$H66)*NtoN2O*kgtoGg)</f>
        <v>0.11423893572460501</v>
      </c>
      <c r="AO1423" s="27">
        <f>IF(('Activity data'!BH17*EF!$H48*EF!$H66)*NtoN2O*kgtoGg=0,"NO",('Activity data'!BH17*EF!$H48*EF!$H66)*NtoN2O*kgtoGg)</f>
        <v>0.11683800387615073</v>
      </c>
      <c r="AP1423" s="27">
        <f>IF(('Activity data'!BI17*EF!$H48*EF!$H66)*NtoN2O*kgtoGg=0,"NO",('Activity data'!BI17*EF!$H48*EF!$H66)*NtoN2O*kgtoGg)</f>
        <v>0.11962734368800265</v>
      </c>
      <c r="AQ1423" s="27">
        <f>IF(('Activity data'!BJ17*EF!$H48*EF!$H66)*NtoN2O*kgtoGg=0,"NO",('Activity data'!BJ17*EF!$H48*EF!$H66)*NtoN2O*kgtoGg)</f>
        <v>0.12246543086827189</v>
      </c>
      <c r="AR1423" s="27">
        <f>IF(('Activity data'!BK17*EF!$H48*EF!$H66)*NtoN2O*kgtoGg=0,"NO",('Activity data'!BK17*EF!$H48*EF!$H66)*NtoN2O*kgtoGg)</f>
        <v>0.12535748302837027</v>
      </c>
      <c r="AS1423" s="27">
        <f>IF(('Activity data'!BL17*EF!$H48*EF!$H66)*NtoN2O*kgtoGg=0,"NO",('Activity data'!BL17*EF!$H48*EF!$H66)*NtoN2O*kgtoGg)</f>
        <v>0.12844640721926534</v>
      </c>
      <c r="AT1423" s="27">
        <f>IF(('Activity data'!BM17*EF!$H48*EF!$H66)*NtoN2O*kgtoGg=0,"NO",('Activity data'!BM17*EF!$H48*EF!$H66)*NtoN2O*kgtoGg)</f>
        <v>0.13167842894497958</v>
      </c>
      <c r="AU1423" s="27">
        <f>IF(('Activity data'!BN17*EF!$H48*EF!$H66)*NtoN2O*kgtoGg=0,"NO",('Activity data'!BN17*EF!$H48*EF!$H66)*NtoN2O*kgtoGg)</f>
        <v>0.13501670748772379</v>
      </c>
      <c r="AV1423" s="27">
        <f>IF(('Activity data'!BO17*EF!$H48*EF!$H66)*NtoN2O*kgtoGg=0,"NO",('Activity data'!BO17*EF!$H48*EF!$H66)*NtoN2O*kgtoGg)</f>
        <v>0.13854783957825018</v>
      </c>
      <c r="AW1423" s="27">
        <f>IF(('Activity data'!BP17*EF!$H48*EF!$H66)*NtoN2O*kgtoGg=0,"NO",('Activity data'!BP17*EF!$H48*EF!$H66)*NtoN2O*kgtoGg)</f>
        <v>0.14174415331850926</v>
      </c>
    </row>
    <row r="1424" spans="1:49" x14ac:dyDescent="0.25">
      <c r="A1424" s="95" t="s">
        <v>959</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3.794079990159023E-2</v>
      </c>
      <c r="N1424" s="27">
        <f>IF(('Activity data'!AG18*EF!$H49*EF!$H67)*NtoN2O*kgtoGg=0,"NO",('Activity data'!AG18*EF!$H49*EF!$H67)*NtoN2O*kgtoGg)</f>
        <v>3.7592474284510076E-2</v>
      </c>
      <c r="O1424" s="27">
        <f>IF(('Activity data'!AH18*EF!$H49*EF!$H67)*NtoN2O*kgtoGg=0,"NO",('Activity data'!AH18*EF!$H49*EF!$H67)*NtoN2O*kgtoGg)</f>
        <v>3.7023578211438556E-2</v>
      </c>
      <c r="P1424" s="27">
        <f>IF(('Activity data'!AI18*EF!$H49*EF!$H67)*NtoN2O*kgtoGg=0,"NO",('Activity data'!AI18*EF!$H49*EF!$H67)*NtoN2O*kgtoGg)</f>
        <v>3.6243206089281214E-2</v>
      </c>
      <c r="Q1424" s="27">
        <f>IF(('Activity data'!AJ18*EF!$H49*EF!$H67)*NtoN2O*kgtoGg=0,"NO",('Activity data'!AJ18*EF!$H49*EF!$H67)*NtoN2O*kgtoGg)</f>
        <v>3.5676569387541837E-2</v>
      </c>
      <c r="R1424" s="27">
        <f>IF(('Activity data'!AK18*EF!$H49*EF!$H67)*NtoN2O*kgtoGg=0,"NO",('Activity data'!AK18*EF!$H49*EF!$H67)*NtoN2O*kgtoGg)</f>
        <v>3.5160072434777263E-2</v>
      </c>
      <c r="S1424" s="27">
        <f>IF(('Activity data'!AL18*EF!$H49*EF!$H67)*NtoN2O*kgtoGg=0,"NO",('Activity data'!AL18*EF!$H49*EF!$H67)*NtoN2O*kgtoGg)</f>
        <v>3.1584988316113387E-2</v>
      </c>
      <c r="T1424" s="27">
        <f>IF(('Activity data'!AM18*EF!$H49*EF!$H67)*NtoN2O*kgtoGg=0,"NO",('Activity data'!AM18*EF!$H49*EF!$H67)*NtoN2O*kgtoGg)</f>
        <v>3.3012275964159274E-2</v>
      </c>
      <c r="U1424" s="27">
        <f>IF(('Activity data'!AN18*EF!$H49*EF!$H67)*NtoN2O*kgtoGg=0,"NO",('Activity data'!AN18*EF!$H49*EF!$H67)*NtoN2O*kgtoGg)</f>
        <v>3.3443787934092799E-2</v>
      </c>
      <c r="V1424" s="27">
        <f>IF(('Activity data'!AO18*EF!$H49*EF!$H67)*NtoN2O*kgtoGg=0,"NO",('Activity data'!AO18*EF!$H49*EF!$H67)*NtoN2O*kgtoGg)</f>
        <v>3.3113730215255661E-2</v>
      </c>
      <c r="W1424" s="27">
        <f>IF(('Activity data'!AP18*EF!$H49*EF!$H67)*NtoN2O*kgtoGg=0,"NO",('Activity data'!AP18*EF!$H49*EF!$H67)*NtoN2O*kgtoGg)</f>
        <v>3.2823446206541117E-2</v>
      </c>
      <c r="X1424" s="27">
        <f>IF(('Activity data'!AQ18*EF!$H49*EF!$H67)*NtoN2O*kgtoGg=0,"NO",('Activity data'!AQ18*EF!$H49*EF!$H67)*NtoN2O*kgtoGg)</f>
        <v>3.2733733814345668E-2</v>
      </c>
      <c r="Y1424" s="27">
        <f>IF(('Activity data'!AR18*EF!$H49*EF!$H67)*NtoN2O*kgtoGg=0,"NO",('Activity data'!AR18*EF!$H49*EF!$H67)*NtoN2O*kgtoGg)</f>
        <v>3.2836798044013883E-2</v>
      </c>
      <c r="Z1424" s="27">
        <f>IF(('Activity data'!AS18*EF!$H49*EF!$H67)*NtoN2O*kgtoGg=0,"NO",('Activity data'!AS18*EF!$H49*EF!$H67)*NtoN2O*kgtoGg)</f>
        <v>3.3028765349259512E-2</v>
      </c>
      <c r="AA1424" s="27">
        <f>IF(('Activity data'!AT18*EF!$H49*EF!$H67)*NtoN2O*kgtoGg=0,"NO",('Activity data'!AT18*EF!$H49*EF!$H67)*NtoN2O*kgtoGg)</f>
        <v>3.3331536639830336E-2</v>
      </c>
      <c r="AB1424" s="27">
        <f>IF(('Activity data'!AU18*EF!$H49*EF!$H67)*NtoN2O*kgtoGg=0,"NO",('Activity data'!AU18*EF!$H49*EF!$H67)*NtoN2O*kgtoGg)</f>
        <v>3.3817908960638868E-2</v>
      </c>
      <c r="AC1424" s="27">
        <f>IF(('Activity data'!AV18*EF!$H49*EF!$H67)*NtoN2O*kgtoGg=0,"NO",('Activity data'!AV18*EF!$H49*EF!$H67)*NtoN2O*kgtoGg)</f>
        <v>3.4470901087403957E-2</v>
      </c>
      <c r="AD1424" s="27">
        <f>IF(('Activity data'!AW18*EF!$H49*EF!$H67)*NtoN2O*kgtoGg=0,"NO",('Activity data'!AW18*EF!$H49*EF!$H67)*NtoN2O*kgtoGg)</f>
        <v>3.5214104363691767E-2</v>
      </c>
      <c r="AE1424" s="27">
        <f>IF(('Activity data'!AX18*EF!$H49*EF!$H67)*NtoN2O*kgtoGg=0,"NO",('Activity data'!AX18*EF!$H49*EF!$H67)*NtoN2O*kgtoGg)</f>
        <v>3.6040140987893189E-2</v>
      </c>
      <c r="AF1424" s="27">
        <f>IF(('Activity data'!AY18*EF!$H49*EF!$H67)*NtoN2O*kgtoGg=0,"NO",('Activity data'!AY18*EF!$H49*EF!$H67)*NtoN2O*kgtoGg)</f>
        <v>3.6907692271940552E-2</v>
      </c>
      <c r="AG1424" s="27">
        <f>IF(('Activity data'!AZ18*EF!$H49*EF!$H67)*NtoN2O*kgtoGg=0,"NO",('Activity data'!AZ18*EF!$H49*EF!$H67)*NtoN2O*kgtoGg)</f>
        <v>3.7831657597821179E-2</v>
      </c>
      <c r="AH1424" s="27">
        <f>IF(('Activity data'!BA18*EF!$H49*EF!$H67)*NtoN2O*kgtoGg=0,"NO",('Activity data'!BA18*EF!$H49*EF!$H67)*NtoN2O*kgtoGg)</f>
        <v>3.879212191497397E-2</v>
      </c>
      <c r="AI1424" s="27">
        <f>IF(('Activity data'!BB18*EF!$H49*EF!$H67)*NtoN2O*kgtoGg=0,"NO",('Activity data'!BB18*EF!$H49*EF!$H67)*NtoN2O*kgtoGg)</f>
        <v>3.9724184753102243E-2</v>
      </c>
      <c r="AJ1424" s="27">
        <f>IF(('Activity data'!BC18*EF!$H49*EF!$H67)*NtoN2O*kgtoGg=0,"NO",('Activity data'!BC18*EF!$H49*EF!$H67)*NtoN2O*kgtoGg)</f>
        <v>4.0717892127640175E-2</v>
      </c>
      <c r="AK1424" s="27">
        <f>IF(('Activity data'!BD18*EF!$H49*EF!$H67)*NtoN2O*kgtoGg=0,"NO",('Activity data'!BD18*EF!$H49*EF!$H67)*NtoN2O*kgtoGg)</f>
        <v>4.1713581519762656E-2</v>
      </c>
      <c r="AL1424" s="27">
        <f>IF(('Activity data'!BE18*EF!$H49*EF!$H67)*NtoN2O*kgtoGg=0,"NO",('Activity data'!BE18*EF!$H49*EF!$H67)*NtoN2O*kgtoGg)</f>
        <v>4.270602525351698E-2</v>
      </c>
      <c r="AM1424" s="27">
        <f>IF(('Activity data'!BF18*EF!$H49*EF!$H67)*NtoN2O*kgtoGg=0,"NO",('Activity data'!BF18*EF!$H49*EF!$H67)*NtoN2O*kgtoGg)</f>
        <v>4.3720903029455652E-2</v>
      </c>
      <c r="AN1424" s="27">
        <f>IF(('Activity data'!BG18*EF!$H49*EF!$H67)*NtoN2O*kgtoGg=0,"NO",('Activity data'!BG18*EF!$H49*EF!$H67)*NtoN2O*kgtoGg)</f>
        <v>4.4692584626882061E-2</v>
      </c>
      <c r="AO1424" s="27">
        <f>IF(('Activity data'!BH18*EF!$H49*EF!$H67)*NtoN2O*kgtoGg=0,"NO",('Activity data'!BH18*EF!$H49*EF!$H67)*NtoN2O*kgtoGg)</f>
        <v>4.5709392710546422E-2</v>
      </c>
      <c r="AP1424" s="27">
        <f>IF(('Activity data'!BI18*EF!$H49*EF!$H67)*NtoN2O*kgtoGg=0,"NO",('Activity data'!BI18*EF!$H49*EF!$H67)*NtoN2O*kgtoGg)</f>
        <v>4.6800638920112353E-2</v>
      </c>
      <c r="AQ1424" s="27">
        <f>IF(('Activity data'!BJ18*EF!$H49*EF!$H67)*NtoN2O*kgtoGg=0,"NO",('Activity data'!BJ18*EF!$H49*EF!$H67)*NtoN2O*kgtoGg)</f>
        <v>4.791095608718076E-2</v>
      </c>
      <c r="AR1424" s="27">
        <f>IF(('Activity data'!BK18*EF!$H49*EF!$H67)*NtoN2O*kgtoGg=0,"NO",('Activity data'!BK18*EF!$H49*EF!$H67)*NtoN2O*kgtoGg)</f>
        <v>4.9042385446975784E-2</v>
      </c>
      <c r="AS1424" s="27">
        <f>IF(('Activity data'!BL18*EF!$H49*EF!$H67)*NtoN2O*kgtoGg=0,"NO",('Activity data'!BL18*EF!$H49*EF!$H67)*NtoN2O*kgtoGg)</f>
        <v>5.0250835131244558E-2</v>
      </c>
      <c r="AT1424" s="27">
        <f>IF(('Activity data'!BM18*EF!$H49*EF!$H67)*NtoN2O*kgtoGg=0,"NO",('Activity data'!BM18*EF!$H49*EF!$H67)*NtoN2O*kgtoGg)</f>
        <v>5.1515267468399954E-2</v>
      </c>
      <c r="AU1424" s="27">
        <f>IF(('Activity data'!BN18*EF!$H49*EF!$H67)*NtoN2O*kgtoGg=0,"NO",('Activity data'!BN18*EF!$H49*EF!$H67)*NtoN2O*kgtoGg)</f>
        <v>5.2821269623736601E-2</v>
      </c>
      <c r="AV1424" s="27">
        <f>IF(('Activity data'!BO18*EF!$H49*EF!$H67)*NtoN2O*kgtoGg=0,"NO",('Activity data'!BO18*EF!$H49*EF!$H67)*NtoN2O*kgtoGg)</f>
        <v>5.4202719991630371E-2</v>
      </c>
      <c r="AW1424" s="27">
        <f>IF(('Activity data'!BP18*EF!$H49*EF!$H67)*NtoN2O*kgtoGg=0,"NO",('Activity data'!BP18*EF!$H49*EF!$H67)*NtoN2O*kgtoGg)</f>
        <v>5.5453182641903707E-2</v>
      </c>
    </row>
    <row r="1425" spans="1:49" x14ac:dyDescent="0.25">
      <c r="A1425" s="95" t="s">
        <v>959</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0.35135538223408885</v>
      </c>
      <c r="T1425" s="27">
        <f>IF(('Activity data'!AM19*EF!$H50*EF!$H68)*NtoN2O*kgtoGg=0,"NO",('Activity data'!AM19*EF!$H50*EF!$H68)*NtoN2O*kgtoGg)</f>
        <v>0.3660250744881503</v>
      </c>
      <c r="U1425" s="27">
        <f>IF(('Activity data'!AN19*EF!$H50*EF!$H68)*NtoN2O*kgtoGg=0,"NO",('Activity data'!AN19*EF!$H50*EF!$H68)*NtoN2O*kgtoGg)</f>
        <v>0.3747433751291977</v>
      </c>
      <c r="V1425" s="27">
        <f>IF(('Activity data'!AO19*EF!$H50*EF!$H68)*NtoN2O*kgtoGg=0,"NO",('Activity data'!AO19*EF!$H50*EF!$H68)*NtoN2O*kgtoGg)</f>
        <v>0.37890472124533414</v>
      </c>
      <c r="W1425" s="27">
        <f>IF(('Activity data'!AP19*EF!$H50*EF!$H68)*NtoN2O*kgtoGg=0,"NO",('Activity data'!AP19*EF!$H50*EF!$H68)*NtoN2O*kgtoGg)</f>
        <v>0.38351980018418114</v>
      </c>
      <c r="X1425" s="27">
        <f>IF(('Activity data'!AQ19*EF!$H50*EF!$H68)*NtoN2O*kgtoGg=0,"NO",('Activity data'!AQ19*EF!$H50*EF!$H68)*NtoN2O*kgtoGg)</f>
        <v>0.38953835570243145</v>
      </c>
      <c r="Y1425" s="27">
        <f>IF(('Activity data'!AR19*EF!$H50*EF!$H68)*NtoN2O*kgtoGg=0,"NO",('Activity data'!AR19*EF!$H50*EF!$H68)*NtoN2O*kgtoGg)</f>
        <v>0.39678314869255904</v>
      </c>
      <c r="Z1425" s="27">
        <f>IF(('Activity data'!AS19*EF!$H50*EF!$H68)*NtoN2O*kgtoGg=0,"NO",('Activity data'!AS19*EF!$H50*EF!$H68)*NtoN2O*kgtoGg)</f>
        <v>0.40464075152916346</v>
      </c>
      <c r="AA1425" s="27">
        <f>IF(('Activity data'!AT19*EF!$H50*EF!$H68)*NtoN2O*kgtoGg=0,"NO",('Activity data'!AT19*EF!$H50*EF!$H68)*NtoN2O*kgtoGg)</f>
        <v>0.41330404639575669</v>
      </c>
      <c r="AB1425" s="27">
        <f>IF(('Activity data'!AU19*EF!$H50*EF!$H68)*NtoN2O*kgtoGg=0,"NO",('Activity data'!AU19*EF!$H50*EF!$H68)*NtoN2O*kgtoGg)</f>
        <v>0.42334665156208889</v>
      </c>
      <c r="AC1425" s="27">
        <f>IF(('Activity data'!AV19*EF!$H50*EF!$H68)*NtoN2O*kgtoGg=0,"NO",('Activity data'!AV19*EF!$H50*EF!$H68)*NtoN2O*kgtoGg)</f>
        <v>0.43473806986049379</v>
      </c>
      <c r="AD1425" s="27">
        <f>IF(('Activity data'!AW19*EF!$H50*EF!$H68)*NtoN2O*kgtoGg=0,"NO",('Activity data'!AW19*EF!$H50*EF!$H68)*NtoN2O*kgtoGg)</f>
        <v>0.44699375378888861</v>
      </c>
      <c r="AE1425" s="27">
        <f>IF(('Activity data'!AX19*EF!$H50*EF!$H68)*NtoN2O*kgtoGg=0,"NO",('Activity data'!AX19*EF!$H50*EF!$H68)*NtoN2O*kgtoGg)</f>
        <v>0.46011178168093952</v>
      </c>
      <c r="AF1425" s="27">
        <f>IF(('Activity data'!AY19*EF!$H50*EF!$H68)*NtoN2O*kgtoGg=0,"NO",('Activity data'!AY19*EF!$H50*EF!$H68)*NtoN2O*kgtoGg)</f>
        <v>0.47382089637959635</v>
      </c>
      <c r="AG1425" s="27">
        <f>IF(('Activity data'!AZ19*EF!$H50*EF!$H68)*NtoN2O*kgtoGg=0,"NO",('Activity data'!AZ19*EF!$H50*EF!$H68)*NtoN2O*kgtoGg)</f>
        <v>0.48826027881230222</v>
      </c>
      <c r="AH1425" s="27">
        <f>IF(('Activity data'!BA19*EF!$H50*EF!$H68)*NtoN2O*kgtoGg=0,"NO",('Activity data'!BA19*EF!$H50*EF!$H68)*NtoN2O*kgtoGg)</f>
        <v>0.50330862860005154</v>
      </c>
      <c r="AI1425" s="27">
        <f>IF(('Activity data'!BB19*EF!$H50*EF!$H68)*NtoN2O*kgtoGg=0,"NO",('Activity data'!BB19*EF!$H50*EF!$H68)*NtoN2O*kgtoGg)</f>
        <v>0.5184689754858961</v>
      </c>
      <c r="AJ1425" s="27">
        <f>IF(('Activity data'!BC19*EF!$H50*EF!$H68)*NtoN2O*kgtoGg=0,"NO",('Activity data'!BC19*EF!$H50*EF!$H68)*NtoN2O*kgtoGg)</f>
        <v>0.53447970815576928</v>
      </c>
      <c r="AK1425" s="27">
        <f>IF(('Activity data'!BD19*EF!$H50*EF!$H68)*NtoN2O*kgtoGg=0,"NO",('Activity data'!BD19*EF!$H50*EF!$H68)*NtoN2O*kgtoGg)</f>
        <v>0.55086704408448872</v>
      </c>
      <c r="AL1425" s="27">
        <f>IF(('Activity data'!BE19*EF!$H50*EF!$H68)*NtoN2O*kgtoGg=0,"NO",('Activity data'!BE19*EF!$H50*EF!$H68)*NtoN2O*kgtoGg)</f>
        <v>0.56759733652439393</v>
      </c>
      <c r="AM1425" s="27">
        <f>IF(('Activity data'!BF19*EF!$H50*EF!$H68)*NtoN2O*kgtoGg=0,"NO",('Activity data'!BF19*EF!$H50*EF!$H68)*NtoN2O*kgtoGg)</f>
        <v>0.58490701814028823</v>
      </c>
      <c r="AN1425" s="27">
        <f>IF(('Activity data'!BG19*EF!$H50*EF!$H68)*NtoN2O*kgtoGg=0,"NO",('Activity data'!BG19*EF!$H50*EF!$H68)*NtoN2O*kgtoGg)</f>
        <v>0.60223366750494911</v>
      </c>
      <c r="AO1425" s="27">
        <f>IF(('Activity data'!BH19*EF!$H50*EF!$H68)*NtoN2O*kgtoGg=0,"NO",('Activity data'!BH19*EF!$H50*EF!$H68)*NtoN2O*kgtoGg)</f>
        <v>0.62036595204994383</v>
      </c>
      <c r="AP1425" s="27">
        <f>IF(('Activity data'!BI19*EF!$H50*EF!$H68)*NtoN2O*kgtoGg=0,"NO",('Activity data'!BI19*EF!$H50*EF!$H68)*NtoN2O*kgtoGg)</f>
        <v>0.63960685850737242</v>
      </c>
      <c r="AQ1425" s="27">
        <f>IF(('Activity data'!BJ19*EF!$H50*EF!$H68)*NtoN2O*kgtoGg=0,"NO",('Activity data'!BJ19*EF!$H50*EF!$H68)*NtoN2O*kgtoGg)</f>
        <v>0.65948374000710175</v>
      </c>
      <c r="AR1425" s="27">
        <f>IF(('Activity data'!BK19*EF!$H50*EF!$H68)*NtoN2O*kgtoGg=0,"NO",('Activity data'!BK19*EF!$H50*EF!$H68)*NtoN2O*kgtoGg)</f>
        <v>0.68003541307118265</v>
      </c>
      <c r="AS1425" s="27">
        <f>IF(('Activity data'!BL19*EF!$H50*EF!$H68)*NtoN2O*kgtoGg=0,"NO",('Activity data'!BL19*EF!$H50*EF!$H68)*NtoN2O*kgtoGg)</f>
        <v>0.70183096342172768</v>
      </c>
      <c r="AT1425" s="27">
        <f>IF(('Activity data'!BM19*EF!$H50*EF!$H68)*NtoN2O*kgtoGg=0,"NO",('Activity data'!BM19*EF!$H50*EF!$H68)*NtoN2O*kgtoGg)</f>
        <v>0.72471687693803755</v>
      </c>
      <c r="AU1425" s="27">
        <f>IF(('Activity data'!BN19*EF!$H50*EF!$H68)*NtoN2O*kgtoGg=0,"NO",('Activity data'!BN19*EF!$H50*EF!$H68)*NtoN2O*kgtoGg)</f>
        <v>0.74859496074669962</v>
      </c>
      <c r="AV1425" s="27">
        <f>IF(('Activity data'!BO19*EF!$H50*EF!$H68)*NtoN2O*kgtoGg=0,"NO",('Activity data'!BO19*EF!$H50*EF!$H68)*NtoN2O*kgtoGg)</f>
        <v>0.77385822122722236</v>
      </c>
      <c r="AW1425" s="27">
        <f>IF(('Activity data'!BP19*EF!$H50*EF!$H68)*NtoN2O*kgtoGg=0,"NO",('Activity data'!BP19*EF!$H50*EF!$H68)*NtoN2O*kgtoGg)</f>
        <v>0.79838507129603287</v>
      </c>
    </row>
    <row r="1426" spans="1:49" x14ac:dyDescent="0.25">
      <c r="A1426" s="95" t="s">
        <v>959</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1.7601182693498105</v>
      </c>
      <c r="N1426" s="27">
        <f>IF(('Activity data'!AG20*EF!$H51*EF!$H69)*NtoN2O*kgtoGg=0,"NO",('Activity data'!AG20*EF!$H51*EF!$H69)*NtoN2O*kgtoGg)</f>
        <v>1.7704533576020511</v>
      </c>
      <c r="O1426" s="27">
        <f>IF(('Activity data'!AH20*EF!$H51*EF!$H69)*NtoN2O*kgtoGg=0,"NO",('Activity data'!AH20*EF!$H51*EF!$H69)*NtoN2O*kgtoGg)</f>
        <v>1.7641159598844747</v>
      </c>
      <c r="P1426" s="27">
        <f>IF(('Activity data'!AI20*EF!$H51*EF!$H69)*NtoN2O*kgtoGg=0,"NO",('Activity data'!AI20*EF!$H51*EF!$H69)*NtoN2O*kgtoGg)</f>
        <v>1.7411735022142167</v>
      </c>
      <c r="Q1426" s="27">
        <f>IF(('Activity data'!AJ20*EF!$H51*EF!$H69)*NtoN2O*kgtoGg=0,"NO",('Activity data'!AJ20*EF!$H51*EF!$H69)*NtoN2O*kgtoGg)</f>
        <v>1.7315152516158574</v>
      </c>
      <c r="R1426" s="27">
        <f>IF(('Activity data'!AK20*EF!$H51*EF!$H69)*NtoN2O*kgtoGg=0,"NO",('Activity data'!AK20*EF!$H51*EF!$H69)*NtoN2O*kgtoGg)</f>
        <v>1.7240481490859689</v>
      </c>
      <c r="S1426" s="27">
        <f>IF(('Activity data'!AL20*EF!$H51*EF!$H69)*NtoN2O*kgtoGg=0,"NO",('Activity data'!AL20*EF!$H51*EF!$H69)*NtoN2O*kgtoGg)</f>
        <v>1.4999683948751941</v>
      </c>
      <c r="T1426" s="27">
        <f>IF(('Activity data'!AM20*EF!$H51*EF!$H69)*NtoN2O*kgtoGg=0,"NO",('Activity data'!AM20*EF!$H51*EF!$H69)*NtoN2O*kgtoGg)</f>
        <v>1.635678170936574</v>
      </c>
      <c r="U1426" s="27">
        <f>IF(('Activity data'!AN20*EF!$H51*EF!$H69)*NtoN2O*kgtoGg=0,"NO",('Activity data'!AN20*EF!$H51*EF!$H69)*NtoN2O*kgtoGg)</f>
        <v>1.7009774454367668</v>
      </c>
      <c r="V1426" s="27">
        <f>IF(('Activity data'!AO20*EF!$H51*EF!$H69)*NtoN2O*kgtoGg=0,"NO",('Activity data'!AO20*EF!$H51*EF!$H69)*NtoN2O*kgtoGg)</f>
        <v>1.7091479327288939</v>
      </c>
      <c r="W1426" s="27">
        <f>IF(('Activity data'!AP20*EF!$H51*EF!$H69)*NtoN2O*kgtoGg=0,"NO",('Activity data'!AP20*EF!$H51*EF!$H69)*NtoN2O*kgtoGg)</f>
        <v>1.7185668307415591</v>
      </c>
      <c r="X1426" s="27">
        <f>IF(('Activity data'!AQ20*EF!$H51*EF!$H69)*NtoN2O*kgtoGg=0,"NO",('Activity data'!AQ20*EF!$H51*EF!$H69)*NtoN2O*kgtoGg)</f>
        <v>1.7424532471009451</v>
      </c>
      <c r="Y1426" s="27">
        <f>IF(('Activity data'!AR20*EF!$H51*EF!$H69)*NtoN2O*kgtoGg=0,"NO",('Activity data'!AR20*EF!$H51*EF!$H69)*NtoN2O*kgtoGg)</f>
        <v>1.7817834224196265</v>
      </c>
      <c r="Z1426" s="27">
        <f>IF(('Activity data'!AS20*EF!$H51*EF!$H69)*NtoN2O*kgtoGg=0,"NO",('Activity data'!AS20*EF!$H51*EF!$H69)*NtoN2O*kgtoGg)</f>
        <v>1.8288406604826053</v>
      </c>
      <c r="AA1426" s="27">
        <f>IF(('Activity data'!AT20*EF!$H51*EF!$H69)*NtoN2O*kgtoGg=0,"NO",('Activity data'!AT20*EF!$H51*EF!$H69)*NtoN2O*kgtoGg)</f>
        <v>1.885701932517597</v>
      </c>
      <c r="AB1426" s="27">
        <f>IF(('Activity data'!AU20*EF!$H51*EF!$H69)*NtoN2O*kgtoGg=0,"NO",('Activity data'!AU20*EF!$H51*EF!$H69)*NtoN2O*kgtoGg)</f>
        <v>1.9586802917289898</v>
      </c>
      <c r="AC1426" s="27">
        <f>IF(('Activity data'!AV20*EF!$H51*EF!$H69)*NtoN2O*kgtoGg=0,"NO",('Activity data'!AV20*EF!$H51*EF!$H69)*NtoN2O*kgtoGg)</f>
        <v>2.0469431813370456</v>
      </c>
      <c r="AD1426" s="27">
        <f>IF(('Activity data'!AW20*EF!$H51*EF!$H69)*NtoN2O*kgtoGg=0,"NO",('Activity data'!AW20*EF!$H51*EF!$H69)*NtoN2O*kgtoGg)</f>
        <v>2.1446346617917671</v>
      </c>
      <c r="AE1426" s="27">
        <f>IF(('Activity data'!AX20*EF!$H51*EF!$H69)*NtoN2O*kgtoGg=0,"NO",('Activity data'!AX20*EF!$H51*EF!$H69)*NtoN2O*kgtoGg)</f>
        <v>2.2514306358992373</v>
      </c>
      <c r="AF1426" s="27">
        <f>IF(('Activity data'!AY20*EF!$H51*EF!$H69)*NtoN2O*kgtoGg=0,"NO",('Activity data'!AY20*EF!$H51*EF!$H69)*NtoN2O*kgtoGg)</f>
        <v>2.364080403374996</v>
      </c>
      <c r="AG1426" s="27">
        <f>IF(('Activity data'!AZ20*EF!$H51*EF!$H69)*NtoN2O*kgtoGg=0,"NO",('Activity data'!AZ20*EF!$H51*EF!$H69)*NtoN2O*kgtoGg)</f>
        <v>2.4840914132913525</v>
      </c>
      <c r="AH1426" s="27">
        <f>IF(('Activity data'!BA20*EF!$H51*EF!$H69)*NtoN2O*kgtoGg=0,"NO",('Activity data'!BA20*EF!$H51*EF!$H69)*NtoN2O*kgtoGg)</f>
        <v>2.609932995576361</v>
      </c>
      <c r="AI1426" s="27">
        <f>IF(('Activity data'!BB20*EF!$H51*EF!$H69)*NtoN2O*kgtoGg=0,"NO",('Activity data'!BB20*EF!$H51*EF!$H69)*NtoN2O*kgtoGg)</f>
        <v>2.7359571600200745</v>
      </c>
      <c r="AJ1426" s="27">
        <f>IF(('Activity data'!BC20*EF!$H51*EF!$H69)*NtoN2O*kgtoGg=0,"NO",('Activity data'!BC20*EF!$H51*EF!$H69)*NtoN2O*kgtoGg)</f>
        <v>2.870315303671148</v>
      </c>
      <c r="AK1426" s="27">
        <f>IF(('Activity data'!BD20*EF!$H51*EF!$H69)*NtoN2O*kgtoGg=0,"NO",('Activity data'!BD20*EF!$H51*EF!$H69)*NtoN2O*kgtoGg)</f>
        <v>3.0078431709030542</v>
      </c>
      <c r="AL1426" s="27">
        <f>IF(('Activity data'!BE20*EF!$H51*EF!$H69)*NtoN2O*kgtoGg=0,"NO",('Activity data'!BE20*EF!$H51*EF!$H69)*NtoN2O*kgtoGg)</f>
        <v>3.1481328800356168</v>
      </c>
      <c r="AM1426" s="27">
        <f>IF(('Activity data'!BF20*EF!$H51*EF!$H69)*NtoN2O*kgtoGg=0,"NO",('Activity data'!BF20*EF!$H51*EF!$H69)*NtoN2O*kgtoGg)</f>
        <v>3.293658685243031</v>
      </c>
      <c r="AN1426" s="27">
        <f>IF(('Activity data'!BG20*EF!$H51*EF!$H69)*NtoN2O*kgtoGg=0,"NO",('Activity data'!BG20*EF!$H51*EF!$H69)*NtoN2O*kgtoGg)</f>
        <v>3.4383107407406079</v>
      </c>
      <c r="AO1426" s="27">
        <f>IF(('Activity data'!BH20*EF!$H51*EF!$H69)*NtoN2O*kgtoGg=0,"NO",('Activity data'!BH20*EF!$H51*EF!$H69)*NtoN2O*kgtoGg)</f>
        <v>3.5905693529651876</v>
      </c>
      <c r="AP1426" s="27">
        <f>IF(('Activity data'!BI20*EF!$H51*EF!$H69)*NtoN2O*kgtoGg=0,"NO",('Activity data'!BI20*EF!$H51*EF!$H69)*NtoN2O*kgtoGg)</f>
        <v>3.7535692593915186</v>
      </c>
      <c r="AQ1426" s="27">
        <f>IF(('Activity data'!BJ20*EF!$H51*EF!$H69)*NtoN2O*kgtoGg=0,"NO",('Activity data'!BJ20*EF!$H51*EF!$H69)*NtoN2O*kgtoGg)</f>
        <v>3.922195814332385</v>
      </c>
      <c r="AR1426" s="27">
        <f>IF(('Activity data'!BK20*EF!$H51*EF!$H69)*NtoN2O*kgtoGg=0,"NO",('Activity data'!BK20*EF!$H51*EF!$H69)*NtoN2O*kgtoGg)</f>
        <v>4.0968427833898948</v>
      </c>
      <c r="AS1426" s="27">
        <f>IF(('Activity data'!BL20*EF!$H51*EF!$H69)*NtoN2O*kgtoGg=0,"NO",('Activity data'!BL20*EF!$H51*EF!$H69)*NtoN2O*kgtoGg)</f>
        <v>4.2833995063649954</v>
      </c>
      <c r="AT1426" s="27">
        <f>IF(('Activity data'!BM20*EF!$H51*EF!$H69)*NtoN2O*kgtoGg=0,"NO",('Activity data'!BM20*EF!$H51*EF!$H69)*NtoN2O*kgtoGg)</f>
        <v>4.4801147383664359</v>
      </c>
      <c r="AU1426" s="27">
        <f>IF(('Activity data'!BN20*EF!$H51*EF!$H69)*NtoN2O*kgtoGg=0,"NO",('Activity data'!BN20*EF!$H51*EF!$H69)*NtoN2O*kgtoGg)</f>
        <v>4.6858252173265607</v>
      </c>
      <c r="AV1426" s="27">
        <f>IF(('Activity data'!BO20*EF!$H51*EF!$H69)*NtoN2O*kgtoGg=0,"NO",('Activity data'!BO20*EF!$H51*EF!$H69)*NtoN2O*kgtoGg)</f>
        <v>4.9044073325814885</v>
      </c>
      <c r="AW1426" s="27">
        <f>IF(('Activity data'!BP20*EF!$H51*EF!$H69)*NtoN2O*kgtoGg=0,"NO",('Activity data'!BP20*EF!$H51*EF!$H69)*NtoN2O*kgtoGg)</f>
        <v>5.1142236717204526</v>
      </c>
    </row>
    <row r="1427" spans="1:49" x14ac:dyDescent="0.25">
      <c r="A1427" s="95" t="s">
        <v>959</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1.4711795979713126E-2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1.4639807593087044E-2</v>
      </c>
      <c r="T1427" s="27">
        <f>IF(('Activity data'!AM21*EF!$H52*EF!$H70)*NtoN2O*kgtoGg=0,"NO",('Activity data'!AM21*EF!$H52*EF!$H70)*NtoN2O*kgtoGg)</f>
        <v>1.525104477033961E-2</v>
      </c>
      <c r="U1427" s="27">
        <f>IF(('Activity data'!AN21*EF!$H52*EF!$H70)*NtoN2O*kgtoGg=0,"NO",('Activity data'!AN21*EF!$H52*EF!$H70)*NtoN2O*kgtoGg)</f>
        <v>1.5614307297049917E-2</v>
      </c>
      <c r="V1427" s="27">
        <f>IF(('Activity data'!AO21*EF!$H52*EF!$H70)*NtoN2O*kgtoGg=0,"NO",('Activity data'!AO21*EF!$H52*EF!$H70)*NtoN2O*kgtoGg)</f>
        <v>1.5787696718555604E-2</v>
      </c>
      <c r="W1427" s="27">
        <f>IF(('Activity data'!AP21*EF!$H52*EF!$H70)*NtoN2O*kgtoGg=0,"NO",('Activity data'!AP21*EF!$H52*EF!$H70)*NtoN2O*kgtoGg)</f>
        <v>1.5979991674340898E-2</v>
      </c>
      <c r="X1427" s="27">
        <f>IF(('Activity data'!AQ21*EF!$H52*EF!$H70)*NtoN2O*kgtoGg=0,"NO",('Activity data'!AQ21*EF!$H52*EF!$H70)*NtoN2O*kgtoGg)</f>
        <v>1.6230764820934659E-2</v>
      </c>
      <c r="Y1427" s="27">
        <f>IF(('Activity data'!AR21*EF!$H52*EF!$H70)*NtoN2O*kgtoGg=0,"NO",('Activity data'!AR21*EF!$H52*EF!$H70)*NtoN2O*kgtoGg)</f>
        <v>1.6532631195523312E-2</v>
      </c>
      <c r="Z1427" s="27">
        <f>IF(('Activity data'!AS21*EF!$H52*EF!$H70)*NtoN2O*kgtoGg=0,"NO",('Activity data'!AS21*EF!$H52*EF!$H70)*NtoN2O*kgtoGg)</f>
        <v>1.6860031313715163E-2</v>
      </c>
      <c r="AA1427" s="27">
        <f>IF(('Activity data'!AT21*EF!$H52*EF!$H70)*NtoN2O*kgtoGg=0,"NO",('Activity data'!AT21*EF!$H52*EF!$H70)*NtoN2O*kgtoGg)</f>
        <v>1.7221001933156545E-2</v>
      </c>
      <c r="AB1427" s="27">
        <f>IF(('Activity data'!AU21*EF!$H52*EF!$H70)*NtoN2O*kgtoGg=0,"NO",('Activity data'!AU21*EF!$H52*EF!$H70)*NtoN2O*kgtoGg)</f>
        <v>1.7639443815087055E-2</v>
      </c>
      <c r="AC1427" s="27">
        <f>IF(('Activity data'!AV21*EF!$H52*EF!$H70)*NtoN2O*kgtoGg=0,"NO",('Activity data'!AV21*EF!$H52*EF!$H70)*NtoN2O*kgtoGg)</f>
        <v>1.8114086244187262E-2</v>
      </c>
      <c r="AD1427" s="27">
        <f>IF(('Activity data'!AW21*EF!$H52*EF!$H70)*NtoN2O*kgtoGg=0,"NO",('Activity data'!AW21*EF!$H52*EF!$H70)*NtoN2O*kgtoGg)</f>
        <v>1.8624739741203704E-2</v>
      </c>
      <c r="AE1427" s="27">
        <f>IF(('Activity data'!AX21*EF!$H52*EF!$H70)*NtoN2O*kgtoGg=0,"NO",('Activity data'!AX21*EF!$H52*EF!$H70)*NtoN2O*kgtoGg)</f>
        <v>1.9171324236705832E-2</v>
      </c>
      <c r="AF1427" s="27">
        <f>IF(('Activity data'!AY21*EF!$H52*EF!$H70)*NtoN2O*kgtoGg=0,"NO",('Activity data'!AY21*EF!$H52*EF!$H70)*NtoN2O*kgtoGg)</f>
        <v>1.9742537349149866E-2</v>
      </c>
      <c r="AG1427" s="27">
        <f>IF(('Activity data'!AZ21*EF!$H52*EF!$H70)*NtoN2O*kgtoGg=0,"NO",('Activity data'!AZ21*EF!$H52*EF!$H70)*NtoN2O*kgtoGg)</f>
        <v>2.0344178283845944E-2</v>
      </c>
      <c r="AH1427" s="27">
        <f>IF(('Activity data'!BA21*EF!$H52*EF!$H70)*NtoN2O*kgtoGg=0,"NO",('Activity data'!BA21*EF!$H52*EF!$H70)*NtoN2O*kgtoGg)</f>
        <v>2.09711928583355E-2</v>
      </c>
      <c r="AI1427" s="27">
        <f>IF(('Activity data'!BB21*EF!$H52*EF!$H70)*NtoN2O*kgtoGg=0,"NO",('Activity data'!BB21*EF!$H52*EF!$H70)*NtoN2O*kgtoGg)</f>
        <v>2.1602873978579022E-2</v>
      </c>
      <c r="AJ1427" s="27">
        <f>IF(('Activity data'!BC21*EF!$H52*EF!$H70)*NtoN2O*kgtoGg=0,"NO",('Activity data'!BC21*EF!$H52*EF!$H70)*NtoN2O*kgtoGg)</f>
        <v>2.226998783982374E-2</v>
      </c>
      <c r="AK1427" s="27">
        <f>IF(('Activity data'!BD21*EF!$H52*EF!$H70)*NtoN2O*kgtoGg=0,"NO",('Activity data'!BD21*EF!$H52*EF!$H70)*NtoN2O*kgtoGg)</f>
        <v>2.2952793503520384E-2</v>
      </c>
      <c r="AL1427" s="27">
        <f>IF(('Activity data'!BE21*EF!$H52*EF!$H70)*NtoN2O*kgtoGg=0,"NO",('Activity data'!BE21*EF!$H52*EF!$H70)*NtoN2O*kgtoGg)</f>
        <v>2.3649889021849769E-2</v>
      </c>
      <c r="AM1427" s="27">
        <f>IF(('Activity data'!BF21*EF!$H52*EF!$H70)*NtoN2O*kgtoGg=0,"NO",('Activity data'!BF21*EF!$H52*EF!$H70)*NtoN2O*kgtoGg)</f>
        <v>2.4371125755845373E-2</v>
      </c>
      <c r="AN1427" s="27">
        <f>IF(('Activity data'!BG21*EF!$H52*EF!$H70)*NtoN2O*kgtoGg=0,"NO",('Activity data'!BG21*EF!$H52*EF!$H70)*NtoN2O*kgtoGg)</f>
        <v>2.5093069479372905E-2</v>
      </c>
      <c r="AO1427" s="27">
        <f>IF(('Activity data'!BH21*EF!$H52*EF!$H70)*NtoN2O*kgtoGg=0,"NO",('Activity data'!BH21*EF!$H52*EF!$H70)*NtoN2O*kgtoGg)</f>
        <v>2.5848581335414348E-2</v>
      </c>
      <c r="AP1427" s="27">
        <f>IF(('Activity data'!BI21*EF!$H52*EF!$H70)*NtoN2O*kgtoGg=0,"NO",('Activity data'!BI21*EF!$H52*EF!$H70)*NtoN2O*kgtoGg)</f>
        <v>2.665028577114054E-2</v>
      </c>
      <c r="AQ1427" s="27">
        <f>IF(('Activity data'!BJ21*EF!$H52*EF!$H70)*NtoN2O*kgtoGg=0,"NO",('Activity data'!BJ21*EF!$H52*EF!$H70)*NtoN2O*kgtoGg)</f>
        <v>2.7478489166962602E-2</v>
      </c>
      <c r="AR1427" s="27">
        <f>IF(('Activity data'!BK21*EF!$H52*EF!$H70)*NtoN2O*kgtoGg=0,"NO",('Activity data'!BK21*EF!$H52*EF!$H70)*NtoN2O*kgtoGg)</f>
        <v>2.8334808877965974E-2</v>
      </c>
      <c r="AS1427" s="27">
        <f>IF(('Activity data'!BL21*EF!$H52*EF!$H70)*NtoN2O*kgtoGg=0,"NO",('Activity data'!BL21*EF!$H52*EF!$H70)*NtoN2O*kgtoGg)</f>
        <v>2.924295680923868E-2</v>
      </c>
      <c r="AT1427" s="27">
        <f>IF(('Activity data'!BM21*EF!$H52*EF!$H70)*NtoN2O*kgtoGg=0,"NO",('Activity data'!BM21*EF!$H52*EF!$H70)*NtoN2O*kgtoGg)</f>
        <v>3.0196536539084926E-2</v>
      </c>
      <c r="AU1427" s="27">
        <f>IF(('Activity data'!BN21*EF!$H52*EF!$H70)*NtoN2O*kgtoGg=0,"NO",('Activity data'!BN21*EF!$H52*EF!$H70)*NtoN2O*kgtoGg)</f>
        <v>3.1191456697779184E-2</v>
      </c>
      <c r="AV1427" s="27">
        <f>IF(('Activity data'!BO21*EF!$H52*EF!$H70)*NtoN2O*kgtoGg=0,"NO",('Activity data'!BO21*EF!$H52*EF!$H70)*NtoN2O*kgtoGg)</f>
        <v>3.2244092551134286E-2</v>
      </c>
      <c r="AW1427" s="27">
        <f>IF(('Activity data'!BP21*EF!$H52*EF!$H70)*NtoN2O*kgtoGg=0,"NO",('Activity data'!BP21*EF!$H52*EF!$H70)*NtoN2O*kgtoGg)</f>
        <v>3.3266044637334728E-2</v>
      </c>
    </row>
    <row r="1428" spans="1:49" x14ac:dyDescent="0.25">
      <c r="A1428" s="95" t="s">
        <v>959</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7.3338261222908846E-2</v>
      </c>
      <c r="N1428" s="27">
        <f>IF(('Activity data'!AG22*EF!$H53*EF!$H71)*NtoN2O*kgtoGg=0,"NO",('Activity data'!AG22*EF!$H53*EF!$H71)*NtoN2O*kgtoGg)</f>
        <v>7.3768889900085524E-2</v>
      </c>
      <c r="O1428" s="27">
        <f>IF(('Activity data'!AH22*EF!$H53*EF!$H71)*NtoN2O*kgtoGg=0,"NO",('Activity data'!AH22*EF!$H53*EF!$H71)*NtoN2O*kgtoGg)</f>
        <v>7.3504831661853176E-2</v>
      </c>
      <c r="P1428" s="27">
        <f>IF(('Activity data'!AI22*EF!$H53*EF!$H71)*NtoN2O*kgtoGg=0,"NO",('Activity data'!AI22*EF!$H53*EF!$H71)*NtoN2O*kgtoGg)</f>
        <v>7.2548895925592424E-2</v>
      </c>
      <c r="Q1428" s="27">
        <f>IF(('Activity data'!AJ22*EF!$H53*EF!$H71)*NtoN2O*kgtoGg=0,"NO",('Activity data'!AJ22*EF!$H53*EF!$H71)*NtoN2O*kgtoGg)</f>
        <v>7.2146468817327461E-2</v>
      </c>
      <c r="R1428" s="27">
        <f>IF(('Activity data'!AK22*EF!$H53*EF!$H71)*NtoN2O*kgtoGg=0,"NO",('Activity data'!AK22*EF!$H53*EF!$H71)*NtoN2O*kgtoGg)</f>
        <v>7.1835339545248775E-2</v>
      </c>
      <c r="S1428" s="27">
        <f>IF(('Activity data'!AL22*EF!$H53*EF!$H71)*NtoN2O*kgtoGg=0,"NO",('Activity data'!AL22*EF!$H53*EF!$H71)*NtoN2O*kgtoGg)</f>
        <v>6.2498683119799801E-2</v>
      </c>
      <c r="T1428" s="27">
        <f>IF(('Activity data'!AM22*EF!$H53*EF!$H71)*NtoN2O*kgtoGg=0,"NO",('Activity data'!AM22*EF!$H53*EF!$H71)*NtoN2O*kgtoGg)</f>
        <v>6.81532571223573E-2</v>
      </c>
      <c r="U1428" s="27">
        <f>IF(('Activity data'!AN22*EF!$H53*EF!$H71)*NtoN2O*kgtoGg=0,"NO",('Activity data'!AN22*EF!$H53*EF!$H71)*NtoN2O*kgtoGg)</f>
        <v>7.0874060226532018E-2</v>
      </c>
      <c r="V1428" s="27">
        <f>IF(('Activity data'!AO22*EF!$H53*EF!$H71)*NtoN2O*kgtoGg=0,"NO",('Activity data'!AO22*EF!$H53*EF!$H71)*NtoN2O*kgtoGg)</f>
        <v>7.1214497197037332E-2</v>
      </c>
      <c r="W1428" s="27">
        <f>IF(('Activity data'!AP22*EF!$H53*EF!$H71)*NtoN2O*kgtoGg=0,"NO",('Activity data'!AP22*EF!$H53*EF!$H71)*NtoN2O*kgtoGg)</f>
        <v>7.1606951280898362E-2</v>
      </c>
      <c r="X1428" s="27">
        <f>IF(('Activity data'!AQ22*EF!$H53*EF!$H71)*NtoN2O*kgtoGg=0,"NO",('Activity data'!AQ22*EF!$H53*EF!$H71)*NtoN2O*kgtoGg)</f>
        <v>7.26022186292061E-2</v>
      </c>
      <c r="Y1428" s="27">
        <f>IF(('Activity data'!AR22*EF!$H53*EF!$H71)*NtoN2O*kgtoGg=0,"NO",('Activity data'!AR22*EF!$H53*EF!$H71)*NtoN2O*kgtoGg)</f>
        <v>7.4240975934151174E-2</v>
      </c>
      <c r="Z1428" s="27">
        <f>IF(('Activity data'!AS22*EF!$H53*EF!$H71)*NtoN2O*kgtoGg=0,"NO",('Activity data'!AS22*EF!$H53*EF!$H71)*NtoN2O*kgtoGg)</f>
        <v>7.620169418677529E-2</v>
      </c>
      <c r="AA1428" s="27">
        <f>IF(('Activity data'!AT22*EF!$H53*EF!$H71)*NtoN2O*kgtoGg=0,"NO",('Activity data'!AT22*EF!$H53*EF!$H71)*NtoN2O*kgtoGg)</f>
        <v>7.8570913854899935E-2</v>
      </c>
      <c r="AB1428" s="27">
        <f>IF(('Activity data'!AU22*EF!$H53*EF!$H71)*NtoN2O*kgtoGg=0,"NO",('Activity data'!AU22*EF!$H53*EF!$H71)*NtoN2O*kgtoGg)</f>
        <v>8.1611678822041331E-2</v>
      </c>
      <c r="AC1428" s="27">
        <f>IF(('Activity data'!AV22*EF!$H53*EF!$H71)*NtoN2O*kgtoGg=0,"NO",('Activity data'!AV22*EF!$H53*EF!$H71)*NtoN2O*kgtoGg)</f>
        <v>8.5289299222376991E-2</v>
      </c>
      <c r="AD1428" s="27">
        <f>IF(('Activity data'!AW22*EF!$H53*EF!$H71)*NtoN2O*kgtoGg=0,"NO",('Activity data'!AW22*EF!$H53*EF!$H71)*NtoN2O*kgtoGg)</f>
        <v>8.9359777574657032E-2</v>
      </c>
      <c r="AE1428" s="27">
        <f>IF(('Activity data'!AX22*EF!$H53*EF!$H71)*NtoN2O*kgtoGg=0,"NO",('Activity data'!AX22*EF!$H53*EF!$H71)*NtoN2O*kgtoGg)</f>
        <v>9.3809609829134971E-2</v>
      </c>
      <c r="AF1428" s="27">
        <f>IF(('Activity data'!AY22*EF!$H53*EF!$H71)*NtoN2O*kgtoGg=0,"NO",('Activity data'!AY22*EF!$H53*EF!$H71)*NtoN2O*kgtoGg)</f>
        <v>9.8503350140624904E-2</v>
      </c>
      <c r="AG1428" s="27">
        <f>IF(('Activity data'!AZ22*EF!$H53*EF!$H71)*NtoN2O*kgtoGg=0,"NO",('Activity data'!AZ22*EF!$H53*EF!$H71)*NtoN2O*kgtoGg)</f>
        <v>0.10350380888713978</v>
      </c>
      <c r="AH1428" s="27">
        <f>IF(('Activity data'!BA22*EF!$H53*EF!$H71)*NtoN2O*kgtoGg=0,"NO",('Activity data'!BA22*EF!$H53*EF!$H71)*NtoN2O*kgtoGg)</f>
        <v>0.10874720814901513</v>
      </c>
      <c r="AI1428" s="27">
        <f>IF(('Activity data'!BB22*EF!$H53*EF!$H71)*NtoN2O*kgtoGg=0,"NO",('Activity data'!BB22*EF!$H53*EF!$H71)*NtoN2O*kgtoGg)</f>
        <v>0.11399821500083657</v>
      </c>
      <c r="AJ1428" s="27">
        <f>IF(('Activity data'!BC22*EF!$H53*EF!$H71)*NtoN2O*kgtoGg=0,"NO",('Activity data'!BC22*EF!$H53*EF!$H71)*NtoN2O*kgtoGg)</f>
        <v>0.11959647098629794</v>
      </c>
      <c r="AK1428" s="27">
        <f>IF(('Activity data'!BD22*EF!$H53*EF!$H71)*NtoN2O*kgtoGg=0,"NO",('Activity data'!BD22*EF!$H53*EF!$H71)*NtoN2O*kgtoGg)</f>
        <v>0.12532679878762737</v>
      </c>
      <c r="AL1428" s="27">
        <f>IF(('Activity data'!BE22*EF!$H53*EF!$H71)*NtoN2O*kgtoGg=0,"NO",('Activity data'!BE22*EF!$H53*EF!$H71)*NtoN2O*kgtoGg)</f>
        <v>0.13117220333481747</v>
      </c>
      <c r="AM1428" s="27">
        <f>IF(('Activity data'!BF22*EF!$H53*EF!$H71)*NtoN2O*kgtoGg=0,"NO",('Activity data'!BF22*EF!$H53*EF!$H71)*NtoN2O*kgtoGg)</f>
        <v>0.13723577855179306</v>
      </c>
      <c r="AN1428" s="27">
        <f>IF(('Activity data'!BG22*EF!$H53*EF!$H71)*NtoN2O*kgtoGg=0,"NO",('Activity data'!BG22*EF!$H53*EF!$H71)*NtoN2O*kgtoGg)</f>
        <v>0.1432629475308588</v>
      </c>
      <c r="AO1428" s="27">
        <f>IF(('Activity data'!BH22*EF!$H53*EF!$H71)*NtoN2O*kgtoGg=0,"NO",('Activity data'!BH22*EF!$H53*EF!$H71)*NtoN2O*kgtoGg)</f>
        <v>0.14960705637354962</v>
      </c>
      <c r="AP1428" s="27">
        <f>IF(('Activity data'!BI22*EF!$H53*EF!$H71)*NtoN2O*kgtoGg=0,"NO",('Activity data'!BI22*EF!$H53*EF!$H71)*NtoN2O*kgtoGg)</f>
        <v>0.15639871914131342</v>
      </c>
      <c r="AQ1428" s="27">
        <f>IF(('Activity data'!BJ22*EF!$H53*EF!$H71)*NtoN2O*kgtoGg=0,"NO",('Activity data'!BJ22*EF!$H53*EF!$H71)*NtoN2O*kgtoGg)</f>
        <v>0.16342482559718283</v>
      </c>
      <c r="AR1428" s="27">
        <f>IF(('Activity data'!BK22*EF!$H53*EF!$H71)*NtoN2O*kgtoGg=0,"NO",('Activity data'!BK22*EF!$H53*EF!$H71)*NtoN2O*kgtoGg)</f>
        <v>0.1707017826412458</v>
      </c>
      <c r="AS1428" s="27">
        <f>IF(('Activity data'!BL22*EF!$H53*EF!$H71)*NtoN2O*kgtoGg=0,"NO",('Activity data'!BL22*EF!$H53*EF!$H71)*NtoN2O*kgtoGg)</f>
        <v>0.17847497943187501</v>
      </c>
      <c r="AT1428" s="27">
        <f>IF(('Activity data'!BM22*EF!$H53*EF!$H71)*NtoN2O*kgtoGg=0,"NO",('Activity data'!BM22*EF!$H53*EF!$H71)*NtoN2O*kgtoGg)</f>
        <v>0.18667144743193501</v>
      </c>
      <c r="AU1428" s="27">
        <f>IF(('Activity data'!BN22*EF!$H53*EF!$H71)*NtoN2O*kgtoGg=0,"NO",('Activity data'!BN22*EF!$H53*EF!$H71)*NtoN2O*kgtoGg)</f>
        <v>0.19524271738860685</v>
      </c>
      <c r="AV1428" s="27">
        <f>IF(('Activity data'!BO22*EF!$H53*EF!$H71)*NtoN2O*kgtoGg=0,"NO",('Activity data'!BO22*EF!$H53*EF!$H71)*NtoN2O*kgtoGg)</f>
        <v>0.20435030552422884</v>
      </c>
      <c r="AW1428" s="27">
        <f>IF(('Activity data'!BP22*EF!$H53*EF!$H71)*NtoN2O*kgtoGg=0,"NO",('Activity data'!BP22*EF!$H53*EF!$H71)*NtoN2O*kgtoGg)</f>
        <v>0.21309265298835234</v>
      </c>
    </row>
    <row r="1429" spans="1:49" x14ac:dyDescent="0.25">
      <c r="A1429" s="95" t="s">
        <v>959</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95" t="s">
        <v>959</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95" t="s">
        <v>959</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95" t="s">
        <v>959</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95" t="s">
        <v>959</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95" t="s">
        <v>959</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95" t="s">
        <v>959</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95" t="s">
        <v>959</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95" t="s">
        <v>959</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95" t="s">
        <v>959</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95" t="s">
        <v>959</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95" t="s">
        <v>959</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95" t="s">
        <v>959</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95" t="s">
        <v>959</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95" t="s">
        <v>959</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95" t="s">
        <v>959</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95" t="s">
        <v>959</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95" t="s">
        <v>959</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95" t="s">
        <v>959</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95" t="s">
        <v>959</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95" t="s">
        <v>959</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95" t="s">
        <v>959</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95" t="s">
        <v>959</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95" t="s">
        <v>959</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95" t="s">
        <v>959</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95" t="s">
        <v>959</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95" t="s">
        <v>959</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95" t="s">
        <v>959</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95" t="s">
        <v>959</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95" t="s">
        <v>959</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95" t="s">
        <v>959</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95" t="s">
        <v>959</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95" t="s">
        <v>959</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893.63599451516268</v>
      </c>
      <c r="U1461" s="22">
        <f>'Activity data'!AN45*EF!$H$149*CtoCO2*ttoGg</f>
        <v>901.53557284553392</v>
      </c>
      <c r="V1461" s="22">
        <f>'Activity data'!AO45*EF!$H$149*CtoCO2*ttoGg</f>
        <v>905.89010059598195</v>
      </c>
      <c r="W1461" s="22">
        <f>'Activity data'!AP45*EF!$H$149*CtoCO2*ttoGg</f>
        <v>907.58009218117843</v>
      </c>
      <c r="X1461" s="22">
        <f>'Activity data'!AQ45*EF!$H$149*CtoCO2*ttoGg</f>
        <v>909.40288860123439</v>
      </c>
      <c r="Y1461" s="22">
        <f>'Activity data'!AR45*EF!$H$149*CtoCO2*ttoGg</f>
        <v>911.92422757648922</v>
      </c>
      <c r="Z1461" s="22">
        <f>'Activity data'!AS45*EF!$H$149*CtoCO2*ttoGg</f>
        <v>915.10313656095923</v>
      </c>
      <c r="AA1461" s="22">
        <f>'Activity data'!AT45*EF!$H$149*CtoCO2*ttoGg</f>
        <v>918.57833095683384</v>
      </c>
      <c r="AB1461" s="22">
        <f>'Activity data'!AU45*EF!$H$149*CtoCO2*ttoGg</f>
        <v>922.43403487282035</v>
      </c>
      <c r="AC1461" s="22">
        <f>'Activity data'!AV45*EF!$H$149*CtoCO2*ttoGg</f>
        <v>926.93686062638631</v>
      </c>
      <c r="AD1461" s="22">
        <f>'Activity data'!AW45*EF!$H$149*CtoCO2*ttoGg</f>
        <v>932.02307525086815</v>
      </c>
      <c r="AE1461" s="22">
        <f>'Activity data'!AX45*EF!$H$149*CtoCO2*ttoGg</f>
        <v>937.4114004614803</v>
      </c>
      <c r="AF1461" s="22">
        <f>'Activity data'!AY45*EF!$H$149*CtoCO2*ttoGg</f>
        <v>943.0703615154913</v>
      </c>
      <c r="AG1461" s="22">
        <f>'Activity data'!AZ45*EF!$H$149*CtoCO2*ttoGg</f>
        <v>948.84872324168452</v>
      </c>
      <c r="AH1461" s="22">
        <f>'Activity data'!BA45*EF!$H$149*CtoCO2*ttoGg</f>
        <v>954.79399041296358</v>
      </c>
      <c r="AI1461" s="22">
        <f>'Activity data'!BB45*EF!$H$149*CtoCO2*ttoGg</f>
        <v>960.83317350344373</v>
      </c>
      <c r="AJ1461" s="22">
        <f>'Activity data'!BC45*EF!$H$149*CtoCO2*ttoGg</f>
        <v>966.74459566725386</v>
      </c>
      <c r="AK1461" s="22">
        <f>'Activity data'!BD45*EF!$H$149*CtoCO2*ttoGg</f>
        <v>972.83250351153242</v>
      </c>
      <c r="AL1461" s="22">
        <f>'Activity data'!BE45*EF!$H$149*CtoCO2*ttoGg</f>
        <v>978.89306599922156</v>
      </c>
      <c r="AM1461" s="22">
        <f>'Activity data'!BF45*EF!$H$149*CtoCO2*ttoGg</f>
        <v>984.91027811786876</v>
      </c>
      <c r="AN1461" s="22">
        <f>'Activity data'!BG45*EF!$H$149*CtoCO2*ttoGg</f>
        <v>990.96854669159461</v>
      </c>
      <c r="AO1461" s="22">
        <f>'Activity data'!BH45*EF!$H$149*CtoCO2*ttoGg</f>
        <v>996.85817227544851</v>
      </c>
      <c r="AP1461" s="22">
        <f>'Activity data'!BI45*EF!$H$149*CtoCO2*ttoGg</f>
        <v>1002.8620363509766</v>
      </c>
      <c r="AQ1461" s="22">
        <f>'Activity data'!BJ45*EF!$H$149*CtoCO2*ttoGg</f>
        <v>1009.0666625916243</v>
      </c>
      <c r="AR1461" s="22">
        <f>'Activity data'!BK45*EF!$H$149*CtoCO2*ttoGg</f>
        <v>1015.2950621882683</v>
      </c>
      <c r="AS1461" s="22">
        <f>'Activity data'!BL45*EF!$H$149*CtoCO2*ttoGg</f>
        <v>1021.5521396290935</v>
      </c>
      <c r="AT1461" s="22">
        <f>'Activity data'!BM45*EF!$H$149*CtoCO2*ttoGg</f>
        <v>1028.0026193966835</v>
      </c>
      <c r="AU1461" s="22">
        <f>'Activity data'!BN45*EF!$H$149*CtoCO2*ttoGg</f>
        <v>1034.5766203170861</v>
      </c>
      <c r="AV1461" s="22">
        <f>'Activity data'!BO45*EF!$H$149*CtoCO2*ttoGg</f>
        <v>1041.2271453774342</v>
      </c>
      <c r="AW1461" s="22">
        <f>'Activity data'!BP45*EF!$H$149*CtoCO2*ttoGg</f>
        <v>1048.046646803637</v>
      </c>
    </row>
    <row r="1462" spans="1:49" x14ac:dyDescent="0.25">
      <c r="A1462" s="95" t="s">
        <v>959</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469.91487835797898</v>
      </c>
      <c r="U1462" s="22">
        <f>'Activity data'!AN46*EF!$H$150*CtoCO2*ttoGg</f>
        <v>469.71584189716231</v>
      </c>
      <c r="V1462" s="22">
        <f>'Activity data'!AO46*EF!$H$150*CtoCO2*ttoGg</f>
        <v>469.60612594072387</v>
      </c>
      <c r="W1462" s="22">
        <f>'Activity data'!AP46*EF!$H$150*CtoCO2*ttoGg</f>
        <v>469.56354519402316</v>
      </c>
      <c r="X1462" s="22">
        <f>'Activity data'!AQ46*EF!$H$150*CtoCO2*ttoGg</f>
        <v>469.51761831880731</v>
      </c>
      <c r="Y1462" s="22">
        <f>'Activity data'!AR46*EF!$H$150*CtoCO2*ttoGg</f>
        <v>469.45409108163506</v>
      </c>
      <c r="Z1462" s="22">
        <f>'Activity data'!AS46*EF!$H$150*CtoCO2*ttoGg</f>
        <v>469.37399581995572</v>
      </c>
      <c r="AA1462" s="22">
        <f>'Activity data'!AT46*EF!$H$150*CtoCO2*ttoGg</f>
        <v>469.28643540036416</v>
      </c>
      <c r="AB1462" s="22">
        <f>'Activity data'!AU46*EF!$H$150*CtoCO2*ttoGg</f>
        <v>469.18928772623514</v>
      </c>
      <c r="AC1462" s="22">
        <f>'Activity data'!AV46*EF!$H$150*CtoCO2*ttoGg</f>
        <v>469.07583527799261</v>
      </c>
      <c r="AD1462" s="22">
        <f>'Activity data'!AW46*EF!$H$150*CtoCO2*ttoGg</f>
        <v>468.94768386085701</v>
      </c>
      <c r="AE1462" s="22">
        <f>'Activity data'!AX46*EF!$H$150*CtoCO2*ttoGg</f>
        <v>468.81192051567615</v>
      </c>
      <c r="AF1462" s="22">
        <f>'Activity data'!AY46*EF!$H$150*CtoCO2*ttoGg</f>
        <v>468.66933827482927</v>
      </c>
      <c r="AG1462" s="22">
        <f>'Activity data'!AZ46*EF!$H$150*CtoCO2*ttoGg</f>
        <v>468.523747634519</v>
      </c>
      <c r="AH1462" s="22">
        <f>'Activity data'!BA46*EF!$H$150*CtoCO2*ttoGg</f>
        <v>468.37395167239384</v>
      </c>
      <c r="AI1462" s="22">
        <f>'Activity data'!BB46*EF!$H$150*CtoCO2*ttoGg</f>
        <v>468.22178942039972</v>
      </c>
      <c r="AJ1462" s="22">
        <f>'Activity data'!BC46*EF!$H$150*CtoCO2*ttoGg</f>
        <v>468.07284621144964</v>
      </c>
      <c r="AK1462" s="22">
        <f>'Activity data'!BD46*EF!$H$150*CtoCO2*ttoGg</f>
        <v>467.91945629866859</v>
      </c>
      <c r="AL1462" s="22">
        <f>'Activity data'!BE46*EF!$H$150*CtoCO2*ttoGg</f>
        <v>467.76675537494071</v>
      </c>
      <c r="AM1462" s="22">
        <f>'Activity data'!BF46*EF!$H$150*CtoCO2*ttoGg</f>
        <v>467.61514669989612</v>
      </c>
      <c r="AN1462" s="22">
        <f>'Activity data'!BG46*EF!$H$150*CtoCO2*ttoGg</f>
        <v>467.46250357324266</v>
      </c>
      <c r="AO1462" s="22">
        <f>'Activity data'!BH46*EF!$H$150*CtoCO2*ttoGg</f>
        <v>467.31410954729336</v>
      </c>
      <c r="AP1462" s="22">
        <f>'Activity data'!BI46*EF!$H$150*CtoCO2*ttoGg</f>
        <v>467.16283718732154</v>
      </c>
      <c r="AQ1462" s="22">
        <f>'Activity data'!BJ46*EF!$H$150*CtoCO2*ttoGg</f>
        <v>467.00650645725204</v>
      </c>
      <c r="AR1462" s="22">
        <f>'Activity data'!BK46*EF!$H$150*CtoCO2*ttoGg</f>
        <v>466.84957673766149</v>
      </c>
      <c r="AS1462" s="22">
        <f>'Activity data'!BL46*EF!$H$150*CtoCO2*ttoGg</f>
        <v>466.6919244558822</v>
      </c>
      <c r="AT1462" s="22">
        <f>'Activity data'!BM46*EF!$H$150*CtoCO2*ttoGg</f>
        <v>466.52939924126719</v>
      </c>
      <c r="AU1462" s="22">
        <f>'Activity data'!BN46*EF!$H$150*CtoCO2*ttoGg</f>
        <v>466.36376180824482</v>
      </c>
      <c r="AV1462" s="22">
        <f>'Activity data'!BO46*EF!$H$150*CtoCO2*ttoGg</f>
        <v>466.19619628572883</v>
      </c>
      <c r="AW1462" s="22">
        <f>'Activity data'!BP46*EF!$H$150*CtoCO2*ttoGg</f>
        <v>466.02437326282302</v>
      </c>
    </row>
    <row r="1463" spans="1:49" x14ac:dyDescent="0.25">
      <c r="A1463" s="95" t="s">
        <v>959</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6.603634243590573</v>
      </c>
      <c r="U1463" s="22">
        <f>'Activity data'!AN47*ttokg*SNEF*NtoN2O*kgtoGg</f>
        <v>6.6004971859529533</v>
      </c>
      <c r="V1463" s="22">
        <f>'Activity data'!AO47*ttokg*SNEF*NtoN2O*kgtoGg</f>
        <v>6.5987679285209158</v>
      </c>
      <c r="W1463" s="22">
        <f>'Activity data'!AP47*ttokg*SNEF*NtoN2O*kgtoGg</f>
        <v>6.5980968039636112</v>
      </c>
      <c r="X1463" s="22">
        <f>'Activity data'!AQ47*ttokg*SNEF*NtoN2O*kgtoGg</f>
        <v>6.5973729403354264</v>
      </c>
      <c r="Y1463" s="22">
        <f>'Activity data'!AR47*ttokg*SNEF*NtoN2O*kgtoGg</f>
        <v>6.5963716735135058</v>
      </c>
      <c r="Z1463" s="22">
        <f>'Activity data'!AS47*ttokg*SNEF*NtoN2O*kgtoGg</f>
        <v>6.5951092743964939</v>
      </c>
      <c r="AA1463" s="22">
        <f>'Activity data'!AT47*ttokg*SNEF*NtoN2O*kgtoGg</f>
        <v>6.5937292152761398</v>
      </c>
      <c r="AB1463" s="22">
        <f>'Activity data'!AU47*ttokg*SNEF*NtoN2O*kgtoGg</f>
        <v>6.5921980493186423</v>
      </c>
      <c r="AC1463" s="22">
        <f>'Activity data'!AV47*ttokg*SNEF*NtoN2O*kgtoGg</f>
        <v>6.5904099002136718</v>
      </c>
      <c r="AD1463" s="22">
        <f>'Activity data'!AW47*ttokg*SNEF*NtoN2O*kgtoGg</f>
        <v>6.5883900774121225</v>
      </c>
      <c r="AE1463" s="22">
        <f>'Activity data'!AX47*ttokg*SNEF*NtoN2O*kgtoGg</f>
        <v>6.5862502813307362</v>
      </c>
      <c r="AF1463" s="22">
        <f>'Activity data'!AY47*ttokg*SNEF*NtoN2O*kgtoGg</f>
        <v>6.5840030111280692</v>
      </c>
      <c r="AG1463" s="22">
        <f>'Activity data'!AZ47*ttokg*SNEF*NtoN2O*kgtoGg</f>
        <v>6.5817083248767299</v>
      </c>
      <c r="AH1463" s="22">
        <f>'Activity data'!BA47*ttokg*SNEF*NtoN2O*kgtoGg</f>
        <v>6.5793473576190653</v>
      </c>
      <c r="AI1463" s="22">
        <f>'Activity data'!BB47*ttokg*SNEF*NtoN2O*kgtoGg</f>
        <v>6.5769490947439282</v>
      </c>
      <c r="AJ1463" s="22">
        <f>'Activity data'!BC47*ttokg*SNEF*NtoN2O*kgtoGg</f>
        <v>6.5746015679174796</v>
      </c>
      <c r="AK1463" s="22">
        <f>'Activity data'!BD47*ttokg*SNEF*NtoN2O*kgtoGg</f>
        <v>6.5721839556094164</v>
      </c>
      <c r="AL1463" s="22">
        <f>'Activity data'!BE47*ttokg*SNEF*NtoN2O*kgtoGg</f>
        <v>6.5697772026100587</v>
      </c>
      <c r="AM1463" s="22">
        <f>'Activity data'!BF47*ttokg*SNEF*NtoN2O*kgtoGg</f>
        <v>6.5673876647835385</v>
      </c>
      <c r="AN1463" s="22">
        <f>'Activity data'!BG47*ttokg*SNEF*NtoN2O*kgtoGg</f>
        <v>6.5649818227366428</v>
      </c>
      <c r="AO1463" s="22">
        <f>'Activity data'!BH47*ttokg*SNEF*NtoN2O*kgtoGg</f>
        <v>6.5626429517048157</v>
      </c>
      <c r="AP1463" s="22">
        <f>'Activity data'!BI47*ttokg*SNEF*NtoN2O*kgtoGg</f>
        <v>6.5602587146144691</v>
      </c>
      <c r="AQ1463" s="22">
        <f>'Activity data'!BJ47*ttokg*SNEF*NtoN2O*kgtoGg</f>
        <v>6.557794751435325</v>
      </c>
      <c r="AR1463" s="22">
        <f>'Activity data'!BK47*ttokg*SNEF*NtoN2O*kgtoGg</f>
        <v>6.5553213474499907</v>
      </c>
      <c r="AS1463" s="22">
        <f>'Activity data'!BL47*ttokg*SNEF*NtoN2O*kgtoGg</f>
        <v>6.552836555002342</v>
      </c>
      <c r="AT1463" s="22">
        <f>'Activity data'!BM47*ttokg*SNEF*NtoN2O*kgtoGg</f>
        <v>6.5502749591835583</v>
      </c>
      <c r="AU1463" s="22">
        <f>'Activity data'!BN47*ttokg*SNEF*NtoN2O*kgtoGg</f>
        <v>6.5476643110027855</v>
      </c>
      <c r="AV1463" s="22">
        <f>'Activity data'!BO47*ttokg*SNEF*NtoN2O*kgtoGg</f>
        <v>6.5450232737774749</v>
      </c>
      <c r="AW1463" s="22">
        <f>'Activity data'!BP47*ttokg*SNEF*NtoN2O*kgtoGg</f>
        <v>6.5423151331477944</v>
      </c>
    </row>
    <row r="1464" spans="1:49" x14ac:dyDescent="0.25">
      <c r="A1464" s="95" t="s">
        <v>959</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4.3583986007697799E-2</v>
      </c>
      <c r="U1464" s="22">
        <f>'Activity data'!AN48*ttokg*ONEF*NtoN2O*kgtoGg</f>
        <v>4.3563281427289505E-2</v>
      </c>
      <c r="V1464" s="22">
        <f>'Activity data'!AO48*ttokg*ONEF*NtoN2O*kgtoGg</f>
        <v>4.3551868328238041E-2</v>
      </c>
      <c r="W1464" s="22">
        <f>'Activity data'!AP48*ttokg*ONEF*NtoN2O*kgtoGg</f>
        <v>4.3547438906159849E-2</v>
      </c>
      <c r="X1464" s="22">
        <f>'Activity data'!AQ48*ttokg*ONEF*NtoN2O*kgtoGg</f>
        <v>4.3542661406213816E-2</v>
      </c>
      <c r="Y1464" s="22">
        <f>'Activity data'!AR48*ttokg*ONEF*NtoN2O*kgtoGg</f>
        <v>4.3536053045189142E-2</v>
      </c>
      <c r="Z1464" s="22">
        <f>'Activity data'!AS48*ttokg*ONEF*NtoN2O*kgtoGg</f>
        <v>4.3527721211016876E-2</v>
      </c>
      <c r="AA1464" s="22">
        <f>'Activity data'!AT48*ttokg*ONEF*NtoN2O*kgtoGg</f>
        <v>4.3518612820822526E-2</v>
      </c>
      <c r="AB1464" s="22">
        <f>'Activity data'!AU48*ttokg*ONEF*NtoN2O*kgtoGg</f>
        <v>4.3508507125503047E-2</v>
      </c>
      <c r="AC1464" s="22">
        <f>'Activity data'!AV48*ttokg*ONEF*NtoN2O*kgtoGg</f>
        <v>4.349670534141023E-2</v>
      </c>
      <c r="AD1464" s="22">
        <f>'Activity data'!AW48*ttokg*ONEF*NtoN2O*kgtoGg</f>
        <v>4.3483374510920013E-2</v>
      </c>
      <c r="AE1464" s="22">
        <f>'Activity data'!AX48*ttokg*ONEF*NtoN2O*kgtoGg</f>
        <v>4.3469251856782874E-2</v>
      </c>
      <c r="AF1464" s="22">
        <f>'Activity data'!AY48*ttokg*ONEF*NtoN2O*kgtoGg</f>
        <v>4.3454419873445269E-2</v>
      </c>
      <c r="AG1464" s="22">
        <f>'Activity data'!AZ48*ttokg*ONEF*NtoN2O*kgtoGg</f>
        <v>4.3439274944186416E-2</v>
      </c>
      <c r="AH1464" s="22">
        <f>'Activity data'!BA48*ttokg*ONEF*NtoN2O*kgtoGg</f>
        <v>4.3423692560285852E-2</v>
      </c>
      <c r="AI1464" s="22">
        <f>'Activity data'!BB48*ttokg*ONEF*NtoN2O*kgtoGg</f>
        <v>4.3407864025309932E-2</v>
      </c>
      <c r="AJ1464" s="22">
        <f>'Activity data'!BC48*ttokg*ONEF*NtoN2O*kgtoGg</f>
        <v>4.3392370348255375E-2</v>
      </c>
      <c r="AK1464" s="22">
        <f>'Activity data'!BD48*ttokg*ONEF*NtoN2O*kgtoGg</f>
        <v>4.3376414107022157E-2</v>
      </c>
      <c r="AL1464" s="22">
        <f>'Activity data'!BE48*ttokg*ONEF*NtoN2O*kgtoGg</f>
        <v>4.336052953722639E-2</v>
      </c>
      <c r="AM1464" s="22">
        <f>'Activity data'!BF48*ttokg*ONEF*NtoN2O*kgtoGg</f>
        <v>4.3344758587571364E-2</v>
      </c>
      <c r="AN1464" s="22">
        <f>'Activity data'!BG48*ttokg*ONEF*NtoN2O*kgtoGg</f>
        <v>4.3328880030061849E-2</v>
      </c>
      <c r="AO1464" s="22">
        <f>'Activity data'!BH48*ttokg*ONEF*NtoN2O*kgtoGg</f>
        <v>4.3313443481251802E-2</v>
      </c>
      <c r="AP1464" s="22">
        <f>'Activity data'!BI48*ttokg*ONEF*NtoN2O*kgtoGg</f>
        <v>4.3297707516455515E-2</v>
      </c>
      <c r="AQ1464" s="22">
        <f>'Activity data'!BJ48*ttokg*ONEF*NtoN2O*kgtoGg</f>
        <v>4.3281445359473161E-2</v>
      </c>
      <c r="AR1464" s="22">
        <f>'Activity data'!BK48*ttokg*ONEF*NtoN2O*kgtoGg</f>
        <v>4.3265120893169952E-2</v>
      </c>
      <c r="AS1464" s="22">
        <f>'Activity data'!BL48*ttokg*ONEF*NtoN2O*kgtoGg</f>
        <v>4.324872126301546E-2</v>
      </c>
      <c r="AT1464" s="22">
        <f>'Activity data'!BM48*ttokg*ONEF*NtoN2O*kgtoGg</f>
        <v>4.3231814730611481E-2</v>
      </c>
      <c r="AU1464" s="22">
        <f>'Activity data'!BN48*ttokg*ONEF*NtoN2O*kgtoGg</f>
        <v>4.3214584452618394E-2</v>
      </c>
      <c r="AV1464" s="22">
        <f>'Activity data'!BO48*ttokg*ONEF*NtoN2O*kgtoGg</f>
        <v>4.3197153606931347E-2</v>
      </c>
      <c r="AW1464" s="22">
        <f>'Activity data'!BP48*ttokg*ONEF*NtoN2O*kgtoGg</f>
        <v>4.3179279878775449E-2</v>
      </c>
    </row>
    <row r="1465" spans="1:49" x14ac:dyDescent="0.25">
      <c r="A1465" s="95" t="s">
        <v>959</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2.9705633438591348</v>
      </c>
      <c r="U1465" s="22">
        <f>'Activity data'!AN85*CREF*NtoN2O*kgtoGg</f>
        <v>2.9939833213378622</v>
      </c>
      <c r="V1465" s="22">
        <f>'Activity data'!AO85*CREF*NtoN2O*kgtoGg</f>
        <v>3.0068932435616724</v>
      </c>
      <c r="W1465" s="22">
        <f>'Activity data'!AP85*CREF*NtoN2O*kgtoGg</f>
        <v>3.0119035824948748</v>
      </c>
      <c r="X1465" s="22">
        <f>'Activity data'!AQ85*CREF*NtoN2O*kgtoGg</f>
        <v>3.0173076495628459</v>
      </c>
      <c r="Y1465" s="22">
        <f>'Activity data'!AR85*CREF*NtoN2O*kgtoGg</f>
        <v>3.0247826943750078</v>
      </c>
      <c r="Z1465" s="22">
        <f>'Activity data'!AS85*CREF*NtoN2O*kgtoGg</f>
        <v>3.0342072451180488</v>
      </c>
      <c r="AA1465" s="22">
        <f>'Activity data'!AT85*CREF*NtoN2O*kgtoGg</f>
        <v>3.0445101968810144</v>
      </c>
      <c r="AB1465" s="22">
        <f>'Activity data'!AU85*CREF*NtoN2O*kgtoGg</f>
        <v>3.0559412499196137</v>
      </c>
      <c r="AC1465" s="22">
        <f>'Activity data'!AV85*CREF*NtoN2O*kgtoGg</f>
        <v>3.0692908330655531</v>
      </c>
      <c r="AD1465" s="22">
        <f>'Activity data'!AW85*CREF*NtoN2O*kgtoGg</f>
        <v>3.0843699964051159</v>
      </c>
      <c r="AE1465" s="22">
        <f>'Activity data'!AX85*CREF*NtoN2O*kgtoGg</f>
        <v>3.1003448307320856</v>
      </c>
      <c r="AF1465" s="22">
        <f>'Activity data'!AY85*CREF*NtoN2O*kgtoGg</f>
        <v>3.1171220224878007</v>
      </c>
      <c r="AG1465" s="22">
        <f>'Activity data'!AZ85*CREF*NtoN2O*kgtoGg</f>
        <v>3.1342532028915815</v>
      </c>
      <c r="AH1465" s="22">
        <f>'Activity data'!BA85*CREF*NtoN2O*kgtoGg</f>
        <v>3.1518792099305966</v>
      </c>
      <c r="AI1465" s="22">
        <f>'Activity data'!BB85*CREF*NtoN2O*kgtoGg</f>
        <v>3.1697836506556398</v>
      </c>
      <c r="AJ1465" s="22">
        <f>'Activity data'!BC85*CREF*NtoN2O*kgtoGg</f>
        <v>3.1873093169828417</v>
      </c>
      <c r="AK1465" s="22">
        <f>'Activity data'!BD85*CREF*NtoN2O*kgtoGg</f>
        <v>3.2053582125874849</v>
      </c>
      <c r="AL1465" s="22">
        <f>'Activity data'!BE85*CREF*NtoN2O*kgtoGg</f>
        <v>3.2233260370755845</v>
      </c>
      <c r="AM1465" s="22">
        <f>'Activity data'!BF85*CREF*NtoN2O*kgtoGg</f>
        <v>3.2411653401889731</v>
      </c>
      <c r="AN1465" s="22">
        <f>'Activity data'!BG85*CREF*NtoN2O*kgtoGg</f>
        <v>3.2591263638820034</v>
      </c>
      <c r="AO1465" s="22">
        <f>'Activity data'!BH85*CREF*NtoN2O*kgtoGg</f>
        <v>3.2765874096193026</v>
      </c>
      <c r="AP1465" s="22">
        <f>'Activity data'!BI85*CREF*NtoN2O*kgtoGg</f>
        <v>3.294387139624336</v>
      </c>
      <c r="AQ1465" s="22">
        <f>'Activity data'!BJ85*CREF*NtoN2O*kgtoGg</f>
        <v>3.3127820717007999</v>
      </c>
      <c r="AR1465" s="22">
        <f>'Activity data'!BK85*CREF*NtoN2O*kgtoGg</f>
        <v>3.3312474849395168</v>
      </c>
      <c r="AS1465" s="22">
        <f>'Activity data'!BL85*CREF*NtoN2O*kgtoGg</f>
        <v>3.3497979197372052</v>
      </c>
      <c r="AT1465" s="22">
        <f>'Activity data'!BM85*CREF*NtoN2O*kgtoGg</f>
        <v>3.3689217368026219</v>
      </c>
      <c r="AU1465" s="22">
        <f>'Activity data'!BN85*CREF*NtoN2O*kgtoGg</f>
        <v>3.3884117585559377</v>
      </c>
      <c r="AV1465" s="22">
        <f>'Activity data'!BO85*CREF*NtoN2O*kgtoGg</f>
        <v>3.4081286523724397</v>
      </c>
      <c r="AW1465" s="22">
        <f>'Activity data'!BP85*CREF*NtoN2O*kgtoGg</f>
        <v>3.4283465125085661</v>
      </c>
    </row>
    <row r="1466" spans="1:49" x14ac:dyDescent="0.25">
      <c r="A1466" s="95" t="s">
        <v>959</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0.32056321299147922</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0.31930900968296799</v>
      </c>
      <c r="T1466" s="22">
        <f>'Activity data'!AM50*ManureNEF*NtoN2O*kgtoGg</f>
        <v>0.32574821213897459</v>
      </c>
      <c r="U1466" s="22">
        <f>'Activity data'!AN50*ManureNEF*NtoN2O*kgtoGg</f>
        <v>0.32894469179548952</v>
      </c>
      <c r="V1466" s="22">
        <f>'Activity data'!AO50*ManureNEF*NtoN2O*kgtoGg</f>
        <v>0.32977948253414807</v>
      </c>
      <c r="W1466" s="22">
        <f>'Activity data'!AP50*ManureNEF*NtoN2O*kgtoGg</f>
        <v>0.3309664569188206</v>
      </c>
      <c r="X1466" s="22">
        <f>'Activity data'!AQ50*ManureNEF*NtoN2O*kgtoGg</f>
        <v>0.33295820888491823</v>
      </c>
      <c r="Y1466" s="22">
        <f>'Activity data'!AR50*ManureNEF*NtoN2O*kgtoGg</f>
        <v>0.33558938332727861</v>
      </c>
      <c r="Z1466" s="22">
        <f>'Activity data'!AS50*ManureNEF*NtoN2O*kgtoGg</f>
        <v>0.33853527641770959</v>
      </c>
      <c r="AA1466" s="22">
        <f>'Activity data'!AT50*ManureNEF*NtoN2O*kgtoGg</f>
        <v>0.34188866727508727</v>
      </c>
      <c r="AB1466" s="22">
        <f>'Activity data'!AU50*ManureNEF*NtoN2O*kgtoGg</f>
        <v>0.34593707625098935</v>
      </c>
      <c r="AC1466" s="22">
        <f>'Activity data'!AV50*ManureNEF*NtoN2O*kgtoGg</f>
        <v>0.35065698551445434</v>
      </c>
      <c r="AD1466" s="22">
        <f>'Activity data'!AW50*ManureNEF*NtoN2O*kgtoGg</f>
        <v>0.35579420133815998</v>
      </c>
      <c r="AE1466" s="22">
        <f>'Activity data'!AX50*ManureNEF*NtoN2O*kgtoGg</f>
        <v>0.36134408078222452</v>
      </c>
      <c r="AF1466" s="22">
        <f>'Activity data'!AY50*ManureNEF*NtoN2O*kgtoGg</f>
        <v>0.36716578992310794</v>
      </c>
      <c r="AG1466" s="22">
        <f>'Activity data'!AZ50*ManureNEF*NtoN2O*kgtoGg</f>
        <v>0.37332444348551658</v>
      </c>
      <c r="AH1466" s="22">
        <f>'Activity data'!BA50*ManureNEF*NtoN2O*kgtoGg</f>
        <v>0.37975671698066876</v>
      </c>
      <c r="AI1466" s="22">
        <f>'Activity data'!BB50*ManureNEF*NtoN2O*kgtoGg</f>
        <v>0.38621474793846927</v>
      </c>
      <c r="AJ1466" s="22">
        <f>'Activity data'!BC50*ManureNEF*NtoN2O*kgtoGg</f>
        <v>0.39306178454441848</v>
      </c>
      <c r="AK1466" s="22">
        <f>'Activity data'!BD50*ManureNEF*NtoN2O*kgtoGg</f>
        <v>0.40005847527747412</v>
      </c>
      <c r="AL1466" s="22">
        <f>'Activity data'!BE50*ManureNEF*NtoN2O*kgtoGg</f>
        <v>0.4071870252950287</v>
      </c>
      <c r="AM1466" s="22">
        <f>'Activity data'!BF50*ManureNEF*NtoN2O*kgtoGg</f>
        <v>0.41456228412939544</v>
      </c>
      <c r="AN1466" s="22">
        <f>'Activity data'!BG50*ManureNEF*NtoN2O*kgtoGg</f>
        <v>0.42190892307820843</v>
      </c>
      <c r="AO1466" s="22">
        <f>'Activity data'!BH50*ManureNEF*NtoN2O*kgtoGg</f>
        <v>0.42960845898713129</v>
      </c>
      <c r="AP1466" s="22">
        <f>'Activity data'!BI50*ManureNEF*NtoN2O*kgtoGg</f>
        <v>0.43780304574358431</v>
      </c>
      <c r="AQ1466" s="22">
        <f>'Activity data'!BJ50*ManureNEF*NtoN2O*kgtoGg</f>
        <v>0.44626036327894386</v>
      </c>
      <c r="AR1466" s="22">
        <f>'Activity data'!BK50*ManureNEF*NtoN2O*kgtoGg</f>
        <v>0.45499571223112473</v>
      </c>
      <c r="AS1466" s="22">
        <f>'Activity data'!BL50*ManureNEF*NtoN2O*kgtoGg</f>
        <v>0.46427790014777842</v>
      </c>
      <c r="AT1466" s="22">
        <f>'Activity data'!BM50*ManureNEF*NtoN2O*kgtoGg</f>
        <v>0.4740288633200766</v>
      </c>
      <c r="AU1466" s="22">
        <f>'Activity data'!BN50*ManureNEF*NtoN2O*kgtoGg</f>
        <v>0.48419829350388255</v>
      </c>
      <c r="AV1466" s="22">
        <f>'Activity data'!BO50*ManureNEF*NtoN2O*kgtoGg</f>
        <v>0.49496943616318984</v>
      </c>
      <c r="AW1466" s="22">
        <f>'Activity data'!BP50*ManureNEF*NtoN2O*kgtoGg</f>
        <v>0.50533326104983312</v>
      </c>
    </row>
    <row r="1467" spans="1:49" x14ac:dyDescent="0.25">
      <c r="A1467" s="95" t="s">
        <v>959</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0.93731746283627526</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0.96141917889497153</v>
      </c>
      <c r="S1467" s="22">
        <f>'Activity data'!AL51*ManureNEF*NtoN2O*kgtoGg</f>
        <v>0.93365020902993845</v>
      </c>
      <c r="T1467" s="22">
        <f>'Activity data'!AM51*ManureNEF*NtoN2O*kgtoGg</f>
        <v>0.95247824875548714</v>
      </c>
      <c r="U1467" s="22">
        <f>'Activity data'!AN51*ManureNEF*NtoN2O*kgtoGg</f>
        <v>0.96182466181920945</v>
      </c>
      <c r="V1467" s="22">
        <f>'Activity data'!AO51*ManureNEF*NtoN2O*kgtoGg</f>
        <v>0.96426556553319687</v>
      </c>
      <c r="W1467" s="22">
        <f>'Activity data'!AP51*ManureNEF*NtoN2O*kgtoGg</f>
        <v>0.96773624393172708</v>
      </c>
      <c r="X1467" s="22">
        <f>'Activity data'!AQ51*ManureNEF*NtoN2O*kgtoGg</f>
        <v>0.97356006844995502</v>
      </c>
      <c r="Y1467" s="22">
        <f>'Activity data'!AR51*ManureNEF*NtoN2O*kgtoGg</f>
        <v>0.98125354559469047</v>
      </c>
      <c r="Z1467" s="22">
        <f>'Activity data'!AS51*ManureNEF*NtoN2O*kgtoGg</f>
        <v>0.9898672508653048</v>
      </c>
      <c r="AA1467" s="22">
        <f>'Activity data'!AT51*ManureNEF*NtoN2O*kgtoGg</f>
        <v>0.99967246769291085</v>
      </c>
      <c r="AB1467" s="22">
        <f>'Activity data'!AU51*ManureNEF*NtoN2O*kgtoGg</f>
        <v>1.0115098971796095</v>
      </c>
      <c r="AC1467" s="22">
        <f>'Activity data'!AV51*ManureNEF*NtoN2O*kgtoGg</f>
        <v>1.0253107738752334</v>
      </c>
      <c r="AD1467" s="22">
        <f>'Activity data'!AW51*ManureNEF*NtoN2O*kgtoGg</f>
        <v>1.0403318427526722</v>
      </c>
      <c r="AE1467" s="22">
        <f>'Activity data'!AX51*ManureNEF*NtoN2O*kgtoGg</f>
        <v>1.0565595279914524</v>
      </c>
      <c r="AF1467" s="22">
        <f>'Activity data'!AY51*ManureNEF*NtoN2O*kgtoGg</f>
        <v>1.0735820353165477</v>
      </c>
      <c r="AG1467" s="22">
        <f>'Activity data'!AZ51*ManureNEF*NtoN2O*kgtoGg</f>
        <v>1.0915897582793135</v>
      </c>
      <c r="AH1467" s="22">
        <f>'Activity data'!BA51*ManureNEF*NtoN2O*kgtoGg</f>
        <v>1.1103975379258981</v>
      </c>
      <c r="AI1467" s="22">
        <f>'Activity data'!BB51*ManureNEF*NtoN2O*kgtoGg</f>
        <v>1.1292806316402249</v>
      </c>
      <c r="AJ1467" s="22">
        <f>'Activity data'!BC51*ManureNEF*NtoN2O*kgtoGg</f>
        <v>1.1493011664968118</v>
      </c>
      <c r="AK1467" s="22">
        <f>'Activity data'!BD51*ManureNEF*NtoN2O*kgtoGg</f>
        <v>1.1697592856457866</v>
      </c>
      <c r="AL1467" s="22">
        <f>'Activity data'!BE51*ManureNEF*NtoN2O*kgtoGg</f>
        <v>1.190602957487612</v>
      </c>
      <c r="AM1467" s="22">
        <f>'Activity data'!BF51*ManureNEF*NtoN2O*kgtoGg</f>
        <v>1.2121679986970451</v>
      </c>
      <c r="AN1467" s="22">
        <f>'Activity data'!BG51*ManureNEF*NtoN2O*kgtoGg</f>
        <v>1.2336493561978465</v>
      </c>
      <c r="AO1467" s="22">
        <f>'Activity data'!BH51*ManureNEF*NtoN2O*kgtoGg</f>
        <v>1.2561625740927527</v>
      </c>
      <c r="AP1467" s="22">
        <f>'Activity data'!BI51*ManureNEF*NtoN2O*kgtoGg</f>
        <v>1.2801233061925847</v>
      </c>
      <c r="AQ1467" s="22">
        <f>'Activity data'!BJ51*ManureNEF*NtoN2O*kgtoGg</f>
        <v>1.3048522554087716</v>
      </c>
      <c r="AR1467" s="22">
        <f>'Activity data'!BK51*ManureNEF*NtoN2O*kgtoGg</f>
        <v>1.3303941603592482</v>
      </c>
      <c r="AS1467" s="22">
        <f>'Activity data'!BL51*ManureNEF*NtoN2O*kgtoGg</f>
        <v>1.3575350064545193</v>
      </c>
      <c r="AT1467" s="22">
        <f>'Activity data'!BM51*ManureNEF*NtoN2O*kgtoGg</f>
        <v>1.3860465376922328</v>
      </c>
      <c r="AU1467" s="22">
        <f>'Activity data'!BN51*ManureNEF*NtoN2O*kgtoGg</f>
        <v>1.4157816542373405</v>
      </c>
      <c r="AV1467" s="22">
        <f>'Activity data'!BO51*ManureNEF*NtoN2O*kgtoGg</f>
        <v>1.4472761604692133</v>
      </c>
      <c r="AW1467" s="22">
        <f>'Activity data'!BP51*ManureNEF*NtoN2O*kgtoGg</f>
        <v>1.4775796814421152</v>
      </c>
    </row>
    <row r="1468" spans="1:49" x14ac:dyDescent="0.25">
      <c r="A1468" s="95" t="s">
        <v>959</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5.0141199304605817E-2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5.1430505218981189E-2</v>
      </c>
      <c r="S1468" s="22">
        <f>'Activity data'!AL52*ManureNEF*NtoN2O*kgtoGg</f>
        <v>4.9945021903357263E-2</v>
      </c>
      <c r="T1468" s="22">
        <f>'Activity data'!AM52*ManureNEF*NtoN2O*kgtoGg</f>
        <v>5.0952215868929084E-2</v>
      </c>
      <c r="U1468" s="22">
        <f>'Activity data'!AN52*ManureNEF*NtoN2O*kgtoGg</f>
        <v>5.1452196269158888E-2</v>
      </c>
      <c r="V1468" s="22">
        <f>'Activity data'!AO52*ManureNEF*NtoN2O*kgtoGg</f>
        <v>5.1582770855101254E-2</v>
      </c>
      <c r="W1468" s="22">
        <f>'Activity data'!AP52*ManureNEF*NtoN2O*kgtoGg</f>
        <v>5.1768432580400064E-2</v>
      </c>
      <c r="X1468" s="22">
        <f>'Activity data'!AQ52*ManureNEF*NtoN2O*kgtoGg</f>
        <v>5.2079974355157911E-2</v>
      </c>
      <c r="Y1468" s="22">
        <f>'Activity data'!AR52*ManureNEF*NtoN2O*kgtoGg</f>
        <v>5.2491532003611736E-2</v>
      </c>
      <c r="Z1468" s="22">
        <f>'Activity data'!AS52*ManureNEF*NtoN2O*kgtoGg</f>
        <v>5.2952316668199217E-2</v>
      </c>
      <c r="AA1468" s="22">
        <f>'Activity data'!AT52*ManureNEF*NtoN2O*kgtoGg</f>
        <v>5.3476840482884362E-2</v>
      </c>
      <c r="AB1468" s="22">
        <f>'Activity data'!AU52*ManureNEF*NtoN2O*kgtoGg</f>
        <v>5.4110076216432663E-2</v>
      </c>
      <c r="AC1468" s="22">
        <f>'Activity data'!AV52*ManureNEF*NtoN2O*kgtoGg</f>
        <v>5.4848345304986328E-2</v>
      </c>
      <c r="AD1468" s="22">
        <f>'Activity data'!AW52*ManureNEF*NtoN2O*kgtoGg</f>
        <v>5.5651887795353253E-2</v>
      </c>
      <c r="AE1468" s="22">
        <f>'Activity data'!AX52*ManureNEF*NtoN2O*kgtoGg</f>
        <v>5.651997745768382E-2</v>
      </c>
      <c r="AF1468" s="22">
        <f>'Activity data'!AY52*ManureNEF*NtoN2O*kgtoGg</f>
        <v>5.7430585620118969E-2</v>
      </c>
      <c r="AG1468" s="22">
        <f>'Activity data'!AZ52*ManureNEF*NtoN2O*kgtoGg</f>
        <v>5.8393897264143985E-2</v>
      </c>
      <c r="AH1468" s="22">
        <f>'Activity data'!BA52*ManureNEF*NtoN2O*kgtoGg</f>
        <v>5.9400007429725336E-2</v>
      </c>
      <c r="AI1468" s="22">
        <f>'Activity data'!BB52*ManureNEF*NtoN2O*kgtoGg</f>
        <v>6.0410146473281176E-2</v>
      </c>
      <c r="AJ1468" s="22">
        <f>'Activity data'!BC52*ManureNEF*NtoN2O*kgtoGg</f>
        <v>6.1481132204616346E-2</v>
      </c>
      <c r="AK1468" s="22">
        <f>'Activity data'!BD52*ManureNEF*NtoN2O*kgtoGg</f>
        <v>6.2575526228325351E-2</v>
      </c>
      <c r="AL1468" s="22">
        <f>'Activity data'!BE52*ManureNEF*NtoN2O*kgtoGg</f>
        <v>6.3690545147207192E-2</v>
      </c>
      <c r="AM1468" s="22">
        <f>'Activity data'!BF52*ManureNEF*NtoN2O*kgtoGg</f>
        <v>6.4844153259897494E-2</v>
      </c>
      <c r="AN1468" s="22">
        <f>'Activity data'!BG52*ManureNEF*NtoN2O*kgtoGg</f>
        <v>6.5993284766017041E-2</v>
      </c>
      <c r="AO1468" s="22">
        <f>'Activity data'!BH52*ManureNEF*NtoN2O*kgtoGg</f>
        <v>6.7197614985194512E-2</v>
      </c>
      <c r="AP1468" s="22">
        <f>'Activity data'!BI52*ManureNEF*NtoN2O*kgtoGg</f>
        <v>6.8479379052692538E-2</v>
      </c>
      <c r="AQ1468" s="22">
        <f>'Activity data'!BJ52*ManureNEF*NtoN2O*kgtoGg</f>
        <v>6.9802238404411326E-2</v>
      </c>
      <c r="AR1468" s="22">
        <f>'Activity data'!BK52*ManureNEF*NtoN2O*kgtoGg</f>
        <v>7.1168586304156845E-2</v>
      </c>
      <c r="AS1468" s="22">
        <f>'Activity data'!BL52*ManureNEF*NtoN2O*kgtoGg</f>
        <v>7.2620468539702415E-2</v>
      </c>
      <c r="AT1468" s="22">
        <f>'Activity data'!BM52*ManureNEF*NtoN2O*kgtoGg</f>
        <v>7.4145674701917505E-2</v>
      </c>
      <c r="AU1468" s="22">
        <f>'Activity data'!BN52*ManureNEF*NtoN2O*kgtoGg</f>
        <v>7.5736335779032549E-2</v>
      </c>
      <c r="AV1468" s="22">
        <f>'Activity data'!BO52*ManureNEF*NtoN2O*kgtoGg</f>
        <v>7.742111428427241E-2</v>
      </c>
      <c r="AW1468" s="22">
        <f>'Activity data'!BP52*ManureNEF*NtoN2O*kgtoGg</f>
        <v>7.9042181793391189E-2</v>
      </c>
    </row>
    <row r="1469" spans="1:49" x14ac:dyDescent="0.25">
      <c r="A1469" s="95" t="s">
        <v>959</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0.39653071954810187</v>
      </c>
      <c r="M1469" s="22">
        <f>'Activity data'!AF53*ManureNEF*NtoN2O*kgtoGg</f>
        <v>0.39521014945095007</v>
      </c>
      <c r="N1469" s="22">
        <f>'Activity data'!AG53*ManureNEF*NtoN2O*kgtoGg</f>
        <v>0.38993263522397309</v>
      </c>
      <c r="O1469" s="22">
        <f>'Activity data'!AH53*ManureNEF*NtoN2O*kgtoGg</f>
        <v>0.38227219443770077</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0.31897606543396184</v>
      </c>
      <c r="T1469" s="22">
        <f>'Activity data'!AM53*ManureNEF*NtoN2O*kgtoGg</f>
        <v>0.33422640738749132</v>
      </c>
      <c r="U1469" s="22">
        <f>'Activity data'!AN53*ManureNEF*NtoN2O*kgtoGg</f>
        <v>0.3395060787066792</v>
      </c>
      <c r="V1469" s="22">
        <f>'Activity data'!AO53*ManureNEF*NtoN2O*kgtoGg</f>
        <v>0.33721330134407257</v>
      </c>
      <c r="W1469" s="22">
        <f>'Activity data'!AP53*ManureNEF*NtoN2O*kgtoGg</f>
        <v>0.33534828840095249</v>
      </c>
      <c r="X1469" s="22">
        <f>'Activity data'!AQ53*ManureNEF*NtoN2O*kgtoGg</f>
        <v>0.33547079917503503</v>
      </c>
      <c r="Y1469" s="22">
        <f>'Activity data'!AR53*ManureNEF*NtoN2O*kgtoGg</f>
        <v>0.33744070936588777</v>
      </c>
      <c r="Z1469" s="22">
        <f>'Activity data'!AS53*ManureNEF*NtoN2O*kgtoGg</f>
        <v>0.34023587672815686</v>
      </c>
      <c r="AA1469" s="22">
        <f>'Activity data'!AT53*ManureNEF*NtoN2O*kgtoGg</f>
        <v>0.34408144868680218</v>
      </c>
      <c r="AB1469" s="22">
        <f>'Activity data'!AU53*ManureNEF*NtoN2O*kgtoGg</f>
        <v>0.34971445697084458</v>
      </c>
      <c r="AC1469" s="22">
        <f>'Activity data'!AV53*ManureNEF*NtoN2O*kgtoGg</f>
        <v>0.35697581238959336</v>
      </c>
      <c r="AD1469" s="22">
        <f>'Activity data'!AW53*ManureNEF*NtoN2O*kgtoGg</f>
        <v>0.36203839361176637</v>
      </c>
      <c r="AE1469" s="22">
        <f>'Activity data'!AX53*ManureNEF*NtoN2O*kgtoGg</f>
        <v>0.36769900977315834</v>
      </c>
      <c r="AF1469" s="22">
        <f>'Activity data'!AY53*ManureNEF*NtoN2O*kgtoGg</f>
        <v>0.37353106948354631</v>
      </c>
      <c r="AG1469" s="22">
        <f>'Activity data'!AZ53*ManureNEF*NtoN2O*kgtoGg</f>
        <v>0.37966412521229187</v>
      </c>
      <c r="AH1469" s="22">
        <f>'Activity data'!BA53*ManureNEF*NtoN2O*kgtoGg</f>
        <v>0.38588904144354591</v>
      </c>
      <c r="AI1469" s="22">
        <f>'Activity data'!BB53*ManureNEF*NtoN2O*kgtoGg</f>
        <v>0.39157349610813613</v>
      </c>
      <c r="AJ1469" s="22">
        <f>'Activity data'!BC53*ManureNEF*NtoN2O*kgtoGg</f>
        <v>0.39756955250590403</v>
      </c>
      <c r="AK1469" s="22">
        <f>'Activity data'!BD53*ManureNEF*NtoN2O*kgtoGg</f>
        <v>0.40329410820183131</v>
      </c>
      <c r="AL1469" s="22">
        <f>'Activity data'!BE53*ManureNEF*NtoN2O*kgtoGg</f>
        <v>0.4086920134239358</v>
      </c>
      <c r="AM1469" s="22">
        <f>'Activity data'!BF53*ManureNEF*NtoN2O*kgtoGg</f>
        <v>0.41399400883192944</v>
      </c>
      <c r="AN1469" s="22">
        <f>'Activity data'!BG53*ManureNEF*NtoN2O*kgtoGg</f>
        <v>0.42072674060954357</v>
      </c>
      <c r="AO1469" s="22">
        <f>'Activity data'!BH53*ManureNEF*NtoN2O*kgtoGg</f>
        <v>0.42769047193917231</v>
      </c>
      <c r="AP1469" s="22">
        <f>'Activity data'!BI53*ManureNEF*NtoN2O*kgtoGg</f>
        <v>0.43513827260891708</v>
      </c>
      <c r="AQ1469" s="22">
        <f>'Activity data'!BJ53*ManureNEF*NtoN2O*kgtoGg</f>
        <v>0.44255709633783841</v>
      </c>
      <c r="AR1469" s="22">
        <f>'Activity data'!BK53*ManureNEF*NtoN2O*kgtoGg</f>
        <v>0.44995657231615971</v>
      </c>
      <c r="AS1469" s="22">
        <f>'Activity data'!BL53*ManureNEF*NtoN2O*kgtoGg</f>
        <v>0.45782299471336541</v>
      </c>
      <c r="AT1469" s="22">
        <f>'Activity data'!BM53*ManureNEF*NtoN2O*kgtoGg</f>
        <v>0.46595268200970025</v>
      </c>
      <c r="AU1469" s="22">
        <f>'Activity data'!BN53*ManureNEF*NtoN2O*kgtoGg</f>
        <v>0.47420429180526752</v>
      </c>
      <c r="AV1469" s="22">
        <f>'Activity data'!BO53*ManureNEF*NtoN2O*kgtoGg</f>
        <v>0.48285863154123199</v>
      </c>
      <c r="AW1469" s="22">
        <f>'Activity data'!BP53*ManureNEF*NtoN2O*kgtoGg</f>
        <v>0.4901142188549843</v>
      </c>
    </row>
    <row r="1470" spans="1:49" x14ac:dyDescent="0.25">
      <c r="A1470" s="95" t="s">
        <v>959</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2.6602988559851233</v>
      </c>
      <c r="L1470" s="22">
        <f>'Activity data'!AE54*ManureNEF*NtoN2O*kgtoGg</f>
        <v>2.6372269335947083</v>
      </c>
      <c r="M1470" s="22">
        <f>'Activity data'!AF54*ManureNEF*NtoN2O*kgtoGg</f>
        <v>2.6284441511866339</v>
      </c>
      <c r="N1470" s="22">
        <f>'Activity data'!AG54*ManureNEF*NtoN2O*kgtoGg</f>
        <v>2.5933447201068058</v>
      </c>
      <c r="O1470" s="22">
        <f>'Activity data'!AH54*ManureNEF*NtoN2O*kgtoGg</f>
        <v>2.5423970387070192</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2.1214302687397906</v>
      </c>
      <c r="T1470" s="22">
        <f>'Activity data'!AM54*ManureNEF*NtoN2O*kgtoGg</f>
        <v>2.2228564901236254</v>
      </c>
      <c r="U1470" s="22">
        <f>'Activity data'!AN54*ManureNEF*NtoN2O*kgtoGg</f>
        <v>2.2579702674858382</v>
      </c>
      <c r="V1470" s="22">
        <f>'Activity data'!AO54*ManureNEF*NtoN2O*kgtoGg</f>
        <v>2.2427215769927198</v>
      </c>
      <c r="W1470" s="22">
        <f>'Activity data'!AP54*ManureNEF*NtoN2O*kgtoGg</f>
        <v>2.230317840982798</v>
      </c>
      <c r="X1470" s="22">
        <f>'Activity data'!AQ54*ManureNEF*NtoN2O*kgtoGg</f>
        <v>2.2311326295909391</v>
      </c>
      <c r="Y1470" s="22">
        <f>'Activity data'!AR54*ManureNEF*NtoN2O*kgtoGg</f>
        <v>2.2442340110375012</v>
      </c>
      <c r="Z1470" s="22">
        <f>'Activity data'!AS54*ManureNEF*NtoN2O*kgtoGg</f>
        <v>2.2628239721383245</v>
      </c>
      <c r="AA1470" s="22">
        <f>'Activity data'!AT54*ManureNEF*NtoN2O*kgtoGg</f>
        <v>2.2883999122722289</v>
      </c>
      <c r="AB1470" s="22">
        <f>'Activity data'!AU54*ManureNEF*NtoN2O*kgtoGg</f>
        <v>2.3258636456767143</v>
      </c>
      <c r="AC1470" s="22">
        <f>'Activity data'!AV54*ManureNEF*NtoN2O*kgtoGg</f>
        <v>2.3741571098162688</v>
      </c>
      <c r="AD1470" s="22">
        <f>'Activity data'!AW54*ManureNEF*NtoN2O*kgtoGg</f>
        <v>2.4078270750785844</v>
      </c>
      <c r="AE1470" s="22">
        <f>'Activity data'!AX54*ManureNEF*NtoN2O*kgtoGg</f>
        <v>2.4454744215907969</v>
      </c>
      <c r="AF1470" s="22">
        <f>'Activity data'!AY54*ManureNEF*NtoN2O*kgtoGg</f>
        <v>2.4842619963948258</v>
      </c>
      <c r="AG1470" s="22">
        <f>'Activity data'!AZ54*ManureNEF*NtoN2O*kgtoGg</f>
        <v>2.5250514206581411</v>
      </c>
      <c r="AH1470" s="22">
        <f>'Activity data'!BA54*ManureNEF*NtoN2O*kgtoGg</f>
        <v>2.5664517862165597</v>
      </c>
      <c r="AI1470" s="22">
        <f>'Activity data'!BB54*ManureNEF*NtoN2O*kgtoGg</f>
        <v>2.6042576766689809</v>
      </c>
      <c r="AJ1470" s="22">
        <f>'Activity data'!BC54*ManureNEF*NtoN2O*kgtoGg</f>
        <v>2.6441359525452293</v>
      </c>
      <c r="AK1470" s="22">
        <f>'Activity data'!BD54*ManureNEF*NtoN2O*kgtoGg</f>
        <v>2.6822085449571547</v>
      </c>
      <c r="AL1470" s="22">
        <f>'Activity data'!BE54*ManureNEF*NtoN2O*kgtoGg</f>
        <v>2.7181086665238992</v>
      </c>
      <c r="AM1470" s="22">
        <f>'Activity data'!BF54*ManureNEF*NtoN2O*kgtoGg</f>
        <v>2.7533709158338433</v>
      </c>
      <c r="AN1470" s="22">
        <f>'Activity data'!BG54*ManureNEF*NtoN2O*kgtoGg</f>
        <v>2.7981486359580932</v>
      </c>
      <c r="AO1470" s="22">
        <f>'Activity data'!BH54*ManureNEF*NtoN2O*kgtoGg</f>
        <v>2.8444626764988703</v>
      </c>
      <c r="AP1470" s="22">
        <f>'Activity data'!BI54*ManureNEF*NtoN2O*kgtoGg</f>
        <v>2.8939961415092981</v>
      </c>
      <c r="AQ1470" s="22">
        <f>'Activity data'!BJ54*ManureNEF*NtoN2O*kgtoGg</f>
        <v>2.9433368881122353</v>
      </c>
      <c r="AR1470" s="22">
        <f>'Activity data'!BK54*ManureNEF*NtoN2O*kgtoGg</f>
        <v>2.9925489576506421</v>
      </c>
      <c r="AS1470" s="22">
        <f>'Activity data'!BL54*ManureNEF*NtoN2O*kgtoGg</f>
        <v>3.0448665713794991</v>
      </c>
      <c r="AT1470" s="22">
        <f>'Activity data'!BM54*ManureNEF*NtoN2O*kgtoGg</f>
        <v>3.0989350943025911</v>
      </c>
      <c r="AU1470" s="22">
        <f>'Activity data'!BN54*ManureNEF*NtoN2O*kgtoGg</f>
        <v>3.1538144933644965</v>
      </c>
      <c r="AV1470" s="22">
        <f>'Activity data'!BO54*ManureNEF*NtoN2O*kgtoGg</f>
        <v>3.211372348831973</v>
      </c>
      <c r="AW1470" s="22">
        <f>'Activity data'!BP54*ManureNEF*NtoN2O*kgtoGg</f>
        <v>3.2596274507435776</v>
      </c>
    </row>
    <row r="1471" spans="1:49" x14ac:dyDescent="0.25">
      <c r="A1471" s="95" t="s">
        <v>959</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0.34358078636628725</v>
      </c>
      <c r="L1471" s="22">
        <f>'Activity data'!AE55*ManureNEF*NtoN2O*kgtoGg</f>
        <v>0.35516571939691488</v>
      </c>
      <c r="M1471" s="22">
        <f>'Activity data'!AF55*ManureNEF*NtoN2O*kgtoGg</f>
        <v>0.36891582276573964</v>
      </c>
      <c r="N1471" s="22">
        <f>'Activity data'!AG55*ManureNEF*NtoN2O*kgtoGg</f>
        <v>0.37917034791782084</v>
      </c>
      <c r="O1471" s="22">
        <f>'Activity data'!AH55*ManureNEF*NtoN2O*kgtoGg</f>
        <v>0.3870785095581884</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0.37883271565803223</v>
      </c>
      <c r="T1471" s="22">
        <f>'Activity data'!AM55*ManureNEF*NtoN2O*kgtoGg</f>
        <v>0.40650829214497081</v>
      </c>
      <c r="U1471" s="22">
        <f>'Activity data'!AN55*ManureNEF*NtoN2O*kgtoGg</f>
        <v>0.42274175542300491</v>
      </c>
      <c r="V1471" s="22">
        <f>'Activity data'!AO55*ManureNEF*NtoN2O*kgtoGg</f>
        <v>0.42973734716787138</v>
      </c>
      <c r="W1471" s="22">
        <f>'Activity data'!AP55*ManureNEF*NtoN2O*kgtoGg</f>
        <v>0.43726842004421129</v>
      </c>
      <c r="X1471" s="22">
        <f>'Activity data'!AQ55*ManureNEF*NtoN2O*kgtoGg</f>
        <v>0.44745878466388073</v>
      </c>
      <c r="Y1471" s="22">
        <f>'Activity data'!AR55*ManureNEF*NtoN2O*kgtoGg</f>
        <v>0.46030289933226931</v>
      </c>
      <c r="Z1471" s="22">
        <f>'Activity data'!AS55*ManureNEF*NtoN2O*kgtoGg</f>
        <v>0.47455223837766919</v>
      </c>
      <c r="AA1471" s="22">
        <f>'Activity data'!AT55*ManureNEF*NtoN2O*kgtoGg</f>
        <v>0.4906141484694207</v>
      </c>
      <c r="AB1471" s="22">
        <f>'Activity data'!AU55*ManureNEF*NtoN2O*kgtoGg</f>
        <v>0.50967264018855052</v>
      </c>
      <c r="AC1471" s="22">
        <f>'Activity data'!AV55*ManureNEF*NtoN2O*kgtoGg</f>
        <v>0.53167442702617229</v>
      </c>
      <c r="AD1471" s="22">
        <f>'Activity data'!AW55*ManureNEF*NtoN2O*kgtoGg</f>
        <v>0.55709637533943834</v>
      </c>
      <c r="AE1471" s="22">
        <f>'Activity data'!AX55*ManureNEF*NtoN2O*kgtoGg</f>
        <v>0.58460645913698228</v>
      </c>
      <c r="AF1471" s="22">
        <f>'Activity data'!AY55*ManureNEF*NtoN2O*kgtoGg</f>
        <v>0.61366166383859366</v>
      </c>
      <c r="AG1471" s="22">
        <f>'Activity data'!AZ55*ManureNEF*NtoN2O*kgtoGg</f>
        <v>0.64458089754098746</v>
      </c>
      <c r="AH1471" s="22">
        <f>'Activity data'!BA55*ManureNEF*NtoN2O*kgtoGg</f>
        <v>0.67712551028517698</v>
      </c>
      <c r="AI1471" s="22">
        <f>'Activity data'!BB55*ManureNEF*NtoN2O*kgtoGg</f>
        <v>0.71024940806884818</v>
      </c>
      <c r="AJ1471" s="22">
        <f>'Activity data'!BC55*ManureNEF*NtoN2O*kgtoGg</f>
        <v>0.74554239669460731</v>
      </c>
      <c r="AK1471" s="22">
        <f>'Activity data'!BD55*ManureNEF*NtoN2O*kgtoGg</f>
        <v>0.78202811985737553</v>
      </c>
      <c r="AL1471" s="22">
        <f>'Activity data'!BE55*ManureNEF*NtoN2O*kgtoGg</f>
        <v>0.81964634511188172</v>
      </c>
      <c r="AM1471" s="22">
        <f>'Activity data'!BF55*ManureNEF*NtoN2O*kgtoGg</f>
        <v>0.85891861421537574</v>
      </c>
      <c r="AN1471" s="22">
        <f>'Activity data'!BG55*ManureNEF*NtoN2O*kgtoGg</f>
        <v>0.89751581296509064</v>
      </c>
      <c r="AO1471" s="22">
        <f>'Activity data'!BH55*ManureNEF*NtoN2O*kgtoGg</f>
        <v>0.93820295986961577</v>
      </c>
      <c r="AP1471" s="22">
        <f>'Activity data'!BI55*ManureNEF*NtoN2O*kgtoGg</f>
        <v>0.98167178661912335</v>
      </c>
      <c r="AQ1471" s="22">
        <f>'Activity data'!BJ55*ManureNEF*NtoN2O*kgtoGg</f>
        <v>1.0269093365438573</v>
      </c>
      <c r="AR1471" s="22">
        <f>'Activity data'!BK55*ManureNEF*NtoN2O*kgtoGg</f>
        <v>1.0740254053264544</v>
      </c>
      <c r="AS1471" s="22">
        <f>'Activity data'!BL55*ManureNEF*NtoN2O*kgtoGg</f>
        <v>1.1243087675322185</v>
      </c>
      <c r="AT1471" s="22">
        <f>'Activity data'!BM55*ManureNEF*NtoN2O*kgtoGg</f>
        <v>1.1774495119019792</v>
      </c>
      <c r="AU1471" s="22">
        <f>'Activity data'!BN55*ManureNEF*NtoN2O*kgtoGg</f>
        <v>1.2332540246283563</v>
      </c>
      <c r="AV1471" s="22">
        <f>'Activity data'!BO55*ManureNEF*NtoN2O*kgtoGg</f>
        <v>1.2926278816392183</v>
      </c>
      <c r="AW1471" s="22">
        <f>'Activity data'!BP55*ManureNEF*NtoN2O*kgtoGg</f>
        <v>1.3508373812373191</v>
      </c>
    </row>
    <row r="1472" spans="1:49" x14ac:dyDescent="0.25">
      <c r="A1472" s="95" t="s">
        <v>959</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5.9206646241484272E-2</v>
      </c>
      <c r="T1472" s="22">
        <f>'Activity data'!AM56*ManureNEF*NtoN2O*kgtoGg</f>
        <v>5.9249261961011081E-2</v>
      </c>
      <c r="U1472" s="22">
        <f>'Activity data'!AN56*ManureNEF*NtoN2O*kgtoGg</f>
        <v>5.9234279181673045E-2</v>
      </c>
      <c r="V1472" s="22">
        <f>'Activity data'!AO56*ManureNEF*NtoN2O*kgtoGg</f>
        <v>5.9233200541063784E-2</v>
      </c>
      <c r="W1472" s="22">
        <f>'Activity data'!AP56*ManureNEF*NtoN2O*kgtoGg</f>
        <v>5.9296029757579687E-2</v>
      </c>
      <c r="X1472" s="22">
        <f>'Activity data'!AQ56*ManureNEF*NtoN2O*kgtoGg</f>
        <v>5.9398855559527265E-2</v>
      </c>
      <c r="Y1472" s="22">
        <f>'Activity data'!AR56*ManureNEF*NtoN2O*kgtoGg</f>
        <v>5.9497518057295966E-2</v>
      </c>
      <c r="Z1472" s="22">
        <f>'Activity data'!AS56*ManureNEF*NtoN2O*kgtoGg</f>
        <v>5.9592335556578689E-2</v>
      </c>
      <c r="AA1472" s="22">
        <f>'Activity data'!AT56*ManureNEF*NtoN2O*kgtoGg</f>
        <v>5.9683178655916949E-2</v>
      </c>
      <c r="AB1472" s="22">
        <f>'Activity data'!AU56*ManureNEF*NtoN2O*kgtoGg</f>
        <v>5.9771940504679918E-2</v>
      </c>
      <c r="AC1472" s="22">
        <f>'Activity data'!AV56*ManureNEF*NtoN2O*kgtoGg</f>
        <v>5.9859917680633305E-2</v>
      </c>
      <c r="AD1472" s="22">
        <f>'Activity data'!AW56*ManureNEF*NtoN2O*kgtoGg</f>
        <v>5.994622744604354E-2</v>
      </c>
      <c r="AE1472" s="22">
        <f>'Activity data'!AX56*ManureNEF*NtoN2O*kgtoGg</f>
        <v>6.0032110794538678E-2</v>
      </c>
      <c r="AF1472" s="22">
        <f>'Activity data'!AY56*ManureNEF*NtoN2O*kgtoGg</f>
        <v>6.0117297176971563E-2</v>
      </c>
      <c r="AG1472" s="22">
        <f>'Activity data'!AZ56*ManureNEF*NtoN2O*kgtoGg</f>
        <v>6.0201104026504609E-2</v>
      </c>
      <c r="AH1472" s="22">
        <f>'Activity data'!BA56*ManureNEF*NtoN2O*kgtoGg</f>
        <v>6.0283900321551377E-2</v>
      </c>
      <c r="AI1472" s="22">
        <f>'Activity data'!BB56*ManureNEF*NtoN2O*kgtoGg</f>
        <v>6.0365774417580641E-2</v>
      </c>
      <c r="AJ1472" s="22">
        <f>'Activity data'!BC56*ManureNEF*NtoN2O*kgtoGg</f>
        <v>6.0447004272429113E-2</v>
      </c>
      <c r="AK1472" s="22">
        <f>'Activity data'!BD56*ManureNEF*NtoN2O*kgtoGg</f>
        <v>6.0525104414191039E-2</v>
      </c>
      <c r="AL1472" s="22">
        <f>'Activity data'!BE56*ManureNEF*NtoN2O*kgtoGg</f>
        <v>6.0599983467265146E-2</v>
      </c>
      <c r="AM1472" s="22">
        <f>'Activity data'!BF56*ManureNEF*NtoN2O*kgtoGg</f>
        <v>6.0672341257529266E-2</v>
      </c>
      <c r="AN1472" s="22">
        <f>'Activity data'!BG56*ManureNEF*NtoN2O*kgtoGg</f>
        <v>6.0741620622323307E-2</v>
      </c>
      <c r="AO1472" s="22">
        <f>'Activity data'!BH56*ManureNEF*NtoN2O*kgtoGg</f>
        <v>6.0807947239837602E-2</v>
      </c>
      <c r="AP1472" s="22">
        <f>'Activity data'!BI56*ManureNEF*NtoN2O*kgtoGg</f>
        <v>6.0871022373773183E-2</v>
      </c>
      <c r="AQ1472" s="22">
        <f>'Activity data'!BJ56*ManureNEF*NtoN2O*kgtoGg</f>
        <v>6.0929943414023247E-2</v>
      </c>
      <c r="AR1472" s="22">
        <f>'Activity data'!BK56*ManureNEF*NtoN2O*kgtoGg</f>
        <v>6.098387393162142E-2</v>
      </c>
      <c r="AS1472" s="22">
        <f>'Activity data'!BL56*ManureNEF*NtoN2O*kgtoGg</f>
        <v>6.1032759441621343E-2</v>
      </c>
      <c r="AT1472" s="22">
        <f>'Activity data'!BM56*ManureNEF*NtoN2O*kgtoGg</f>
        <v>6.1076225850700765E-2</v>
      </c>
      <c r="AU1472" s="22">
        <f>'Activity data'!BN56*ManureNEF*NtoN2O*kgtoGg</f>
        <v>6.1114252195612971E-2</v>
      </c>
      <c r="AV1472" s="22">
        <f>'Activity data'!BO56*ManureNEF*NtoN2O*kgtoGg</f>
        <v>6.1147566184616489E-2</v>
      </c>
      <c r="AW1472" s="22">
        <f>'Activity data'!BP56*ManureNEF*NtoN2O*kgtoGg</f>
        <v>6.1171840771151238E-2</v>
      </c>
    </row>
    <row r="1473" spans="1:49" x14ac:dyDescent="0.25">
      <c r="A1473" s="95" t="s">
        <v>959</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4.8186162011392024E-2</v>
      </c>
      <c r="T1473" s="22">
        <f>'Activity data'!AM57*ManureNEF*NtoN2O*kgtoGg</f>
        <v>4.8220845414281899E-2</v>
      </c>
      <c r="U1473" s="22">
        <f>'Activity data'!AN57*ManureNEF*NtoN2O*kgtoGg</f>
        <v>4.8208651468527576E-2</v>
      </c>
      <c r="V1473" s="22">
        <f>'Activity data'!AO57*ManureNEF*NtoN2O*kgtoGg</f>
        <v>4.8207773601692518E-2</v>
      </c>
      <c r="W1473" s="22">
        <f>'Activity data'!AP57*ManureNEF*NtoN2O*kgtoGg</f>
        <v>4.8258908043487037E-2</v>
      </c>
      <c r="X1473" s="22">
        <f>'Activity data'!AQ57*ManureNEF*NtoN2O*kgtoGg</f>
        <v>4.8342594269039987E-2</v>
      </c>
      <c r="Y1473" s="22">
        <f>'Activity data'!AR57*ManureNEF*NtoN2O*kgtoGg</f>
        <v>4.8422892130914143E-2</v>
      </c>
      <c r="Z1473" s="22">
        <f>'Activity data'!AS57*ManureNEF*NtoN2O*kgtoGg</f>
        <v>4.8500060686675887E-2</v>
      </c>
      <c r="AA1473" s="22">
        <f>'Activity data'!AT57*ManureNEF*NtoN2O*kgtoGg</f>
        <v>4.8573994621127721E-2</v>
      </c>
      <c r="AB1473" s="22">
        <f>'Activity data'!AU57*ManureNEF*NtoN2O*kgtoGg</f>
        <v>4.8646234700518105E-2</v>
      </c>
      <c r="AC1473" s="22">
        <f>'Activity data'!AV57*ManureNEF*NtoN2O*kgtoGg</f>
        <v>4.8717836162902997E-2</v>
      </c>
      <c r="AD1473" s="22">
        <f>'Activity data'!AW57*ManureNEF*NtoN2O*kgtoGg</f>
        <v>4.8788080579758822E-2</v>
      </c>
      <c r="AE1473" s="22">
        <f>'Activity data'!AX57*ManureNEF*NtoN2O*kgtoGg</f>
        <v>4.8857977951209122E-2</v>
      </c>
      <c r="AF1473" s="22">
        <f>'Activity data'!AY57*ManureNEF*NtoN2O*kgtoGg</f>
        <v>4.8927308087024161E-2</v>
      </c>
      <c r="AG1473" s="22">
        <f>'Activity data'!AZ57*ManureNEF*NtoN2O*kgtoGg</f>
        <v>4.8995515470580273E-2</v>
      </c>
      <c r="AH1473" s="22">
        <f>'Activity data'!BA57*ManureNEF*NtoN2O*kgtoGg</f>
        <v>4.9062900400150392E-2</v>
      </c>
      <c r="AI1473" s="22">
        <f>'Activity data'!BB57*ManureNEF*NtoN2O*kgtoGg</f>
        <v>4.9129534785075896E-2</v>
      </c>
      <c r="AJ1473" s="22">
        <f>'Activity data'!BC57*ManureNEF*NtoN2O*kgtoGg</f>
        <v>4.9195644845252684E-2</v>
      </c>
      <c r="AK1473" s="22">
        <f>'Activity data'!BD57*ManureNEF*NtoN2O*kgtoGg</f>
        <v>4.9259207744402629E-2</v>
      </c>
      <c r="AL1473" s="22">
        <f>'Activity data'!BE57*ManureNEF*NtoN2O*kgtoGg</f>
        <v>4.9320149115207046E-2</v>
      </c>
      <c r="AM1473" s="22">
        <f>'Activity data'!BF57*ManureNEF*NtoN2O*kgtoGg</f>
        <v>4.9379038520802346E-2</v>
      </c>
      <c r="AN1473" s="22">
        <f>'Activity data'!BG57*ManureNEF*NtoN2O*kgtoGg</f>
        <v>4.9435422506519014E-2</v>
      </c>
      <c r="AO1473" s="22">
        <f>'Activity data'!BH57*ManureNEF*NtoN2O*kgtoGg</f>
        <v>4.9489403357320404E-2</v>
      </c>
      <c r="AP1473" s="22">
        <f>'Activity data'!BI57*ManureNEF*NtoN2O*kgtoGg</f>
        <v>4.9540737942466703E-2</v>
      </c>
      <c r="AQ1473" s="22">
        <f>'Activity data'!BJ57*ManureNEF*NtoN2O*kgtoGg</f>
        <v>4.9588691660023831E-2</v>
      </c>
      <c r="AR1473" s="22">
        <f>'Activity data'!BK57*ManureNEF*NtoN2O*kgtoGg</f>
        <v>4.9632583770509955E-2</v>
      </c>
      <c r="AS1473" s="22">
        <f>'Activity data'!BL57*ManureNEF*NtoN2O*kgtoGg</f>
        <v>4.9672369930584929E-2</v>
      </c>
      <c r="AT1473" s="22">
        <f>'Activity data'!BM57*ManureNEF*NtoN2O*kgtoGg</f>
        <v>4.9707745679135391E-2</v>
      </c>
      <c r="AU1473" s="22">
        <f>'Activity data'!BN57*ManureNEF*NtoN2O*kgtoGg</f>
        <v>4.9738693954928054E-2</v>
      </c>
      <c r="AV1473" s="22">
        <f>'Activity data'!BO57*ManureNEF*NtoN2O*kgtoGg</f>
        <v>4.9765807013567136E-2</v>
      </c>
      <c r="AW1473" s="22">
        <f>'Activity data'!BP57*ManureNEF*NtoN2O*kgtoGg</f>
        <v>4.9785563227333289E-2</v>
      </c>
    </row>
    <row r="1474" spans="1:49" x14ac:dyDescent="0.25">
      <c r="A1474" s="95" t="s">
        <v>959</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7.2140927380493743E-3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7.4155715935563127E-3</v>
      </c>
      <c r="R1474" s="22">
        <f>'Activity data'!AK58*ManureNEF*NtoN2O*kgtoGg</f>
        <v>7.4643602602570466E-3</v>
      </c>
      <c r="S1474" s="22">
        <f>'Activity data'!AL58*ManureNEF*NtoN2O*kgtoGg</f>
        <v>7.446057759840319E-3</v>
      </c>
      <c r="T1474" s="22">
        <f>'Activity data'!AM58*ManureNEF*NtoN2O*kgtoGg</f>
        <v>7.4588575402652147E-3</v>
      </c>
      <c r="U1474" s="22">
        <f>'Activity data'!AN58*ManureNEF*NtoN2O*kgtoGg</f>
        <v>7.4600996121267065E-3</v>
      </c>
      <c r="V1474" s="22">
        <f>'Activity data'!AO58*ManureNEF*NtoN2O*kgtoGg</f>
        <v>7.4635145174609509E-3</v>
      </c>
      <c r="W1474" s="22">
        <f>'Activity data'!AP58*ManureNEF*NtoN2O*kgtoGg</f>
        <v>7.478612742540797E-3</v>
      </c>
      <c r="X1474" s="22">
        <f>'Activity data'!AQ58*ManureNEF*NtoN2O*kgtoGg</f>
        <v>7.5008213874242727E-3</v>
      </c>
      <c r="Y1474" s="22">
        <f>'Activity data'!AR58*ManureNEF*NtoN2O*kgtoGg</f>
        <v>7.521785176202795E-3</v>
      </c>
      <c r="Z1474" s="22">
        <f>'Activity data'!AS58*ManureNEF*NtoN2O*kgtoGg</f>
        <v>7.5416026776079998E-3</v>
      </c>
      <c r="AA1474" s="22">
        <f>'Activity data'!AT58*ManureNEF*NtoN2O*kgtoGg</f>
        <v>7.5602840353540396E-3</v>
      </c>
      <c r="AB1474" s="22">
        <f>'Activity data'!AU58*ManureNEF*NtoN2O*kgtoGg</f>
        <v>7.5782158017585468E-3</v>
      </c>
      <c r="AC1474" s="22">
        <f>'Activity data'!AV58*ManureNEF*NtoN2O*kgtoGg</f>
        <v>7.5956670242534503E-3</v>
      </c>
      <c r="AD1474" s="22">
        <f>'Activity data'!AW58*ManureNEF*NtoN2O*kgtoGg</f>
        <v>7.6124952267758277E-3</v>
      </c>
      <c r="AE1474" s="22">
        <f>'Activity data'!AX58*ManureNEF*NtoN2O*kgtoGg</f>
        <v>7.6289531687582885E-3</v>
      </c>
      <c r="AF1474" s="22">
        <f>'Activity data'!AY58*ManureNEF*NtoN2O*kgtoGg</f>
        <v>7.6450086817527159E-3</v>
      </c>
      <c r="AG1474" s="22">
        <f>'Activity data'!AZ58*ManureNEF*NtoN2O*kgtoGg</f>
        <v>7.6605519051480614E-3</v>
      </c>
      <c r="AH1474" s="22">
        <f>'Activity data'!BA58*ManureNEF*NtoN2O*kgtoGg</f>
        <v>7.6756674337729895E-3</v>
      </c>
      <c r="AI1474" s="22">
        <f>'Activity data'!BB58*ManureNEF*NtoN2O*kgtoGg</f>
        <v>7.6903861453690046E-3</v>
      </c>
      <c r="AJ1474" s="22">
        <f>'Activity data'!BC58*ManureNEF*NtoN2O*kgtoGg</f>
        <v>7.7047726653034906E-3</v>
      </c>
      <c r="AK1474" s="22">
        <f>'Activity data'!BD58*ManureNEF*NtoN2O*kgtoGg</f>
        <v>7.7183809322326768E-3</v>
      </c>
      <c r="AL1474" s="22">
        <f>'Activity data'!BE58*ManureNEF*NtoN2O*kgtoGg</f>
        <v>7.7312077295111602E-3</v>
      </c>
      <c r="AM1474" s="22">
        <f>'Activity data'!BF58*ManureNEF*NtoN2O*kgtoGg</f>
        <v>7.7433943538670266E-3</v>
      </c>
      <c r="AN1474" s="22">
        <f>'Activity data'!BG58*ManureNEF*NtoN2O*kgtoGg</f>
        <v>7.7548499619508725E-3</v>
      </c>
      <c r="AO1474" s="22">
        <f>'Activity data'!BH58*ManureNEF*NtoN2O*kgtoGg</f>
        <v>7.7656086534531824E-3</v>
      </c>
      <c r="AP1474" s="22">
        <f>'Activity data'!BI58*ManureNEF*NtoN2O*kgtoGg</f>
        <v>7.7756261682697366E-3</v>
      </c>
      <c r="AQ1474" s="22">
        <f>'Activity data'!BJ58*ManureNEF*NtoN2O*kgtoGg</f>
        <v>7.7847478814032966E-3</v>
      </c>
      <c r="AR1474" s="22">
        <f>'Activity data'!BK58*ManureNEF*NtoN2O*kgtoGg</f>
        <v>7.7928317537802119E-3</v>
      </c>
      <c r="AS1474" s="22">
        <f>'Activity data'!BL58*ManureNEF*NtoN2O*kgtoGg</f>
        <v>7.7998783369461555E-3</v>
      </c>
      <c r="AT1474" s="22">
        <f>'Activity data'!BM58*ManureNEF*NtoN2O*kgtoGg</f>
        <v>7.8058297320024528E-3</v>
      </c>
      <c r="AU1474" s="22">
        <f>'Activity data'!BN58*ManureNEF*NtoN2O*kgtoGg</f>
        <v>7.8106919749548918E-3</v>
      </c>
      <c r="AV1474" s="22">
        <f>'Activity data'!BO58*ManureNEF*NtoN2O*kgtoGg</f>
        <v>7.8146060933627498E-3</v>
      </c>
      <c r="AW1474" s="22">
        <f>'Activity data'!BP58*ManureNEF*NtoN2O*kgtoGg</f>
        <v>7.8167990100407609E-3</v>
      </c>
    </row>
    <row r="1475" spans="1:49" x14ac:dyDescent="0.25">
      <c r="A1475" s="95" t="s">
        <v>959</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8.7045671471293523E-2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8.8412215452112072E-2</v>
      </c>
      <c r="P1475" s="22">
        <f>'Activity data'!AI59*ManureNEF*NtoN2O*kgtoGg</f>
        <v>8.8924932944132923E-2</v>
      </c>
      <c r="Q1475" s="22">
        <f>'Activity data'!AJ59*ManureNEF*NtoN2O*kgtoGg</f>
        <v>8.9476727309038565E-2</v>
      </c>
      <c r="R1475" s="22">
        <f>'Activity data'!AK59*ManureNEF*NtoN2O*kgtoGg</f>
        <v>9.0065414259340087E-2</v>
      </c>
      <c r="S1475" s="22">
        <f>'Activity data'!AL59*ManureNEF*NtoN2O*kgtoGg</f>
        <v>8.9844575202202001E-2</v>
      </c>
      <c r="T1475" s="22">
        <f>'Activity data'!AM59*ManureNEF*NtoN2O*kgtoGg</f>
        <v>8.9999018113074689E-2</v>
      </c>
      <c r="U1475" s="22">
        <f>'Activity data'!AN59*ManureNEF*NtoN2O*kgtoGg</f>
        <v>9.0014005025930557E-2</v>
      </c>
      <c r="V1475" s="22">
        <f>'Activity data'!AO59*ManureNEF*NtoN2O*kgtoGg</f>
        <v>9.0055209476527981E-2</v>
      </c>
      <c r="W1475" s="22">
        <f>'Activity data'!AP59*ManureNEF*NtoN2O*kgtoGg</f>
        <v>9.0237385557127583E-2</v>
      </c>
      <c r="X1475" s="22">
        <f>'Activity data'!AQ59*ManureNEF*NtoN2O*kgtoGg</f>
        <v>9.0505356385413932E-2</v>
      </c>
      <c r="Y1475" s="22">
        <f>'Activity data'!AR59*ManureNEF*NtoN2O*kgtoGg</f>
        <v>9.0758306705997438E-2</v>
      </c>
      <c r="Z1475" s="22">
        <f>'Activity data'!AS59*ManureNEF*NtoN2O*kgtoGg</f>
        <v>9.0997425855048733E-2</v>
      </c>
      <c r="AA1475" s="22">
        <f>'Activity data'!AT59*ManureNEF*NtoN2O*kgtoGg</f>
        <v>9.122283622722524E-2</v>
      </c>
      <c r="AB1475" s="22">
        <f>'Activity data'!AU59*ManureNEF*NtoN2O*kgtoGg</f>
        <v>9.1439201985751464E-2</v>
      </c>
      <c r="AC1475" s="22">
        <f>'Activity data'!AV59*ManureNEF*NtoN2O*kgtoGg</f>
        <v>9.1649769472921652E-2</v>
      </c>
      <c r="AD1475" s="22">
        <f>'Activity data'!AW59*ManureNEF*NtoN2O*kgtoGg</f>
        <v>9.1852819564097965E-2</v>
      </c>
      <c r="AE1475" s="22">
        <f>'Activity data'!AX59*ManureNEF*NtoN2O*kgtoGg</f>
        <v>9.2051402069607366E-2</v>
      </c>
      <c r="AF1475" s="22">
        <f>'Activity data'!AY59*ManureNEF*NtoN2O*kgtoGg</f>
        <v>9.224512884304413E-2</v>
      </c>
      <c r="AG1475" s="22">
        <f>'Activity data'!AZ59*ManureNEF*NtoN2O*kgtoGg</f>
        <v>9.2432674299750023E-2</v>
      </c>
      <c r="AH1475" s="22">
        <f>'Activity data'!BA59*ManureNEF*NtoN2O*kgtoGg</f>
        <v>9.261505916595239E-2</v>
      </c>
      <c r="AI1475" s="22">
        <f>'Activity data'!BB59*ManureNEF*NtoN2O*kgtoGg</f>
        <v>9.2792656014314204E-2</v>
      </c>
      <c r="AJ1475" s="22">
        <f>'Activity data'!BC59*ManureNEF*NtoN2O*kgtoGg</f>
        <v>9.2966244618356883E-2</v>
      </c>
      <c r="AK1475" s="22">
        <f>'Activity data'!BD59*ManureNEF*NtoN2O*kgtoGg</f>
        <v>9.3130442775411881E-2</v>
      </c>
      <c r="AL1475" s="22">
        <f>'Activity data'!BE59*ManureNEF*NtoN2O*kgtoGg</f>
        <v>9.3285211673244717E-2</v>
      </c>
      <c r="AM1475" s="22">
        <f>'Activity data'!BF59*ManureNEF*NtoN2O*kgtoGg</f>
        <v>9.3432256206569059E-2</v>
      </c>
      <c r="AN1475" s="22">
        <f>'Activity data'!BG59*ManureNEF*NtoN2O*kgtoGg</f>
        <v>9.3570480254135169E-2</v>
      </c>
      <c r="AO1475" s="22">
        <f>'Activity data'!BH59*ManureNEF*NtoN2O*kgtoGg</f>
        <v>9.3700295264833783E-2</v>
      </c>
      <c r="AP1475" s="22">
        <f>'Activity data'!BI59*ManureNEF*NtoN2O*kgtoGg</f>
        <v>9.3821167193618646E-2</v>
      </c>
      <c r="AQ1475" s="22">
        <f>'Activity data'!BJ59*ManureNEF*NtoN2O*kgtoGg</f>
        <v>9.3931230326088647E-2</v>
      </c>
      <c r="AR1475" s="22">
        <f>'Activity data'!BK59*ManureNEF*NtoN2O*kgtoGg</f>
        <v>9.4028770810344664E-2</v>
      </c>
      <c r="AS1475" s="22">
        <f>'Activity data'!BL59*ManureNEF*NtoN2O*kgtoGg</f>
        <v>9.4113795301369402E-2</v>
      </c>
      <c r="AT1475" s="22">
        <f>'Activity data'!BM59*ManureNEF*NtoN2O*kgtoGg</f>
        <v>9.4185605187612459E-2</v>
      </c>
      <c r="AU1475" s="22">
        <f>'Activity data'!BN59*ManureNEF*NtoN2O*kgtoGg</f>
        <v>9.4244273299878237E-2</v>
      </c>
      <c r="AV1475" s="22">
        <f>'Activity data'!BO59*ManureNEF*NtoN2O*kgtoGg</f>
        <v>9.429150128507352E-2</v>
      </c>
      <c r="AW1475" s="22">
        <f>'Activity data'!BP59*ManureNEF*NtoN2O*kgtoGg</f>
        <v>9.4317961147962676E-2</v>
      </c>
    </row>
    <row r="1476" spans="1:49" x14ac:dyDescent="0.25">
      <c r="A1476" s="95" t="s">
        <v>959</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95" t="s">
        <v>959</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95" t="s">
        <v>959</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0.12395129293471774</v>
      </c>
      <c r="M1478" s="22">
        <f>'Activity data'!AF62*ManureNEF*NtoN2O*kgtoGg</f>
        <v>0.1240068951131099</v>
      </c>
      <c r="N1478" s="22">
        <f>'Activity data'!AG62*ManureNEF*NtoN2O*kgtoGg</f>
        <v>0.12286841678965583</v>
      </c>
      <c r="O1478" s="22">
        <f>'Activity data'!AH62*ManureNEF*NtoN2O*kgtoGg</f>
        <v>0.12100901910044995</v>
      </c>
      <c r="P1478" s="22">
        <f>'Activity data'!AI62*ManureNEF*NtoN2O*kgtoGg</f>
        <v>0.11845842648899831</v>
      </c>
      <c r="Q1478" s="22">
        <f>'Activity data'!AJ62*ManureNEF*NtoN2O*kgtoGg</f>
        <v>0.11660641339960404</v>
      </c>
      <c r="R1478" s="22">
        <f>'Activity data'!AK62*ManureNEF*NtoN2O*kgtoGg</f>
        <v>0.11491827863139022</v>
      </c>
      <c r="S1478" s="22">
        <f>'Activity data'!AL62*ManureNEF*NtoN2O*kgtoGg</f>
        <v>0.10323336206469676</v>
      </c>
      <c r="T1478" s="22">
        <f>'Activity data'!AM62*ManureNEF*NtoN2O*kgtoGg</f>
        <v>0.10789835358112609</v>
      </c>
      <c r="U1478" s="22">
        <f>'Activity data'!AN62*ManureNEF*NtoN2O*kgtoGg</f>
        <v>0.10930872077776907</v>
      </c>
      <c r="V1478" s="22">
        <f>'Activity data'!AO62*ManureNEF*NtoN2O*kgtoGg</f>
        <v>0.10822994982335406</v>
      </c>
      <c r="W1478" s="22">
        <f>'Activity data'!AP62*ManureNEF*NtoN2O*kgtoGg</f>
        <v>0.10728117650505167</v>
      </c>
      <c r="X1478" s="22">
        <f>'Activity data'!AQ62*ManureNEF*NtoN2O*kgtoGg</f>
        <v>0.10698795772109922</v>
      </c>
      <c r="Y1478" s="22">
        <f>'Activity data'!AR62*ManureNEF*NtoN2O*kgtoGg</f>
        <v>0.10732481606756347</v>
      </c>
      <c r="Z1478" s="22">
        <f>'Activity data'!AS62*ManureNEF*NtoN2O*kgtoGg</f>
        <v>0.10795224800227457</v>
      </c>
      <c r="AA1478" s="22">
        <f>'Activity data'!AT62*ManureNEF*NtoN2O*kgtoGg</f>
        <v>0.10894183514251574</v>
      </c>
      <c r="AB1478" s="22">
        <f>'Activity data'!AU62*ManureNEF*NtoN2O*kgtoGg</f>
        <v>0.11053150962299221</v>
      </c>
      <c r="AC1478" s="22">
        <f>'Activity data'!AV62*ManureNEF*NtoN2O*kgtoGg</f>
        <v>0.1126657694800189</v>
      </c>
      <c r="AD1478" s="22">
        <f>'Activity data'!AW62*ManureNEF*NtoN2O*kgtoGg</f>
        <v>0.11509487827502032</v>
      </c>
      <c r="AE1478" s="22">
        <f>'Activity data'!AX62*ManureNEF*NtoN2O*kgtoGg</f>
        <v>0.11779472217084282</v>
      </c>
      <c r="AF1478" s="22">
        <f>'Activity data'!AY62*ManureNEF*NtoN2O*kgtoGg</f>
        <v>0.12063025387721567</v>
      </c>
      <c r="AG1478" s="22">
        <f>'Activity data'!AZ62*ManureNEF*NtoN2O*kgtoGg</f>
        <v>0.12365017099946446</v>
      </c>
      <c r="AH1478" s="22">
        <f>'Activity data'!BA62*ManureNEF*NtoN2O*kgtoGg</f>
        <v>0.12678938256448105</v>
      </c>
      <c r="AI1478" s="22">
        <f>'Activity data'!BB62*ManureNEF*NtoN2O*kgtoGg</f>
        <v>0.1298357658486077</v>
      </c>
      <c r="AJ1478" s="22">
        <f>'Activity data'!BC62*ManureNEF*NtoN2O*kgtoGg</f>
        <v>0.13308363006040799</v>
      </c>
      <c r="AK1478" s="22">
        <f>'Activity data'!BD62*ManureNEF*NtoN2O*kgtoGg</f>
        <v>0.13633797236037076</v>
      </c>
      <c r="AL1478" s="22">
        <f>'Activity data'!BE62*ManureNEF*NtoN2O*kgtoGg</f>
        <v>0.1395817064491762</v>
      </c>
      <c r="AM1478" s="22">
        <f>'Activity data'!BF62*ManureNEF*NtoN2O*kgtoGg</f>
        <v>0.1428987646619678</v>
      </c>
      <c r="AN1478" s="22">
        <f>'Activity data'!BG62*ManureNEF*NtoN2O*kgtoGg</f>
        <v>0.14607463913609417</v>
      </c>
      <c r="AO1478" s="22">
        <f>'Activity data'!BH62*ManureNEF*NtoN2O*kgtoGg</f>
        <v>0.14939800642693096</v>
      </c>
      <c r="AP1478" s="22">
        <f>'Activity data'!BI62*ManureNEF*NtoN2O*kgtoGg</f>
        <v>0.15296466961282101</v>
      </c>
      <c r="AQ1478" s="22">
        <f>'Activity data'!BJ62*ManureNEF*NtoN2O*kgtoGg</f>
        <v>0.1565936649117094</v>
      </c>
      <c r="AR1478" s="22">
        <f>'Activity data'!BK62*ManureNEF*NtoN2O*kgtoGg</f>
        <v>0.16029166396054106</v>
      </c>
      <c r="AS1478" s="22">
        <f>'Activity data'!BL62*ManureNEF*NtoN2O*kgtoGg</f>
        <v>0.16424139864286944</v>
      </c>
      <c r="AT1478" s="22">
        <f>'Activity data'!BM62*ManureNEF*NtoN2O*kgtoGg</f>
        <v>0.1683741087759702</v>
      </c>
      <c r="AU1478" s="22">
        <f>'Activity data'!BN62*ManureNEF*NtoN2O*kgtoGg</f>
        <v>0.17264268700084681</v>
      </c>
      <c r="AV1478" s="22">
        <f>'Activity data'!BO62*ManureNEF*NtoN2O*kgtoGg</f>
        <v>0.17715786251954191</v>
      </c>
      <c r="AW1478" s="22">
        <f>'Activity data'!BP62*ManureNEF*NtoN2O*kgtoGg</f>
        <v>0.1812449136918291</v>
      </c>
    </row>
    <row r="1479" spans="1:49" x14ac:dyDescent="0.25">
      <c r="A1479" s="95" t="s">
        <v>959</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3.1446916354757493E-2</v>
      </c>
      <c r="M1479" s="22">
        <f>'Activity data'!AF63*ManureNEF*NtoN2O*kgtoGg</f>
        <v>3.1461022839745605E-2</v>
      </c>
      <c r="N1479" s="22">
        <f>'Activity data'!AG63*ManureNEF*NtoN2O*kgtoGg</f>
        <v>3.1172186541537569E-2</v>
      </c>
      <c r="O1479" s="22">
        <f>'Activity data'!AH63*ManureNEF*NtoN2O*kgtoGg</f>
        <v>3.0700450247237818E-2</v>
      </c>
      <c r="P1479" s="22">
        <f>'Activity data'!AI63*ManureNEF*NtoN2O*kgtoGg</f>
        <v>3.0053355161673637E-2</v>
      </c>
      <c r="Q1479" s="22">
        <f>'Activity data'!AJ63*ManureNEF*NtoN2O*kgtoGg</f>
        <v>2.9583492368545926E-2</v>
      </c>
      <c r="R1479" s="22">
        <f>'Activity data'!AK63*ManureNEF*NtoN2O*kgtoGg</f>
        <v>2.9155206131309685E-2</v>
      </c>
      <c r="S1479" s="22">
        <f>'Activity data'!AL63*ManureNEF*NtoN2O*kgtoGg</f>
        <v>2.6190698176732228E-2</v>
      </c>
      <c r="T1479" s="22">
        <f>'Activity data'!AM63*ManureNEF*NtoN2O*kgtoGg</f>
        <v>2.7374224338819714E-2</v>
      </c>
      <c r="U1479" s="22">
        <f>'Activity data'!AN63*ManureNEF*NtoN2O*kgtoGg</f>
        <v>2.773203988242751E-2</v>
      </c>
      <c r="V1479" s="22">
        <f>'Activity data'!AO63*ManureNEF*NtoN2O*kgtoGg</f>
        <v>2.7458351571751329E-2</v>
      </c>
      <c r="W1479" s="22">
        <f>'Activity data'!AP63*ManureNEF*NtoN2O*kgtoGg</f>
        <v>2.7217644157783535E-2</v>
      </c>
      <c r="X1479" s="22">
        <f>'Activity data'!AQ63*ManureNEF*NtoN2O*kgtoGg</f>
        <v>2.7143253432569785E-2</v>
      </c>
      <c r="Y1479" s="22">
        <f>'Activity data'!AR63*ManureNEF*NtoN2O*kgtoGg</f>
        <v>2.7228715681440727E-2</v>
      </c>
      <c r="Z1479" s="22">
        <f>'Activity data'!AS63*ManureNEF*NtoN2O*kgtoGg</f>
        <v>2.7387897559273622E-2</v>
      </c>
      <c r="AA1479" s="22">
        <f>'Activity data'!AT63*ManureNEF*NtoN2O*kgtoGg</f>
        <v>2.7638959595724485E-2</v>
      </c>
      <c r="AB1479" s="22">
        <f>'Activity data'!AU63*ManureNEF*NtoN2O*kgtoGg</f>
        <v>2.8042266081967953E-2</v>
      </c>
      <c r="AC1479" s="22">
        <f>'Activity data'!AV63*ManureNEF*NtoN2O*kgtoGg</f>
        <v>2.8583735957869796E-2</v>
      </c>
      <c r="AD1479" s="22">
        <f>'Activity data'!AW63*ManureNEF*NtoN2O*kgtoGg</f>
        <v>2.9200010135285986E-2</v>
      </c>
      <c r="AE1479" s="22">
        <f>'Activity data'!AX63*ManureNEF*NtoN2O*kgtoGg</f>
        <v>2.988497084164626E-2</v>
      </c>
      <c r="AF1479" s="22">
        <f>'Activity data'!AY63*ManureNEF*NtoN2O*kgtoGg</f>
        <v>3.0604356063699028E-2</v>
      </c>
      <c r="AG1479" s="22">
        <f>'Activity data'!AZ63*ManureNEF*NtoN2O*kgtoGg</f>
        <v>3.1370520569878685E-2</v>
      </c>
      <c r="AH1479" s="22">
        <f>'Activity data'!BA63*ManureNEF*NtoN2O*kgtoGg</f>
        <v>3.2166950531742462E-2</v>
      </c>
      <c r="AI1479" s="22">
        <f>'Activity data'!BB63*ManureNEF*NtoN2O*kgtoGg</f>
        <v>3.2939829604257814E-2</v>
      </c>
      <c r="AJ1479" s="22">
        <f>'Activity data'!BC63*ManureNEF*NtoN2O*kgtoGg</f>
        <v>3.376382515752635E-2</v>
      </c>
      <c r="AK1479" s="22">
        <f>'Activity data'!BD63*ManureNEF*NtoN2O*kgtoGg</f>
        <v>3.4589464226499819E-2</v>
      </c>
      <c r="AL1479" s="22">
        <f>'Activity data'!BE63*ManureNEF*NtoN2O*kgtoGg</f>
        <v>3.5412411951792733E-2</v>
      </c>
      <c r="AM1479" s="22">
        <f>'Activity data'!BF63*ManureNEF*NtoN2O*kgtoGg</f>
        <v>3.625396228734637E-2</v>
      </c>
      <c r="AN1479" s="22">
        <f>'Activity data'!BG63*ManureNEF*NtoN2O*kgtoGg</f>
        <v>3.705969376925726E-2</v>
      </c>
      <c r="AO1479" s="22">
        <f>'Activity data'!BH63*ManureNEF*NtoN2O*kgtoGg</f>
        <v>3.7902844742003665E-2</v>
      </c>
      <c r="AP1479" s="22">
        <f>'Activity data'!BI63*ManureNEF*NtoN2O*kgtoGg</f>
        <v>3.8807720812407763E-2</v>
      </c>
      <c r="AQ1479" s="22">
        <f>'Activity data'!BJ63*ManureNEF*NtoN2O*kgtoGg</f>
        <v>3.9728410777909444E-2</v>
      </c>
      <c r="AR1479" s="22">
        <f>'Activity data'!BK63*ManureNEF*NtoN2O*kgtoGg</f>
        <v>4.0666607258278795E-2</v>
      </c>
      <c r="AS1479" s="22">
        <f>'Activity data'!BL63*ManureNEF*NtoN2O*kgtoGg</f>
        <v>4.1668670030178073E-2</v>
      </c>
      <c r="AT1479" s="22">
        <f>'Activity data'!BM63*ManureNEF*NtoN2O*kgtoGg</f>
        <v>4.2717154372673226E-2</v>
      </c>
      <c r="AU1479" s="22">
        <f>'Activity data'!BN63*ManureNEF*NtoN2O*kgtoGg</f>
        <v>4.380010896889619E-2</v>
      </c>
      <c r="AV1479" s="22">
        <f>'Activity data'!BO63*ManureNEF*NtoN2O*kgtoGg</f>
        <v>4.4945626240250815E-2</v>
      </c>
      <c r="AW1479" s="22">
        <f>'Activity data'!BP63*ManureNEF*NtoN2O*kgtoGg</f>
        <v>4.5982526730028013E-2</v>
      </c>
    </row>
    <row r="1480" spans="1:49" x14ac:dyDescent="0.25">
      <c r="A1480" s="95" t="s">
        <v>959</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0.17531753251219057</v>
      </c>
      <c r="S1480" s="22">
        <f>'Activity data'!AL64*ManureNEF*NtoN2O*kgtoGg</f>
        <v>0.16826815584544114</v>
      </c>
      <c r="T1480" s="22">
        <f>'Activity data'!AM64*ManureNEF*NtoN2O*kgtoGg</f>
        <v>0.17529364111541346</v>
      </c>
      <c r="U1480" s="22">
        <f>'Activity data'!AN64*ManureNEF*NtoN2O*kgtoGg</f>
        <v>0.179468936116296</v>
      </c>
      <c r="V1480" s="22">
        <f>'Activity data'!AO64*ManureNEF*NtoN2O*kgtoGg</f>
        <v>0.18146185289572461</v>
      </c>
      <c r="W1480" s="22">
        <f>'Activity data'!AP64*ManureNEF*NtoN2O*kgtoGg</f>
        <v>0.18367206757119967</v>
      </c>
      <c r="X1480" s="22">
        <f>'Activity data'!AQ64*ManureNEF*NtoN2O*kgtoGg</f>
        <v>0.18655442341123246</v>
      </c>
      <c r="Y1480" s="22">
        <f>'Activity data'!AR64*ManureNEF*NtoN2O*kgtoGg</f>
        <v>0.19002403855752484</v>
      </c>
      <c r="Z1480" s="22">
        <f>'Activity data'!AS64*ManureNEF*NtoN2O*kgtoGg</f>
        <v>0.19378713542621159</v>
      </c>
      <c r="AA1480" s="22">
        <f>'Activity data'!AT64*ManureNEF*NtoN2O*kgtoGg</f>
        <v>0.19793608752558689</v>
      </c>
      <c r="AB1480" s="22">
        <f>'Activity data'!AU64*ManureNEF*NtoN2O*kgtoGg</f>
        <v>0.20274560727871463</v>
      </c>
      <c r="AC1480" s="22">
        <f>'Activity data'!AV64*ManureNEF*NtoN2O*kgtoGg</f>
        <v>0.2082010892393113</v>
      </c>
      <c r="AD1480" s="22">
        <f>'Activity data'!AW64*ManureNEF*NtoN2O*kgtoGg</f>
        <v>0.21407047800501874</v>
      </c>
      <c r="AE1480" s="22">
        <f>'Activity data'!AX64*ManureNEF*NtoN2O*kgtoGg</f>
        <v>0.22035285326760637</v>
      </c>
      <c r="AF1480" s="22">
        <f>'Activity data'!AY64*ManureNEF*NtoN2O*kgtoGg</f>
        <v>0.22691830683757538</v>
      </c>
      <c r="AG1480" s="22">
        <f>'Activity data'!AZ64*ManureNEF*NtoN2O*kgtoGg</f>
        <v>0.23383349407065357</v>
      </c>
      <c r="AH1480" s="22">
        <f>'Activity data'!BA64*ManureNEF*NtoN2O*kgtoGg</f>
        <v>0.24104032281254165</v>
      </c>
      <c r="AI1480" s="22">
        <f>'Activity data'!BB64*ManureNEF*NtoN2O*kgtoGg</f>
        <v>0.24830078825991211</v>
      </c>
      <c r="AJ1480" s="22">
        <f>'Activity data'!BC64*ManureNEF*NtoN2O*kgtoGg</f>
        <v>0.25596851329364728</v>
      </c>
      <c r="AK1480" s="22">
        <f>'Activity data'!BD64*ManureNEF*NtoN2O*kgtoGg</f>
        <v>0.26381659798331969</v>
      </c>
      <c r="AL1480" s="22">
        <f>'Activity data'!BE64*ManureNEF*NtoN2O*kgtoGg</f>
        <v>0.27182892851236273</v>
      </c>
      <c r="AM1480" s="22">
        <f>'Activity data'!BF64*ManureNEF*NtoN2O*kgtoGg</f>
        <v>0.28011873521820613</v>
      </c>
      <c r="AN1480" s="22">
        <f>'Activity data'!BG64*ManureNEF*NtoN2O*kgtoGg</f>
        <v>0.28841666797515925</v>
      </c>
      <c r="AO1480" s="22">
        <f>'Activity data'!BH64*ManureNEF*NtoN2O*kgtoGg</f>
        <v>0.29710042873684378</v>
      </c>
      <c r="AP1480" s="22">
        <f>'Activity data'!BI64*ManureNEF*NtoN2O*kgtoGg</f>
        <v>0.30631512135319056</v>
      </c>
      <c r="AQ1480" s="22">
        <f>'Activity data'!BJ64*ManureNEF*NtoN2O*kgtoGg</f>
        <v>0.31583438977210859</v>
      </c>
      <c r="AR1480" s="22">
        <f>'Activity data'!BK64*ManureNEF*NtoN2O*kgtoGg</f>
        <v>0.32567682367490652</v>
      </c>
      <c r="AS1480" s="22">
        <f>'Activity data'!BL64*ManureNEF*NtoN2O*kgtoGg</f>
        <v>0.33611496479516756</v>
      </c>
      <c r="AT1480" s="22">
        <f>'Activity data'!BM64*ManureNEF*NtoN2O*kgtoGg</f>
        <v>0.34707529344515536</v>
      </c>
      <c r="AU1480" s="22">
        <f>'Activity data'!BN64*ManureNEF*NtoN2O*kgtoGg</f>
        <v>0.35851078392222901</v>
      </c>
      <c r="AV1480" s="22">
        <f>'Activity data'!BO64*ManureNEF*NtoN2O*kgtoGg</f>
        <v>0.37060965152650638</v>
      </c>
      <c r="AW1480" s="22">
        <f>'Activity data'!BP64*ManureNEF*NtoN2O*kgtoGg</f>
        <v>0.38235584366830411</v>
      </c>
    </row>
    <row r="1481" spans="1:49" x14ac:dyDescent="0.25">
      <c r="A1481" s="95" t="s">
        <v>959</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0.81318534024672107</v>
      </c>
      <c r="N1481" s="22">
        <f>'Activity data'!AG65*ManureNEF*NtoN2O*kgtoGg</f>
        <v>0.81796021384654038</v>
      </c>
      <c r="O1481" s="22">
        <f>'Activity data'!AH65*ManureNEF*NtoN2O*kgtoGg</f>
        <v>0.81503229757580586</v>
      </c>
      <c r="P1481" s="22">
        <f>'Activity data'!AI65*ManureNEF*NtoN2O*kgtoGg</f>
        <v>0.80443274266431908</v>
      </c>
      <c r="Q1481" s="22">
        <f>'Activity data'!AJ65*ManureNEF*NtoN2O*kgtoGg</f>
        <v>0.79997057217510736</v>
      </c>
      <c r="R1481" s="22">
        <f>'Activity data'!AK65*ManureNEF*NtoN2O*kgtoGg</f>
        <v>0.79652072541357855</v>
      </c>
      <c r="S1481" s="22">
        <f>'Activity data'!AL65*ManureNEF*NtoN2O*kgtoGg</f>
        <v>0.6929945167812448</v>
      </c>
      <c r="T1481" s="22">
        <f>'Activity data'!AM65*ManureNEF*NtoN2O*kgtoGg</f>
        <v>0.75569325830504319</v>
      </c>
      <c r="U1481" s="22">
        <f>'Activity data'!AN65*ManureNEF*NtoN2O*kgtoGg</f>
        <v>0.78586192008020839</v>
      </c>
      <c r="V1481" s="22">
        <f>'Activity data'!AO65*ManureNEF*NtoN2O*kgtoGg</f>
        <v>0.78963673487778696</v>
      </c>
      <c r="W1481" s="22">
        <f>'Activity data'!AP65*ManureNEF*NtoN2O*kgtoGg</f>
        <v>0.79398832301737687</v>
      </c>
      <c r="X1481" s="22">
        <f>'Activity data'!AQ65*ManureNEF*NtoN2O*kgtoGg</f>
        <v>0.80502399258159163</v>
      </c>
      <c r="Y1481" s="22">
        <f>'Activity data'!AR65*ManureNEF*NtoN2O*kgtoGg</f>
        <v>0.82319477266803398</v>
      </c>
      <c r="Z1481" s="22">
        <f>'Activity data'!AS65*ManureNEF*NtoN2O*kgtoGg</f>
        <v>0.84493550271536799</v>
      </c>
      <c r="AA1481" s="22">
        <f>'Activity data'!AT65*ManureNEF*NtoN2O*kgtoGg</f>
        <v>0.87120575605676209</v>
      </c>
      <c r="AB1481" s="22">
        <f>'Activity data'!AU65*ManureNEF*NtoN2O*kgtoGg</f>
        <v>0.90492220164986781</v>
      </c>
      <c r="AC1481" s="22">
        <f>'Activity data'!AV65*ManureNEF*NtoN2O*kgtoGg</f>
        <v>0.94570019320131005</v>
      </c>
      <c r="AD1481" s="22">
        <f>'Activity data'!AW65*ManureNEF*NtoN2O*kgtoGg</f>
        <v>0.9908342510405731</v>
      </c>
      <c r="AE1481" s="22">
        <f>'Activity data'!AX65*ManureNEF*NtoN2O*kgtoGg</f>
        <v>1.0401746402938727</v>
      </c>
      <c r="AF1481" s="22">
        <f>'Activity data'!AY65*ManureNEF*NtoN2O*kgtoGg</f>
        <v>1.0922195176686915</v>
      </c>
      <c r="AG1481" s="22">
        <f>'Activity data'!AZ65*ManureNEF*NtoN2O*kgtoGg</f>
        <v>1.1476653338002605</v>
      </c>
      <c r="AH1481" s="22">
        <f>'Activity data'!BA65*ManureNEF*NtoN2O*kgtoGg</f>
        <v>1.2058049098103554</v>
      </c>
      <c r="AI1481" s="22">
        <f>'Activity data'!BB65*ManureNEF*NtoN2O*kgtoGg</f>
        <v>1.2640288398876942</v>
      </c>
      <c r="AJ1481" s="22">
        <f>'Activity data'!BC65*ManureNEF*NtoN2O*kgtoGg</f>
        <v>1.3261031190213208</v>
      </c>
      <c r="AK1481" s="22">
        <f>'Activity data'!BD65*ManureNEF*NtoN2O*kgtoGg</f>
        <v>1.3896418297181288</v>
      </c>
      <c r="AL1481" s="22">
        <f>'Activity data'!BE65*ManureNEF*NtoN2O*kgtoGg</f>
        <v>1.4544565281623518</v>
      </c>
      <c r="AM1481" s="22">
        <f>'Activity data'!BF65*ManureNEF*NtoN2O*kgtoGg</f>
        <v>1.521690334823528</v>
      </c>
      <c r="AN1481" s="22">
        <f>'Activity data'!BG65*ManureNEF*NtoN2O*kgtoGg</f>
        <v>1.5885204638072115</v>
      </c>
      <c r="AO1481" s="22">
        <f>'Activity data'!BH65*ManureNEF*NtoN2O*kgtoGg</f>
        <v>1.6588648682392355</v>
      </c>
      <c r="AP1481" s="22">
        <f>'Activity data'!BI65*ManureNEF*NtoN2O*kgtoGg</f>
        <v>1.7341718158890906</v>
      </c>
      <c r="AQ1481" s="22">
        <f>'Activity data'!BJ65*ManureNEF*NtoN2O*kgtoGg</f>
        <v>1.812078309357211</v>
      </c>
      <c r="AR1481" s="22">
        <f>'Activity data'!BK65*ManureNEF*NtoN2O*kgtoGg</f>
        <v>1.8927662707454833</v>
      </c>
      <c r="AS1481" s="22">
        <f>'Activity data'!BL65*ManureNEF*NtoN2O*kgtoGg</f>
        <v>1.9789566108434027</v>
      </c>
      <c r="AT1481" s="22">
        <f>'Activity data'!BM65*ManureNEF*NtoN2O*kgtoGg</f>
        <v>2.0698402438653445</v>
      </c>
      <c r="AU1481" s="22">
        <f>'Activity data'!BN65*ManureNEF*NtoN2O*kgtoGg</f>
        <v>2.1648797356645511</v>
      </c>
      <c r="AV1481" s="22">
        <f>'Activity data'!BO65*ManureNEF*NtoN2O*kgtoGg</f>
        <v>2.2658660016789853</v>
      </c>
      <c r="AW1481" s="22">
        <f>'Activity data'!BP65*ManureNEF*NtoN2O*kgtoGg</f>
        <v>2.3628024258404521</v>
      </c>
    </row>
    <row r="1482" spans="1:49" x14ac:dyDescent="0.25">
      <c r="A1482" s="95" t="s">
        <v>959</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95" t="s">
        <v>959</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1.0836040032789309</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1.1114672588381174</v>
      </c>
      <c r="S1483" s="22">
        <f>'Activity data'!AL67*UDCPPEF*NtoN2O*kgtoGg</f>
        <v>1.0793644035028189</v>
      </c>
      <c r="T1483" s="22">
        <f>'Activity data'!AM67*UDCPPEF*NtoN2O*kgtoGg</f>
        <v>1.1011309234167481</v>
      </c>
      <c r="U1483" s="22">
        <f>'Activity data'!AN67*UDCPPEF*NtoN2O*kgtoGg</f>
        <v>1.1119360252245196</v>
      </c>
      <c r="V1483" s="22">
        <f>'Activity data'!AO67*UDCPPEF*NtoN2O*kgtoGg</f>
        <v>1.1147578792291293</v>
      </c>
      <c r="W1483" s="22">
        <f>'Activity data'!AP67*UDCPPEF*NtoN2O*kgtoGg</f>
        <v>1.1187702241985282</v>
      </c>
      <c r="X1483" s="22">
        <f>'Activity data'!AQ67*UDCPPEF*NtoN2O*kgtoGg</f>
        <v>1.1255029693063063</v>
      </c>
      <c r="Y1483" s="22">
        <f>'Activity data'!AR67*UDCPPEF*NtoN2O*kgtoGg</f>
        <v>1.1343971625372145</v>
      </c>
      <c r="Z1483" s="22">
        <f>'Activity data'!AS67*UDCPPEF*NtoN2O*kgtoGg</f>
        <v>1.1443552033124911</v>
      </c>
      <c r="AA1483" s="22">
        <f>'Activity data'!AT67*UDCPPEF*NtoN2O*kgtoGg</f>
        <v>1.1556907140958508</v>
      </c>
      <c r="AB1483" s="22">
        <f>'Activity data'!AU67*UDCPPEF*NtoN2O*kgtoGg</f>
        <v>1.1693756036758489</v>
      </c>
      <c r="AC1483" s="22">
        <f>'Activity data'!AV67*UDCPPEF*NtoN2O*kgtoGg</f>
        <v>1.1853303744222352</v>
      </c>
      <c r="AD1483" s="22">
        <f>'Activity data'!AW67*UDCPPEF*NtoN2O*kgtoGg</f>
        <v>1.202695771968407</v>
      </c>
      <c r="AE1483" s="22">
        <f>'Activity data'!AX67*UDCPPEF*NtoN2O*kgtoGg</f>
        <v>1.2214561017242225</v>
      </c>
      <c r="AF1483" s="22">
        <f>'Activity data'!AY67*UDCPPEF*NtoN2O*kgtoGg</f>
        <v>1.2411353009439861</v>
      </c>
      <c r="AG1483" s="22">
        <f>'Activity data'!AZ67*UDCPPEF*NtoN2O*kgtoGg</f>
        <v>1.2619534777795529</v>
      </c>
      <c r="AH1483" s="22">
        <f>'Activity data'!BA67*UDCPPEF*NtoN2O*kgtoGg</f>
        <v>1.2836965756368759</v>
      </c>
      <c r="AI1483" s="22">
        <f>'Activity data'!BB67*UDCPPEF*NtoN2O*kgtoGg</f>
        <v>1.3055267417806069</v>
      </c>
      <c r="AJ1483" s="22">
        <f>'Activity data'!BC67*UDCPPEF*NtoN2O*kgtoGg</f>
        <v>1.3286718687824415</v>
      </c>
      <c r="AK1483" s="22">
        <f>'Activity data'!BD67*UDCPPEF*NtoN2O*kgtoGg</f>
        <v>1.3523228735789439</v>
      </c>
      <c r="AL1483" s="22">
        <f>'Activity data'!BE67*UDCPPEF*NtoN2O*kgtoGg</f>
        <v>1.3764196040319214</v>
      </c>
      <c r="AM1483" s="22">
        <f>'Activity data'!BF67*UDCPPEF*NtoN2O*kgtoGg</f>
        <v>1.4013502875110349</v>
      </c>
      <c r="AN1483" s="22">
        <f>'Activity data'!BG67*UDCPPEF*NtoN2O*kgtoGg</f>
        <v>1.4261842268183196</v>
      </c>
      <c r="AO1483" s="22">
        <f>'Activity data'!BH67*UDCPPEF*NtoN2O*kgtoGg</f>
        <v>1.4522110683153209</v>
      </c>
      <c r="AP1483" s="22">
        <f>'Activity data'!BI67*UDCPPEF*NtoN2O*kgtoGg</f>
        <v>1.4799113366388263</v>
      </c>
      <c r="AQ1483" s="22">
        <f>'Activity data'!BJ67*UDCPPEF*NtoN2O*kgtoGg</f>
        <v>1.5084997172355739</v>
      </c>
      <c r="AR1483" s="22">
        <f>'Activity data'!BK67*UDCPPEF*NtoN2O*kgtoGg</f>
        <v>1.538027931051154</v>
      </c>
      <c r="AS1483" s="22">
        <f>'Activity data'!BL67*UDCPPEF*NtoN2O*kgtoGg</f>
        <v>1.5694046317393286</v>
      </c>
      <c r="AT1483" s="22">
        <f>'Activity data'!BM67*UDCPPEF*NtoN2O*kgtoGg</f>
        <v>1.602365939528593</v>
      </c>
      <c r="AU1483" s="22">
        <f>'Activity data'!BN67*UDCPPEF*NtoN2O*kgtoGg</f>
        <v>1.6367417968061735</v>
      </c>
      <c r="AV1483" s="22">
        <f>'Activity data'!BO67*UDCPPEF*NtoN2O*kgtoGg</f>
        <v>1.673151630600247</v>
      </c>
      <c r="AW1483" s="22">
        <f>'Activity data'!BP67*UDCPPEF*NtoN2O*kgtoGg</f>
        <v>1.7081846028232541</v>
      </c>
    </row>
    <row r="1484" spans="1:49" x14ac:dyDescent="0.25">
      <c r="A1484" s="95" t="s">
        <v>959</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0.73794174034663862</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0.75691680802528449</v>
      </c>
      <c r="S1484" s="22">
        <f>'Activity data'!AL68*UDCPPEF*NtoN2O*kgtoGg</f>
        <v>0.73505454389139269</v>
      </c>
      <c r="T1484" s="22">
        <f>'Activity data'!AM68*UDCPPEF*NtoN2O*kgtoGg</f>
        <v>0.74987769288121808</v>
      </c>
      <c r="U1484" s="22">
        <f>'Activity data'!AN68*UDCPPEF*NtoN2O*kgtoGg</f>
        <v>0.75723604114176524</v>
      </c>
      <c r="V1484" s="22">
        <f>'Activity data'!AO68*UDCPPEF*NtoN2O*kgtoGg</f>
        <v>0.75915774302627725</v>
      </c>
      <c r="W1484" s="22">
        <f>'Activity data'!AP68*UDCPPEF*NtoN2O*kgtoGg</f>
        <v>0.76189017740325427</v>
      </c>
      <c r="X1484" s="22">
        <f>'Activity data'!AQ68*UDCPPEF*NtoN2O*kgtoGg</f>
        <v>0.7664752228876841</v>
      </c>
      <c r="Y1484" s="22">
        <f>'Activity data'!AR68*UDCPPEF*NtoN2O*kgtoGg</f>
        <v>0.77253222933278298</v>
      </c>
      <c r="Z1484" s="22">
        <f>'Activity data'!AS68*UDCPPEF*NtoN2O*kgtoGg</f>
        <v>0.77931372323453529</v>
      </c>
      <c r="AA1484" s="22">
        <f>'Activity data'!AT68*UDCPPEF*NtoN2O*kgtoGg</f>
        <v>0.78703328363656277</v>
      </c>
      <c r="AB1484" s="22">
        <f>'Activity data'!AU68*UDCPPEF*NtoN2O*kgtoGg</f>
        <v>0.79635278707375712</v>
      </c>
      <c r="AC1484" s="22">
        <f>'Activity data'!AV68*UDCPPEF*NtoN2O*kgtoGg</f>
        <v>0.80721809511598763</v>
      </c>
      <c r="AD1484" s="22">
        <f>'Activity data'!AW68*UDCPPEF*NtoN2O*kgtoGg</f>
        <v>0.81904404966050492</v>
      </c>
      <c r="AE1484" s="22">
        <f>'Activity data'!AX68*UDCPPEF*NtoN2O*kgtoGg</f>
        <v>0.83181996258403779</v>
      </c>
      <c r="AF1484" s="22">
        <f>'Activity data'!AY68*UDCPPEF*NtoN2O*kgtoGg</f>
        <v>0.8452216318995045</v>
      </c>
      <c r="AG1484" s="22">
        <f>'Activity data'!AZ68*UDCPPEF*NtoN2O*kgtoGg</f>
        <v>0.85939895276431877</v>
      </c>
      <c r="AH1484" s="22">
        <f>'Activity data'!BA68*UDCPPEF*NtoN2O*kgtoGg</f>
        <v>0.87420615117333955</v>
      </c>
      <c r="AI1484" s="22">
        <f>'Activity data'!BB68*UDCPPEF*NtoN2O*kgtoGg</f>
        <v>0.88907264368113259</v>
      </c>
      <c r="AJ1484" s="22">
        <f>'Activity data'!BC68*UDCPPEF*NtoN2O*kgtoGg</f>
        <v>0.90483463353037208</v>
      </c>
      <c r="AK1484" s="22">
        <f>'Activity data'!BD68*UDCPPEF*NtoN2O*kgtoGg</f>
        <v>0.92094112961904073</v>
      </c>
      <c r="AL1484" s="22">
        <f>'Activity data'!BE68*UDCPPEF*NtoN2O*kgtoGg</f>
        <v>0.93735116792946294</v>
      </c>
      <c r="AM1484" s="22">
        <f>'Activity data'!BF68*UDCPPEF*NtoN2O*kgtoGg</f>
        <v>0.9543291339566633</v>
      </c>
      <c r="AN1484" s="22">
        <f>'Activity data'!BG68*UDCPPEF*NtoN2O*kgtoGg</f>
        <v>0.97124121654091655</v>
      </c>
      <c r="AO1484" s="22">
        <f>'Activity data'!BH68*UDCPPEF*NtoN2O*kgtoGg</f>
        <v>0.98896567367830823</v>
      </c>
      <c r="AP1484" s="22">
        <f>'Activity data'!BI68*UDCPPEF*NtoN2O*kgtoGg</f>
        <v>1.0078297459342822</v>
      </c>
      <c r="AQ1484" s="22">
        <f>'Activity data'!BJ68*UDCPPEF*NtoN2O*kgtoGg</f>
        <v>1.0272986287248762</v>
      </c>
      <c r="AR1484" s="22">
        <f>'Activity data'!BK68*UDCPPEF*NtoN2O*kgtoGg</f>
        <v>1.0474075443679165</v>
      </c>
      <c r="AS1484" s="22">
        <f>'Activity data'!BL68*UDCPPEF*NtoN2O*kgtoGg</f>
        <v>1.068775292218703</v>
      </c>
      <c r="AT1484" s="22">
        <f>'Activity data'!BM68*UDCPPEF*NtoN2O*kgtoGg</f>
        <v>1.0912221683473529</v>
      </c>
      <c r="AU1484" s="22">
        <f>'Activity data'!BN68*UDCPPEF*NtoN2O*kgtoGg</f>
        <v>1.1146323623560173</v>
      </c>
      <c r="AV1484" s="22">
        <f>'Activity data'!BO68*UDCPPEF*NtoN2O*kgtoGg</f>
        <v>1.1394277082890591</v>
      </c>
      <c r="AW1484" s="22">
        <f>'Activity data'!BP68*UDCPPEF*NtoN2O*kgtoGg</f>
        <v>1.1632854020715975</v>
      </c>
    </row>
    <row r="1485" spans="1:49" x14ac:dyDescent="0.25">
      <c r="A1485" s="95" t="s">
        <v>959</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15.353527292296837</v>
      </c>
      <c r="L1485" s="22">
        <f>'Activity data'!AE69*UDCPPEF*NtoN2O*kgtoGg</f>
        <v>15.220371053361486</v>
      </c>
      <c r="M1485" s="22">
        <f>'Activity data'!AF69*UDCPPEF*NtoN2O*kgtoGg</f>
        <v>15.169682504177882</v>
      </c>
      <c r="N1485" s="22">
        <f>'Activity data'!AG69*UDCPPEF*NtoN2O*kgtoGg</f>
        <v>14.967111251021189</v>
      </c>
      <c r="O1485" s="22">
        <f>'Activity data'!AH69*UDCPPEF*NtoN2O*kgtoGg</f>
        <v>14.673074129931946</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12.243525743929849</v>
      </c>
      <c r="T1485" s="22">
        <f>'Activity data'!AM69*UDCPPEF*NtoN2O*kgtoGg</f>
        <v>12.828892404772391</v>
      </c>
      <c r="U1485" s="22">
        <f>'Activity data'!AN69*UDCPPEF*NtoN2O*kgtoGg</f>
        <v>13.031546455407888</v>
      </c>
      <c r="V1485" s="22">
        <f>'Activity data'!AO69*UDCPPEF*NtoN2O*kgtoGg</f>
        <v>12.943540859671467</v>
      </c>
      <c r="W1485" s="22">
        <f>'Activity data'!AP69*UDCPPEF*NtoN2O*kgtoGg</f>
        <v>12.871954504278984</v>
      </c>
      <c r="X1485" s="22">
        <f>'Activity data'!AQ69*UDCPPEF*NtoN2O*kgtoGg</f>
        <v>12.876656938031642</v>
      </c>
      <c r="Y1485" s="22">
        <f>'Activity data'!AR69*UDCPPEF*NtoN2O*kgtoGg</f>
        <v>12.952269652428015</v>
      </c>
      <c r="Z1485" s="22">
        <f>'Activity data'!AS69*UDCPPEF*NtoN2O*kgtoGg</f>
        <v>13.059558904717129</v>
      </c>
      <c r="AA1485" s="22">
        <f>'Activity data'!AT69*UDCPPEF*NtoN2O*kgtoGg</f>
        <v>13.207166717271191</v>
      </c>
      <c r="AB1485" s="22">
        <f>'Activity data'!AU69*UDCPPEF*NtoN2O*kgtoGg</f>
        <v>13.423383196860698</v>
      </c>
      <c r="AC1485" s="22">
        <f>'Activity data'!AV69*UDCPPEF*NtoN2O*kgtoGg</f>
        <v>13.702101889701561</v>
      </c>
      <c r="AD1485" s="22">
        <f>'Activity data'!AW69*UDCPPEF*NtoN2O*kgtoGg</f>
        <v>13.896423189138504</v>
      </c>
      <c r="AE1485" s="22">
        <f>'Activity data'!AX69*UDCPPEF*NtoN2O*kgtoGg</f>
        <v>14.113699365030318</v>
      </c>
      <c r="AF1485" s="22">
        <f>'Activity data'!AY69*UDCPPEF*NtoN2O*kgtoGg</f>
        <v>14.337556202398742</v>
      </c>
      <c r="AG1485" s="22">
        <f>'Activity data'!AZ69*UDCPPEF*NtoN2O*kgtoGg</f>
        <v>14.572966422289987</v>
      </c>
      <c r="AH1485" s="22">
        <f>'Activity data'!BA69*UDCPPEF*NtoN2O*kgtoGg</f>
        <v>14.811902600863377</v>
      </c>
      <c r="AI1485" s="22">
        <f>'Activity data'!BB69*UDCPPEF*NtoN2O*kgtoGg</f>
        <v>15.030093790009266</v>
      </c>
      <c r="AJ1485" s="22">
        <f>'Activity data'!BC69*UDCPPEF*NtoN2O*kgtoGg</f>
        <v>15.260245449721568</v>
      </c>
      <c r="AK1485" s="22">
        <f>'Activity data'!BD69*UDCPPEF*NtoN2O*kgtoGg</f>
        <v>15.479975870373321</v>
      </c>
      <c r="AL1485" s="22">
        <f>'Activity data'!BE69*UDCPPEF*NtoN2O*kgtoGg</f>
        <v>15.687168192029855</v>
      </c>
      <c r="AM1485" s="22">
        <f>'Activity data'!BF69*UDCPPEF*NtoN2O*kgtoGg</f>
        <v>15.890679126882141</v>
      </c>
      <c r="AN1485" s="22">
        <f>'Activity data'!BG69*UDCPPEF*NtoN2O*kgtoGg</f>
        <v>16.149107215315812</v>
      </c>
      <c r="AO1485" s="22">
        <f>'Activity data'!BH69*UDCPPEF*NtoN2O*kgtoGg</f>
        <v>16.416401953220753</v>
      </c>
      <c r="AP1485" s="22">
        <f>'Activity data'!BI69*UDCPPEF*NtoN2O*kgtoGg</f>
        <v>16.702277130443278</v>
      </c>
      <c r="AQ1485" s="22">
        <f>'Activity data'!BJ69*UDCPPEF*NtoN2O*kgtoGg</f>
        <v>16.98704006145238</v>
      </c>
      <c r="AR1485" s="22">
        <f>'Activity data'!BK69*UDCPPEF*NtoN2O*kgtoGg</f>
        <v>17.271060351529361</v>
      </c>
      <c r="AS1485" s="22">
        <f>'Activity data'!BL69*UDCPPEF*NtoN2O*kgtoGg</f>
        <v>17.573003837482712</v>
      </c>
      <c r="AT1485" s="22">
        <f>'Activity data'!BM69*UDCPPEF*NtoN2O*kgtoGg</f>
        <v>17.88505244077637</v>
      </c>
      <c r="AU1485" s="22">
        <f>'Activity data'!BN69*UDCPPEF*NtoN2O*kgtoGg</f>
        <v>18.201780897575926</v>
      </c>
      <c r="AV1485" s="22">
        <f>'Activity data'!BO69*UDCPPEF*NtoN2O*kgtoGg</f>
        <v>18.533967675320017</v>
      </c>
      <c r="AW1485" s="22">
        <f>'Activity data'!BP69*UDCPPEF*NtoN2O*kgtoGg</f>
        <v>18.812464966150909</v>
      </c>
    </row>
    <row r="1486" spans="1:49" x14ac:dyDescent="0.25">
      <c r="A1486" s="95" t="s">
        <v>959</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9.6543103644621411</v>
      </c>
      <c r="L1486" s="22">
        <f>'Activity data'!AE70*UDCPPEF*NtoN2O*kgtoGg</f>
        <v>9.570581613851763</v>
      </c>
      <c r="M1486" s="22">
        <f>'Activity data'!AF70*UDCPPEF*NtoN2O*kgtoGg</f>
        <v>9.5387086131772989</v>
      </c>
      <c r="N1486" s="22">
        <f>'Activity data'!AG70*UDCPPEF*NtoN2O*kgtoGg</f>
        <v>9.4113316455488931</v>
      </c>
      <c r="O1486" s="22">
        <f>'Activity data'!AH70*UDCPPEF*NtoN2O*kgtoGg</f>
        <v>9.2264408662754729</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7.6987388784911763</v>
      </c>
      <c r="T1486" s="22">
        <f>'Activity data'!AM70*UDCPPEF*NtoN2O*kgtoGg</f>
        <v>8.0668179077067048</v>
      </c>
      <c r="U1486" s="22">
        <f>'Activity data'!AN70*UDCPPEF*NtoN2O*kgtoGg</f>
        <v>8.1942469384566685</v>
      </c>
      <c r="V1486" s="22">
        <f>'Activity data'!AO70*UDCPPEF*NtoN2O*kgtoGg</f>
        <v>8.1389089487638984</v>
      </c>
      <c r="W1486" s="22">
        <f>'Activity data'!AP70*UDCPPEF*NtoN2O*kgtoGg</f>
        <v>8.0938953906633806</v>
      </c>
      <c r="X1486" s="22">
        <f>'Activity data'!AQ70*UDCPPEF*NtoN2O*kgtoGg</f>
        <v>8.0968522848058253</v>
      </c>
      <c r="Y1486" s="22">
        <f>'Activity data'!AR70*UDCPPEF*NtoN2O*kgtoGg</f>
        <v>8.1443976207006106</v>
      </c>
      <c r="Z1486" s="22">
        <f>'Activity data'!AS70*UDCPPEF*NtoN2O*kgtoGg</f>
        <v>8.2118611892116604</v>
      </c>
      <c r="AA1486" s="22">
        <f>'Activity data'!AT70*UDCPPEF*NtoN2O*kgtoGg</f>
        <v>8.304677100987929</v>
      </c>
      <c r="AB1486" s="22">
        <f>'Activity data'!AU70*UDCPPEF*NtoN2O*kgtoGg</f>
        <v>8.4406341980203354</v>
      </c>
      <c r="AC1486" s="22">
        <f>'Activity data'!AV70*UDCPPEF*NtoN2O*kgtoGg</f>
        <v>8.6158927372364591</v>
      </c>
      <c r="AD1486" s="22">
        <f>'Activity data'!AW70*UDCPPEF*NtoN2O*kgtoGg</f>
        <v>8.738082127301313</v>
      </c>
      <c r="AE1486" s="22">
        <f>'Activity data'!AX70*UDCPPEF*NtoN2O*kgtoGg</f>
        <v>8.8747055622246656</v>
      </c>
      <c r="AF1486" s="22">
        <f>'Activity data'!AY70*UDCPPEF*NtoN2O*kgtoGg</f>
        <v>9.015466922400579</v>
      </c>
      <c r="AG1486" s="22">
        <f>'Activity data'!AZ70*UDCPPEF*NtoN2O*kgtoGg</f>
        <v>9.1634930588400287</v>
      </c>
      <c r="AH1486" s="22">
        <f>'Activity data'!BA70*UDCPPEF*NtoN2O*kgtoGg</f>
        <v>9.3137363209471946</v>
      </c>
      <c r="AI1486" s="22">
        <f>'Activity data'!BB70*UDCPPEF*NtoN2O*kgtoGg</f>
        <v>9.4509351169438833</v>
      </c>
      <c r="AJ1486" s="22">
        <f>'Activity data'!BC70*UDCPPEF*NtoN2O*kgtoGg</f>
        <v>9.5956546664947826</v>
      </c>
      <c r="AK1486" s="22">
        <f>'Activity data'!BD70*UDCPPEF*NtoN2O*kgtoGg</f>
        <v>9.7338213325058032</v>
      </c>
      <c r="AL1486" s="22">
        <f>'Activity data'!BE70*UDCPPEF*NtoN2O*kgtoGg</f>
        <v>9.8641040317399575</v>
      </c>
      <c r="AM1486" s="22">
        <f>'Activity data'!BF70*UDCPPEF*NtoN2O*kgtoGg</f>
        <v>9.9920718719776573</v>
      </c>
      <c r="AN1486" s="22">
        <f>'Activity data'!BG70*UDCPPEF*NtoN2O*kgtoGg</f>
        <v>10.154571662751145</v>
      </c>
      <c r="AO1486" s="22">
        <f>'Activity data'!BH70*UDCPPEF*NtoN2O*kgtoGg</f>
        <v>10.322646809874932</v>
      </c>
      <c r="AP1486" s="22">
        <f>'Activity data'!BI70*UDCPPEF*NtoN2O*kgtoGg</f>
        <v>10.502405352251484</v>
      </c>
      <c r="AQ1486" s="22">
        <f>'Activity data'!BJ70*UDCPPEF*NtoN2O*kgtoGg</f>
        <v>10.681464513310528</v>
      </c>
      <c r="AR1486" s="22">
        <f>'Activity data'!BK70*UDCPPEF*NtoN2O*kgtoGg</f>
        <v>10.860056701151523</v>
      </c>
      <c r="AS1486" s="22">
        <f>'Activity data'!BL70*UDCPPEF*NtoN2O*kgtoGg</f>
        <v>11.049919009038504</v>
      </c>
      <c r="AT1486" s="22">
        <f>'Activity data'!BM70*UDCPPEF*NtoN2O*kgtoGg</f>
        <v>11.246135422872308</v>
      </c>
      <c r="AU1486" s="22">
        <f>'Activity data'!BN70*UDCPPEF*NtoN2O*kgtoGg</f>
        <v>11.445294532371156</v>
      </c>
      <c r="AV1486" s="22">
        <f>'Activity data'!BO70*UDCPPEF*NtoN2O*kgtoGg</f>
        <v>11.654173846567643</v>
      </c>
      <c r="AW1486" s="22">
        <f>'Activity data'!BP70*UDCPPEF*NtoN2O*kgtoGg</f>
        <v>11.829293168021046</v>
      </c>
    </row>
    <row r="1487" spans="1:49" x14ac:dyDescent="0.25">
      <c r="A1487" s="95" t="s">
        <v>959</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95" t="s">
        <v>959</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5.8849979697860864</v>
      </c>
      <c r="T1488" s="22">
        <f>'Activity data'!AM72*UDSOEF*NtoN2O*kgtoGg</f>
        <v>5.8892338696185709</v>
      </c>
      <c r="U1488" s="22">
        <f>'Activity data'!AN72*UDSOEF*NtoN2O*kgtoGg</f>
        <v>5.8877446174554535</v>
      </c>
      <c r="V1488" s="22">
        <f>'Activity data'!AO72*UDSOEF*NtoN2O*kgtoGg</f>
        <v>5.8876374031780276</v>
      </c>
      <c r="W1488" s="22">
        <f>'Activity data'!AP72*UDSOEF*NtoN2O*kgtoGg</f>
        <v>5.8938824759040038</v>
      </c>
      <c r="X1488" s="22">
        <f>'Activity data'!AQ72*UDSOEF*NtoN2O*kgtoGg</f>
        <v>5.9041031128445773</v>
      </c>
      <c r="Y1488" s="22">
        <f>'Activity data'!AR72*UDSOEF*NtoN2O*kgtoGg</f>
        <v>5.9139099273818276</v>
      </c>
      <c r="Z1488" s="22">
        <f>'Activity data'!AS72*UDSOEF*NtoN2O*kgtoGg</f>
        <v>5.9233345583346297</v>
      </c>
      <c r="AA1488" s="22">
        <f>'Activity data'!AT72*UDSOEF*NtoN2O*kgtoGg</f>
        <v>5.9323641435098171</v>
      </c>
      <c r="AB1488" s="22">
        <f>'Activity data'!AU72*UDSOEF*NtoN2O*kgtoGg</f>
        <v>5.9411868573928839</v>
      </c>
      <c r="AC1488" s="22">
        <f>'Activity data'!AV72*UDSOEF*NtoN2O*kgtoGg</f>
        <v>5.9499315766894556</v>
      </c>
      <c r="AD1488" s="22">
        <f>'Activity data'!AW72*UDSOEF*NtoN2O*kgtoGg</f>
        <v>5.9585105593958936</v>
      </c>
      <c r="AE1488" s="22">
        <f>'Activity data'!AX72*UDSOEF*NtoN2O*kgtoGg</f>
        <v>5.9670471572884827</v>
      </c>
      <c r="AF1488" s="22">
        <f>'Activity data'!AY72*UDSOEF*NtoN2O*kgtoGg</f>
        <v>5.9755144784339187</v>
      </c>
      <c r="AG1488" s="22">
        <f>'Activity data'!AZ72*UDSOEF*NtoN2O*kgtoGg</f>
        <v>5.9838446773332894</v>
      </c>
      <c r="AH1488" s="22">
        <f>'Activity data'!BA72*UDSOEF*NtoN2O*kgtoGg</f>
        <v>5.992074429551792</v>
      </c>
      <c r="AI1488" s="22">
        <f>'Activity data'!BB72*UDSOEF*NtoN2O*kgtoGg</f>
        <v>6.0002125174101231</v>
      </c>
      <c r="AJ1488" s="22">
        <f>'Activity data'!BC72*UDSOEF*NtoN2O*kgtoGg</f>
        <v>6.0082865692474714</v>
      </c>
      <c r="AK1488" s="22">
        <f>'Activity data'!BD72*UDSOEF*NtoN2O*kgtoGg</f>
        <v>6.0160495351454939</v>
      </c>
      <c r="AL1488" s="22">
        <f>'Activity data'!BE72*UDSOEF*NtoN2O*kgtoGg</f>
        <v>6.0234923325896075</v>
      </c>
      <c r="AM1488" s="22">
        <f>'Activity data'!BF72*UDSOEF*NtoN2O*kgtoGg</f>
        <v>6.0306845225857399</v>
      </c>
      <c r="AN1488" s="22">
        <f>'Activity data'!BG72*UDSOEF*NtoN2O*kgtoGg</f>
        <v>6.0375707245080381</v>
      </c>
      <c r="AO1488" s="22">
        <f>'Activity data'!BH72*UDSOEF*NtoN2O*kgtoGg</f>
        <v>6.0441634304657859</v>
      </c>
      <c r="AP1488" s="22">
        <f>'Activity data'!BI72*UDSOEF*NtoN2O*kgtoGg</f>
        <v>6.0504329467907079</v>
      </c>
      <c r="AQ1488" s="22">
        <f>'Activity data'!BJ72*UDSOEF*NtoN2O*kgtoGg</f>
        <v>6.0562895562131533</v>
      </c>
      <c r="AR1488" s="22">
        <f>'Activity data'!BK72*UDSOEF*NtoN2O*kgtoGg</f>
        <v>6.0616501197093573</v>
      </c>
      <c r="AS1488" s="22">
        <f>'Activity data'!BL72*UDSOEF*NtoN2O*kgtoGg</f>
        <v>6.0665092216069407</v>
      </c>
      <c r="AT1488" s="22">
        <f>'Activity data'!BM72*UDSOEF*NtoN2O*kgtoGg</f>
        <v>6.0708296779310995</v>
      </c>
      <c r="AU1488" s="22">
        <f>'Activity data'!BN72*UDSOEF*NtoN2O*kgtoGg</f>
        <v>6.0746094049856261</v>
      </c>
      <c r="AV1488" s="22">
        <f>'Activity data'!BO72*UDSOEF*NtoN2O*kgtoGg</f>
        <v>6.0779207352179032</v>
      </c>
      <c r="AW1488" s="22">
        <f>'Activity data'!BP72*UDSOEF*NtoN2O*kgtoGg</f>
        <v>6.0803335706264781</v>
      </c>
    </row>
    <row r="1489" spans="1:49" x14ac:dyDescent="0.25">
      <c r="A1489" s="95" t="s">
        <v>959</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0.65693953925961401</v>
      </c>
      <c r="T1489" s="22">
        <f>'Activity data'!AM73*UDSOEF*NtoN2O*kgtoGg</f>
        <v>0.65741239075397129</v>
      </c>
      <c r="U1489" s="22">
        <f>'Activity data'!AN73*UDSOEF*NtoN2O*kgtoGg</f>
        <v>0.65724614623954603</v>
      </c>
      <c r="V1489" s="22">
        <f>'Activity data'!AO73*UDSOEF*NtoN2O*kgtoGg</f>
        <v>0.65723417796047845</v>
      </c>
      <c r="W1489" s="22">
        <f>'Activity data'!AP73*UDSOEF*NtoN2O*kgtoGg</f>
        <v>0.65793131247442549</v>
      </c>
      <c r="X1489" s="22">
        <f>'Activity data'!AQ73*UDSOEF*NtoN2O*kgtoGg</f>
        <v>0.65907223734086595</v>
      </c>
      <c r="Y1489" s="22">
        <f>'Activity data'!AR73*UDSOEF*NtoN2O*kgtoGg</f>
        <v>0.66016696740819658</v>
      </c>
      <c r="Z1489" s="22">
        <f>'Activity data'!AS73*UDSOEF*NtoN2O*kgtoGg</f>
        <v>0.66121903450280095</v>
      </c>
      <c r="AA1489" s="22">
        <f>'Activity data'!AT73*UDSOEF*NtoN2O*kgtoGg</f>
        <v>0.66222700282414093</v>
      </c>
      <c r="AB1489" s="22">
        <f>'Activity data'!AU73*UDSOEF*NtoN2O*kgtoGg</f>
        <v>0.66321187820100891</v>
      </c>
      <c r="AC1489" s="22">
        <f>'Activity data'!AV73*UDSOEF*NtoN2O*kgtoGg</f>
        <v>0.66418804707908485</v>
      </c>
      <c r="AD1489" s="22">
        <f>'Activity data'!AW73*UDSOEF*NtoN2O*kgtoGg</f>
        <v>0.66514571486001184</v>
      </c>
      <c r="AE1489" s="22">
        <f>'Activity data'!AX73*UDSOEF*NtoN2O*kgtoGg</f>
        <v>0.66609865124422019</v>
      </c>
      <c r="AF1489" s="22">
        <f>'Activity data'!AY73*UDSOEF*NtoN2O*kgtoGg</f>
        <v>0.6670438542979179</v>
      </c>
      <c r="AG1489" s="22">
        <f>'Activity data'!AZ73*UDSOEF*NtoN2O*kgtoGg</f>
        <v>0.6679737504601575</v>
      </c>
      <c r="AH1489" s="22">
        <f>'Activity data'!BA73*UDSOEF*NtoN2O*kgtoGg</f>
        <v>0.66889243380693197</v>
      </c>
      <c r="AI1489" s="22">
        <f>'Activity data'!BB73*UDSOEF*NtoN2O*kgtoGg</f>
        <v>0.66980088470454557</v>
      </c>
      <c r="AJ1489" s="22">
        <f>'Activity data'!BC73*UDSOEF*NtoN2O*kgtoGg</f>
        <v>0.67070218729143127</v>
      </c>
      <c r="AK1489" s="22">
        <f>'Activity data'!BD73*UDSOEF*NtoN2O*kgtoGg</f>
        <v>0.6715687635020805</v>
      </c>
      <c r="AL1489" s="22">
        <f>'Activity data'!BE73*UDSOEF*NtoN2O*kgtoGg</f>
        <v>0.67239959945968686</v>
      </c>
      <c r="AM1489" s="22">
        <f>'Activity data'!BF73*UDSOEF*NtoN2O*kgtoGg</f>
        <v>0.67320246022643382</v>
      </c>
      <c r="AN1489" s="22">
        <f>'Activity data'!BG73*UDSOEF*NtoN2O*kgtoGg</f>
        <v>0.67397116368925725</v>
      </c>
      <c r="AO1489" s="22">
        <f>'Activity data'!BH73*UDSOEF*NtoN2O*kgtoGg</f>
        <v>0.67470710433640646</v>
      </c>
      <c r="AP1489" s="22">
        <f>'Activity data'!BI73*UDSOEF*NtoN2O*kgtoGg</f>
        <v>0.67540696747773998</v>
      </c>
      <c r="AQ1489" s="22">
        <f>'Activity data'!BJ73*UDSOEF*NtoN2O*kgtoGg</f>
        <v>0.67606073801688993</v>
      </c>
      <c r="AR1489" s="22">
        <f>'Activity data'!BK73*UDSOEF*NtoN2O*kgtoGg</f>
        <v>0.67665913518396625</v>
      </c>
      <c r="AS1489" s="22">
        <f>'Activity data'!BL73*UDSOEF*NtoN2O*kgtoGg</f>
        <v>0.67720155443002239</v>
      </c>
      <c r="AT1489" s="22">
        <f>'Activity data'!BM73*UDSOEF*NtoN2O*kgtoGg</f>
        <v>0.67768384492554279</v>
      </c>
      <c r="AU1489" s="22">
        <f>'Activity data'!BN73*UDSOEF*NtoN2O*kgtoGg</f>
        <v>0.67810577406850514</v>
      </c>
      <c r="AV1489" s="22">
        <f>'Activity data'!BO73*UDSOEF*NtoN2O*kgtoGg</f>
        <v>0.67847541629579156</v>
      </c>
      <c r="AW1489" s="22">
        <f>'Activity data'!BP73*UDSOEF*NtoN2O*kgtoGg</f>
        <v>0.67874475997097328</v>
      </c>
    </row>
    <row r="1490" spans="1:49" x14ac:dyDescent="0.25">
      <c r="A1490" s="95" t="s">
        <v>959</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0.73708994755228407</v>
      </c>
      <c r="R1490" s="22">
        <f>'Activity data'!AK74*UDSOEF*NtoN2O*kgtoGg</f>
        <v>0.74193942345928476</v>
      </c>
      <c r="S1490" s="22">
        <f>'Activity data'!AL74*UDSOEF*NtoN2O*kgtoGg</f>
        <v>0.74012019902027282</v>
      </c>
      <c r="T1490" s="22">
        <f>'Activity data'!AM74*UDSOEF*NtoN2O*kgtoGg</f>
        <v>0.74139246635166289</v>
      </c>
      <c r="U1490" s="22">
        <f>'Activity data'!AN74*UDSOEF*NtoN2O*kgtoGg</f>
        <v>0.74151592530175092</v>
      </c>
      <c r="V1490" s="22">
        <f>'Activity data'!AO74*UDSOEF*NtoN2O*kgtoGg</f>
        <v>0.74185535866328745</v>
      </c>
      <c r="W1490" s="22">
        <f>'Activity data'!AP74*UDSOEF*NtoN2O*kgtoGg</f>
        <v>0.74335608585495871</v>
      </c>
      <c r="X1490" s="22">
        <f>'Activity data'!AQ74*UDSOEF*NtoN2O*kgtoGg</f>
        <v>0.74556357164156939</v>
      </c>
      <c r="Y1490" s="22">
        <f>'Activity data'!AR74*UDSOEF*NtoN2O*kgtoGg</f>
        <v>0.74764732173100068</v>
      </c>
      <c r="Z1490" s="22">
        <f>'Activity data'!AS74*UDSOEF*NtoN2O*kgtoGg</f>
        <v>0.74961713361766258</v>
      </c>
      <c r="AA1490" s="22">
        <f>'Activity data'!AT74*UDSOEF*NtoN2O*kgtoGg</f>
        <v>0.75147401556229898</v>
      </c>
      <c r="AB1490" s="22">
        <f>'Activity data'!AU74*UDSOEF*NtoN2O*kgtoGg</f>
        <v>0.75325638993383137</v>
      </c>
      <c r="AC1490" s="22">
        <f>'Activity data'!AV74*UDSOEF*NtoN2O*kgtoGg</f>
        <v>0.75499099939868619</v>
      </c>
      <c r="AD1490" s="22">
        <f>'Activity data'!AW74*UDSOEF*NtoN2O*kgtoGg</f>
        <v>0.75666368217952507</v>
      </c>
      <c r="AE1490" s="22">
        <f>'Activity data'!AX74*UDSOEF*NtoN2O*kgtoGg</f>
        <v>0.75829956195489012</v>
      </c>
      <c r="AF1490" s="22">
        <f>'Activity data'!AY74*UDSOEF*NtoN2O*kgtoGg</f>
        <v>0.75989544125855291</v>
      </c>
      <c r="AG1490" s="22">
        <f>'Activity data'!AZ74*UDSOEF*NtoN2O*kgtoGg</f>
        <v>0.76144040021050008</v>
      </c>
      <c r="AH1490" s="22">
        <f>'Activity data'!BA74*UDSOEF*NtoN2O*kgtoGg</f>
        <v>0.76294284733285755</v>
      </c>
      <c r="AI1490" s="22">
        <f>'Activity data'!BB74*UDSOEF*NtoN2O*kgtoGg</f>
        <v>0.76440585179872644</v>
      </c>
      <c r="AJ1490" s="22">
        <f>'Activity data'!BC74*UDSOEF*NtoN2O*kgtoGg</f>
        <v>0.76583583721390103</v>
      </c>
      <c r="AK1490" s="22">
        <f>'Activity data'!BD74*UDSOEF*NtoN2O*kgtoGg</f>
        <v>0.76718846615565761</v>
      </c>
      <c r="AL1490" s="22">
        <f>'Activity data'!BE74*UDSOEF*NtoN2O*kgtoGg</f>
        <v>0.76846341889719361</v>
      </c>
      <c r="AM1490" s="22">
        <f>'Activity data'!BF74*UDSOEF*NtoN2O*kgtoGg</f>
        <v>0.769674739992807</v>
      </c>
      <c r="AN1490" s="22">
        <f>'Activity data'!BG74*UDSOEF*NtoN2O*kgtoGg</f>
        <v>0.77081339983246644</v>
      </c>
      <c r="AO1490" s="22">
        <f>'Activity data'!BH74*UDSOEF*NtoN2O*kgtoGg</f>
        <v>0.77188278784323794</v>
      </c>
      <c r="AP1490" s="22">
        <f>'Activity data'!BI74*UDSOEF*NtoN2O*kgtoGg</f>
        <v>0.77287850467741359</v>
      </c>
      <c r="AQ1490" s="22">
        <f>'Activity data'!BJ74*UDSOEF*NtoN2O*kgtoGg</f>
        <v>0.77378518098285765</v>
      </c>
      <c r="AR1490" s="22">
        <f>'Activity data'!BK74*UDSOEF*NtoN2O*kgtoGg</f>
        <v>0.77458869841791256</v>
      </c>
      <c r="AS1490" s="22">
        <f>'Activity data'!BL74*UDSOEF*NtoN2O*kgtoGg</f>
        <v>0.77528911180488913</v>
      </c>
      <c r="AT1490" s="22">
        <f>'Activity data'!BM74*UDSOEF*NtoN2O*kgtoGg</f>
        <v>0.77588066613277407</v>
      </c>
      <c r="AU1490" s="22">
        <f>'Activity data'!BN74*UDSOEF*NtoN2O*kgtoGg</f>
        <v>0.77636396136599817</v>
      </c>
      <c r="AV1490" s="22">
        <f>'Activity data'!BO74*UDSOEF*NtoN2O*kgtoGg</f>
        <v>0.77675301530412866</v>
      </c>
      <c r="AW1490" s="22">
        <f>'Activity data'!BP74*UDSOEF*NtoN2O*kgtoGg</f>
        <v>0.77697098593778646</v>
      </c>
    </row>
    <row r="1491" spans="1:49" x14ac:dyDescent="0.25">
      <c r="A1491" s="95" t="s">
        <v>959</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1.1867254191644501</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1.2198688909683482</v>
      </c>
      <c r="R1491" s="22">
        <f>'Activity data'!AK75*UDSOEF*NtoN2O*kgtoGg</f>
        <v>1.2278946750888551</v>
      </c>
      <c r="S1491" s="22">
        <f>'Activity data'!AL75*UDSOEF*NtoN2O*kgtoGg</f>
        <v>1.2248838955955119</v>
      </c>
      <c r="T1491" s="22">
        <f>'Activity data'!AM75*UDSOEF*NtoN2O*kgtoGg</f>
        <v>1.2269894721858747</v>
      </c>
      <c r="U1491" s="22">
        <f>'Activity data'!AN75*UDSOEF*NtoN2O*kgtoGg</f>
        <v>1.2271937942404954</v>
      </c>
      <c r="V1491" s="22">
        <f>'Activity data'!AO75*UDSOEF*NtoN2O*kgtoGg</f>
        <v>1.2277555495590562</v>
      </c>
      <c r="W1491" s="22">
        <f>'Activity data'!AP75*UDSOEF*NtoN2O*kgtoGg</f>
        <v>1.2302392225775656</v>
      </c>
      <c r="X1491" s="22">
        <f>'Activity data'!AQ75*UDSOEF*NtoN2O*kgtoGg</f>
        <v>1.2338925667145779</v>
      </c>
      <c r="Y1491" s="22">
        <f>'Activity data'!AR75*UDSOEF*NtoN2O*kgtoGg</f>
        <v>1.2373411307861553</v>
      </c>
      <c r="Z1491" s="22">
        <f>'Activity data'!AS75*UDSOEF*NtoN2O*kgtoGg</f>
        <v>1.2406011294465342</v>
      </c>
      <c r="AA1491" s="22">
        <f>'Activity data'!AT75*UDSOEF*NtoN2O*kgtoGg</f>
        <v>1.2436742313467632</v>
      </c>
      <c r="AB1491" s="22">
        <f>'Activity data'!AU75*UDSOEF*NtoN2O*kgtoGg</f>
        <v>1.2466240247269491</v>
      </c>
      <c r="AC1491" s="22">
        <f>'Activity data'!AV75*UDSOEF*NtoN2O*kgtoGg</f>
        <v>1.2494947681568149</v>
      </c>
      <c r="AD1491" s="22">
        <f>'Activity data'!AW75*UDSOEF*NtoN2O*kgtoGg</f>
        <v>1.2522630241825274</v>
      </c>
      <c r="AE1491" s="22">
        <f>'Activity data'!AX75*UDSOEF*NtoN2O*kgtoGg</f>
        <v>1.2549703719817464</v>
      </c>
      <c r="AF1491" s="22">
        <f>'Activity data'!AY75*UDSOEF*NtoN2O*kgtoGg</f>
        <v>1.2576115198128128</v>
      </c>
      <c r="AG1491" s="22">
        <f>'Activity data'!AZ75*UDSOEF*NtoN2O*kgtoGg</f>
        <v>1.2601683954961149</v>
      </c>
      <c r="AH1491" s="22">
        <f>'Activity data'!BA75*UDSOEF*NtoN2O*kgtoGg</f>
        <v>1.2626549149649742</v>
      </c>
      <c r="AI1491" s="22">
        <f>'Activity data'!BB75*UDSOEF*NtoN2O*kgtoGg</f>
        <v>1.2650761576385281</v>
      </c>
      <c r="AJ1491" s="22">
        <f>'Activity data'!BC75*UDSOEF*NtoN2O*kgtoGg</f>
        <v>1.2674427544538867</v>
      </c>
      <c r="AK1491" s="22">
        <f>'Activity data'!BD75*UDSOEF*NtoN2O*kgtoGg</f>
        <v>1.2696813278770511</v>
      </c>
      <c r="AL1491" s="22">
        <f>'Activity data'!BE75*UDSOEF*NtoN2O*kgtoGg</f>
        <v>1.2717913487666579</v>
      </c>
      <c r="AM1491" s="22">
        <f>'Activity data'!BF75*UDSOEF*NtoN2O*kgtoGg</f>
        <v>1.2737960605747884</v>
      </c>
      <c r="AN1491" s="22">
        <f>'Activity data'!BG75*UDSOEF*NtoN2O*kgtoGg</f>
        <v>1.2756805194802561</v>
      </c>
      <c r="AO1491" s="22">
        <f>'Activity data'!BH75*UDSOEF*NtoN2O*kgtoGg</f>
        <v>1.2774503349160069</v>
      </c>
      <c r="AP1491" s="22">
        <f>'Activity data'!BI75*UDSOEF*NtoN2O*kgtoGg</f>
        <v>1.2790982260509465</v>
      </c>
      <c r="AQ1491" s="22">
        <f>'Activity data'!BJ75*UDSOEF*NtoN2O*kgtoGg</f>
        <v>1.2805987569194814</v>
      </c>
      <c r="AR1491" s="22">
        <f>'Activity data'!BK75*UDSOEF*NtoN2O*kgtoGg</f>
        <v>1.2819285619529504</v>
      </c>
      <c r="AS1491" s="22">
        <f>'Activity data'!BL75*UDSOEF*NtoN2O*kgtoGg</f>
        <v>1.2830877318811631</v>
      </c>
      <c r="AT1491" s="22">
        <f>'Activity data'!BM75*UDSOEF*NtoN2O*kgtoGg</f>
        <v>1.2840667422777918</v>
      </c>
      <c r="AU1491" s="22">
        <f>'Activity data'!BN75*UDSOEF*NtoN2O*kgtoGg</f>
        <v>1.2848665860717841</v>
      </c>
      <c r="AV1491" s="22">
        <f>'Activity data'!BO75*UDSOEF*NtoN2O*kgtoGg</f>
        <v>1.2855104624366835</v>
      </c>
      <c r="AW1491" s="22">
        <f>'Activity data'!BP75*UDSOEF*NtoN2O*kgtoGg</f>
        <v>1.2858711994078322</v>
      </c>
    </row>
    <row r="1492" spans="1:49" x14ac:dyDescent="0.25">
      <c r="A1492" s="95" t="s">
        <v>959</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0.19381280191845884</v>
      </c>
      <c r="N1492" s="22">
        <f>'Activity data'!AG76*UDSOEF*NtoN2O*kgtoGg</f>
        <v>0.19411375969056655</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0.19132863754616411</v>
      </c>
      <c r="S1492" s="22">
        <f>'Activity data'!AL76*UDSOEF*NtoN2O*kgtoGg</f>
        <v>0.18266880885015579</v>
      </c>
      <c r="T1492" s="22">
        <f>'Activity data'!AM76*UDSOEF*NtoN2O*kgtoGg</f>
        <v>0.18809378134692423</v>
      </c>
      <c r="U1492" s="22">
        <f>'Activity data'!AN76*UDSOEF*NtoN2O*kgtoGg</f>
        <v>0.19079942650123977</v>
      </c>
      <c r="V1492" s="22">
        <f>'Activity data'!AO76*UDSOEF*NtoN2O*kgtoGg</f>
        <v>0.19120805768125793</v>
      </c>
      <c r="W1492" s="22">
        <f>'Activity data'!AP76*UDSOEF*NtoN2O*kgtoGg</f>
        <v>0.191567581973451</v>
      </c>
      <c r="X1492" s="22">
        <f>'Activity data'!AQ76*UDSOEF*NtoN2O*kgtoGg</f>
        <v>0.19243995083448096</v>
      </c>
      <c r="Y1492" s="22">
        <f>'Activity data'!AR76*UDSOEF*NtoN2O*kgtoGg</f>
        <v>0.1939290152815269</v>
      </c>
      <c r="Z1492" s="22">
        <f>'Activity data'!AS76*UDSOEF*NtoN2O*kgtoGg</f>
        <v>0.19572566733105584</v>
      </c>
      <c r="AA1492" s="22">
        <f>'Activity data'!AT76*UDSOEF*NtoN2O*kgtoGg</f>
        <v>0.19791142753361757</v>
      </c>
      <c r="AB1492" s="22">
        <f>'Activity data'!AU76*UDSOEF*NtoN2O*kgtoGg</f>
        <v>0.20073163120248141</v>
      </c>
      <c r="AC1492" s="22">
        <f>'Activity data'!AV76*UDSOEF*NtoN2O*kgtoGg</f>
        <v>0.20414944143031946</v>
      </c>
      <c r="AD1492" s="22">
        <f>'Activity data'!AW76*UDSOEF*NtoN2O*kgtoGg</f>
        <v>0.2079342142091529</v>
      </c>
      <c r="AE1492" s="22">
        <f>'Activity data'!AX76*UDSOEF*NtoN2O*kgtoGg</f>
        <v>0.2120704701686861</v>
      </c>
      <c r="AF1492" s="22">
        <f>'Activity data'!AY76*UDSOEF*NtoN2O*kgtoGg</f>
        <v>0.21643036681214611</v>
      </c>
      <c r="AG1492" s="22">
        <f>'Activity data'!AZ76*UDSOEF*NtoN2O*kgtoGg</f>
        <v>0.22107481526755876</v>
      </c>
      <c r="AH1492" s="22">
        <f>'Activity data'!BA76*UDSOEF*NtoN2O*kgtoGg</f>
        <v>0.22594299924319575</v>
      </c>
      <c r="AI1492" s="22">
        <f>'Activity data'!BB76*UDSOEF*NtoN2O*kgtoGg</f>
        <v>0.23081287404445633</v>
      </c>
      <c r="AJ1492" s="22">
        <f>'Activity data'!BC76*UDSOEF*NtoN2O*kgtoGg</f>
        <v>0.23600481014510816</v>
      </c>
      <c r="AK1492" s="22">
        <f>'Activity data'!BD76*UDSOEF*NtoN2O*kgtoGg</f>
        <v>0.24132262653826006</v>
      </c>
      <c r="AL1492" s="22">
        <f>'Activity data'!BE76*UDSOEF*NtoN2O*kgtoGg</f>
        <v>0.24675186109010536</v>
      </c>
      <c r="AM1492" s="22">
        <f>'Activity data'!BF76*UDSOEF*NtoN2O*kgtoGg</f>
        <v>0.25238913765935056</v>
      </c>
      <c r="AN1492" s="22">
        <f>'Activity data'!BG76*UDSOEF*NtoN2O*kgtoGg</f>
        <v>0.25799715238539928</v>
      </c>
      <c r="AO1492" s="22">
        <f>'Activity data'!BH76*UDSOEF*NtoN2O*kgtoGg</f>
        <v>0.26391035530015045</v>
      </c>
      <c r="AP1492" s="22">
        <f>'Activity data'!BI76*UDSOEF*NtoN2O*kgtoGg</f>
        <v>0.27025468976471112</v>
      </c>
      <c r="AQ1492" s="22">
        <f>'Activity data'!BJ76*UDSOEF*NtoN2O*kgtoGg</f>
        <v>0.27683409216202315</v>
      </c>
      <c r="AR1492" s="22">
        <f>'Activity data'!BK76*UDSOEF*NtoN2O*kgtoGg</f>
        <v>0.28366954305937575</v>
      </c>
      <c r="AS1492" s="22">
        <f>'Activity data'!BL76*UDSOEF*NtoN2O*kgtoGg</f>
        <v>0.29099654328717883</v>
      </c>
      <c r="AT1492" s="22">
        <f>'Activity data'!BM76*UDSOEF*NtoN2O*kgtoGg</f>
        <v>0.29875152246319292</v>
      </c>
      <c r="AU1492" s="22">
        <f>'Activity data'!BN76*UDSOEF*NtoN2O*kgtoGg</f>
        <v>0.30689307002053717</v>
      </c>
      <c r="AV1492" s="22">
        <f>'Activity data'!BO76*UDSOEF*NtoN2O*kgtoGg</f>
        <v>0.31557625829716562</v>
      </c>
      <c r="AW1492" s="22">
        <f>'Activity data'!BP76*UDSOEF*NtoN2O*kgtoGg</f>
        <v>0.32396777623584005</v>
      </c>
    </row>
    <row r="1493" spans="1:49" x14ac:dyDescent="0.25">
      <c r="A1493" s="95" t="s">
        <v>959</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95" t="s">
        <v>959</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95" t="s">
        <v>959</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95" t="s">
        <v>959</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95" t="s">
        <v>959</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95" t="s">
        <v>959</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95" t="s">
        <v>959</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95" t="s">
        <v>959</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95" t="s">
        <v>959</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95" t="s">
        <v>959</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95" t="s">
        <v>959</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95" t="s">
        <v>959</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95" t="s">
        <v>959</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95" t="s">
        <v>959</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95" t="s">
        <v>959</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95" t="s">
        <v>959</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95" t="s">
        <v>959</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95" t="s">
        <v>959</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0.66036342435905737</v>
      </c>
      <c r="U1510" s="22">
        <f>'Activity data'!AN47*ttokg*FracGASF*MSVolatEF*NtoN2O*kgtoGg</f>
        <v>0.66004971859529549</v>
      </c>
      <c r="V1510" s="22">
        <f>'Activity data'!AO47*ttokg*FracGASF*MSVolatEF*NtoN2O*kgtoGg</f>
        <v>0.65987679285209155</v>
      </c>
      <c r="W1510" s="22">
        <f>'Activity data'!AP47*ttokg*FracGASF*MSVolatEF*NtoN2O*kgtoGg</f>
        <v>0.65980968039636112</v>
      </c>
      <c r="X1510" s="22">
        <f>'Activity data'!AQ47*ttokg*FracGASF*MSVolatEF*NtoN2O*kgtoGg</f>
        <v>0.65973729403354264</v>
      </c>
      <c r="Y1510" s="22">
        <f>'Activity data'!AR47*ttokg*FracGASF*MSVolatEF*NtoN2O*kgtoGg</f>
        <v>0.6596371673513507</v>
      </c>
      <c r="Z1510" s="22">
        <f>'Activity data'!AS47*ttokg*FracGASF*MSVolatEF*NtoN2O*kgtoGg</f>
        <v>0.65951092743964945</v>
      </c>
      <c r="AA1510" s="22">
        <f>'Activity data'!AT47*ttokg*FracGASF*MSVolatEF*NtoN2O*kgtoGg</f>
        <v>0.65937292152761395</v>
      </c>
      <c r="AB1510" s="22">
        <f>'Activity data'!AU47*ttokg*FracGASF*MSVolatEF*NtoN2O*kgtoGg</f>
        <v>0.65921980493186427</v>
      </c>
      <c r="AC1510" s="22">
        <f>'Activity data'!AV47*ttokg*FracGASF*MSVolatEF*NtoN2O*kgtoGg</f>
        <v>0.65904099002136718</v>
      </c>
      <c r="AD1510" s="22">
        <f>'Activity data'!AW47*ttokg*FracGASF*MSVolatEF*NtoN2O*kgtoGg</f>
        <v>0.6588390077412124</v>
      </c>
      <c r="AE1510" s="22">
        <f>'Activity data'!AX47*ttokg*FracGASF*MSVolatEF*NtoN2O*kgtoGg</f>
        <v>0.65862502813307378</v>
      </c>
      <c r="AF1510" s="22">
        <f>'Activity data'!AY47*ttokg*FracGASF*MSVolatEF*NtoN2O*kgtoGg</f>
        <v>0.65840030111280701</v>
      </c>
      <c r="AG1510" s="22">
        <f>'Activity data'!AZ47*ttokg*FracGASF*MSVolatEF*NtoN2O*kgtoGg</f>
        <v>0.65817083248767305</v>
      </c>
      <c r="AH1510" s="22">
        <f>'Activity data'!BA47*ttokg*FracGASF*MSVolatEF*NtoN2O*kgtoGg</f>
        <v>0.65793473576190653</v>
      </c>
      <c r="AI1510" s="22">
        <f>'Activity data'!BB47*ttokg*FracGASF*MSVolatEF*NtoN2O*kgtoGg</f>
        <v>0.65769490947439302</v>
      </c>
      <c r="AJ1510" s="22">
        <f>'Activity data'!BC47*ttokg*FracGASF*MSVolatEF*NtoN2O*kgtoGg</f>
        <v>0.65746015679174796</v>
      </c>
      <c r="AK1510" s="22">
        <f>'Activity data'!BD47*ttokg*FracGASF*MSVolatEF*NtoN2O*kgtoGg</f>
        <v>0.65721839556094175</v>
      </c>
      <c r="AL1510" s="22">
        <f>'Activity data'!BE47*ttokg*FracGASF*MSVolatEF*NtoN2O*kgtoGg</f>
        <v>0.65697772026100598</v>
      </c>
      <c r="AM1510" s="22">
        <f>'Activity data'!BF47*ttokg*FracGASF*MSVolatEF*NtoN2O*kgtoGg</f>
        <v>0.65673876647835383</v>
      </c>
      <c r="AN1510" s="22">
        <f>'Activity data'!BG47*ttokg*FracGASF*MSVolatEF*NtoN2O*kgtoGg</f>
        <v>0.65649818227366441</v>
      </c>
      <c r="AO1510" s="22">
        <f>'Activity data'!BH47*ttokg*FracGASF*MSVolatEF*NtoN2O*kgtoGg</f>
        <v>0.65626429517048157</v>
      </c>
      <c r="AP1510" s="22">
        <f>'Activity data'!BI47*ttokg*FracGASF*MSVolatEF*NtoN2O*kgtoGg</f>
        <v>0.65602587146144697</v>
      </c>
      <c r="AQ1510" s="22">
        <f>'Activity data'!BJ47*ttokg*FracGASF*MSVolatEF*NtoN2O*kgtoGg</f>
        <v>0.65577947514353263</v>
      </c>
      <c r="AR1510" s="22">
        <f>'Activity data'!BK47*ttokg*FracGASF*MSVolatEF*NtoN2O*kgtoGg</f>
        <v>0.65553213474499905</v>
      </c>
      <c r="AS1510" s="22">
        <f>'Activity data'!BL47*ttokg*FracGASF*MSVolatEF*NtoN2O*kgtoGg</f>
        <v>0.65528365550023426</v>
      </c>
      <c r="AT1510" s="22">
        <f>'Activity data'!BM47*ttokg*FracGASF*MSVolatEF*NtoN2O*kgtoGg</f>
        <v>0.65502749591835585</v>
      </c>
      <c r="AU1510" s="22">
        <f>'Activity data'!BN47*ttokg*FracGASF*MSVolatEF*NtoN2O*kgtoGg</f>
        <v>0.65476643110027843</v>
      </c>
      <c r="AV1510" s="22">
        <f>'Activity data'!BO47*ttokg*FracGASF*MSVolatEF*NtoN2O*kgtoGg</f>
        <v>0.65450232737774761</v>
      </c>
      <c r="AW1510" s="22">
        <f>'Activity data'!BP47*ttokg*FracGASF*MSVolatEF*NtoN2O*kgtoGg</f>
        <v>0.65423151331477958</v>
      </c>
    </row>
    <row r="1511" spans="1:49" x14ac:dyDescent="0.25">
      <c r="A1511" s="95" t="s">
        <v>959</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8.7167972015395577E-3</v>
      </c>
      <c r="U1511" s="22">
        <f>'Activity data'!AN48*ttokg*FracGASM*MSVolatEF*NtoN2O*kgtoGg</f>
        <v>8.7126562854578996E-3</v>
      </c>
      <c r="V1511" s="22">
        <f>'Activity data'!AO48*ttokg*FracGASM*MSVolatEF*NtoN2O*kgtoGg</f>
        <v>8.7103736656476104E-3</v>
      </c>
      <c r="W1511" s="22">
        <f>'Activity data'!AP48*ttokg*FracGASM*MSVolatEF*NtoN2O*kgtoGg</f>
        <v>8.7094877812319699E-3</v>
      </c>
      <c r="X1511" s="22">
        <f>'Activity data'!AQ48*ttokg*FracGASM*MSVolatEF*NtoN2O*kgtoGg</f>
        <v>8.7085322812427632E-3</v>
      </c>
      <c r="Y1511" s="22">
        <f>'Activity data'!AR48*ttokg*FracGASM*MSVolatEF*NtoN2O*kgtoGg</f>
        <v>8.7072106090378288E-3</v>
      </c>
      <c r="Z1511" s="22">
        <f>'Activity data'!AS48*ttokg*FracGASM*MSVolatEF*NtoN2O*kgtoGg</f>
        <v>8.7055442422033745E-3</v>
      </c>
      <c r="AA1511" s="22">
        <f>'Activity data'!AT48*ttokg*FracGASM*MSVolatEF*NtoN2O*kgtoGg</f>
        <v>8.7037225641645056E-3</v>
      </c>
      <c r="AB1511" s="22">
        <f>'Activity data'!AU48*ttokg*FracGASM*MSVolatEF*NtoN2O*kgtoGg</f>
        <v>8.7017014251006084E-3</v>
      </c>
      <c r="AC1511" s="22">
        <f>'Activity data'!AV48*ttokg*FracGASM*MSVolatEF*NtoN2O*kgtoGg</f>
        <v>8.699341068282046E-3</v>
      </c>
      <c r="AD1511" s="22">
        <f>'Activity data'!AW48*ttokg*FracGASM*MSVolatEF*NtoN2O*kgtoGg</f>
        <v>8.6966749021840043E-3</v>
      </c>
      <c r="AE1511" s="22">
        <f>'Activity data'!AX48*ttokg*FracGASM*MSVolatEF*NtoN2O*kgtoGg</f>
        <v>8.6938503713565752E-3</v>
      </c>
      <c r="AF1511" s="22">
        <f>'Activity data'!AY48*ttokg*FracGASM*MSVolatEF*NtoN2O*kgtoGg</f>
        <v>8.6908839746890534E-3</v>
      </c>
      <c r="AG1511" s="22">
        <f>'Activity data'!AZ48*ttokg*FracGASM*MSVolatEF*NtoN2O*kgtoGg</f>
        <v>8.687854988837283E-3</v>
      </c>
      <c r="AH1511" s="22">
        <f>'Activity data'!BA48*ttokg*FracGASM*MSVolatEF*NtoN2O*kgtoGg</f>
        <v>8.6847385120571701E-3</v>
      </c>
      <c r="AI1511" s="22">
        <f>'Activity data'!BB48*ttokg*FracGASM*MSVolatEF*NtoN2O*kgtoGg</f>
        <v>8.6815728050619895E-3</v>
      </c>
      <c r="AJ1511" s="22">
        <f>'Activity data'!BC48*ttokg*FracGASM*MSVolatEF*NtoN2O*kgtoGg</f>
        <v>8.6784740696510734E-3</v>
      </c>
      <c r="AK1511" s="22">
        <f>'Activity data'!BD48*ttokg*FracGASM*MSVolatEF*NtoN2O*kgtoGg</f>
        <v>8.6752828214044318E-3</v>
      </c>
      <c r="AL1511" s="22">
        <f>'Activity data'!BE48*ttokg*FracGASM*MSVolatEF*NtoN2O*kgtoGg</f>
        <v>8.672105907445278E-3</v>
      </c>
      <c r="AM1511" s="22">
        <f>'Activity data'!BF48*ttokg*FracGASM*MSVolatEF*NtoN2O*kgtoGg</f>
        <v>8.6689517175142713E-3</v>
      </c>
      <c r="AN1511" s="22">
        <f>'Activity data'!BG48*ttokg*FracGASM*MSVolatEF*NtoN2O*kgtoGg</f>
        <v>8.6657760060123695E-3</v>
      </c>
      <c r="AO1511" s="22">
        <f>'Activity data'!BH48*ttokg*FracGASM*MSVolatEF*NtoN2O*kgtoGg</f>
        <v>8.6626886962503594E-3</v>
      </c>
      <c r="AP1511" s="22">
        <f>'Activity data'!BI48*ttokg*FracGASM*MSVolatEF*NtoN2O*kgtoGg</f>
        <v>8.6595415032911013E-3</v>
      </c>
      <c r="AQ1511" s="22">
        <f>'Activity data'!BJ48*ttokg*FracGASM*MSVolatEF*NtoN2O*kgtoGg</f>
        <v>8.6562890718946302E-3</v>
      </c>
      <c r="AR1511" s="22">
        <f>'Activity data'!BK48*ttokg*FracGASM*MSVolatEF*NtoN2O*kgtoGg</f>
        <v>8.65302417863399E-3</v>
      </c>
      <c r="AS1511" s="22">
        <f>'Activity data'!BL48*ttokg*FracGASM*MSVolatEF*NtoN2O*kgtoGg</f>
        <v>8.6497442526030921E-3</v>
      </c>
      <c r="AT1511" s="22">
        <f>'Activity data'!BM48*ttokg*FracGASM*MSVolatEF*NtoN2O*kgtoGg</f>
        <v>8.6463629461222963E-3</v>
      </c>
      <c r="AU1511" s="22">
        <f>'Activity data'!BN48*ttokg*FracGASM*MSVolatEF*NtoN2O*kgtoGg</f>
        <v>8.6429168905236796E-3</v>
      </c>
      <c r="AV1511" s="22">
        <f>'Activity data'!BO48*ttokg*FracGASM*MSVolatEF*NtoN2O*kgtoGg</f>
        <v>8.6394307213862702E-3</v>
      </c>
      <c r="AW1511" s="22">
        <f>'Activity data'!BP48*ttokg*FracGASM*MSVolatEF*NtoN2O*kgtoGg</f>
        <v>8.6358559757550891E-3</v>
      </c>
    </row>
    <row r="1512" spans="1:49" x14ac:dyDescent="0.25">
      <c r="A1512" s="95" t="s">
        <v>959</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1.2008407282256133</v>
      </c>
      <c r="L1512" s="22">
        <f>SUM('Activity data'!AE50:AE65)*FracGASM*MSVolatEF*NtoN2O*kgtoGg</f>
        <v>1.2019035107607592</v>
      </c>
      <c r="M1512" s="22">
        <f>SUM('Activity data'!AF50:AF65)*FracGASM*MSVolatEF*NtoN2O*kgtoGg</f>
        <v>1.2088775122881088</v>
      </c>
      <c r="N1512" s="22">
        <f>SUM('Activity data'!AG50:AG65)*FracGASM*MSVolatEF*NtoN2O*kgtoGg</f>
        <v>1.2055442230548152</v>
      </c>
      <c r="O1512" s="22">
        <f>SUM('Activity data'!AH50:AH65)*FracGASM*MSVolatEF*NtoN2O*kgtoGg</f>
        <v>1.1958435838326273</v>
      </c>
      <c r="P1512" s="22">
        <f>SUM('Activity data'!AI50:AI65)*FracGASM*MSVolatEF*NtoN2O*kgtoGg</f>
        <v>1.1799964998501222</v>
      </c>
      <c r="Q1512" s="22">
        <f>SUM('Activity data'!AJ50:AJ65)*FracGASM*MSVolatEF*NtoN2O*kgtoGg</f>
        <v>1.169776622170569</v>
      </c>
      <c r="R1512" s="22">
        <f>SUM('Activity data'!AK50:AK65)*FracGASM*MSVolatEF*NtoN2O*kgtoGg</f>
        <v>1.1606871439933113</v>
      </c>
      <c r="S1512" s="22">
        <f>SUM('Activity data'!AL50:AL65)*FracGASM*MSVolatEF*NtoN2O*kgtoGg</f>
        <v>1.0635026929062164</v>
      </c>
      <c r="T1512" s="22">
        <f>SUM('Activity data'!AM50:AM65)*FracGASM*MSVolatEF*NtoN2O*kgtoGg</f>
        <v>1.1127914653577025</v>
      </c>
      <c r="U1512" s="22">
        <f>SUM('Activity data'!AN50:AN65)*FracGASM*MSVolatEF*NtoN2O*kgtoGg</f>
        <v>1.1339456607288676</v>
      </c>
      <c r="V1512" s="22">
        <f>SUM('Activity data'!AO50:AO65)*FracGASM*MSVolatEF*NtoN2O*kgtoGg</f>
        <v>1.1334093263464944</v>
      </c>
      <c r="W1512" s="22">
        <f>SUM('Activity data'!AP50:AP65)*FracGASM*MSVolatEF*NtoN2O*kgtoGg</f>
        <v>1.1341671660422112</v>
      </c>
      <c r="X1512" s="22">
        <f>SUM('Activity data'!AQ50:AQ65)*FracGASM*MSVolatEF*NtoN2O*kgtoGg</f>
        <v>1.1408235439735572</v>
      </c>
      <c r="Y1512" s="22">
        <f>SUM('Activity data'!AR50:AR65)*FracGASM*MSVolatEF*NtoN2O*kgtoGg</f>
        <v>1.1530569851412431</v>
      </c>
      <c r="Z1512" s="22">
        <f>SUM('Activity data'!AS50:AS65)*FracGASM*MSVolatEF*NtoN2O*kgtoGg</f>
        <v>1.1679322279348805</v>
      </c>
      <c r="AA1512" s="22">
        <f>SUM('Activity data'!AT50:AT65)*FracGASM*MSVolatEF*NtoN2O*kgtoGg</f>
        <v>1.1861792833479095</v>
      </c>
      <c r="AB1512" s="22">
        <f>SUM('Activity data'!AU50:AU65)*FracGASM*MSVolatEF*NtoN2O*kgtoGg</f>
        <v>1.2100969940218784</v>
      </c>
      <c r="AC1512" s="22">
        <f>SUM('Activity data'!AV50:AV65)*FracGASM*MSVolatEF*NtoN2O*kgtoGg</f>
        <v>1.2393194864291859</v>
      </c>
      <c r="AD1512" s="22">
        <f>SUM('Activity data'!AW50:AW65)*FracGASM*MSVolatEF*NtoN2O*kgtoGg</f>
        <v>1.2672278032377093</v>
      </c>
      <c r="AE1512" s="22">
        <f>SUM('Activity data'!AX50:AX65)*FracGASM*MSVolatEF*NtoN2O*kgtoGg</f>
        <v>1.2977962214580763</v>
      </c>
      <c r="AF1512" s="22">
        <f>SUM('Activity data'!AY50:AY65)*FracGASM*MSVolatEF*NtoN2O*kgtoGg</f>
        <v>1.329788063562543</v>
      </c>
      <c r="AG1512" s="22">
        <f>SUM('Activity data'!AZ50:AZ65)*FracGASM*MSVolatEF*NtoN2O*kgtoGg</f>
        <v>1.3636827815165269</v>
      </c>
      <c r="AH1512" s="22">
        <f>SUM('Activity data'!BA50:BA65)*FracGASM*MSVolatEF*NtoN2O*kgtoGg</f>
        <v>1.3988919386644247</v>
      </c>
      <c r="AI1512" s="22">
        <f>SUM('Activity data'!BB50:BB65)*FracGASM*MSVolatEF*NtoN2O*kgtoGg</f>
        <v>1.4334139363721508</v>
      </c>
      <c r="AJ1512" s="22">
        <f>SUM('Activity data'!BC50:BC65)*FracGASM*MSVolatEF*NtoN2O*kgtoGg</f>
        <v>1.4700649477851668</v>
      </c>
      <c r="AK1512" s="22">
        <f>SUM('Activity data'!BD50:BD65)*FracGASM*MSVolatEF*NtoN2O*kgtoGg</f>
        <v>1.5069886120645011</v>
      </c>
      <c r="AL1512" s="22">
        <f>SUM('Activity data'!BE50:BE65)*FracGASM*MSVolatEF*NtoN2O*kgtoGg</f>
        <v>1.5440287360100955</v>
      </c>
      <c r="AM1512" s="22">
        <f>SUM('Activity data'!BF50:BF65)*FracGASM*MSVolatEF*NtoN2O*kgtoGg</f>
        <v>1.5820093604594603</v>
      </c>
      <c r="AN1512" s="22">
        <f>SUM('Activity data'!BG50:BG65)*FracGASM*MSVolatEF*NtoN2O*kgtoGg</f>
        <v>1.6219033183214897</v>
      </c>
      <c r="AO1512" s="22">
        <f>SUM('Activity data'!BH50:BH65)*FracGASM*MSVolatEF*NtoN2O*kgtoGg</f>
        <v>1.6636708318066389</v>
      </c>
      <c r="AP1512" s="22">
        <f>SUM('Activity data'!BI50:BI65)*FracGASM*MSVolatEF*NtoN2O*kgtoGg</f>
        <v>1.7082959626143681</v>
      </c>
      <c r="AQ1512" s="22">
        <f>SUM('Activity data'!BJ50:BJ65)*FracGASM*MSVolatEF*NtoN2O*kgtoGg</f>
        <v>1.7540375132373072</v>
      </c>
      <c r="AR1512" s="22">
        <f>SUM('Activity data'!BK50:BK65)*FracGASM*MSVolatEF*NtoN2O*kgtoGg</f>
        <v>1.8009857640186506</v>
      </c>
      <c r="AS1512" s="22">
        <f>SUM('Activity data'!BL50:BL65)*FracGASM*MSVolatEF*NtoN2O*kgtoGg</f>
        <v>1.8510064312178449</v>
      </c>
      <c r="AT1512" s="22">
        <f>SUM('Activity data'!BM50:BM65)*FracGASM*MSVolatEF*NtoN2O*kgtoGg</f>
        <v>1.9034681141674186</v>
      </c>
      <c r="AU1512" s="22">
        <f>SUM('Activity data'!BN50:BN65)*FracGASM*MSVolatEF*NtoN2O*kgtoGg</f>
        <v>1.9579460640600546</v>
      </c>
      <c r="AV1512" s="22">
        <f>SUM('Activity data'!BO50:BO65)*FracGASM*MSVolatEF*NtoN2O*kgtoGg</f>
        <v>2.0156248390942006</v>
      </c>
      <c r="AW1512" s="22">
        <f>SUM('Activity data'!BP50:BP65)*FracGASM*MSVolatEF*NtoN2O*kgtoGg</f>
        <v>2.0696024098416643</v>
      </c>
    </row>
    <row r="1513" spans="1:49" x14ac:dyDescent="0.25">
      <c r="A1513" s="95" t="s">
        <v>959</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4.3975799639737021</v>
      </c>
      <c r="L1513" s="22">
        <f>SUM('Activity data'!AE66:AE81)*FracGASM*MSVolatEF*NtoN2O*kgtoGg</f>
        <v>4.3787767883653972</v>
      </c>
      <c r="M1513" s="22">
        <f>SUM('Activity data'!AF66:AF81)*FracGASM*MSVolatEF*NtoN2O*kgtoGg</f>
        <v>4.3752716537638934</v>
      </c>
      <c r="N1513" s="22">
        <f>SUM('Activity data'!AG66:AG81)*FracGASM*MSVolatEF*NtoN2O*kgtoGg</f>
        <v>4.3473821211305586</v>
      </c>
      <c r="O1513" s="22">
        <f>SUM('Activity data'!AH66:AH81)*FracGASM*MSVolatEF*NtoN2O*kgtoGg</f>
        <v>4.3052096453824591</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3.920518553769567</v>
      </c>
      <c r="T1513" s="22">
        <f>SUM('Activity data'!AM66:AM81)*FracGASM*MSVolatEF*NtoN2O*kgtoGg</f>
        <v>4.022224403214822</v>
      </c>
      <c r="U1513" s="22">
        <f>SUM('Activity data'!AN66:AN81)*FracGASM*MSVolatEF*NtoN2O*kgtoGg</f>
        <v>4.0573246422564955</v>
      </c>
      <c r="V1513" s="22">
        <f>SUM('Activity data'!AO66:AO81)*FracGASM*MSVolatEF*NtoN2O*kgtoGg</f>
        <v>4.0437027667632135</v>
      </c>
      <c r="W1513" s="22">
        <f>SUM('Activity data'!AP66:AP81)*FracGASM*MSVolatEF*NtoN2O*kgtoGg</f>
        <v>4.0349744796970102</v>
      </c>
      <c r="X1513" s="22">
        <f>SUM('Activity data'!AQ66:AQ81)*FracGASM*MSVolatEF*NtoN2O*kgtoGg</f>
        <v>4.0404911436640738</v>
      </c>
      <c r="Y1513" s="22">
        <f>SUM('Activity data'!AR66:AR81)*FracGASM*MSVolatEF*NtoN2O*kgtoGg</f>
        <v>4.0578866533033189</v>
      </c>
      <c r="Z1513" s="22">
        <f>SUM('Activity data'!AS66:AS81)*FracGASM*MSVolatEF*NtoN2O*kgtoGg</f>
        <v>4.0805365209798321</v>
      </c>
      <c r="AA1513" s="22">
        <f>SUM('Activity data'!AT66:AT81)*FracGASM*MSVolatEF*NtoN2O*kgtoGg</f>
        <v>4.109915060040195</v>
      </c>
      <c r="AB1513" s="22">
        <f>SUM('Activity data'!AU66:AU81)*FracGASM*MSVolatEF*NtoN2O*kgtoGg</f>
        <v>4.1509048491402085</v>
      </c>
      <c r="AC1513" s="22">
        <f>SUM('Activity data'!AV66:AV81)*FracGASM*MSVolatEF*NtoN2O*kgtoGg</f>
        <v>4.202533390484211</v>
      </c>
      <c r="AD1513" s="22">
        <f>SUM('Activity data'!AW66:AW81)*FracGASM*MSVolatEF*NtoN2O*kgtoGg</f>
        <v>4.2406560670580085</v>
      </c>
      <c r="AE1513" s="22">
        <f>SUM('Activity data'!AX66:AX81)*FracGASM*MSVolatEF*NtoN2O*kgtoGg</f>
        <v>4.2827934559696441</v>
      </c>
      <c r="AF1513" s="22">
        <f>SUM('Activity data'!AY66:AY81)*FracGASM*MSVolatEF*NtoN2O*kgtoGg</f>
        <v>4.3261652521730651</v>
      </c>
      <c r="AG1513" s="22">
        <f>SUM('Activity data'!AZ66:AZ81)*FracGASM*MSVolatEF*NtoN2O*kgtoGg</f>
        <v>4.3716097132066274</v>
      </c>
      <c r="AH1513" s="22">
        <f>SUM('Activity data'!BA66:BA81)*FracGASM*MSVolatEF*NtoN2O*kgtoGg</f>
        <v>4.417783804127744</v>
      </c>
      <c r="AI1513" s="22">
        <f>SUM('Activity data'!BB66:BB81)*FracGASM*MSVolatEF*NtoN2O*kgtoGg</f>
        <v>4.46055260064648</v>
      </c>
      <c r="AJ1513" s="22">
        <f>SUM('Activity data'!BC66:BC81)*FracGASM*MSVolatEF*NtoN2O*kgtoGg</f>
        <v>4.5055232078089906</v>
      </c>
      <c r="AK1513" s="22">
        <f>SUM('Activity data'!BD66:BD81)*FracGASM*MSVolatEF*NtoN2O*kgtoGg</f>
        <v>4.5487963787371326</v>
      </c>
      <c r="AL1513" s="22">
        <f>SUM('Activity data'!BE66:BE81)*FracGASM*MSVolatEF*NtoN2O*kgtoGg</f>
        <v>4.5900121260194853</v>
      </c>
      <c r="AM1513" s="22">
        <f>SUM('Activity data'!BF66:BF81)*FracGASM*MSVolatEF*NtoN2O*kgtoGg</f>
        <v>4.6307205405262888</v>
      </c>
      <c r="AN1513" s="22">
        <f>SUM('Activity data'!BG66:BG81)*FracGASM*MSVolatEF*NtoN2O*kgtoGg</f>
        <v>4.6802451384074173</v>
      </c>
      <c r="AO1513" s="22">
        <f>SUM('Activity data'!BH66:BH81)*FracGASM*MSVolatEF*NtoN2O*kgtoGg</f>
        <v>4.7313734673669652</v>
      </c>
      <c r="AP1513" s="22">
        <f>SUM('Activity data'!BI66:BI81)*FracGASM*MSVolatEF*NtoN2O*kgtoGg</f>
        <v>4.7857847377648062</v>
      </c>
      <c r="AQ1513" s="22">
        <f>SUM('Activity data'!BJ66:BJ81)*FracGASM*MSVolatEF*NtoN2O*kgtoGg</f>
        <v>4.8400720712169321</v>
      </c>
      <c r="AR1513" s="22">
        <f>SUM('Activity data'!BK66:BK81)*FracGASM*MSVolatEF*NtoN2O*kgtoGg</f>
        <v>4.8942825787604232</v>
      </c>
      <c r="AS1513" s="22">
        <f>SUM('Activity data'!BL66:BL81)*FracGASM*MSVolatEF*NtoN2O*kgtoGg</f>
        <v>4.9516552239356777</v>
      </c>
      <c r="AT1513" s="22">
        <f>SUM('Activity data'!BM66:BM81)*FracGASM*MSVolatEF*NtoN2O*kgtoGg</f>
        <v>5.010848202184258</v>
      </c>
      <c r="AU1513" s="22">
        <f>SUM('Activity data'!BN66:BN81)*FracGASM*MSVolatEF*NtoN2O*kgtoGg</f>
        <v>5.070940832499133</v>
      </c>
      <c r="AV1513" s="22">
        <f>SUM('Activity data'!BO66:BO81)*FracGASM*MSVolatEF*NtoN2O*kgtoGg</f>
        <v>5.1338473778737468</v>
      </c>
      <c r="AW1513" s="22">
        <f>SUM('Activity data'!BP66:BP81)*FracGASM*MSVolatEF*NtoN2O*kgtoGg</f>
        <v>5.1874285866281769</v>
      </c>
    </row>
    <row r="1514" spans="1:49" x14ac:dyDescent="0.25">
      <c r="A1514" s="95" t="s">
        <v>959</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2.2782538140387479E-4</v>
      </c>
      <c r="U1514" s="22">
        <f>'Activity data'!AN47*FracLEACH*MSLeachEF*NtoN2O*kgtoGg</f>
        <v>2.2771715291537687E-4</v>
      </c>
      <c r="V1514" s="22">
        <f>'Activity data'!AO47*FracLEACH*MSLeachEF*NtoN2O*kgtoGg</f>
        <v>2.2765749353397156E-4</v>
      </c>
      <c r="W1514" s="22">
        <f>'Activity data'!AP47*FracLEACH*MSLeachEF*NtoN2O*kgtoGg</f>
        <v>2.2763433973674462E-4</v>
      </c>
      <c r="X1514" s="22">
        <f>'Activity data'!AQ47*FracLEACH*MSLeachEF*NtoN2O*kgtoGg</f>
        <v>2.2760936644157216E-4</v>
      </c>
      <c r="Y1514" s="22">
        <f>'Activity data'!AR47*FracLEACH*MSLeachEF*NtoN2O*kgtoGg</f>
        <v>2.2757482273621599E-4</v>
      </c>
      <c r="Z1514" s="22">
        <f>'Activity data'!AS47*FracLEACH*MSLeachEF*NtoN2O*kgtoGg</f>
        <v>2.27531269966679E-4</v>
      </c>
      <c r="AA1514" s="22">
        <f>'Activity data'!AT47*FracLEACH*MSLeachEF*NtoN2O*kgtoGg</f>
        <v>2.2748365792702683E-4</v>
      </c>
      <c r="AB1514" s="22">
        <f>'Activity data'!AU47*FracLEACH*MSLeachEF*NtoN2O*kgtoGg</f>
        <v>2.2743083270149308E-4</v>
      </c>
      <c r="AC1514" s="22">
        <f>'Activity data'!AV47*FracLEACH*MSLeachEF*NtoN2O*kgtoGg</f>
        <v>2.2736914155737162E-4</v>
      </c>
      <c r="AD1514" s="22">
        <f>'Activity data'!AW47*FracLEACH*MSLeachEF*NtoN2O*kgtoGg</f>
        <v>2.272994576707182E-4</v>
      </c>
      <c r="AE1514" s="22">
        <f>'Activity data'!AX47*FracLEACH*MSLeachEF*NtoN2O*kgtoGg</f>
        <v>2.2722563470591042E-4</v>
      </c>
      <c r="AF1514" s="22">
        <f>'Activity data'!AY47*FracLEACH*MSLeachEF*NtoN2O*kgtoGg</f>
        <v>2.2714810388391836E-4</v>
      </c>
      <c r="AG1514" s="22">
        <f>'Activity data'!AZ47*FracLEACH*MSLeachEF*NtoN2O*kgtoGg</f>
        <v>2.2706893720824713E-4</v>
      </c>
      <c r="AH1514" s="22">
        <f>'Activity data'!BA47*FracLEACH*MSLeachEF*NtoN2O*kgtoGg</f>
        <v>2.2698748383785777E-4</v>
      </c>
      <c r="AI1514" s="22">
        <f>'Activity data'!BB47*FracLEACH*MSLeachEF*NtoN2O*kgtoGg</f>
        <v>2.2690474376866552E-4</v>
      </c>
      <c r="AJ1514" s="22">
        <f>'Activity data'!BC47*FracLEACH*MSLeachEF*NtoN2O*kgtoGg</f>
        <v>2.2682375409315307E-4</v>
      </c>
      <c r="AK1514" s="22">
        <f>'Activity data'!BD47*FracLEACH*MSLeachEF*NtoN2O*kgtoGg</f>
        <v>2.2674034646852486E-4</v>
      </c>
      <c r="AL1514" s="22">
        <f>'Activity data'!BE47*FracLEACH*MSLeachEF*NtoN2O*kgtoGg</f>
        <v>2.26657313490047E-4</v>
      </c>
      <c r="AM1514" s="22">
        <f>'Activity data'!BF47*FracLEACH*MSLeachEF*NtoN2O*kgtoGg</f>
        <v>2.2657487443503212E-4</v>
      </c>
      <c r="AN1514" s="22">
        <f>'Activity data'!BG47*FracLEACH*MSLeachEF*NtoN2O*kgtoGg</f>
        <v>2.2649187288441419E-4</v>
      </c>
      <c r="AO1514" s="22">
        <f>'Activity data'!BH47*FracLEACH*MSLeachEF*NtoN2O*kgtoGg</f>
        <v>2.2641118183381611E-4</v>
      </c>
      <c r="AP1514" s="22">
        <f>'Activity data'!BI47*FracLEACH*MSLeachEF*NtoN2O*kgtoGg</f>
        <v>2.2632892565419918E-4</v>
      </c>
      <c r="AQ1514" s="22">
        <f>'Activity data'!BJ47*FracLEACH*MSLeachEF*NtoN2O*kgtoGg</f>
        <v>2.2624391892451869E-4</v>
      </c>
      <c r="AR1514" s="22">
        <f>'Activity data'!BK47*FracLEACH*MSLeachEF*NtoN2O*kgtoGg</f>
        <v>2.2615858648702465E-4</v>
      </c>
      <c r="AS1514" s="22">
        <f>'Activity data'!BL47*FracLEACH*MSLeachEF*NtoN2O*kgtoGg</f>
        <v>2.2607286114758075E-4</v>
      </c>
      <c r="AT1514" s="22">
        <f>'Activity data'!BM47*FracLEACH*MSLeachEF*NtoN2O*kgtoGg</f>
        <v>2.2598448609183276E-4</v>
      </c>
      <c r="AU1514" s="22">
        <f>'Activity data'!BN47*FracLEACH*MSLeachEF*NtoN2O*kgtoGg</f>
        <v>2.2589441872959606E-4</v>
      </c>
      <c r="AV1514" s="22">
        <f>'Activity data'!BO47*FracLEACH*MSLeachEF*NtoN2O*kgtoGg</f>
        <v>2.2580330294532294E-4</v>
      </c>
      <c r="AW1514" s="22">
        <f>'Activity data'!BP47*FracLEACH*MSLeachEF*NtoN2O*kgtoGg</f>
        <v>2.2570987209359888E-4</v>
      </c>
    </row>
    <row r="1515" spans="1:49" x14ac:dyDescent="0.25">
      <c r="A1515" s="95" t="s">
        <v>959</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1.5036475172655738E-6</v>
      </c>
      <c r="U1515" s="22">
        <f>'Activity data'!AN48*FracLEACH*MSLeachEF*NtoN2O*kgtoGg</f>
        <v>1.5029332092414877E-6</v>
      </c>
      <c r="V1515" s="22">
        <f>'Activity data'!AO48*FracLEACH*MSLeachEF*NtoN2O*kgtoGg</f>
        <v>1.5025394573242125E-6</v>
      </c>
      <c r="W1515" s="22">
        <f>'Activity data'!AP48*FracLEACH*MSLeachEF*NtoN2O*kgtoGg</f>
        <v>1.5023866422625144E-6</v>
      </c>
      <c r="X1515" s="22">
        <f>'Activity data'!AQ48*FracLEACH*MSLeachEF*NtoN2O*kgtoGg</f>
        <v>1.5022218185143764E-6</v>
      </c>
      <c r="Y1515" s="22">
        <f>'Activity data'!AR48*FracLEACH*MSLeachEF*NtoN2O*kgtoGg</f>
        <v>1.5019938300590255E-6</v>
      </c>
      <c r="Z1515" s="22">
        <f>'Activity data'!AS48*FracLEACH*MSLeachEF*NtoN2O*kgtoGg</f>
        <v>1.5017063817800821E-6</v>
      </c>
      <c r="AA1515" s="22">
        <f>'Activity data'!AT48*FracLEACH*MSLeachEF*NtoN2O*kgtoGg</f>
        <v>1.5013921423183768E-6</v>
      </c>
      <c r="AB1515" s="22">
        <f>'Activity data'!AU48*FracLEACH*MSLeachEF*NtoN2O*kgtoGg</f>
        <v>1.5010434958298549E-6</v>
      </c>
      <c r="AC1515" s="22">
        <f>'Activity data'!AV48*FracLEACH*MSLeachEF*NtoN2O*kgtoGg</f>
        <v>1.5006363342786528E-6</v>
      </c>
      <c r="AD1515" s="22">
        <f>'Activity data'!AW48*FracLEACH*MSLeachEF*NtoN2O*kgtoGg</f>
        <v>1.5001764206267405E-6</v>
      </c>
      <c r="AE1515" s="22">
        <f>'Activity data'!AX48*FracLEACH*MSLeachEF*NtoN2O*kgtoGg</f>
        <v>1.4996891890590088E-6</v>
      </c>
      <c r="AF1515" s="22">
        <f>'Activity data'!AY48*FracLEACH*MSLeachEF*NtoN2O*kgtoGg</f>
        <v>1.4991774856338616E-6</v>
      </c>
      <c r="AG1515" s="22">
        <f>'Activity data'!AZ48*FracLEACH*MSLeachEF*NtoN2O*kgtoGg</f>
        <v>1.4986549855744315E-6</v>
      </c>
      <c r="AH1515" s="22">
        <f>'Activity data'!BA48*FracLEACH*MSLeachEF*NtoN2O*kgtoGg</f>
        <v>1.4981173933298619E-6</v>
      </c>
      <c r="AI1515" s="22">
        <f>'Activity data'!BB48*FracLEACH*MSLeachEF*NtoN2O*kgtoGg</f>
        <v>1.4975713088731927E-6</v>
      </c>
      <c r="AJ1515" s="22">
        <f>'Activity data'!BC48*FracLEACH*MSLeachEF*NtoN2O*kgtoGg</f>
        <v>1.4970367770148105E-6</v>
      </c>
      <c r="AK1515" s="22">
        <f>'Activity data'!BD48*FracLEACH*MSLeachEF*NtoN2O*kgtoGg</f>
        <v>1.4964862866922644E-6</v>
      </c>
      <c r="AL1515" s="22">
        <f>'Activity data'!BE48*FracLEACH*MSLeachEF*NtoN2O*kgtoGg</f>
        <v>1.4959382690343105E-6</v>
      </c>
      <c r="AM1515" s="22">
        <f>'Activity data'!BF48*FracLEACH*MSLeachEF*NtoN2O*kgtoGg</f>
        <v>1.4953941712712119E-6</v>
      </c>
      <c r="AN1515" s="22">
        <f>'Activity data'!BG48*FracLEACH*MSLeachEF*NtoN2O*kgtoGg</f>
        <v>1.4948463610371335E-6</v>
      </c>
      <c r="AO1515" s="22">
        <f>'Activity data'!BH48*FracLEACH*MSLeachEF*NtoN2O*kgtoGg</f>
        <v>1.4943138001031867E-6</v>
      </c>
      <c r="AP1515" s="22">
        <f>'Activity data'!BI48*FracLEACH*MSLeachEF*NtoN2O*kgtoGg</f>
        <v>1.4937709093177149E-6</v>
      </c>
      <c r="AQ1515" s="22">
        <f>'Activity data'!BJ48*FracLEACH*MSLeachEF*NtoN2O*kgtoGg</f>
        <v>1.4932098649018236E-6</v>
      </c>
      <c r="AR1515" s="22">
        <f>'Activity data'!BK48*FracLEACH*MSLeachEF*NtoN2O*kgtoGg</f>
        <v>1.4926466708143633E-6</v>
      </c>
      <c r="AS1515" s="22">
        <f>'Activity data'!BL48*FracLEACH*MSLeachEF*NtoN2O*kgtoGg</f>
        <v>1.4920808835740333E-6</v>
      </c>
      <c r="AT1515" s="22">
        <f>'Activity data'!BM48*FracLEACH*MSLeachEF*NtoN2O*kgtoGg</f>
        <v>1.4914976082060963E-6</v>
      </c>
      <c r="AU1515" s="22">
        <f>'Activity data'!BN48*FracLEACH*MSLeachEF*NtoN2O*kgtoGg</f>
        <v>1.4909031636153342E-6</v>
      </c>
      <c r="AV1515" s="22">
        <f>'Activity data'!BO48*FracLEACH*MSLeachEF*NtoN2O*kgtoGg</f>
        <v>1.4903017994391313E-6</v>
      </c>
      <c r="AW1515" s="22">
        <f>'Activity data'!BP48*FracLEACH*MSLeachEF*NtoN2O*kgtoGg</f>
        <v>1.4896851558177531E-6</v>
      </c>
    </row>
    <row r="1516" spans="1:49" x14ac:dyDescent="0.25">
      <c r="A1516" s="95" t="s">
        <v>959</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0.20714502561891826</v>
      </c>
      <c r="L1516" s="22">
        <f>SUM('Activity data'!AE50:AE65)*FracLEACH*MSLeachEF*NtoN2O*kgtoGg</f>
        <v>0.20732835560623097</v>
      </c>
      <c r="M1516" s="22">
        <f>SUM('Activity data'!AF50:AF65)*FracLEACH*MSLeachEF*NtoN2O*kgtoGg</f>
        <v>0.20853137086969875</v>
      </c>
      <c r="N1516" s="22">
        <f>SUM('Activity data'!AG50:AG65)*FracLEACH*MSLeachEF*NtoN2O*kgtoGg</f>
        <v>0.20795637847695561</v>
      </c>
      <c r="O1516" s="22">
        <f>SUM('Activity data'!AH50:AH65)*FracLEACH*MSLeachEF*NtoN2O*kgtoGg</f>
        <v>0.20628301821112818</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0.18345421452632232</v>
      </c>
      <c r="T1516" s="22">
        <f>SUM('Activity data'!AM50:AM65)*FracLEACH*MSLeachEF*NtoN2O*kgtoGg</f>
        <v>0.19195652777420363</v>
      </c>
      <c r="U1516" s="22">
        <f>SUM('Activity data'!AN50:AN65)*FracLEACH*MSLeachEF*NtoN2O*kgtoGg</f>
        <v>0.19560562647572965</v>
      </c>
      <c r="V1516" s="22">
        <f>SUM('Activity data'!AO50:AO65)*FracLEACH*MSLeachEF*NtoN2O*kgtoGg</f>
        <v>0.19551310879477027</v>
      </c>
      <c r="W1516" s="22">
        <f>SUM('Activity data'!AP50:AP65)*FracLEACH*MSLeachEF*NtoN2O*kgtoGg</f>
        <v>0.19564383614228145</v>
      </c>
      <c r="X1516" s="22">
        <f>SUM('Activity data'!AQ50:AQ65)*FracLEACH*MSLeachEF*NtoN2O*kgtoGg</f>
        <v>0.19679206133543856</v>
      </c>
      <c r="Y1516" s="22">
        <f>SUM('Activity data'!AR50:AR65)*FracLEACH*MSLeachEF*NtoN2O*kgtoGg</f>
        <v>0.19890232993686438</v>
      </c>
      <c r="Z1516" s="22">
        <f>SUM('Activity data'!AS50:AS65)*FracLEACH*MSLeachEF*NtoN2O*kgtoGg</f>
        <v>0.20146830931876691</v>
      </c>
      <c r="AA1516" s="22">
        <f>SUM('Activity data'!AT50:AT65)*FracLEACH*MSLeachEF*NtoN2O*kgtoGg</f>
        <v>0.20461592637751433</v>
      </c>
      <c r="AB1516" s="22">
        <f>SUM('Activity data'!AU50:AU65)*FracLEACH*MSLeachEF*NtoN2O*kgtoGg</f>
        <v>0.20874173146877406</v>
      </c>
      <c r="AC1516" s="22">
        <f>SUM('Activity data'!AV50:AV65)*FracLEACH*MSLeachEF*NtoN2O*kgtoGg</f>
        <v>0.21378261140903454</v>
      </c>
      <c r="AD1516" s="22">
        <f>SUM('Activity data'!AW50:AW65)*FracLEACH*MSLeachEF*NtoN2O*kgtoGg</f>
        <v>0.21859679605850485</v>
      </c>
      <c r="AE1516" s="22">
        <f>SUM('Activity data'!AX50:AX65)*FracLEACH*MSLeachEF*NtoN2O*kgtoGg</f>
        <v>0.22386984820151812</v>
      </c>
      <c r="AF1516" s="22">
        <f>SUM('Activity data'!AY50:AY65)*FracLEACH*MSLeachEF*NtoN2O*kgtoGg</f>
        <v>0.22938844096453867</v>
      </c>
      <c r="AG1516" s="22">
        <f>SUM('Activity data'!AZ50:AZ65)*FracLEACH*MSLeachEF*NtoN2O*kgtoGg</f>
        <v>0.23523527981160089</v>
      </c>
      <c r="AH1516" s="22">
        <f>SUM('Activity data'!BA50:BA65)*FracLEACH*MSLeachEF*NtoN2O*kgtoGg</f>
        <v>0.24130885941961319</v>
      </c>
      <c r="AI1516" s="22">
        <f>SUM('Activity data'!BB50:BB65)*FracLEACH*MSLeachEF*NtoN2O*kgtoGg</f>
        <v>0.2472639040241959</v>
      </c>
      <c r="AJ1516" s="22">
        <f>SUM('Activity data'!BC50:BC65)*FracLEACH*MSLeachEF*NtoN2O*kgtoGg</f>
        <v>0.2535862034929412</v>
      </c>
      <c r="AK1516" s="22">
        <f>SUM('Activity data'!BD50:BD65)*FracLEACH*MSLeachEF*NtoN2O*kgtoGg</f>
        <v>0.25995553558112644</v>
      </c>
      <c r="AL1516" s="22">
        <f>SUM('Activity data'!BE50:BE65)*FracLEACH*MSLeachEF*NtoN2O*kgtoGg</f>
        <v>0.26634495696174137</v>
      </c>
      <c r="AM1516" s="22">
        <f>SUM('Activity data'!BF50:BF65)*FracLEACH*MSLeachEF*NtoN2O*kgtoGg</f>
        <v>0.27289661467925691</v>
      </c>
      <c r="AN1516" s="22">
        <f>SUM('Activity data'!BG50:BG65)*FracLEACH*MSLeachEF*NtoN2O*kgtoGg</f>
        <v>0.27977832241045703</v>
      </c>
      <c r="AO1516" s="22">
        <f>SUM('Activity data'!BH50:BH65)*FracLEACH*MSLeachEF*NtoN2O*kgtoGg</f>
        <v>0.28698321848664521</v>
      </c>
      <c r="AP1516" s="22">
        <f>SUM('Activity data'!BI50:BI65)*FracLEACH*MSLeachEF*NtoN2O*kgtoGg</f>
        <v>0.29468105355097846</v>
      </c>
      <c r="AQ1516" s="22">
        <f>SUM('Activity data'!BJ50:BJ65)*FracLEACH*MSLeachEF*NtoN2O*kgtoGg</f>
        <v>0.3025714710334354</v>
      </c>
      <c r="AR1516" s="22">
        <f>SUM('Activity data'!BK50:BK65)*FracLEACH*MSLeachEF*NtoN2O*kgtoGg</f>
        <v>0.31067004429321721</v>
      </c>
      <c r="AS1516" s="22">
        <f>SUM('Activity data'!BL50:BL65)*FracLEACH*MSLeachEF*NtoN2O*kgtoGg</f>
        <v>0.31929860938507826</v>
      </c>
      <c r="AT1516" s="22">
        <f>SUM('Activity data'!BM50:BM65)*FracLEACH*MSLeachEF*NtoN2O*kgtoGg</f>
        <v>0.32834824969387966</v>
      </c>
      <c r="AU1516" s="22">
        <f>SUM('Activity data'!BN50:BN65)*FracLEACH*MSLeachEF*NtoN2O*kgtoGg</f>
        <v>0.33774569605035937</v>
      </c>
      <c r="AV1516" s="22">
        <f>SUM('Activity data'!BO50:BO65)*FracLEACH*MSLeachEF*NtoN2O*kgtoGg</f>
        <v>0.34769528474374956</v>
      </c>
      <c r="AW1516" s="22">
        <f>SUM('Activity data'!BP50:BP65)*FracLEACH*MSLeachEF*NtoN2O*kgtoGg</f>
        <v>0.3570064156976871</v>
      </c>
    </row>
    <row r="1517" spans="1:49" x14ac:dyDescent="0.25">
      <c r="A1517" s="95" t="s">
        <v>959</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95" t="s">
        <v>959</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0.10248443536314014</v>
      </c>
      <c r="U1518" s="22">
        <f>'Activity data'!AN85*FracLEACH*MSLeachEF*NtoN2O*kgtoGg</f>
        <v>0.10329242458615623</v>
      </c>
      <c r="V1518" s="22">
        <f>'Activity data'!AO85*FracLEACH*MSLeachEF*NtoN2O*kgtoGg</f>
        <v>0.1037378169028777</v>
      </c>
      <c r="W1518" s="22">
        <f>'Activity data'!AP85*FracLEACH*MSLeachEF*NtoN2O*kgtoGg</f>
        <v>0.10391067359607317</v>
      </c>
      <c r="X1518" s="22">
        <f>'Activity data'!AQ85*FracLEACH*MSLeachEF*NtoN2O*kgtoGg</f>
        <v>0.10409711390991817</v>
      </c>
      <c r="Y1518" s="22">
        <f>'Activity data'!AR85*FracLEACH*MSLeachEF*NtoN2O*kgtoGg</f>
        <v>0.10435500295593778</v>
      </c>
      <c r="Z1518" s="22">
        <f>'Activity data'!AS85*FracLEACH*MSLeachEF*NtoN2O*kgtoGg</f>
        <v>0.10468014995657268</v>
      </c>
      <c r="AA1518" s="22">
        <f>'Activity data'!AT85*FracLEACH*MSLeachEF*NtoN2O*kgtoGg</f>
        <v>0.10503560179239499</v>
      </c>
      <c r="AB1518" s="22">
        <f>'Activity data'!AU85*FracLEACH*MSLeachEF*NtoN2O*kgtoGg</f>
        <v>0.10542997312222666</v>
      </c>
      <c r="AC1518" s="22">
        <f>'Activity data'!AV85*FracLEACH*MSLeachEF*NtoN2O*kgtoGg</f>
        <v>0.10589053374076159</v>
      </c>
      <c r="AD1518" s="22">
        <f>'Activity data'!AW85*FracLEACH*MSLeachEF*NtoN2O*kgtoGg</f>
        <v>0.10641076487597649</v>
      </c>
      <c r="AE1518" s="22">
        <f>'Activity data'!AX85*FracLEACH*MSLeachEF*NtoN2O*kgtoGg</f>
        <v>0.10696189666025695</v>
      </c>
      <c r="AF1518" s="22">
        <f>'Activity data'!AY85*FracLEACH*MSLeachEF*NtoN2O*kgtoGg</f>
        <v>0.10754070977582914</v>
      </c>
      <c r="AG1518" s="22">
        <f>'Activity data'!AZ85*FracLEACH*MSLeachEF*NtoN2O*kgtoGg</f>
        <v>0.10813173549975955</v>
      </c>
      <c r="AH1518" s="22">
        <f>'Activity data'!BA85*FracLEACH*MSLeachEF*NtoN2O*kgtoGg</f>
        <v>0.10873983274260557</v>
      </c>
      <c r="AI1518" s="22">
        <f>'Activity data'!BB85*FracLEACH*MSLeachEF*NtoN2O*kgtoGg</f>
        <v>0.10935753594761956</v>
      </c>
      <c r="AJ1518" s="22">
        <f>'Activity data'!BC85*FracLEACH*MSLeachEF*NtoN2O*kgtoGg</f>
        <v>0.10996217143590806</v>
      </c>
      <c r="AK1518" s="22">
        <f>'Activity data'!BD85*FracLEACH*MSLeachEF*NtoN2O*kgtoGg</f>
        <v>0.11058485833426822</v>
      </c>
      <c r="AL1518" s="22">
        <f>'Activity data'!BE85*FracLEACH*MSLeachEF*NtoN2O*kgtoGg</f>
        <v>0.11120474827910765</v>
      </c>
      <c r="AM1518" s="22">
        <f>'Activity data'!BF85*FracLEACH*MSLeachEF*NtoN2O*kgtoGg</f>
        <v>0.11182020423651956</v>
      </c>
      <c r="AN1518" s="22">
        <f>'Activity data'!BG85*FracLEACH*MSLeachEF*NtoN2O*kgtoGg</f>
        <v>0.11243985955392911</v>
      </c>
      <c r="AO1518" s="22">
        <f>'Activity data'!BH85*FracLEACH*MSLeachEF*NtoN2O*kgtoGg</f>
        <v>0.11304226563186594</v>
      </c>
      <c r="AP1518" s="22">
        <f>'Activity data'!BI85*FracLEACH*MSLeachEF*NtoN2O*kgtoGg</f>
        <v>0.1136563563170396</v>
      </c>
      <c r="AQ1518" s="22">
        <f>'Activity data'!BJ85*FracLEACH*MSLeachEF*NtoN2O*kgtoGg</f>
        <v>0.1142909814736776</v>
      </c>
      <c r="AR1518" s="22">
        <f>'Activity data'!BK85*FracLEACH*MSLeachEF*NtoN2O*kgtoGg</f>
        <v>0.11492803823041334</v>
      </c>
      <c r="AS1518" s="22">
        <f>'Activity data'!BL85*FracLEACH*MSLeachEF*NtoN2O*kgtoGg</f>
        <v>0.11556802823093357</v>
      </c>
      <c r="AT1518" s="22">
        <f>'Activity data'!BM85*FracLEACH*MSLeachEF*NtoN2O*kgtoGg</f>
        <v>0.11622779991969046</v>
      </c>
      <c r="AU1518" s="22">
        <f>'Activity data'!BN85*FracLEACH*MSLeachEF*NtoN2O*kgtoGg</f>
        <v>0.11690020567017985</v>
      </c>
      <c r="AV1518" s="22">
        <f>'Activity data'!BO85*FracLEACH*MSLeachEF*NtoN2O*kgtoGg</f>
        <v>0.11758043850684917</v>
      </c>
      <c r="AW1518" s="22">
        <f>'Activity data'!BP85*FracLEACH*MSLeachEF*NtoN2O*kgtoGg</f>
        <v>0.11827795468154553</v>
      </c>
    </row>
    <row r="1519" spans="1:49" x14ac:dyDescent="0.25">
      <c r="A1519" s="95" t="s">
        <v>959</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95" t="s">
        <v>959</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95" t="s">
        <v>959</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95" t="s">
        <v>959</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95" t="s">
        <v>959</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95" t="s">
        <v>959</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95" t="s">
        <v>959</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95" t="s">
        <v>959</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95" t="s">
        <v>959</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95" t="s">
        <v>959</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95" t="s">
        <v>959</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95" t="s">
        <v>959</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95" t="s">
        <v>959</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0.39831175345583053</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0.39675335904637443</v>
      </c>
      <c r="T1531" s="22">
        <f>Constants!$H63*'Activity data'!AM5*Constants!$H81*EF!$H206*MMVolatEF*NtoN2O*kgtoGg</f>
        <v>0.40475430836671095</v>
      </c>
      <c r="U1531" s="22">
        <f>Constants!$H63*'Activity data'!AN5*Constants!$H81*EF!$H206*MMVolatEF*NtoN2O*kgtoGg</f>
        <v>0.40872605361155973</v>
      </c>
      <c r="V1531" s="22">
        <f>Constants!$H63*'Activity data'!AO5*Constants!$H81*EF!$H206*MMVolatEF*NtoN2O*kgtoGg</f>
        <v>0.40976331225325113</v>
      </c>
      <c r="W1531" s="22">
        <f>Constants!$H63*'Activity data'!AP5*Constants!$H81*EF!$H206*MMVolatEF*NtoN2O*kgtoGg</f>
        <v>0.41123817221629572</v>
      </c>
      <c r="X1531" s="22">
        <f>Constants!$H63*'Activity data'!AQ5*Constants!$H81*EF!$H206*MMVolatEF*NtoN2O*kgtoGg</f>
        <v>0.41371299835327524</v>
      </c>
      <c r="Y1531" s="22">
        <f>Constants!$H63*'Activity data'!AR5*Constants!$H81*EF!$H206*MMVolatEF*NtoN2O*kgtoGg</f>
        <v>0.41698233077605895</v>
      </c>
      <c r="Z1531" s="22">
        <f>Constants!$H63*'Activity data'!AS5*Constants!$H81*EF!$H206*MMVolatEF*NtoN2O*kgtoGg</f>
        <v>0.42064271286230337</v>
      </c>
      <c r="AA1531" s="22">
        <f>Constants!$H63*'Activity data'!AT5*Constants!$H81*EF!$H206*MMVolatEF*NtoN2O*kgtoGg</f>
        <v>0.42480942612911948</v>
      </c>
      <c r="AB1531" s="22">
        <f>Constants!$H63*'Activity data'!AU5*Constants!$H81*EF!$H206*MMVolatEF*NtoN2O*kgtoGg</f>
        <v>0.42983972534171444</v>
      </c>
      <c r="AC1531" s="22">
        <f>Constants!$H63*'Activity data'!AV5*Constants!$H81*EF!$H206*MMVolatEF*NtoN2O*kgtoGg</f>
        <v>0.43570438871758699</v>
      </c>
      <c r="AD1531" s="22">
        <f>Constants!$H63*'Activity data'!AW5*Constants!$H81*EF!$H206*MMVolatEF*NtoN2O*kgtoGg</f>
        <v>0.44208757106569879</v>
      </c>
      <c r="AE1531" s="22">
        <f>Constants!$H63*'Activity data'!AX5*Constants!$H81*EF!$H206*MMVolatEF*NtoN2O*kgtoGg</f>
        <v>0.44898350336000287</v>
      </c>
      <c r="AF1531" s="22">
        <f>Constants!$H63*'Activity data'!AY5*Constants!$H81*EF!$H206*MMVolatEF*NtoN2O*kgtoGg</f>
        <v>0.45621719419550344</v>
      </c>
      <c r="AG1531" s="22">
        <f>Constants!$H63*'Activity data'!AZ5*Constants!$H81*EF!$H206*MMVolatEF*NtoN2O*kgtoGg</f>
        <v>0.46386955104730232</v>
      </c>
      <c r="AH1531" s="22">
        <f>Constants!$H63*'Activity data'!BA5*Constants!$H81*EF!$H206*MMVolatEF*NtoN2O*kgtoGg</f>
        <v>0.47186189087523389</v>
      </c>
      <c r="AI1531" s="22">
        <f>Constants!$H63*'Activity data'!BB5*Constants!$H81*EF!$H206*MMVolatEF*NtoN2O*kgtoGg</f>
        <v>0.47988623531160551</v>
      </c>
      <c r="AJ1531" s="22">
        <f>Constants!$H63*'Activity data'!BC5*Constants!$H81*EF!$H206*MMVolatEF*NtoN2O*kgtoGg</f>
        <v>0.48839393378093798</v>
      </c>
      <c r="AK1531" s="22">
        <f>Constants!$H63*'Activity data'!BD5*Constants!$H81*EF!$H206*MMVolatEF*NtoN2O*kgtoGg</f>
        <v>0.49708758308730938</v>
      </c>
      <c r="AL1531" s="22">
        <f>Constants!$H63*'Activity data'!BE5*Constants!$H81*EF!$H206*MMVolatEF*NtoN2O*kgtoGg</f>
        <v>0.50594507247479314</v>
      </c>
      <c r="AM1531" s="22">
        <f>Constants!$H63*'Activity data'!BF5*Constants!$H81*EF!$H206*MMVolatEF*NtoN2O*kgtoGg</f>
        <v>0.51510910677271904</v>
      </c>
      <c r="AN1531" s="22">
        <f>Constants!$H63*'Activity data'!BG5*Constants!$H81*EF!$H206*MMVolatEF*NtoN2O*kgtoGg</f>
        <v>0.52423757979493812</v>
      </c>
      <c r="AO1531" s="22">
        <f>Constants!$H63*'Activity data'!BH5*Constants!$H81*EF!$H206*MMVolatEF*NtoN2O*kgtoGg</f>
        <v>0.53380454045789072</v>
      </c>
      <c r="AP1531" s="22">
        <f>Constants!$H63*'Activity data'!BI5*Constants!$H81*EF!$H206*MMVolatEF*NtoN2O*kgtoGg</f>
        <v>0.54398662027094624</v>
      </c>
      <c r="AQ1531" s="22">
        <f>Constants!$H63*'Activity data'!BJ5*Constants!$H81*EF!$H206*MMVolatEF*NtoN2O*kgtoGg</f>
        <v>0.55449515288018025</v>
      </c>
      <c r="AR1531" s="22">
        <f>Constants!$H63*'Activity data'!BK5*Constants!$H81*EF!$H206*MMVolatEF*NtoN2O*kgtoGg</f>
        <v>0.56534914989912133</v>
      </c>
      <c r="AS1531" s="22">
        <f>Constants!$H63*'Activity data'!BL5*Constants!$H81*EF!$H206*MMVolatEF*NtoN2O*kgtoGg</f>
        <v>0.57688261473585911</v>
      </c>
      <c r="AT1531" s="22">
        <f>Constants!$H63*'Activity data'!BM5*Constants!$H81*EF!$H206*MMVolatEF*NtoN2O*kgtoGg</f>
        <v>0.58899855031934889</v>
      </c>
      <c r="AU1531" s="22">
        <f>Constants!$H63*'Activity data'!BN5*Constants!$H81*EF!$H206*MMVolatEF*NtoN2O*kgtoGg</f>
        <v>0.60163444677907796</v>
      </c>
      <c r="AV1531" s="22">
        <f>Constants!$H63*'Activity data'!BO5*Constants!$H81*EF!$H206*MMVolatEF*NtoN2O*kgtoGg</f>
        <v>0.61501799344157537</v>
      </c>
      <c r="AW1531" s="22">
        <f>Constants!$H63*'Activity data'!BP5*Constants!$H81*EF!$H206*MMVolatEF*NtoN2O*kgtoGg</f>
        <v>0.62789543257311353</v>
      </c>
    </row>
    <row r="1532" spans="1:49" x14ac:dyDescent="0.25">
      <c r="A1532" s="95" t="s">
        <v>959</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3.1424516095088999E-2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3.1301567701581753E-2</v>
      </c>
      <c r="T1532" s="22">
        <f>Constants!$H64*'Activity data'!AM6*Constants!$H82*EF!$H207*MMVolatEF*NtoN2O*kgtoGg</f>
        <v>3.1932796779085698E-2</v>
      </c>
      <c r="U1532" s="22">
        <f>Constants!$H64*'Activity data'!AN6*Constants!$H82*EF!$H207*MMVolatEF*NtoN2O*kgtoGg</f>
        <v>3.2246144731511071E-2</v>
      </c>
      <c r="V1532" s="22">
        <f>Constants!$H64*'Activity data'!AO6*Constants!$H82*EF!$H207*MMVolatEF*NtoN2O*kgtoGg</f>
        <v>3.2327978497644752E-2</v>
      </c>
      <c r="W1532" s="22">
        <f>Constants!$H64*'Activity data'!AP6*Constants!$H82*EF!$H207*MMVolatEF*NtoN2O*kgtoGg</f>
        <v>3.2444336501757327E-2</v>
      </c>
      <c r="X1532" s="22">
        <f>Constants!$H64*'Activity data'!AQ6*Constants!$H82*EF!$H207*MMVolatEF*NtoN2O*kgtoGg</f>
        <v>3.2639586109882893E-2</v>
      </c>
      <c r="Y1532" s="22">
        <f>Constants!$H64*'Activity data'!AR6*Constants!$H82*EF!$H207*MMVolatEF*NtoN2O*kgtoGg</f>
        <v>3.2897517713579225E-2</v>
      </c>
      <c r="Z1532" s="22">
        <f>Constants!$H64*'Activity data'!AS6*Constants!$H82*EF!$H207*MMVolatEF*NtoN2O*kgtoGg</f>
        <v>3.318630089606224E-2</v>
      </c>
      <c r="AA1532" s="22">
        <f>Constants!$H64*'Activity data'!AT6*Constants!$H82*EF!$H207*MMVolatEF*NtoN2O*kgtoGg</f>
        <v>3.3515030708779675E-2</v>
      </c>
      <c r="AB1532" s="22">
        <f>Constants!$H64*'Activity data'!AU6*Constants!$H82*EF!$H207*MMVolatEF*NtoN2O*kgtoGg</f>
        <v>3.3911892506599629E-2</v>
      </c>
      <c r="AC1532" s="22">
        <f>Constants!$H64*'Activity data'!AV6*Constants!$H82*EF!$H207*MMVolatEF*NtoN2O*kgtoGg</f>
        <v>3.4374580858244831E-2</v>
      </c>
      <c r="AD1532" s="22">
        <f>Constants!$H64*'Activity data'!AW6*Constants!$H82*EF!$H207*MMVolatEF*NtoN2O*kgtoGg</f>
        <v>3.4878177387083813E-2</v>
      </c>
      <c r="AE1532" s="22">
        <f>Constants!$H64*'Activity data'!AX6*Constants!$H82*EF!$H207*MMVolatEF*NtoN2O*kgtoGg</f>
        <v>3.5422226950002453E-2</v>
      </c>
      <c r="AF1532" s="22">
        <f>Constants!$H64*'Activity data'!AY6*Constants!$H82*EF!$H207*MMVolatEF*NtoN2O*kgtoGg</f>
        <v>3.5992923727375593E-2</v>
      </c>
      <c r="AG1532" s="22">
        <f>Constants!$H64*'Activity data'!AZ6*Constants!$H82*EF!$H207*MMVolatEF*NtoN2O*kgtoGg</f>
        <v>3.6596650855607031E-2</v>
      </c>
      <c r="AH1532" s="22">
        <f>Constants!$H64*'Activity data'!BA6*Constants!$H82*EF!$H207*MMVolatEF*NtoN2O*kgtoGg</f>
        <v>3.7227200693469409E-2</v>
      </c>
      <c r="AI1532" s="22">
        <f>Constants!$H64*'Activity data'!BB6*Constants!$H82*EF!$H207*MMVolatEF*NtoN2O*kgtoGg</f>
        <v>3.7860275511637599E-2</v>
      </c>
      <c r="AJ1532" s="22">
        <f>Constants!$H64*'Activity data'!BC6*Constants!$H82*EF!$H207*MMVolatEF*NtoN2O*kgtoGg</f>
        <v>3.8531484194690796E-2</v>
      </c>
      <c r="AK1532" s="22">
        <f>Constants!$H64*'Activity data'!BD6*Constants!$H82*EF!$H207*MMVolatEF*NtoN2O*kgtoGg</f>
        <v>3.9217363333789369E-2</v>
      </c>
      <c r="AL1532" s="22">
        <f>Constants!$H64*'Activity data'!BE6*Constants!$H82*EF!$H207*MMVolatEF*NtoN2O*kgtoGg</f>
        <v>3.9916168516925726E-2</v>
      </c>
      <c r="AM1532" s="22">
        <f>Constants!$H64*'Activity data'!BF6*Constants!$H82*EF!$H207*MMVolatEF*NtoN2O*kgtoGg</f>
        <v>4.0639158337820017E-2</v>
      </c>
      <c r="AN1532" s="22">
        <f>Constants!$H64*'Activity data'!BG6*Constants!$H82*EF!$H207*MMVolatEF*NtoN2O*kgtoGg</f>
        <v>4.1359342577731273E-2</v>
      </c>
      <c r="AO1532" s="22">
        <f>Constants!$H64*'Activity data'!BH6*Constants!$H82*EF!$H207*MMVolatEF*NtoN2O*kgtoGg</f>
        <v>4.211412098114431E-2</v>
      </c>
      <c r="AP1532" s="22">
        <f>Constants!$H64*'Activity data'!BI6*Constants!$H82*EF!$H207*MMVolatEF*NtoN2O*kgtoGg</f>
        <v>4.2917428762525973E-2</v>
      </c>
      <c r="AQ1532" s="22">
        <f>Constants!$H64*'Activity data'!BJ6*Constants!$H82*EF!$H207*MMVolatEF*NtoN2O*kgtoGg</f>
        <v>4.3746491799831644E-2</v>
      </c>
      <c r="AR1532" s="22">
        <f>Constants!$H64*'Activity data'!BK6*Constants!$H82*EF!$H207*MMVolatEF*NtoN2O*kgtoGg</f>
        <v>4.4602810000483467E-2</v>
      </c>
      <c r="AS1532" s="22">
        <f>Constants!$H64*'Activity data'!BL6*Constants!$H82*EF!$H207*MMVolatEF*NtoN2O*kgtoGg</f>
        <v>4.5512734320440534E-2</v>
      </c>
      <c r="AT1532" s="22">
        <f>Constants!$H64*'Activity data'!BM6*Constants!$H82*EF!$H207*MMVolatEF*NtoN2O*kgtoGg</f>
        <v>4.64686122463292E-2</v>
      </c>
      <c r="AU1532" s="22">
        <f>Constants!$H64*'Activity data'!BN6*Constants!$H82*EF!$H207*MMVolatEF*NtoN2O*kgtoGg</f>
        <v>4.7465512107379045E-2</v>
      </c>
      <c r="AV1532" s="22">
        <f>Constants!$H64*'Activity data'!BO6*Constants!$H82*EF!$H207*MMVolatEF*NtoN2O*kgtoGg</f>
        <v>4.8521397287407161E-2</v>
      </c>
      <c r="AW1532" s="22">
        <f>Constants!$H64*'Activity data'!BP6*Constants!$H82*EF!$H207*MMVolatEF*NtoN2O*kgtoGg</f>
        <v>4.953735348187438E-2</v>
      </c>
    </row>
    <row r="1533" spans="1:49" x14ac:dyDescent="0.25">
      <c r="A1533" s="95" t="s">
        <v>959</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2.9129279224209421E-4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2.9015310943081291E-4</v>
      </c>
      <c r="T1533" s="22">
        <f>Constants!$H65*'Activity data'!AM7*Constants!$H83*EF!$H208*MMVolatEF*NtoN2O*kgtoGg</f>
        <v>2.9600435245311237E-4</v>
      </c>
      <c r="U1533" s="22">
        <f>Constants!$H65*'Activity data'!AN7*Constants!$H83*EF!$H208*MMVolatEF*NtoN2O*kgtoGg</f>
        <v>2.9890896360859154E-4</v>
      </c>
      <c r="V1533" s="22">
        <f>Constants!$H65*'Activity data'!AO7*Constants!$H83*EF!$H208*MMVolatEF*NtoN2O*kgtoGg</f>
        <v>2.9966753014195159E-4</v>
      </c>
      <c r="W1533" s="22">
        <f>Constants!$H65*'Activity data'!AP7*Constants!$H83*EF!$H208*MMVolatEF*NtoN2O*kgtoGg</f>
        <v>3.0074612265917932E-4</v>
      </c>
      <c r="X1533" s="22">
        <f>Constants!$H65*'Activity data'!AQ7*Constants!$H83*EF!$H208*MMVolatEF*NtoN2O*kgtoGg</f>
        <v>3.0255600903461219E-4</v>
      </c>
      <c r="Y1533" s="22">
        <f>Constants!$H65*'Activity data'!AR7*Constants!$H83*EF!$H208*MMVolatEF*NtoN2O*kgtoGg</f>
        <v>3.0494693263136179E-4</v>
      </c>
      <c r="Z1533" s="22">
        <f>Constants!$H65*'Activity data'!AS7*Constants!$H83*EF!$H208*MMVolatEF*NtoN2O*kgtoGg</f>
        <v>3.0762383811889561E-4</v>
      </c>
      <c r="AA1533" s="22">
        <f>Constants!$H65*'Activity data'!AT7*Constants!$H83*EF!$H208*MMVolatEF*NtoN2O*kgtoGg</f>
        <v>3.1067103301443271E-4</v>
      </c>
      <c r="AB1533" s="22">
        <f>Constants!$H65*'Activity data'!AU7*Constants!$H83*EF!$H208*MMVolatEF*NtoN2O*kgtoGg</f>
        <v>3.1434978437121989E-4</v>
      </c>
      <c r="AC1533" s="22">
        <f>Constants!$H65*'Activity data'!AV7*Constants!$H83*EF!$H208*MMVolatEF*NtoN2O*kgtoGg</f>
        <v>3.1863872175631096E-4</v>
      </c>
      <c r="AD1533" s="22">
        <f>Constants!$H65*'Activity data'!AW7*Constants!$H83*EF!$H208*MMVolatEF*NtoN2O*kgtoGg</f>
        <v>3.2330686170809402E-4</v>
      </c>
      <c r="AE1533" s="22">
        <f>Constants!$H65*'Activity data'!AX7*Constants!$H83*EF!$H208*MMVolatEF*NtoN2O*kgtoGg</f>
        <v>3.2834998523054116E-4</v>
      </c>
      <c r="AF1533" s="22">
        <f>Constants!$H65*'Activity data'!AY7*Constants!$H83*EF!$H208*MMVolatEF*NtoN2O*kgtoGg</f>
        <v>3.3364011785506768E-4</v>
      </c>
      <c r="AG1533" s="22">
        <f>Constants!$H65*'Activity data'!AZ7*Constants!$H83*EF!$H208*MMVolatEF*NtoN2O*kgtoGg</f>
        <v>3.3923642872275747E-4</v>
      </c>
      <c r="AH1533" s="22">
        <f>Constants!$H65*'Activity data'!BA7*Constants!$H83*EF!$H208*MMVolatEF*NtoN2O*kgtoGg</f>
        <v>3.4508137546316036E-4</v>
      </c>
      <c r="AI1533" s="22">
        <f>Constants!$H65*'Activity data'!BB7*Constants!$H83*EF!$H208*MMVolatEF*NtoN2O*kgtoGg</f>
        <v>3.5094972776886815E-4</v>
      </c>
      <c r="AJ1533" s="22">
        <f>Constants!$H65*'Activity data'!BC7*Constants!$H83*EF!$H208*MMVolatEF*NtoN2O*kgtoGg</f>
        <v>3.5717156586725218E-4</v>
      </c>
      <c r="AK1533" s="22">
        <f>Constants!$H65*'Activity data'!BD7*Constants!$H83*EF!$H208*MMVolatEF*NtoN2O*kgtoGg</f>
        <v>3.6352939327067397E-4</v>
      </c>
      <c r="AL1533" s="22">
        <f>Constants!$H65*'Activity data'!BE7*Constants!$H83*EF!$H208*MMVolatEF*NtoN2O*kgtoGg</f>
        <v>3.7000703997215649E-4</v>
      </c>
      <c r="AM1533" s="22">
        <f>Constants!$H65*'Activity data'!BF7*Constants!$H83*EF!$H208*MMVolatEF*NtoN2O*kgtoGg</f>
        <v>3.7670886866710392E-4</v>
      </c>
      <c r="AN1533" s="22">
        <f>Constants!$H65*'Activity data'!BG7*Constants!$H83*EF!$H208*MMVolatEF*NtoN2O*kgtoGg</f>
        <v>3.8338469073983557E-4</v>
      </c>
      <c r="AO1533" s="22">
        <f>Constants!$H65*'Activity data'!BH7*Constants!$H83*EF!$H208*MMVolatEF*NtoN2O*kgtoGg</f>
        <v>3.9038118697827962E-4</v>
      </c>
      <c r="AP1533" s="22">
        <f>Constants!$H65*'Activity data'!BI7*Constants!$H83*EF!$H208*MMVolatEF*NtoN2O*kgtoGg</f>
        <v>3.9782753128984823E-4</v>
      </c>
      <c r="AQ1533" s="22">
        <f>Constants!$H65*'Activity data'!BJ7*Constants!$H83*EF!$H208*MMVolatEF*NtoN2O*kgtoGg</f>
        <v>4.0551261660192481E-4</v>
      </c>
      <c r="AR1533" s="22">
        <f>Constants!$H65*'Activity data'!BK7*Constants!$H83*EF!$H208*MMVolatEF*NtoN2O*kgtoGg</f>
        <v>4.134503464610197E-4</v>
      </c>
      <c r="AS1533" s="22">
        <f>Constants!$H65*'Activity data'!BL7*Constants!$H83*EF!$H208*MMVolatEF*NtoN2O*kgtoGg</f>
        <v>4.218849837705407E-4</v>
      </c>
      <c r="AT1533" s="22">
        <f>Constants!$H65*'Activity data'!BM7*Constants!$H83*EF!$H208*MMVolatEF*NtoN2O*kgtoGg</f>
        <v>4.3074559276869194E-4</v>
      </c>
      <c r="AU1533" s="22">
        <f>Constants!$H65*'Activity data'!BN7*Constants!$H83*EF!$H208*MMVolatEF*NtoN2O*kgtoGg</f>
        <v>4.3998645882474367E-4</v>
      </c>
      <c r="AV1533" s="22">
        <f>Constants!$H65*'Activity data'!BO7*Constants!$H83*EF!$H208*MMVolatEF*NtoN2O*kgtoGg</f>
        <v>4.4977409537726024E-4</v>
      </c>
      <c r="AW1533" s="22">
        <f>Constants!$H65*'Activity data'!BP7*Constants!$H83*EF!$H208*MMVolatEF*NtoN2O*kgtoGg</f>
        <v>4.5919160608089382E-4</v>
      </c>
    </row>
    <row r="1534" spans="1:49" x14ac:dyDescent="0.25">
      <c r="A1534" s="95" t="s">
        <v>959</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3.2323215352203869E-3</v>
      </c>
      <c r="L1534" s="22">
        <f>Constants!$H66*'Activity data'!AE8*Constants!$H84*EF!$H209*MMVolatEF*NtoN2O*kgtoGg</f>
        <v>3.2042886428129448E-3</v>
      </c>
      <c r="M1534" s="22">
        <f>Constants!$H66*'Activity data'!AF8*Constants!$H84*EF!$H209*MMVolatEF*NtoN2O*kgtoGg</f>
        <v>3.1936173693006072E-3</v>
      </c>
      <c r="N1534" s="22">
        <f>Constants!$H66*'Activity data'!AG8*Constants!$H84*EF!$H209*MMVolatEF*NtoN2O*kgtoGg</f>
        <v>3.150970789688672E-3</v>
      </c>
      <c r="O1534" s="22">
        <f>Constants!$H66*'Activity data'!AH8*Constants!$H84*EF!$H209*MMVolatEF*NtoN2O*kgtoGg</f>
        <v>3.0890682378804098E-3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2.5775843671431266E-3</v>
      </c>
      <c r="T1534" s="22">
        <f>Constants!$H66*'Activity data'!AM8*Constants!$H84*EF!$H209*MMVolatEF*NtoN2O*kgtoGg</f>
        <v>2.7008194536362932E-3</v>
      </c>
      <c r="U1534" s="22">
        <f>Constants!$H66*'Activity data'!AN8*Constants!$H84*EF!$H209*MMVolatEF*NtoN2O*kgtoGg</f>
        <v>2.7434834642963983E-3</v>
      </c>
      <c r="V1534" s="22">
        <f>Constants!$H66*'Activity data'!AO8*Constants!$H84*EF!$H209*MMVolatEF*NtoN2O*kgtoGg</f>
        <v>2.7249559704571515E-3</v>
      </c>
      <c r="W1534" s="22">
        <f>Constants!$H66*'Activity data'!AP8*Constants!$H84*EF!$H209*MMVolatEF*NtoN2O*kgtoGg</f>
        <v>2.7098851587955765E-3</v>
      </c>
      <c r="X1534" s="22">
        <f>Constants!$H66*'Activity data'!AQ8*Constants!$H84*EF!$H209*MMVolatEF*NtoN2O*kgtoGg</f>
        <v>2.7108751448487677E-3</v>
      </c>
      <c r="Y1534" s="22">
        <f>Constants!$H66*'Activity data'!AR8*Constants!$H84*EF!$H209*MMVolatEF*NtoN2O*kgtoGg</f>
        <v>2.7267936110374771E-3</v>
      </c>
      <c r="Z1534" s="22">
        <f>Constants!$H66*'Activity data'!AS8*Constants!$H84*EF!$H209*MMVolatEF*NtoN2O*kgtoGg</f>
        <v>2.7493808220457119E-3</v>
      </c>
      <c r="AA1534" s="22">
        <f>Constants!$H66*'Activity data'!AT8*Constants!$H84*EF!$H209*MMVolatEF*NtoN2O*kgtoGg</f>
        <v>2.7804561510044621E-3</v>
      </c>
      <c r="AB1534" s="22">
        <f>Constants!$H66*'Activity data'!AU8*Constants!$H84*EF!$H209*MMVolatEF*NtoN2O*kgtoGg</f>
        <v>2.8259754098654112E-3</v>
      </c>
      <c r="AC1534" s="22">
        <f>Constants!$H66*'Activity data'!AV8*Constants!$H84*EF!$H209*MMVolatEF*NtoN2O*kgtoGg</f>
        <v>2.8846530294108553E-3</v>
      </c>
      <c r="AD1534" s="22">
        <f>Constants!$H66*'Activity data'!AW8*Constants!$H84*EF!$H209*MMVolatEF*NtoN2O*kgtoGg</f>
        <v>2.9255627766607379E-3</v>
      </c>
      <c r="AE1534" s="22">
        <f>Constants!$H66*'Activity data'!AX8*Constants!$H84*EF!$H209*MMVolatEF*NtoN2O*kgtoGg</f>
        <v>2.9713051294800673E-3</v>
      </c>
      <c r="AF1534" s="22">
        <f>Constants!$H66*'Activity data'!AY8*Constants!$H84*EF!$H209*MMVolatEF*NtoN2O*kgtoGg</f>
        <v>3.0184328847155249E-3</v>
      </c>
      <c r="AG1534" s="22">
        <f>Constants!$H66*'Activity data'!AZ8*Constants!$H84*EF!$H209*MMVolatEF*NtoN2O*kgtoGg</f>
        <v>3.0679929310084191E-3</v>
      </c>
      <c r="AH1534" s="22">
        <f>Constants!$H66*'Activity data'!BA8*Constants!$H84*EF!$H209*MMVolatEF*NtoN2O*kgtoGg</f>
        <v>3.1182952843922906E-3</v>
      </c>
      <c r="AI1534" s="22">
        <f>Constants!$H66*'Activity data'!BB8*Constants!$H84*EF!$H209*MMVolatEF*NtoN2O*kgtoGg</f>
        <v>3.1642302715808976E-3</v>
      </c>
      <c r="AJ1534" s="22">
        <f>Constants!$H66*'Activity data'!BC8*Constants!$H84*EF!$H209*MMVolatEF*NtoN2O*kgtoGg</f>
        <v>3.2126832525729617E-3</v>
      </c>
      <c r="AK1534" s="22">
        <f>Constants!$H66*'Activity data'!BD8*Constants!$H84*EF!$H209*MMVolatEF*NtoN2O*kgtoGg</f>
        <v>3.2589422884996468E-3</v>
      </c>
      <c r="AL1534" s="22">
        <f>Constants!$H66*'Activity data'!BE8*Constants!$H84*EF!$H209*MMVolatEF*NtoN2O*kgtoGg</f>
        <v>3.3025617246378643E-3</v>
      </c>
      <c r="AM1534" s="22">
        <f>Constants!$H66*'Activity data'!BF8*Constants!$H84*EF!$H209*MMVolatEF*NtoN2O*kgtoGg</f>
        <v>3.3454061319751881E-3</v>
      </c>
      <c r="AN1534" s="22">
        <f>Constants!$H66*'Activity data'!BG8*Constants!$H84*EF!$H209*MMVolatEF*NtoN2O*kgtoGg</f>
        <v>3.3998120453296449E-3</v>
      </c>
      <c r="AO1534" s="22">
        <f>Constants!$H66*'Activity data'!BH8*Constants!$H84*EF!$H209*MMVolatEF*NtoN2O*kgtoGg</f>
        <v>3.4560846217306851E-3</v>
      </c>
      <c r="AP1534" s="22">
        <f>Constants!$H66*'Activity data'!BI8*Constants!$H84*EF!$H209*MMVolatEF*NtoN2O*kgtoGg</f>
        <v>3.5162688695670069E-3</v>
      </c>
      <c r="AQ1534" s="22">
        <f>Constants!$H66*'Activity data'!BJ8*Constants!$H84*EF!$H209*MMVolatEF*NtoN2O*kgtoGg</f>
        <v>3.576218960305765E-3</v>
      </c>
      <c r="AR1534" s="22">
        <f>Constants!$H66*'Activity data'!BK8*Constants!$H84*EF!$H209*MMVolatEF*NtoN2O*kgtoGg</f>
        <v>3.6360127055851286E-3</v>
      </c>
      <c r="AS1534" s="22">
        <f>Constants!$H66*'Activity data'!BL8*Constants!$H84*EF!$H209*MMVolatEF*NtoN2O*kgtoGg</f>
        <v>3.6995797552595183E-3</v>
      </c>
      <c r="AT1534" s="22">
        <f>Constants!$H66*'Activity data'!BM8*Constants!$H84*EF!$H209*MMVolatEF*NtoN2O*kgtoGg</f>
        <v>3.7652741980581834E-3</v>
      </c>
      <c r="AU1534" s="22">
        <f>Constants!$H66*'Activity data'!BN8*Constants!$H84*EF!$H209*MMVolatEF*NtoN2O*kgtoGg</f>
        <v>3.831953873173879E-3</v>
      </c>
      <c r="AV1534" s="22">
        <f>Constants!$H66*'Activity data'!BO8*Constants!$H84*EF!$H209*MMVolatEF*NtoN2O*kgtoGg</f>
        <v>3.9018879316463188E-3</v>
      </c>
      <c r="AW1534" s="22">
        <f>Constants!$H66*'Activity data'!BP8*Constants!$H84*EF!$H209*MMVolatEF*NtoN2O*kgtoGg</f>
        <v>3.9605189402422969E-3</v>
      </c>
    </row>
    <row r="1535" spans="1:49" x14ac:dyDescent="0.25">
      <c r="A1535" s="95" t="s">
        <v>959</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1.5685552742581484E-2</v>
      </c>
      <c r="O1535" s="22">
        <f>Constants!$H67*'Activity data'!AH9*Constants!$H85*EF!$H210*MMVolatEF*NtoN2O*kgtoGg</f>
        <v>1.5377401443792453E-2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1.283123146415196E-2</v>
      </c>
      <c r="T1535" s="22">
        <f>Constants!$H67*'Activity data'!AM9*Constants!$H85*EF!$H210*MMVolatEF*NtoN2O*kgtoGg</f>
        <v>1.3444696512844507E-2</v>
      </c>
      <c r="U1535" s="22">
        <f>Constants!$H67*'Activity data'!AN9*Constants!$H85*EF!$H210*MMVolatEF*NtoN2O*kgtoGg</f>
        <v>1.3657078230761113E-2</v>
      </c>
      <c r="V1535" s="22">
        <f>Constants!$H67*'Activity data'!AO9*Constants!$H85*EF!$H210*MMVolatEF*NtoN2O*kgtoGg</f>
        <v>1.3564848247939834E-2</v>
      </c>
      <c r="W1535" s="22">
        <f>Constants!$H67*'Activity data'!AP9*Constants!$H85*EF!$H210*MMVolatEF*NtoN2O*kgtoGg</f>
        <v>1.3489825651105632E-2</v>
      </c>
      <c r="X1535" s="22">
        <f>Constants!$H67*'Activity data'!AQ9*Constants!$H85*EF!$H210*MMVolatEF*NtoN2O*kgtoGg</f>
        <v>1.3494753808009711E-2</v>
      </c>
      <c r="Y1535" s="22">
        <f>Constants!$H67*'Activity data'!AR9*Constants!$H85*EF!$H210*MMVolatEF*NtoN2O*kgtoGg</f>
        <v>1.3573996034501018E-2</v>
      </c>
      <c r="Z1535" s="22">
        <f>Constants!$H67*'Activity data'!AS9*Constants!$H85*EF!$H210*MMVolatEF*NtoN2O*kgtoGg</f>
        <v>1.3686435315352767E-2</v>
      </c>
      <c r="AA1535" s="22">
        <f>Constants!$H67*'Activity data'!AT9*Constants!$H85*EF!$H210*MMVolatEF*NtoN2O*kgtoGg</f>
        <v>1.3841128501646547E-2</v>
      </c>
      <c r="AB1535" s="22">
        <f>Constants!$H67*'Activity data'!AU9*Constants!$H85*EF!$H210*MMVolatEF*NtoN2O*kgtoGg</f>
        <v>1.4067723663367223E-2</v>
      </c>
      <c r="AC1535" s="22">
        <f>Constants!$H67*'Activity data'!AV9*Constants!$H85*EF!$H210*MMVolatEF*NtoN2O*kgtoGg</f>
        <v>1.4359821228727431E-2</v>
      </c>
      <c r="AD1535" s="22">
        <f>Constants!$H67*'Activity data'!AW9*Constants!$H85*EF!$H210*MMVolatEF*NtoN2O*kgtoGg</f>
        <v>1.4563470212168856E-2</v>
      </c>
      <c r="AE1535" s="22">
        <f>Constants!$H67*'Activity data'!AX9*Constants!$H85*EF!$H210*MMVolatEF*NtoN2O*kgtoGg</f>
        <v>1.4791175937041108E-2</v>
      </c>
      <c r="AF1535" s="22">
        <f>Constants!$H67*'Activity data'!AY9*Constants!$H85*EF!$H210*MMVolatEF*NtoN2O*kgtoGg</f>
        <v>1.5025778204000962E-2</v>
      </c>
      <c r="AG1535" s="22">
        <f>Constants!$H67*'Activity data'!AZ9*Constants!$H85*EF!$H210*MMVolatEF*NtoN2O*kgtoGg</f>
        <v>1.5272488431400047E-2</v>
      </c>
      <c r="AH1535" s="22">
        <f>Constants!$H67*'Activity data'!BA9*Constants!$H85*EF!$H210*MMVolatEF*NtoN2O*kgtoGg</f>
        <v>1.5522893868245321E-2</v>
      </c>
      <c r="AI1535" s="22">
        <f>Constants!$H67*'Activity data'!BB9*Constants!$H85*EF!$H210*MMVolatEF*NtoN2O*kgtoGg</f>
        <v>1.5751558528239808E-2</v>
      </c>
      <c r="AJ1535" s="22">
        <f>Constants!$H67*'Activity data'!BC9*Constants!$H85*EF!$H210*MMVolatEF*NtoN2O*kgtoGg</f>
        <v>1.5992757777491307E-2</v>
      </c>
      <c r="AK1535" s="22">
        <f>Constants!$H67*'Activity data'!BD9*Constants!$H85*EF!$H210*MMVolatEF*NtoN2O*kgtoGg</f>
        <v>1.622303555417634E-2</v>
      </c>
      <c r="AL1535" s="22">
        <f>Constants!$H67*'Activity data'!BE9*Constants!$H85*EF!$H210*MMVolatEF*NtoN2O*kgtoGg</f>
        <v>1.6440173386233263E-2</v>
      </c>
      <c r="AM1535" s="22">
        <f>Constants!$H67*'Activity data'!BF9*Constants!$H85*EF!$H210*MMVolatEF*NtoN2O*kgtoGg</f>
        <v>1.6653453119962761E-2</v>
      </c>
      <c r="AN1535" s="22">
        <f>Constants!$H67*'Activity data'!BG9*Constants!$H85*EF!$H210*MMVolatEF*NtoN2O*kgtoGg</f>
        <v>1.6924286104585243E-2</v>
      </c>
      <c r="AO1535" s="22">
        <f>Constants!$H67*'Activity data'!BH9*Constants!$H85*EF!$H210*MMVolatEF*NtoN2O*kgtoGg</f>
        <v>1.7204411349791553E-2</v>
      </c>
      <c r="AP1535" s="22">
        <f>Constants!$H67*'Activity data'!BI9*Constants!$H85*EF!$H210*MMVolatEF*NtoN2O*kgtoGg</f>
        <v>1.7504008920419142E-2</v>
      </c>
      <c r="AQ1535" s="22">
        <f>Constants!$H67*'Activity data'!BJ9*Constants!$H85*EF!$H210*MMVolatEF*NtoN2O*kgtoGg</f>
        <v>1.7802440855517548E-2</v>
      </c>
      <c r="AR1535" s="22">
        <f>Constants!$H67*'Activity data'!BK9*Constants!$H85*EF!$H210*MMVolatEF*NtoN2O*kgtoGg</f>
        <v>1.8100094501919208E-2</v>
      </c>
      <c r="AS1535" s="22">
        <f>Constants!$H67*'Activity data'!BL9*Constants!$H85*EF!$H210*MMVolatEF*NtoN2O*kgtoGg</f>
        <v>1.8416531681730838E-2</v>
      </c>
      <c r="AT1535" s="22">
        <f>Constants!$H67*'Activity data'!BM9*Constants!$H85*EF!$H210*MMVolatEF*NtoN2O*kgtoGg</f>
        <v>1.874355903812051E-2</v>
      </c>
      <c r="AU1535" s="22">
        <f>Constants!$H67*'Activity data'!BN9*Constants!$H85*EF!$H210*MMVolatEF*NtoN2O*kgtoGg</f>
        <v>1.9075490887285256E-2</v>
      </c>
      <c r="AV1535" s="22">
        <f>Constants!$H67*'Activity data'!BO9*Constants!$H85*EF!$H210*MMVolatEF*NtoN2O*kgtoGg</f>
        <v>1.9423623077612737E-2</v>
      </c>
      <c r="AW1535" s="22">
        <f>Constants!$H67*'Activity data'!BP9*Constants!$H85*EF!$H210*MMVolatEF*NtoN2O*kgtoGg</f>
        <v>1.9715488613368411E-2</v>
      </c>
    </row>
    <row r="1536" spans="1:49" x14ac:dyDescent="0.25">
      <c r="A1536" s="95" t="s">
        <v>959</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0.15836052531214867</v>
      </c>
      <c r="L1536" s="22">
        <f>Constants!$H68*'Activity data'!AE10*Constants!$H86*EF!$H211*MMVolatEF*NtoN2O*kgtoGg</f>
        <v>0.16370016056893633</v>
      </c>
      <c r="M1536" s="22">
        <f>Constants!$H68*'Activity data'!AF10*Constants!$H86*EF!$H211*MMVolatEF*NtoN2O*kgtoGg</f>
        <v>0.17003774892948584</v>
      </c>
      <c r="N1536" s="22">
        <f>Constants!$H68*'Activity data'!AG10*Constants!$H86*EF!$H211*MMVolatEF*NtoN2O*kgtoGg</f>
        <v>0.17476418316081965</v>
      </c>
      <c r="O1536" s="22">
        <f>Constants!$H68*'Activity data'!AH10*Constants!$H86*EF!$H211*MMVolatEF*NtoN2O*kgtoGg</f>
        <v>0.17840915017095652</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0.17460856438309952</v>
      </c>
      <c r="T1536" s="22">
        <f>Constants!$H68*'Activity data'!AM10*Constants!$H86*EF!$H211*MMVolatEF*NtoN2O*kgtoGg</f>
        <v>0.1873645711352227</v>
      </c>
      <c r="U1536" s="22">
        <f>Constants!$H68*'Activity data'!AN10*Constants!$H86*EF!$H211*MMVolatEF*NtoN2O*kgtoGg</f>
        <v>0.19484677000767164</v>
      </c>
      <c r="V1536" s="22">
        <f>Constants!$H68*'Activity data'!AO10*Constants!$H86*EF!$H211*MMVolatEF*NtoN2O*kgtoGg</f>
        <v>0.19807112255457257</v>
      </c>
      <c r="W1536" s="22">
        <f>Constants!$H68*'Activity data'!AP10*Constants!$H86*EF!$H211*MMVolatEF*NtoN2O*kgtoGg</f>
        <v>0.20154228480865111</v>
      </c>
      <c r="X1536" s="22">
        <f>Constants!$H68*'Activity data'!AQ10*Constants!$H86*EF!$H211*MMVolatEF*NtoN2O*kgtoGg</f>
        <v>0.20623914667732615</v>
      </c>
      <c r="Y1536" s="22">
        <f>Constants!$H68*'Activity data'!AR10*Constants!$H86*EF!$H211*MMVolatEF*NtoN2O*kgtoGg</f>
        <v>0.21215915392676254</v>
      </c>
      <c r="Z1536" s="22">
        <f>Constants!$H68*'Activity data'!AS10*Constants!$H86*EF!$H211*MMVolatEF*NtoN2O*kgtoGg</f>
        <v>0.21872684602749243</v>
      </c>
      <c r="AA1536" s="22">
        <f>Constants!$H68*'Activity data'!AT10*Constants!$H86*EF!$H211*MMVolatEF*NtoN2O*kgtoGg</f>
        <v>0.22612997396880463</v>
      </c>
      <c r="AB1536" s="22">
        <f>Constants!$H68*'Activity data'!AU10*Constants!$H86*EF!$H211*MMVolatEF*NtoN2O*kgtoGg</f>
        <v>0.23491426249732866</v>
      </c>
      <c r="AC1536" s="22">
        <f>Constants!$H68*'Activity data'!AV10*Constants!$H86*EF!$H211*MMVolatEF*NtoN2O*kgtoGg</f>
        <v>0.24505515121890351</v>
      </c>
      <c r="AD1536" s="22">
        <f>Constants!$H68*'Activity data'!AW10*Constants!$H86*EF!$H211*MMVolatEF*NtoN2O*kgtoGg</f>
        <v>0.25677243358478996</v>
      </c>
      <c r="AE1536" s="22">
        <f>Constants!$H68*'Activity data'!AX10*Constants!$H86*EF!$H211*MMVolatEF*NtoN2O*kgtoGg</f>
        <v>0.26945216276183381</v>
      </c>
      <c r="AF1536" s="22">
        <f>Constants!$H68*'Activity data'!AY10*Constants!$H86*EF!$H211*MMVolatEF*NtoN2O*kgtoGg</f>
        <v>0.2828440567855407</v>
      </c>
      <c r="AG1536" s="22">
        <f>Constants!$H68*'Activity data'!AZ10*Constants!$H86*EF!$H211*MMVolatEF*NtoN2O*kgtoGg</f>
        <v>0.29709510424120422</v>
      </c>
      <c r="AH1536" s="22">
        <f>Constants!$H68*'Activity data'!BA10*Constants!$H86*EF!$H211*MMVolatEF*NtoN2O*kgtoGg</f>
        <v>0.31209530848649036</v>
      </c>
      <c r="AI1536" s="22">
        <f>Constants!$H68*'Activity data'!BB10*Constants!$H86*EF!$H211*MMVolatEF*NtoN2O*kgtoGg</f>
        <v>0.32736251218808471</v>
      </c>
      <c r="AJ1536" s="22">
        <f>Constants!$H68*'Activity data'!BC10*Constants!$H86*EF!$H211*MMVolatEF*NtoN2O*kgtoGg</f>
        <v>0.34362947600093458</v>
      </c>
      <c r="AK1536" s="22">
        <f>Constants!$H68*'Activity data'!BD10*Constants!$H86*EF!$H211*MMVolatEF*NtoN2O*kgtoGg</f>
        <v>0.36044618553686847</v>
      </c>
      <c r="AL1536" s="22">
        <f>Constants!$H68*'Activity data'!BE10*Constants!$H86*EF!$H211*MMVolatEF*NtoN2O*kgtoGg</f>
        <v>0.37778487893593249</v>
      </c>
      <c r="AM1536" s="22">
        <f>Constants!$H68*'Activity data'!BF10*Constants!$H86*EF!$H211*MMVolatEF*NtoN2O*kgtoGg</f>
        <v>0.3958859410797253</v>
      </c>
      <c r="AN1536" s="22">
        <f>Constants!$H68*'Activity data'!BG10*Constants!$H86*EF!$H211*MMVolatEF*NtoN2O*kgtoGg</f>
        <v>0.41367585516143429</v>
      </c>
      <c r="AO1536" s="22">
        <f>Constants!$H68*'Activity data'!BH10*Constants!$H86*EF!$H211*MMVolatEF*NtoN2O*kgtoGg</f>
        <v>0.43242905153599548</v>
      </c>
      <c r="AP1536" s="22">
        <f>Constants!$H68*'Activity data'!BI10*Constants!$H86*EF!$H211*MMVolatEF*NtoN2O*kgtoGg</f>
        <v>0.45246435767624088</v>
      </c>
      <c r="AQ1536" s="22">
        <f>Constants!$H68*'Activity data'!BJ10*Constants!$H86*EF!$H211*MMVolatEF*NtoN2O*kgtoGg</f>
        <v>0.47331488964480717</v>
      </c>
      <c r="AR1536" s="22">
        <f>Constants!$H68*'Activity data'!BK10*Constants!$H86*EF!$H211*MMVolatEF*NtoN2O*kgtoGg</f>
        <v>0.49503125359509215</v>
      </c>
      <c r="AS1536" s="22">
        <f>Constants!$H68*'Activity data'!BL10*Constants!$H86*EF!$H211*MMVolatEF*NtoN2O*kgtoGg</f>
        <v>0.51820746125670647</v>
      </c>
      <c r="AT1536" s="22">
        <f>Constants!$H68*'Activity data'!BM10*Constants!$H86*EF!$H211*MMVolatEF*NtoN2O*kgtoGg</f>
        <v>0.54270067079521189</v>
      </c>
      <c r="AU1536" s="22">
        <f>Constants!$H68*'Activity data'!BN10*Constants!$H86*EF!$H211*MMVolatEF*NtoN2O*kgtoGg</f>
        <v>0.56842164327333022</v>
      </c>
      <c r="AV1536" s="22">
        <f>Constants!$H68*'Activity data'!BO10*Constants!$H86*EF!$H211*MMVolatEF*NtoN2O*kgtoGg</f>
        <v>0.59578776955032364</v>
      </c>
      <c r="AW1536" s="22">
        <f>Constants!$H68*'Activity data'!BP10*Constants!$H86*EF!$H211*MMVolatEF*NtoN2O*kgtoGg</f>
        <v>0.6226172294628034</v>
      </c>
    </row>
    <row r="1537" spans="1:49" x14ac:dyDescent="0.25">
      <c r="A1537" s="95" t="s">
        <v>959</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1.1888884787446641E-4</v>
      </c>
      <c r="T1537" s="22">
        <f>Constants!$H69*'Activity data'!AM11*Constants!$H87*EF!$H212*MMVolatEF*NtoN2O*kgtoGg</f>
        <v>1.18974421608456E-4</v>
      </c>
      <c r="U1537" s="22">
        <f>Constants!$H69*'Activity data'!AN11*Constants!$H87*EF!$H212*MMVolatEF*NtoN2O*kgtoGg</f>
        <v>1.1894433570617077E-4</v>
      </c>
      <c r="V1537" s="22">
        <f>Constants!$H69*'Activity data'!AO11*Constants!$H87*EF!$H212*MMVolatEF*NtoN2O*kgtoGg</f>
        <v>1.1894216976117226E-4</v>
      </c>
      <c r="W1537" s="22">
        <f>Constants!$H69*'Activity data'!AP11*Constants!$H87*EF!$H212*MMVolatEF*NtoN2O*kgtoGg</f>
        <v>1.1906833284654552E-4</v>
      </c>
      <c r="X1537" s="22">
        <f>Constants!$H69*'Activity data'!AQ11*Constants!$H87*EF!$H212*MMVolatEF*NtoN2O*kgtoGg</f>
        <v>1.1927481036049653E-4</v>
      </c>
      <c r="Y1537" s="22">
        <f>Constants!$H69*'Activity data'!AR11*Constants!$H87*EF!$H212*MMVolatEF*NtoN2O*kgtoGg</f>
        <v>1.1947292782589552E-4</v>
      </c>
      <c r="Z1537" s="22">
        <f>Constants!$H69*'Activity data'!AS11*Constants!$H87*EF!$H212*MMVolatEF*NtoN2O*kgtoGg</f>
        <v>1.1966332441080059E-4</v>
      </c>
      <c r="AA1537" s="22">
        <f>Constants!$H69*'Activity data'!AT11*Constants!$H87*EF!$H212*MMVolatEF*NtoN2O*kgtoGg</f>
        <v>1.198457402729256E-4</v>
      </c>
      <c r="AB1537" s="22">
        <f>Constants!$H69*'Activity data'!AU11*Constants!$H87*EF!$H212*MMVolatEF*NtoN2O*kgtoGg</f>
        <v>1.2002397691702796E-4</v>
      </c>
      <c r="AC1537" s="22">
        <f>Constants!$H69*'Activity data'!AV11*Constants!$H87*EF!$H212*MMVolatEF*NtoN2O*kgtoGg</f>
        <v>1.2020063791291827E-4</v>
      </c>
      <c r="AD1537" s="22">
        <f>Constants!$H69*'Activity data'!AW11*Constants!$H87*EF!$H212*MMVolatEF*NtoN2O*kgtoGg</f>
        <v>1.2037395069486653E-4</v>
      </c>
      <c r="AE1537" s="22">
        <f>Constants!$H69*'Activity data'!AX11*Constants!$H87*EF!$H212*MMVolatEF*NtoN2O*kgtoGg</f>
        <v>1.2054640721794917E-4</v>
      </c>
      <c r="AF1537" s="22">
        <f>Constants!$H69*'Activity data'!AY11*Constants!$H87*EF!$H212*MMVolatEF*NtoN2O*kgtoGg</f>
        <v>1.2071746421078628E-4</v>
      </c>
      <c r="AG1537" s="22">
        <f>Constants!$H69*'Activity data'!AZ11*Constants!$H87*EF!$H212*MMVolatEF*NtoN2O*kgtoGg</f>
        <v>1.2088575105723818E-4</v>
      </c>
      <c r="AH1537" s="22">
        <f>Constants!$H69*'Activity data'!BA11*Constants!$H87*EF!$H212*MMVolatEF*NtoN2O*kgtoGg</f>
        <v>1.2105200867781398E-4</v>
      </c>
      <c r="AI1537" s="22">
        <f>Constants!$H69*'Activity data'!BB11*Constants!$H87*EF!$H212*MMVolatEF*NtoN2O*kgtoGg</f>
        <v>1.2121641449313381E-4</v>
      </c>
      <c r="AJ1537" s="22">
        <f>Constants!$H69*'Activity data'!BC11*Constants!$H87*EF!$H212*MMVolatEF*NtoN2O*kgtoGg</f>
        <v>1.2137952665146409E-4</v>
      </c>
      <c r="AK1537" s="22">
        <f>Constants!$H69*'Activity data'!BD11*Constants!$H87*EF!$H212*MMVolatEF*NtoN2O*kgtoGg</f>
        <v>1.2153635424536354E-4</v>
      </c>
      <c r="AL1537" s="22">
        <f>Constants!$H69*'Activity data'!BE11*Constants!$H87*EF!$H212*MMVolatEF*NtoN2O*kgtoGg</f>
        <v>1.2168671378968904E-4</v>
      </c>
      <c r="AM1537" s="22">
        <f>Constants!$H69*'Activity data'!BF11*Constants!$H87*EF!$H212*MMVolatEF*NtoN2O*kgtoGg</f>
        <v>1.2183201055728766E-4</v>
      </c>
      <c r="AN1537" s="22">
        <f>Constants!$H69*'Activity data'!BG11*Constants!$H87*EF!$H212*MMVolatEF*NtoN2O*kgtoGg</f>
        <v>1.2197112574763714E-4</v>
      </c>
      <c r="AO1537" s="22">
        <f>Constants!$H69*'Activity data'!BH11*Constants!$H87*EF!$H212*MMVolatEF*NtoN2O*kgtoGg</f>
        <v>1.2210431172658153E-4</v>
      </c>
      <c r="AP1537" s="22">
        <f>Constants!$H69*'Activity data'!BI11*Constants!$H87*EF!$H212*MMVolatEF*NtoN2O*kgtoGg</f>
        <v>1.2223096862203452E-4</v>
      </c>
      <c r="AQ1537" s="22">
        <f>Constants!$H69*'Activity data'!BJ11*Constants!$H87*EF!$H212*MMVolatEF*NtoN2O*kgtoGg</f>
        <v>1.2234928396390209E-4</v>
      </c>
      <c r="AR1537" s="22">
        <f>Constants!$H69*'Activity data'!BK11*Constants!$H87*EF!$H212*MMVolatEF*NtoN2O*kgtoGg</f>
        <v>1.2245757817594662E-4</v>
      </c>
      <c r="AS1537" s="22">
        <f>Constants!$H69*'Activity data'!BL11*Constants!$H87*EF!$H212*MMVolatEF*NtoN2O*kgtoGg</f>
        <v>1.2255574185064525E-4</v>
      </c>
      <c r="AT1537" s="22">
        <f>Constants!$H69*'Activity data'!BM11*Constants!$H87*EF!$H212*MMVolatEF*NtoN2O*kgtoGg</f>
        <v>1.2264302379658788E-4</v>
      </c>
      <c r="AU1537" s="22">
        <f>Constants!$H69*'Activity data'!BN11*Constants!$H87*EF!$H212*MMVolatEF*NtoN2O*kgtoGg</f>
        <v>1.2271938191890156E-4</v>
      </c>
      <c r="AV1537" s="22">
        <f>Constants!$H69*'Activity data'!BO11*Constants!$H87*EF!$H212*MMVolatEF*NtoN2O*kgtoGg</f>
        <v>1.2278627747914955E-4</v>
      </c>
      <c r="AW1537" s="22">
        <f>Constants!$H69*'Activity data'!BP11*Constants!$H87*EF!$H212*MMVolatEF*NtoN2O*kgtoGg</f>
        <v>1.2283502162881773E-4</v>
      </c>
    </row>
    <row r="1538" spans="1:49" x14ac:dyDescent="0.25">
      <c r="A1538" s="95" t="s">
        <v>959</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8.158765245643595E-4</v>
      </c>
      <c r="T1538" s="22">
        <f>Constants!$H70*'Activity data'!AM12*Constants!$H88*EF!$H213*MMVolatEF*NtoN2O*kgtoGg</f>
        <v>8.1646377561380335E-4</v>
      </c>
      <c r="U1538" s="22">
        <f>Constants!$H70*'Activity data'!AN12*Constants!$H88*EF!$H213*MMVolatEF*NtoN2O*kgtoGg</f>
        <v>8.1625731065233949E-4</v>
      </c>
      <c r="V1538" s="22">
        <f>Constants!$H70*'Activity data'!AO12*Constants!$H88*EF!$H213*MMVolatEF*NtoN2O*kgtoGg</f>
        <v>8.1624244682188473E-4</v>
      </c>
      <c r="W1538" s="22">
        <f>Constants!$H70*'Activity data'!AP12*Constants!$H88*EF!$H213*MMVolatEF*NtoN2O*kgtoGg</f>
        <v>8.1710824291178659E-4</v>
      </c>
      <c r="X1538" s="22">
        <f>Constants!$H70*'Activity data'!AQ12*Constants!$H88*EF!$H213*MMVolatEF*NtoN2O*kgtoGg</f>
        <v>8.1852519798784992E-4</v>
      </c>
      <c r="Y1538" s="22">
        <f>Constants!$H70*'Activity data'!AR12*Constants!$H88*EF!$H213*MMVolatEF*NtoN2O*kgtoGg</f>
        <v>8.1988478210372824E-4</v>
      </c>
      <c r="Z1538" s="22">
        <f>Constants!$H70*'Activity data'!AS12*Constants!$H88*EF!$H213*MMVolatEF*NtoN2O*kgtoGg</f>
        <v>8.2119138155993044E-4</v>
      </c>
      <c r="AA1538" s="22">
        <f>Constants!$H70*'Activity data'!AT12*Constants!$H88*EF!$H213*MMVolatEF*NtoN2O*kgtoGg</f>
        <v>8.2244321318482034E-4</v>
      </c>
      <c r="AB1538" s="22">
        <f>Constants!$H70*'Activity data'!AU12*Constants!$H88*EF!$H213*MMVolatEF*NtoN2O*kgtoGg</f>
        <v>8.2366636486254352E-4</v>
      </c>
      <c r="AC1538" s="22">
        <f>Constants!$H70*'Activity data'!AV12*Constants!$H88*EF!$H213*MMVolatEF*NtoN2O*kgtoGg</f>
        <v>8.2487870363047661E-4</v>
      </c>
      <c r="AD1538" s="22">
        <f>Constants!$H70*'Activity data'!AW12*Constants!$H88*EF!$H213*MMVolatEF*NtoN2O*kgtoGg</f>
        <v>8.2606806522936944E-4</v>
      </c>
      <c r="AE1538" s="22">
        <f>Constants!$H70*'Activity data'!AX12*Constants!$H88*EF!$H213*MMVolatEF*NtoN2O*kgtoGg</f>
        <v>8.2725155073878963E-4</v>
      </c>
      <c r="AF1538" s="22">
        <f>Constants!$H70*'Activity data'!AY12*Constants!$H88*EF!$H213*MMVolatEF*NtoN2O*kgtoGg</f>
        <v>8.2842543195064012E-4</v>
      </c>
      <c r="AG1538" s="22">
        <f>Constants!$H70*'Activity data'!AZ12*Constants!$H88*EF!$H213*MMVolatEF*NtoN2O*kgtoGg</f>
        <v>8.2958030299084108E-4</v>
      </c>
      <c r="AH1538" s="22">
        <f>Constants!$H70*'Activity data'!BA12*Constants!$H88*EF!$H213*MMVolatEF*NtoN2O*kgtoGg</f>
        <v>8.3072124843764142E-4</v>
      </c>
      <c r="AI1538" s="22">
        <f>Constants!$H70*'Activity data'!BB12*Constants!$H88*EF!$H213*MMVolatEF*NtoN2O*kgtoGg</f>
        <v>8.3184948584274219E-4</v>
      </c>
      <c r="AJ1538" s="22">
        <f>Constants!$H70*'Activity data'!BC12*Constants!$H88*EF!$H213*MMVolatEF*NtoN2O*kgtoGg</f>
        <v>8.3296884550710043E-4</v>
      </c>
      <c r="AK1538" s="22">
        <f>Constants!$H70*'Activity data'!BD12*Constants!$H88*EF!$H213*MMVolatEF*NtoN2O*kgtoGg</f>
        <v>8.3404507725258427E-4</v>
      </c>
      <c r="AL1538" s="22">
        <f>Constants!$H70*'Activity data'!BE12*Constants!$H88*EF!$H213*MMVolatEF*NtoN2O*kgtoGg</f>
        <v>8.3507692190961139E-4</v>
      </c>
      <c r="AM1538" s="22">
        <f>Constants!$H70*'Activity data'!BF12*Constants!$H88*EF!$H213*MMVolatEF*NtoN2O*kgtoGg</f>
        <v>8.3607402318444201E-4</v>
      </c>
      <c r="AN1538" s="22">
        <f>Constants!$H70*'Activity data'!BG12*Constants!$H88*EF!$H213*MMVolatEF*NtoN2O*kgtoGg</f>
        <v>8.3702870329149695E-4</v>
      </c>
      <c r="AO1538" s="22">
        <f>Constants!$H70*'Activity data'!BH12*Constants!$H88*EF!$H213*MMVolatEF*NtoN2O*kgtoGg</f>
        <v>8.3794269409521473E-4</v>
      </c>
      <c r="AP1538" s="22">
        <f>Constants!$H70*'Activity data'!BI12*Constants!$H88*EF!$H213*MMVolatEF*NtoN2O*kgtoGg</f>
        <v>8.3881187896429009E-4</v>
      </c>
      <c r="AQ1538" s="22">
        <f>Constants!$H70*'Activity data'!BJ12*Constants!$H88*EF!$H213*MMVolatEF*NtoN2O*kgtoGg</f>
        <v>8.3962381979516996E-4</v>
      </c>
      <c r="AR1538" s="22">
        <f>Constants!$H70*'Activity data'!BK12*Constants!$H88*EF!$H213*MMVolatEF*NtoN2O*kgtoGg</f>
        <v>8.4036699047040963E-4</v>
      </c>
      <c r="AS1538" s="22">
        <f>Constants!$H70*'Activity data'!BL12*Constants!$H88*EF!$H213*MMVolatEF*NtoN2O*kgtoGg</f>
        <v>8.4104064017922141E-4</v>
      </c>
      <c r="AT1538" s="22">
        <f>Constants!$H70*'Activity data'!BM12*Constants!$H88*EF!$H213*MMVolatEF*NtoN2O*kgtoGg</f>
        <v>8.4163961385914194E-4</v>
      </c>
      <c r="AU1538" s="22">
        <f>Constants!$H70*'Activity data'!BN12*Constants!$H88*EF!$H213*MMVolatEF*NtoN2O*kgtoGg</f>
        <v>8.4216362263346621E-4</v>
      </c>
      <c r="AV1538" s="22">
        <f>Constants!$H70*'Activity data'!BO12*Constants!$H88*EF!$H213*MMVolatEF*NtoN2O*kgtoGg</f>
        <v>8.4262269443187052E-4</v>
      </c>
      <c r="AW1538" s="22">
        <f>Constants!$H70*'Activity data'!BP12*Constants!$H88*EF!$H213*MMVolatEF*NtoN2O*kgtoGg</f>
        <v>8.4295720189943475E-4</v>
      </c>
    </row>
    <row r="1539" spans="1:49" x14ac:dyDescent="0.25">
      <c r="A1539" s="95" t="s">
        <v>959</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1.4486129996083081E-5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1.4890706011157255E-5</v>
      </c>
      <c r="R1539" s="22">
        <f>Constants!$H71*'Activity data'!AK13*Constants!$H89*EF!$H214*MMVolatEF*NtoN2O*kgtoGg</f>
        <v>1.4988675221399694E-5</v>
      </c>
      <c r="S1539" s="22">
        <f>Constants!$H71*'Activity data'!AL13*Constants!$H89*EF!$H214*MMVolatEF*NtoN2O*kgtoGg</f>
        <v>1.4951923212530766E-5</v>
      </c>
      <c r="T1539" s="22">
        <f>Constants!$H71*'Activity data'!AM13*Constants!$H89*EF!$H214*MMVolatEF*NtoN2O*kgtoGg</f>
        <v>1.4977625582861877E-5</v>
      </c>
      <c r="U1539" s="22">
        <f>Constants!$H71*'Activity data'!AN13*Constants!$H89*EF!$H214*MMVolatEF*NtoN2O*kgtoGg</f>
        <v>1.4980119703065675E-5</v>
      </c>
      <c r="V1539" s="22">
        <f>Constants!$H71*'Activity data'!AO13*Constants!$H89*EF!$H214*MMVolatEF*NtoN2O*kgtoGg</f>
        <v>1.4986976942692676E-5</v>
      </c>
      <c r="W1539" s="22">
        <f>Constants!$H71*'Activity data'!AP13*Constants!$H89*EF!$H214*MMVolatEF*NtoN2O*kgtoGg</f>
        <v>1.5017294663736538E-5</v>
      </c>
      <c r="X1539" s="22">
        <f>Constants!$H71*'Activity data'!AQ13*Constants!$H89*EF!$H214*MMVolatEF*NtoN2O*kgtoGg</f>
        <v>1.5061890336193319E-5</v>
      </c>
      <c r="Y1539" s="22">
        <f>Constants!$H71*'Activity data'!AR13*Constants!$H89*EF!$H214*MMVolatEF*NtoN2O*kgtoGg</f>
        <v>1.5103986297595971E-5</v>
      </c>
      <c r="Z1539" s="22">
        <f>Constants!$H71*'Activity data'!AS13*Constants!$H89*EF!$H214*MMVolatEF*NtoN2O*kgtoGg</f>
        <v>1.5143780477124499E-5</v>
      </c>
      <c r="AA1539" s="22">
        <f>Constants!$H71*'Activity data'!AT13*Constants!$H89*EF!$H214*MMVolatEF*NtoN2O*kgtoGg</f>
        <v>1.5181293243682811E-5</v>
      </c>
      <c r="AB1539" s="22">
        <f>Constants!$H71*'Activity data'!AU13*Constants!$H89*EF!$H214*MMVolatEF*NtoN2O*kgtoGg</f>
        <v>1.5217300806744068E-5</v>
      </c>
      <c r="AC1539" s="22">
        <f>Constants!$H71*'Activity data'!AV13*Constants!$H89*EF!$H214*MMVolatEF*NtoN2O*kgtoGg</f>
        <v>1.5252343422195684E-5</v>
      </c>
      <c r="AD1539" s="22">
        <f>Constants!$H71*'Activity data'!AW13*Constants!$H89*EF!$H214*MMVolatEF*NtoN2O*kgtoGg</f>
        <v>1.5286134993525756E-5</v>
      </c>
      <c r="AE1539" s="22">
        <f>Constants!$H71*'Activity data'!AX13*Constants!$H89*EF!$H214*MMVolatEF*NtoN2O*kgtoGg</f>
        <v>1.531918306979576E-5</v>
      </c>
      <c r="AF1539" s="22">
        <f>Constants!$H71*'Activity data'!AY13*Constants!$H89*EF!$H214*MMVolatEF*NtoN2O*kgtoGg</f>
        <v>1.5351423055728344E-5</v>
      </c>
      <c r="AG1539" s="22">
        <f>Constants!$H71*'Activity data'!AZ13*Constants!$H89*EF!$H214*MMVolatEF*NtoN2O*kgtoGg</f>
        <v>1.5382634347686873E-5</v>
      </c>
      <c r="AH1539" s="22">
        <f>Constants!$H71*'Activity data'!BA13*Constants!$H89*EF!$H214*MMVolatEF*NtoN2O*kgtoGg</f>
        <v>1.5412986814805202E-5</v>
      </c>
      <c r="AI1539" s="22">
        <f>Constants!$H71*'Activity data'!BB13*Constants!$H89*EF!$H214*MMVolatEF*NtoN2O*kgtoGg</f>
        <v>1.5442542460580333E-5</v>
      </c>
      <c r="AJ1539" s="22">
        <f>Constants!$H71*'Activity data'!BC13*Constants!$H89*EF!$H214*MMVolatEF*NtoN2O*kgtoGg</f>
        <v>1.5471431054826288E-5</v>
      </c>
      <c r="AK1539" s="22">
        <f>Constants!$H71*'Activity data'!BD13*Constants!$H89*EF!$H214*MMVolatEF*NtoN2O*kgtoGg</f>
        <v>1.5498756892033488E-5</v>
      </c>
      <c r="AL1539" s="22">
        <f>Constants!$H71*'Activity data'!BE13*Constants!$H89*EF!$H214*MMVolatEF*NtoN2O*kgtoGg</f>
        <v>1.5524513513074621E-5</v>
      </c>
      <c r="AM1539" s="22">
        <f>Constants!$H71*'Activity data'!BF13*Constants!$H89*EF!$H214*MMVolatEF*NtoN2O*kgtoGg</f>
        <v>1.5548984646319332E-5</v>
      </c>
      <c r="AN1539" s="22">
        <f>Constants!$H71*'Activity data'!BG13*Constants!$H89*EF!$H214*MMVolatEF*NtoN2O*kgtoGg</f>
        <v>1.5571987875403361E-5</v>
      </c>
      <c r="AO1539" s="22">
        <f>Constants!$H71*'Activity data'!BH13*Constants!$H89*EF!$H214*MMVolatEF*NtoN2O*kgtoGg</f>
        <v>1.5593591673600764E-5</v>
      </c>
      <c r="AP1539" s="22">
        <f>Constants!$H71*'Activity data'!BI13*Constants!$H89*EF!$H214*MMVolatEF*NtoN2O*kgtoGg</f>
        <v>1.5613707165200276E-5</v>
      </c>
      <c r="AQ1539" s="22">
        <f>Constants!$H71*'Activity data'!BJ13*Constants!$H89*EF!$H214*MMVolatEF*NtoN2O*kgtoGg</f>
        <v>1.5632023858239551E-5</v>
      </c>
      <c r="AR1539" s="22">
        <f>Constants!$H71*'Activity data'!BK13*Constants!$H89*EF!$H214*MMVolatEF*NtoN2O*kgtoGg</f>
        <v>1.5648256533695206E-5</v>
      </c>
      <c r="AS1539" s="22">
        <f>Constants!$H71*'Activity data'!BL13*Constants!$H89*EF!$H214*MMVolatEF*NtoN2O*kgtoGg</f>
        <v>1.5662406299088669E-5</v>
      </c>
      <c r="AT1539" s="22">
        <f>Constants!$H71*'Activity data'!BM13*Constants!$H89*EF!$H214*MMVolatEF*NtoN2O*kgtoGg</f>
        <v>1.5674356891571193E-5</v>
      </c>
      <c r="AU1539" s="22">
        <f>Constants!$H71*'Activity data'!BN13*Constants!$H89*EF!$H214*MMVolatEF*NtoN2O*kgtoGg</f>
        <v>1.5684120431636331E-5</v>
      </c>
      <c r="AV1539" s="22">
        <f>Constants!$H71*'Activity data'!BO13*Constants!$H89*EF!$H214*MMVolatEF*NtoN2O*kgtoGg</f>
        <v>1.5691980107154113E-5</v>
      </c>
      <c r="AW1539" s="22">
        <f>Constants!$H71*'Activity data'!BP13*Constants!$H89*EF!$H214*MMVolatEF*NtoN2O*kgtoGg</f>
        <v>1.5696383554298718E-5</v>
      </c>
    </row>
    <row r="1540" spans="1:49" x14ac:dyDescent="0.25">
      <c r="A1540" s="95" t="s">
        <v>959</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1.4738364076719785E-3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1.5149984613639165E-3</v>
      </c>
      <c r="R1540" s="22">
        <f>Constants!$H72*'Activity data'!AK14*Constants!$H90*EF!$H215*MMVolatEF*NtoN2O*kgtoGg</f>
        <v>1.5249659674490626E-3</v>
      </c>
      <c r="S1540" s="22">
        <f>Constants!$H72*'Activity data'!AL14*Constants!$H90*EF!$H215*MMVolatEF*NtoN2O*kgtoGg</f>
        <v>1.5212267735621682E-3</v>
      </c>
      <c r="T1540" s="22">
        <f>Constants!$H72*'Activity data'!AM14*Constants!$H90*EF!$H215*MMVolatEF*NtoN2O*kgtoGg</f>
        <v>1.523841763843748E-3</v>
      </c>
      <c r="U1540" s="22">
        <f>Constants!$H72*'Activity data'!AN14*Constants!$H90*EF!$H215*MMVolatEF*NtoN2O*kgtoGg</f>
        <v>1.5240955186535188E-3</v>
      </c>
      <c r="V1540" s="22">
        <f>Constants!$H72*'Activity data'!AO14*Constants!$H90*EF!$H215*MMVolatEF*NtoN2O*kgtoGg</f>
        <v>1.5247931825168926E-3</v>
      </c>
      <c r="W1540" s="22">
        <f>Constants!$H72*'Activity data'!AP14*Constants!$H90*EF!$H215*MMVolatEF*NtoN2O*kgtoGg</f>
        <v>1.5278777441689124E-3</v>
      </c>
      <c r="X1540" s="22">
        <f>Constants!$H72*'Activity data'!AQ14*Constants!$H90*EF!$H215*MMVolatEF*NtoN2O*kgtoGg</f>
        <v>1.53241496188746E-3</v>
      </c>
      <c r="Y1540" s="22">
        <f>Constants!$H72*'Activity data'!AR14*Constants!$H90*EF!$H215*MMVolatEF*NtoN2O*kgtoGg</f>
        <v>1.536697855976355E-3</v>
      </c>
      <c r="Z1540" s="22">
        <f>Constants!$H72*'Activity data'!AS14*Constants!$H90*EF!$H215*MMVolatEF*NtoN2O*kgtoGg</f>
        <v>1.5407465639900506E-3</v>
      </c>
      <c r="AA1540" s="22">
        <f>Constants!$H72*'Activity data'!AT14*Constants!$H90*EF!$H215*MMVolatEF*NtoN2O*kgtoGg</f>
        <v>1.5445631582854966E-3</v>
      </c>
      <c r="AB1540" s="22">
        <f>Constants!$H72*'Activity data'!AU14*Constants!$H90*EF!$H215*MMVolatEF*NtoN2O*kgtoGg</f>
        <v>1.5482266113544371E-3</v>
      </c>
      <c r="AC1540" s="22">
        <f>Constants!$H72*'Activity data'!AV14*Constants!$H90*EF!$H215*MMVolatEF*NtoN2O*kgtoGg</f>
        <v>1.551791889485077E-3</v>
      </c>
      <c r="AD1540" s="22">
        <f>Constants!$H72*'Activity data'!AW14*Constants!$H90*EF!$H215*MMVolatEF*NtoN2O*kgtoGg</f>
        <v>1.555229884871849E-3</v>
      </c>
      <c r="AE1540" s="22">
        <f>Constants!$H72*'Activity data'!AX14*Constants!$H90*EF!$H215*MMVolatEF*NtoN2O*kgtoGg</f>
        <v>1.5585922361708792E-3</v>
      </c>
      <c r="AF1540" s="22">
        <f>Constants!$H72*'Activity data'!AY14*Constants!$H90*EF!$H215*MMVolatEF*NtoN2O*kgtoGg</f>
        <v>1.561872371380429E-3</v>
      </c>
      <c r="AG1540" s="22">
        <f>Constants!$H72*'Activity data'!AZ14*Constants!$H90*EF!$H215*MMVolatEF*NtoN2O*kgtoGg</f>
        <v>1.5650478460193693E-3</v>
      </c>
      <c r="AH1540" s="22">
        <f>Constants!$H72*'Activity data'!BA14*Constants!$H90*EF!$H215*MMVolatEF*NtoN2O*kgtoGg</f>
        <v>1.5681359427790809E-3</v>
      </c>
      <c r="AI1540" s="22">
        <f>Constants!$H72*'Activity data'!BB14*Constants!$H90*EF!$H215*MMVolatEF*NtoN2O*kgtoGg</f>
        <v>1.5711429699704306E-3</v>
      </c>
      <c r="AJ1540" s="22">
        <f>Constants!$H72*'Activity data'!BC14*Constants!$H90*EF!$H215*MMVolatEF*NtoN2O*kgtoGg</f>
        <v>1.5740821305314401E-3</v>
      </c>
      <c r="AK1540" s="22">
        <f>Constants!$H72*'Activity data'!BD14*Constants!$H90*EF!$H215*MMVolatEF*NtoN2O*kgtoGg</f>
        <v>1.5768622942989184E-3</v>
      </c>
      <c r="AL1540" s="22">
        <f>Constants!$H72*'Activity data'!BE14*Constants!$H90*EF!$H215*MMVolatEF*NtoN2O*kgtoGg</f>
        <v>1.5794828041134305E-3</v>
      </c>
      <c r="AM1540" s="22">
        <f>Constants!$H72*'Activity data'!BF14*Constants!$H90*EF!$H215*MMVolatEF*NtoN2O*kgtoGg</f>
        <v>1.5819725268428828E-3</v>
      </c>
      <c r="AN1540" s="22">
        <f>Constants!$H72*'Activity data'!BG14*Constants!$H90*EF!$H215*MMVolatEF*NtoN2O*kgtoGg</f>
        <v>1.5843129032254801E-3</v>
      </c>
      <c r="AO1540" s="22">
        <f>Constants!$H72*'Activity data'!BH14*Constants!$H90*EF!$H215*MMVolatEF*NtoN2O*kgtoGg</f>
        <v>1.586510899815041E-3</v>
      </c>
      <c r="AP1540" s="22">
        <f>Constants!$H72*'Activity data'!BI14*Constants!$H90*EF!$H215*MMVolatEF*NtoN2O*kgtoGg</f>
        <v>1.5885574742890791E-3</v>
      </c>
      <c r="AQ1540" s="22">
        <f>Constants!$H72*'Activity data'!BJ14*Constants!$H90*EF!$H215*MMVolatEF*NtoN2O*kgtoGg</f>
        <v>1.5904210368193567E-3</v>
      </c>
      <c r="AR1540" s="22">
        <f>Constants!$H72*'Activity data'!BK14*Constants!$H90*EF!$H215*MMVolatEF*NtoN2O*kgtoGg</f>
        <v>1.592072568877052E-3</v>
      </c>
      <c r="AS1540" s="22">
        <f>Constants!$H72*'Activity data'!BL14*Constants!$H90*EF!$H215*MMVolatEF*NtoN2O*kgtoGg</f>
        <v>1.5935121831427352E-3</v>
      </c>
      <c r="AT1540" s="22">
        <f>Constants!$H72*'Activity data'!BM14*Constants!$H90*EF!$H215*MMVolatEF*NtoN2O*kgtoGg</f>
        <v>1.5947280508933873E-3</v>
      </c>
      <c r="AU1540" s="22">
        <f>Constants!$H72*'Activity data'!BN14*Constants!$H90*EF!$H215*MMVolatEF*NtoN2O*kgtoGg</f>
        <v>1.5957214052826996E-3</v>
      </c>
      <c r="AV1540" s="22">
        <f>Constants!$H72*'Activity data'!BO14*Constants!$H90*EF!$H215*MMVolatEF*NtoN2O*kgtoGg</f>
        <v>1.5965210581874944E-3</v>
      </c>
      <c r="AW1540" s="22">
        <f>Constants!$H72*'Activity data'!BP14*Constants!$H90*EF!$H215*MMVolatEF*NtoN2O*kgtoGg</f>
        <v>1.596969070232308E-3</v>
      </c>
    </row>
    <row r="1541" spans="1:49" x14ac:dyDescent="0.25">
      <c r="A1541" s="95" t="s">
        <v>959</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95" t="s">
        <v>959</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95" t="s">
        <v>959</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0.13004550543955865</v>
      </c>
      <c r="M1543" s="22">
        <f>Constants!$H75*'Activity data'!AF17*Constants!$H93*EF!$H218*MMVolatEF*NtoN2O*kgtoGg</f>
        <v>0.13010384136507705</v>
      </c>
      <c r="N1543" s="22">
        <f>Constants!$H75*'Activity data'!AG17*Constants!$H93*EF!$H218*MMVolatEF*NtoN2O*kgtoGg</f>
        <v>0.12890938840294827</v>
      </c>
      <c r="O1543" s="22">
        <f>Constants!$H75*'Activity data'!AH17*Constants!$H93*EF!$H218*MMVolatEF*NtoN2O*kgtoGg</f>
        <v>0.12695857121838466</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0.12056837226162823</v>
      </c>
      <c r="S1543" s="22">
        <f>Constants!$H75*'Activity data'!AL17*Constants!$H93*EF!$H218*MMVolatEF*NtoN2O*kgtoGg</f>
        <v>0.10830895289651481</v>
      </c>
      <c r="T1543" s="22">
        <f>Constants!$H75*'Activity data'!AM17*Constants!$H93*EF!$H218*MMVolatEF*NtoN2O*kgtoGg</f>
        <v>0.11320330426035914</v>
      </c>
      <c r="U1543" s="22">
        <f>Constants!$H75*'Activity data'!AN17*Constants!$H93*EF!$H218*MMVolatEF*NtoN2O*kgtoGg</f>
        <v>0.11468301383498544</v>
      </c>
      <c r="V1543" s="22">
        <f>Constants!$H75*'Activity data'!AO17*Constants!$H93*EF!$H218*MMVolatEF*NtoN2O*kgtoGg</f>
        <v>0.11355120382559489</v>
      </c>
      <c r="W1543" s="22">
        <f>Constants!$H75*'Activity data'!AP17*Constants!$H93*EF!$H218*MMVolatEF*NtoN2O*kgtoGg</f>
        <v>0.11255578294046394</v>
      </c>
      <c r="X1543" s="22">
        <f>Constants!$H75*'Activity data'!AQ17*Constants!$H93*EF!$H218*MMVolatEF*NtoN2O*kgtoGg</f>
        <v>0.11224814770681171</v>
      </c>
      <c r="Y1543" s="22">
        <f>Constants!$H75*'Activity data'!AR17*Constants!$H93*EF!$H218*MMVolatEF*NtoN2O*kgtoGg</f>
        <v>0.11260156809388705</v>
      </c>
      <c r="Z1543" s="22">
        <f>Constants!$H75*'Activity data'!AS17*Constants!$H93*EF!$H218*MMVolatEF*NtoN2O*kgtoGg</f>
        <v>0.11325984846472106</v>
      </c>
      <c r="AA1543" s="22">
        <f>Constants!$H75*'Activity data'!AT17*Constants!$H93*EF!$H218*MMVolatEF*NtoN2O*kgtoGg</f>
        <v>0.11429808983181136</v>
      </c>
      <c r="AB1543" s="22">
        <f>Constants!$H75*'Activity data'!AU17*Constants!$H93*EF!$H218*MMVolatEF*NtoN2O*kgtoGg</f>
        <v>0.11596592254580176</v>
      </c>
      <c r="AC1543" s="22">
        <f>Constants!$H75*'Activity data'!AV17*Constants!$H93*EF!$H218*MMVolatEF*NtoN2O*kgtoGg</f>
        <v>0.11820511582305605</v>
      </c>
      <c r="AD1543" s="22">
        <f>Constants!$H75*'Activity data'!AW17*Constants!$H93*EF!$H218*MMVolatEF*NtoN2O*kgtoGg</f>
        <v>0.12075365463644311</v>
      </c>
      <c r="AE1543" s="22">
        <f>Constants!$H75*'Activity data'!AX17*Constants!$H93*EF!$H218*MMVolatEF*NtoN2O*kgtoGg</f>
        <v>0.12358623956337132</v>
      </c>
      <c r="AF1543" s="22">
        <f>Constants!$H75*'Activity data'!AY17*Constants!$H93*EF!$H218*MMVolatEF*NtoN2O*kgtoGg</f>
        <v>0.12656118355318</v>
      </c>
      <c r="AG1543" s="22">
        <f>Constants!$H75*'Activity data'!AZ17*Constants!$H93*EF!$H218*MMVolatEF*NtoN2O*kgtoGg</f>
        <v>0.12972957848678721</v>
      </c>
      <c r="AH1543" s="22">
        <f>Constants!$H75*'Activity data'!BA17*Constants!$H93*EF!$H218*MMVolatEF*NtoN2O*kgtoGg</f>
        <v>0.13302313311609873</v>
      </c>
      <c r="AI1543" s="22">
        <f>Constants!$H75*'Activity data'!BB17*Constants!$H93*EF!$H218*MMVolatEF*NtoN2O*kgtoGg</f>
        <v>0.13621929545186015</v>
      </c>
      <c r="AJ1543" s="22">
        <f>Constants!$H75*'Activity data'!BC17*Constants!$H93*EF!$H218*MMVolatEF*NtoN2O*kgtoGg</f>
        <v>0.13962684476435561</v>
      </c>
      <c r="AK1543" s="22">
        <f>Constants!$H75*'Activity data'!BD17*Constants!$H93*EF!$H218*MMVolatEF*NtoN2O*kgtoGg</f>
        <v>0.14304119066791054</v>
      </c>
      <c r="AL1543" s="22">
        <f>Constants!$H75*'Activity data'!BE17*Constants!$H93*EF!$H218*MMVolatEF*NtoN2O*kgtoGg</f>
        <v>0.14644440679500975</v>
      </c>
      <c r="AM1543" s="22">
        <f>Constants!$H75*'Activity data'!BF17*Constants!$H93*EF!$H218*MMVolatEF*NtoN2O*kgtoGg</f>
        <v>0.14992455211372072</v>
      </c>
      <c r="AN1543" s="22">
        <f>Constants!$H75*'Activity data'!BG17*Constants!$H93*EF!$H218*MMVolatEF*NtoN2O*kgtoGg</f>
        <v>0.15325657222760428</v>
      </c>
      <c r="AO1543" s="22">
        <f>Constants!$H75*'Activity data'!BH17*Constants!$H93*EF!$H218*MMVolatEF*NtoN2O*kgtoGg</f>
        <v>0.15674333681767427</v>
      </c>
      <c r="AP1543" s="22">
        <f>Constants!$H75*'Activity data'!BI17*Constants!$H93*EF!$H218*MMVolatEF*NtoN2O*kgtoGg</f>
        <v>0.16048535923438295</v>
      </c>
      <c r="AQ1543" s="22">
        <f>Constants!$H75*'Activity data'!BJ17*Constants!$H93*EF!$H218*MMVolatEF*NtoN2O*kgtoGg</f>
        <v>0.16429277839644263</v>
      </c>
      <c r="AR1543" s="22">
        <f>Constants!$H75*'Activity data'!BK17*Constants!$H93*EF!$H218*MMVolatEF*NtoN2O*kgtoGg</f>
        <v>0.16817259395975112</v>
      </c>
      <c r="AS1543" s="22">
        <f>Constants!$H75*'Activity data'!BL17*Constants!$H93*EF!$H218*MMVolatEF*NtoN2O*kgtoGg</f>
        <v>0.17231652203790412</v>
      </c>
      <c r="AT1543" s="22">
        <f>Constants!$H75*'Activity data'!BM17*Constants!$H93*EF!$H218*MMVolatEF*NtoN2O*kgtoGg</f>
        <v>0.17665242177214358</v>
      </c>
      <c r="AU1543" s="22">
        <f>Constants!$H75*'Activity data'!BN17*Constants!$H93*EF!$H218*MMVolatEF*NtoN2O*kgtoGg</f>
        <v>0.18113086971422945</v>
      </c>
      <c r="AV1543" s="22">
        <f>Constants!$H75*'Activity data'!BO17*Constants!$H93*EF!$H218*MMVolatEF*NtoN2O*kgtoGg</f>
        <v>0.18586803919890985</v>
      </c>
      <c r="AW1543" s="22">
        <f>Constants!$H75*'Activity data'!BP17*Constants!$H93*EF!$H218*MMVolatEF*NtoN2O*kgtoGg</f>
        <v>0.19015603509530893</v>
      </c>
    </row>
    <row r="1544" spans="1:49" x14ac:dyDescent="0.25">
      <c r="A1544" s="95" t="s">
        <v>959</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1.2655466337890211E-2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1.2355059245839609E-2</v>
      </c>
      <c r="P1544" s="22">
        <f>Constants!$H76*'Activity data'!AI18*Constants!$H94*EF!$H219*MMVolatEF*NtoN2O*kgtoGg</f>
        <v>1.2094642930917438E-2</v>
      </c>
      <c r="Q1544" s="22">
        <f>Constants!$H76*'Activity data'!AJ18*Constants!$H94*EF!$H219*MMVolatEF*NtoN2O*kgtoGg</f>
        <v>1.1905551806853848E-2</v>
      </c>
      <c r="R1544" s="22">
        <f>Constants!$H76*'Activity data'!AK18*Constants!$H94*EF!$H219*MMVolatEF*NtoN2O*kgtoGg</f>
        <v>1.1733192711380727E-2</v>
      </c>
      <c r="S1544" s="22">
        <f>Constants!$H76*'Activity data'!AL18*Constants!$H94*EF!$H219*MMVolatEF*NtoN2O*kgtoGg</f>
        <v>1.0540159022343456E-2</v>
      </c>
      <c r="T1544" s="22">
        <f>Constants!$H76*'Activity data'!AM18*Constants!$H94*EF!$H219*MMVolatEF*NtoN2O*kgtoGg</f>
        <v>1.1016456136354276E-2</v>
      </c>
      <c r="U1544" s="22">
        <f>Constants!$H76*'Activity data'!AN18*Constants!$H94*EF!$H219*MMVolatEF*NtoN2O*kgtoGg</f>
        <v>1.1160455074635459E-2</v>
      </c>
      <c r="V1544" s="22">
        <f>Constants!$H76*'Activity data'!AO18*Constants!$H94*EF!$H219*MMVolatEF*NtoN2O*kgtoGg</f>
        <v>1.1050312217899923E-2</v>
      </c>
      <c r="W1544" s="22">
        <f>Constants!$H76*'Activity data'!AP18*Constants!$H94*EF!$H219*MMVolatEF*NtoN2O*kgtoGg</f>
        <v>1.0953442161059227E-2</v>
      </c>
      <c r="X1544" s="22">
        <f>Constants!$H76*'Activity data'!AQ18*Constants!$H94*EF!$H219*MMVolatEF*NtoN2O*kgtoGg</f>
        <v>1.092350443018052E-2</v>
      </c>
      <c r="Y1544" s="22">
        <f>Constants!$H76*'Activity data'!AR18*Constants!$H94*EF!$H219*MMVolatEF*NtoN2O*kgtoGg</f>
        <v>1.0957897774238343E-2</v>
      </c>
      <c r="Z1544" s="22">
        <f>Constants!$H76*'Activity data'!AS18*Constants!$H94*EF!$H219*MMVolatEF*NtoN2O*kgtoGg</f>
        <v>1.1021958773854017E-2</v>
      </c>
      <c r="AA1544" s="22">
        <f>Constants!$H76*'Activity data'!AT18*Constants!$H94*EF!$H219*MMVolatEF*NtoN2O*kgtoGg</f>
        <v>1.1122995934864729E-2</v>
      </c>
      <c r="AB1544" s="22">
        <f>Constants!$H76*'Activity data'!AU18*Constants!$H94*EF!$H219*MMVolatEF*NtoN2O*kgtoGg</f>
        <v>1.1285302203718813E-2</v>
      </c>
      <c r="AC1544" s="22">
        <f>Constants!$H76*'Activity data'!AV18*Constants!$H94*EF!$H219*MMVolatEF*NtoN2O*kgtoGg</f>
        <v>1.1503210812313454E-2</v>
      </c>
      <c r="AD1544" s="22">
        <f>Constants!$H76*'Activity data'!AW18*Constants!$H94*EF!$H219*MMVolatEF*NtoN2O*kgtoGg</f>
        <v>1.1751223591029727E-2</v>
      </c>
      <c r="AE1544" s="22">
        <f>Constants!$H76*'Activity data'!AX18*Constants!$H94*EF!$H219*MMVolatEF*NtoN2O*kgtoGg</f>
        <v>1.2026878509443005E-2</v>
      </c>
      <c r="AF1544" s="22">
        <f>Constants!$H76*'Activity data'!AY18*Constants!$H94*EF!$H219*MMVolatEF*NtoN2O*kgtoGg</f>
        <v>1.231638719636668E-2</v>
      </c>
      <c r="AG1544" s="22">
        <f>Constants!$H76*'Activity data'!AZ18*Constants!$H94*EF!$H219*MMVolatEF*NtoN2O*kgtoGg</f>
        <v>1.2624721692756056E-2</v>
      </c>
      <c r="AH1544" s="22">
        <f>Constants!$H76*'Activity data'!BA18*Constants!$H94*EF!$H219*MMVolatEF*NtoN2O*kgtoGg</f>
        <v>1.2945236189603672E-2</v>
      </c>
      <c r="AI1544" s="22">
        <f>Constants!$H76*'Activity data'!BB18*Constants!$H94*EF!$H219*MMVolatEF*NtoN2O*kgtoGg</f>
        <v>1.3256272889518386E-2</v>
      </c>
      <c r="AJ1544" s="22">
        <f>Constants!$H76*'Activity data'!BC18*Constants!$H94*EF!$H219*MMVolatEF*NtoN2O*kgtoGg</f>
        <v>1.3587880856077676E-2</v>
      </c>
      <c r="AK1544" s="22">
        <f>Constants!$H76*'Activity data'!BD18*Constants!$H94*EF!$H219*MMVolatEF*NtoN2O*kgtoGg</f>
        <v>1.3920150237493829E-2</v>
      </c>
      <c r="AL1544" s="22">
        <f>Constants!$H76*'Activity data'!BE18*Constants!$H94*EF!$H219*MMVolatEF*NtoN2O*kgtoGg</f>
        <v>1.4251336517184878E-2</v>
      </c>
      <c r="AM1544" s="22">
        <f>Constants!$H76*'Activity data'!BF18*Constants!$H94*EF!$H219*MMVolatEF*NtoN2O*kgtoGg</f>
        <v>1.459000921320037E-2</v>
      </c>
      <c r="AN1544" s="22">
        <f>Constants!$H76*'Activity data'!BG18*Constants!$H94*EF!$H219*MMVolatEF*NtoN2O*kgtoGg</f>
        <v>1.4914267004701089E-2</v>
      </c>
      <c r="AO1544" s="22">
        <f>Constants!$H76*'Activity data'!BH18*Constants!$H94*EF!$H219*MMVolatEF*NtoN2O*kgtoGg</f>
        <v>1.5253583859586839E-2</v>
      </c>
      <c r="AP1544" s="22">
        <f>Constants!$H76*'Activity data'!BI18*Constants!$H94*EF!$H219*MMVolatEF*NtoN2O*kgtoGg</f>
        <v>1.5617741302554344E-2</v>
      </c>
      <c r="AQ1544" s="22">
        <f>Constants!$H76*'Activity data'!BJ18*Constants!$H94*EF!$H219*MMVolatEF*NtoN2O*kgtoGg</f>
        <v>1.5988262874036725E-2</v>
      </c>
      <c r="AR1544" s="22">
        <f>Constants!$H76*'Activity data'!BK18*Constants!$H94*EF!$H219*MMVolatEF*NtoN2O*kgtoGg</f>
        <v>1.6365829750282931E-2</v>
      </c>
      <c r="AS1544" s="22">
        <f>Constants!$H76*'Activity data'!BL18*Constants!$H94*EF!$H219*MMVolatEF*NtoN2O*kgtoGg</f>
        <v>1.676909891458386E-2</v>
      </c>
      <c r="AT1544" s="22">
        <f>Constants!$H76*'Activity data'!BM18*Constants!$H94*EF!$H219*MMVolatEF*NtoN2O*kgtoGg</f>
        <v>1.7191049930466051E-2</v>
      </c>
      <c r="AU1544" s="22">
        <f>Constants!$H76*'Activity data'!BN18*Constants!$H94*EF!$H219*MMVolatEF*NtoN2O*kgtoGg</f>
        <v>1.7626873121628955E-2</v>
      </c>
      <c r="AV1544" s="22">
        <f>Constants!$H76*'Activity data'!BO18*Constants!$H94*EF!$H219*MMVolatEF*NtoN2O*kgtoGg</f>
        <v>1.8087873974735078E-2</v>
      </c>
      <c r="AW1544" s="22">
        <f>Constants!$H76*'Activity data'!BP18*Constants!$H94*EF!$H219*MMVolatEF*NtoN2O*kgtoGg</f>
        <v>1.8505163196230787E-2</v>
      </c>
    </row>
    <row r="1545" spans="1:49" x14ac:dyDescent="0.25">
      <c r="A1545" s="95" t="s">
        <v>959</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6.9075990112688196E-2</v>
      </c>
      <c r="T1545" s="22">
        <f>Constants!$H77*'Activity data'!AM19*Constants!$H95*EF!$H220*MMVolatEF*NtoN2O*kgtoGg</f>
        <v>7.1960031651071718E-2</v>
      </c>
      <c r="U1545" s="22">
        <f>Constants!$H77*'Activity data'!AN19*Constants!$H95*EF!$H220*MMVolatEF*NtoN2O*kgtoGg</f>
        <v>7.3674037695468111E-2</v>
      </c>
      <c r="V1545" s="22">
        <f>Constants!$H77*'Activity data'!AO19*Constants!$H95*EF!$H220*MMVolatEF*NtoN2O*kgtoGg</f>
        <v>7.4492152680205134E-2</v>
      </c>
      <c r="W1545" s="22">
        <f>Constants!$H77*'Activity data'!AP19*Constants!$H95*EF!$H220*MMVolatEF*NtoN2O*kgtoGg</f>
        <v>7.5399470920563483E-2</v>
      </c>
      <c r="X1545" s="22">
        <f>Constants!$H77*'Activity data'!AQ19*Constants!$H95*EF!$H220*MMVolatEF*NtoN2O*kgtoGg</f>
        <v>7.6582710746940591E-2</v>
      </c>
      <c r="Y1545" s="22">
        <f>Constants!$H77*'Activity data'!AR19*Constants!$H95*EF!$H220*MMVolatEF*NtoN2O*kgtoGg</f>
        <v>7.8007027191938444E-2</v>
      </c>
      <c r="Z1545" s="22">
        <f>Constants!$H77*'Activity data'!AS19*Constants!$H95*EF!$H220*MMVolatEF*NtoN2O*kgtoGg</f>
        <v>7.95518212189988E-2</v>
      </c>
      <c r="AA1545" s="22">
        <f>Constants!$H77*'Activity data'!AT19*Constants!$H95*EF!$H220*MMVolatEF*NtoN2O*kgtoGg</f>
        <v>8.125501320297529E-2</v>
      </c>
      <c r="AB1545" s="22">
        <f>Constants!$H77*'Activity data'!AU19*Constants!$H95*EF!$H220*MMVolatEF*NtoN2O*kgtoGg</f>
        <v>8.3229375715267798E-2</v>
      </c>
      <c r="AC1545" s="22">
        <f>Constants!$H77*'Activity data'!AV19*Constants!$H95*EF!$H220*MMVolatEF*NtoN2O*kgtoGg</f>
        <v>8.5468913054205911E-2</v>
      </c>
      <c r="AD1545" s="22">
        <f>Constants!$H77*'Activity data'!AW19*Constants!$H95*EF!$H220*MMVolatEF*NtoN2O*kgtoGg</f>
        <v>8.7878363840128426E-2</v>
      </c>
      <c r="AE1545" s="22">
        <f>Constants!$H77*'Activity data'!AX19*Constants!$H95*EF!$H220*MMVolatEF*NtoN2O*kgtoGg</f>
        <v>9.0457350276048634E-2</v>
      </c>
      <c r="AF1545" s="22">
        <f>Constants!$H77*'Activity data'!AY19*Constants!$H95*EF!$H220*MMVolatEF*NtoN2O*kgtoGg</f>
        <v>9.3152543573947852E-2</v>
      </c>
      <c r="AG1545" s="22">
        <f>Constants!$H77*'Activity data'!AZ19*Constants!$H95*EF!$H220*MMVolatEF*NtoN2O*kgtoGg</f>
        <v>9.5991306514799535E-2</v>
      </c>
      <c r="AH1545" s="22">
        <f>Constants!$H77*'Activity data'!BA19*Constants!$H95*EF!$H220*MMVolatEF*NtoN2O*kgtoGg</f>
        <v>9.8949791609125759E-2</v>
      </c>
      <c r="AI1545" s="22">
        <f>Constants!$H77*'Activity data'!BB19*Constants!$H95*EF!$H220*MMVolatEF*NtoN2O*kgtoGg</f>
        <v>0.10193029518056052</v>
      </c>
      <c r="AJ1545" s="22">
        <f>Constants!$H77*'Activity data'!BC19*Constants!$H95*EF!$H220*MMVolatEF*NtoN2O*kgtoGg</f>
        <v>0.10507798344014782</v>
      </c>
      <c r="AK1545" s="22">
        <f>Constants!$H77*'Activity data'!BD19*Constants!$H95*EF!$H220*MMVolatEF*NtoN2O*kgtoGg</f>
        <v>0.10829971138803891</v>
      </c>
      <c r="AL1545" s="22">
        <f>Constants!$H77*'Activity data'!BE19*Constants!$H95*EF!$H220*MMVolatEF*NtoN2O*kgtoGg</f>
        <v>0.11158886411942164</v>
      </c>
      <c r="AM1545" s="22">
        <f>Constants!$H77*'Activity data'!BF19*Constants!$H95*EF!$H220*MMVolatEF*NtoN2O*kgtoGg</f>
        <v>0.11499192397451925</v>
      </c>
      <c r="AN1545" s="22">
        <f>Constants!$H77*'Activity data'!BG19*Constants!$H95*EF!$H220*MMVolatEF*NtoN2O*kgtoGg</f>
        <v>0.11839831966593896</v>
      </c>
      <c r="AO1545" s="22">
        <f>Constants!$H77*'Activity data'!BH19*Constants!$H95*EF!$H220*MMVolatEF*NtoN2O*kgtoGg</f>
        <v>0.12196310213771001</v>
      </c>
      <c r="AP1545" s="22">
        <f>Constants!$H77*'Activity data'!BI19*Constants!$H95*EF!$H220*MMVolatEF*NtoN2O*kgtoGg</f>
        <v>0.12574583816913645</v>
      </c>
      <c r="AQ1545" s="22">
        <f>Constants!$H77*'Activity data'!BJ19*Constants!$H95*EF!$H220*MMVolatEF*NtoN2O*kgtoGg</f>
        <v>0.12965360602860704</v>
      </c>
      <c r="AR1545" s="22">
        <f>Constants!$H77*'Activity data'!BK19*Constants!$H95*EF!$H220*MMVolatEF*NtoN2O*kgtoGg</f>
        <v>0.13369403699154539</v>
      </c>
      <c r="AS1545" s="22">
        <f>Constants!$H77*'Activity data'!BL19*Constants!$H95*EF!$H220*MMVolatEF*NtoN2O*kgtoGg</f>
        <v>0.1379790125366526</v>
      </c>
      <c r="AT1545" s="22">
        <f>Constants!$H77*'Activity data'!BM19*Constants!$H95*EF!$H220*MMVolatEF*NtoN2O*kgtoGg</f>
        <v>0.14247835199666176</v>
      </c>
      <c r="AU1545" s="22">
        <f>Constants!$H77*'Activity data'!BN19*Constants!$H95*EF!$H220*MMVolatEF*NtoN2O*kgtoGg</f>
        <v>0.14717275078625591</v>
      </c>
      <c r="AV1545" s="22">
        <f>Constants!$H77*'Activity data'!BO19*Constants!$H95*EF!$H220*MMVolatEF*NtoN2O*kgtoGg</f>
        <v>0.15213947342494369</v>
      </c>
      <c r="AW1545" s="22">
        <f>Constants!$H77*'Activity data'!BP19*Constants!$H95*EF!$H220*MMVolatEF*NtoN2O*kgtoGg</f>
        <v>0.15696141877860778</v>
      </c>
    </row>
    <row r="1546" spans="1:49" x14ac:dyDescent="0.25">
      <c r="A1546" s="95" t="s">
        <v>959</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0.3209942132552846</v>
      </c>
      <c r="N1546" s="22">
        <f>Constants!$H78*'Activity data'!AG20*Constants!$H96*EF!$H221*MMVolatEF*NtoN2O*kgtoGg</f>
        <v>0.3228790317815291</v>
      </c>
      <c r="O1546" s="22">
        <f>Constants!$H78*'Activity data'!AH20*Constants!$H96*EF!$H221*MMVolatEF*NtoN2O*kgtoGg</f>
        <v>0.3217232753588708</v>
      </c>
      <c r="P1546" s="22">
        <f>Constants!$H78*'Activity data'!AI20*Constants!$H96*EF!$H221*MMVolatEF*NtoN2O*kgtoGg</f>
        <v>0.31753924052538912</v>
      </c>
      <c r="Q1546" s="22">
        <f>Constants!$H78*'Activity data'!AJ20*Constants!$H96*EF!$H221*MMVolatEF*NtoN2O*kgtoGg</f>
        <v>0.31577785743754239</v>
      </c>
      <c r="R1546" s="22">
        <f>Constants!$H78*'Activity data'!AK20*Constants!$H96*EF!$H221*MMVolatEF*NtoN2O*kgtoGg</f>
        <v>0.31441607582114939</v>
      </c>
      <c r="S1546" s="22">
        <f>Constants!$H78*'Activity data'!AL20*Constants!$H96*EF!$H221*MMVolatEF*NtoN2O*kgtoGg</f>
        <v>0.27355046715049131</v>
      </c>
      <c r="T1546" s="22">
        <f>Constants!$H78*'Activity data'!AM20*Constants!$H96*EF!$H221*MMVolatEF*NtoN2O*kgtoGg</f>
        <v>0.2982999703835697</v>
      </c>
      <c r="U1546" s="22">
        <f>Constants!$H78*'Activity data'!AN20*Constants!$H96*EF!$H221*MMVolatEF*NtoN2O*kgtoGg</f>
        <v>0.31020865266324016</v>
      </c>
      <c r="V1546" s="22">
        <f>Constants!$H78*'Activity data'!AO20*Constants!$H96*EF!$H221*MMVolatEF*NtoN2O*kgtoGg</f>
        <v>0.31169871113596848</v>
      </c>
      <c r="W1546" s="22">
        <f>Constants!$H78*'Activity data'!AP20*Constants!$H96*EF!$H221*MMVolatEF*NtoN2O*kgtoGg</f>
        <v>0.313416443296333</v>
      </c>
      <c r="X1546" s="22">
        <f>Constants!$H78*'Activity data'!AQ20*Constants!$H96*EF!$H221*MMVolatEF*NtoN2O*kgtoGg</f>
        <v>0.31777262865062833</v>
      </c>
      <c r="Y1546" s="22">
        <f>Constants!$H78*'Activity data'!AR20*Constants!$H96*EF!$H221*MMVolatEF*NtoN2O*kgtoGg</f>
        <v>0.32494530500053975</v>
      </c>
      <c r="Z1546" s="22">
        <f>Constants!$H78*'Activity data'!AS20*Constants!$H96*EF!$H221*MMVolatEF*NtoN2O*kgtoGg</f>
        <v>0.33352717212448735</v>
      </c>
      <c r="AA1546" s="22">
        <f>Constants!$H78*'Activity data'!AT20*Constants!$H96*EF!$H221*MMVolatEF*NtoN2O*kgtoGg</f>
        <v>0.34389700896977449</v>
      </c>
      <c r="AB1546" s="22">
        <f>Constants!$H78*'Activity data'!AU20*Constants!$H96*EF!$H221*MMVolatEF*NtoN2O*kgtoGg</f>
        <v>0.35720613223021092</v>
      </c>
      <c r="AC1546" s="22">
        <f>Constants!$H78*'Activity data'!AV20*Constants!$H96*EF!$H221*MMVolatEF*NtoN2O*kgtoGg</f>
        <v>0.37330270784262232</v>
      </c>
      <c r="AD1546" s="22">
        <f>Constants!$H78*'Activity data'!AW20*Constants!$H96*EF!$H221*MMVolatEF*NtoN2O*kgtoGg</f>
        <v>0.39111878330548938</v>
      </c>
      <c r="AE1546" s="22">
        <f>Constants!$H78*'Activity data'!AX20*Constants!$H96*EF!$H221*MMVolatEF*NtoN2O*kgtoGg</f>
        <v>0.41059525274758124</v>
      </c>
      <c r="AF1546" s="22">
        <f>Constants!$H78*'Activity data'!AY20*Constants!$H96*EF!$H221*MMVolatEF*NtoN2O*kgtoGg</f>
        <v>0.4311392832902729</v>
      </c>
      <c r="AG1546" s="22">
        <f>Constants!$H78*'Activity data'!AZ20*Constants!$H96*EF!$H221*MMVolatEF*NtoN2O*kgtoGg</f>
        <v>0.45302578965799745</v>
      </c>
      <c r="AH1546" s="22">
        <f>Constants!$H78*'Activity data'!BA20*Constants!$H96*EF!$H221*MMVolatEF*NtoN2O*kgtoGg</f>
        <v>0.47597562229356133</v>
      </c>
      <c r="AI1546" s="22">
        <f>Constants!$H78*'Activity data'!BB20*Constants!$H96*EF!$H221*MMVolatEF*NtoN2O*kgtoGg</f>
        <v>0.49895875258724764</v>
      </c>
      <c r="AJ1546" s="22">
        <f>Constants!$H78*'Activity data'!BC20*Constants!$H96*EF!$H221*MMVolatEF*NtoN2O*kgtoGg</f>
        <v>0.52346175750841617</v>
      </c>
      <c r="AK1546" s="22">
        <f>Constants!$H78*'Activity data'!BD20*Constants!$H96*EF!$H221*MMVolatEF*NtoN2O*kgtoGg</f>
        <v>0.54854282752031391</v>
      </c>
      <c r="AL1546" s="22">
        <f>Constants!$H78*'Activity data'!BE20*Constants!$H96*EF!$H221*MMVolatEF*NtoN2O*kgtoGg</f>
        <v>0.57412757690619154</v>
      </c>
      <c r="AM1546" s="22">
        <f>Constants!$H78*'Activity data'!BF20*Constants!$H96*EF!$H221*MMVolatEF*NtoN2O*kgtoGg</f>
        <v>0.60066723743034001</v>
      </c>
      <c r="AN1546" s="22">
        <f>Constants!$H78*'Activity data'!BG20*Constants!$H96*EF!$H221*MMVolatEF*NtoN2O*kgtoGg</f>
        <v>0.62704755150284652</v>
      </c>
      <c r="AO1546" s="22">
        <f>Constants!$H78*'Activity data'!BH20*Constants!$H96*EF!$H221*MMVolatEF*NtoN2O*kgtoGg</f>
        <v>0.65481507956811935</v>
      </c>
      <c r="AP1546" s="22">
        <f>Constants!$H78*'Activity data'!BI20*Constants!$H96*EF!$H221*MMVolatEF*NtoN2O*kgtoGg</f>
        <v>0.68454150627200949</v>
      </c>
      <c r="AQ1546" s="22">
        <f>Constants!$H78*'Activity data'!BJ20*Constants!$H96*EF!$H221*MMVolatEF*NtoN2O*kgtoGg</f>
        <v>0.71529406948310958</v>
      </c>
      <c r="AR1546" s="22">
        <f>Constants!$H78*'Activity data'!BK20*Constants!$H96*EF!$H221*MMVolatEF*NtoN2O*kgtoGg</f>
        <v>0.74714458055742761</v>
      </c>
      <c r="AS1546" s="22">
        <f>Constants!$H78*'Activity data'!BL20*Constants!$H96*EF!$H221*MMVolatEF*NtoN2O*kgtoGg</f>
        <v>0.78116708322765893</v>
      </c>
      <c r="AT1546" s="22">
        <f>Constants!$H78*'Activity data'!BM20*Constants!$H96*EF!$H221*MMVolatEF*NtoN2O*kgtoGg</f>
        <v>0.81704220152579388</v>
      </c>
      <c r="AU1546" s="22">
        <f>Constants!$H78*'Activity data'!BN20*Constants!$H96*EF!$H221*MMVolatEF*NtoN2O*kgtoGg</f>
        <v>0.85455779039390145</v>
      </c>
      <c r="AV1546" s="22">
        <f>Constants!$H78*'Activity data'!BO20*Constants!$H96*EF!$H221*MMVolatEF*NtoN2O*kgtoGg</f>
        <v>0.8944207901364416</v>
      </c>
      <c r="AW1546" s="22">
        <f>Constants!$H78*'Activity data'!BP20*Constants!$H96*EF!$H221*MMVolatEF*NtoN2O*kgtoGg</f>
        <v>0.93268516809491542</v>
      </c>
    </row>
    <row r="1547" spans="1:49" x14ac:dyDescent="0.25">
      <c r="A1547" s="95" t="s">
        <v>959</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8.9709854381943815E-2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8.9358864650084344E-2</v>
      </c>
      <c r="T1547" s="22">
        <f>Constants!$H63*'Activity data'!AM5*Constants!$H81*FracLEACHMM*MMLeachEF*NtoN2O*kgtoGg</f>
        <v>9.1160880262772734E-2</v>
      </c>
      <c r="U1547" s="22">
        <f>Constants!$H63*'Activity data'!AN5*Constants!$H81*FracLEACHMM*MMLeachEF*NtoN2O*kgtoGg</f>
        <v>9.2055417480081031E-2</v>
      </c>
      <c r="V1547" s="22">
        <f>Constants!$H63*'Activity data'!AO5*Constants!$H81*FracLEACHMM*MMLeachEF*NtoN2O*kgtoGg</f>
        <v>9.2289034291272776E-2</v>
      </c>
      <c r="W1547" s="22">
        <f>Constants!$H63*'Activity data'!AP5*Constants!$H81*FracLEACHMM*MMLeachEF*NtoN2O*kgtoGg</f>
        <v>9.2621209958625161E-2</v>
      </c>
      <c r="X1547" s="22">
        <f>Constants!$H63*'Activity data'!AQ5*Constants!$H81*FracLEACHMM*MMLeachEF*NtoN2O*kgtoGg</f>
        <v>9.3178603232719648E-2</v>
      </c>
      <c r="Y1547" s="22">
        <f>Constants!$H63*'Activity data'!AR5*Constants!$H81*FracLEACHMM*MMLeachEF*NtoN2O*kgtoGg</f>
        <v>9.3914939363977226E-2</v>
      </c>
      <c r="Z1547" s="22">
        <f>Constants!$H63*'Activity data'!AS5*Constants!$H81*FracLEACHMM*MMLeachEF*NtoN2O*kgtoGg</f>
        <v>9.4739349743762011E-2</v>
      </c>
      <c r="AA1547" s="22">
        <f>Constants!$H63*'Activity data'!AT5*Constants!$H81*FracLEACHMM*MMLeachEF*NtoN2O*kgtoGg</f>
        <v>9.5677798677729631E-2</v>
      </c>
      <c r="AB1547" s="22">
        <f>Constants!$H63*'Activity data'!AU5*Constants!$H81*FracLEACHMM*MMLeachEF*NtoN2O*kgtoGg</f>
        <v>9.6810748950836578E-2</v>
      </c>
      <c r="AC1547" s="22">
        <f>Constants!$H63*'Activity data'!AV5*Constants!$H81*FracLEACHMM*MMLeachEF*NtoN2O*kgtoGg</f>
        <v>9.8131619080537594E-2</v>
      </c>
      <c r="AD1547" s="22">
        <f>Constants!$H63*'Activity data'!AW5*Constants!$H81*FracLEACHMM*MMLeachEF*NtoN2O*kgtoGg</f>
        <v>9.956927276254475E-2</v>
      </c>
      <c r="AE1547" s="22">
        <f>Constants!$H63*'Activity data'!AX5*Constants!$H81*FracLEACHMM*MMLeachEF*NtoN2O*kgtoGg</f>
        <v>0.10112241066666731</v>
      </c>
      <c r="AF1547" s="22">
        <f>Constants!$H63*'Activity data'!AY5*Constants!$H81*FracLEACHMM*MMLeachEF*NtoN2O*kgtoGg</f>
        <v>0.10275162031430257</v>
      </c>
      <c r="AG1547" s="22">
        <f>Constants!$H63*'Activity data'!AZ5*Constants!$H81*FracLEACHMM*MMLeachEF*NtoN2O*kgtoGg</f>
        <v>0.10447512410975278</v>
      </c>
      <c r="AH1547" s="22">
        <f>Constants!$H63*'Activity data'!BA5*Constants!$H81*FracLEACHMM*MMLeachEF*NtoN2O*kgtoGg</f>
        <v>0.10627520064757517</v>
      </c>
      <c r="AI1547" s="22">
        <f>Constants!$H63*'Activity data'!BB5*Constants!$H81*FracLEACHMM*MMLeachEF*NtoN2O*kgtoGg</f>
        <v>0.10808248543054177</v>
      </c>
      <c r="AJ1547" s="22">
        <f>Constants!$H63*'Activity data'!BC5*Constants!$H81*FracLEACHMM*MMLeachEF*NtoN2O*kgtoGg</f>
        <v>0.10999863373444546</v>
      </c>
      <c r="AK1547" s="22">
        <f>Constants!$H63*'Activity data'!BD5*Constants!$H81*FracLEACHMM*MMLeachEF*NtoN2O*kgtoGg</f>
        <v>0.11195666285750208</v>
      </c>
      <c r="AL1547" s="22">
        <f>Constants!$H63*'Activity data'!BE5*Constants!$H81*FracLEACHMM*MMLeachEF*NtoN2O*kgtoGg</f>
        <v>0.11395159289972816</v>
      </c>
      <c r="AM1547" s="22">
        <f>Constants!$H63*'Activity data'!BF5*Constants!$H81*FracLEACHMM*MMLeachEF*NtoN2O*kgtoGg</f>
        <v>0.11601556458845022</v>
      </c>
      <c r="AN1547" s="22">
        <f>Constants!$H63*'Activity data'!BG5*Constants!$H81*FracLEACHMM*MMLeachEF*NtoN2O*kgtoGg</f>
        <v>0.1180715269808419</v>
      </c>
      <c r="AO1547" s="22">
        <f>Constants!$H63*'Activity data'!BH5*Constants!$H81*FracLEACHMM*MMLeachEF*NtoN2O*kgtoGg</f>
        <v>0.12022624785087629</v>
      </c>
      <c r="AP1547" s="22">
        <f>Constants!$H63*'Activity data'!BI5*Constants!$H81*FracLEACHMM*MMLeachEF*NtoN2O*kgtoGg</f>
        <v>0.12251950907003291</v>
      </c>
      <c r="AQ1547" s="22">
        <f>Constants!$H63*'Activity data'!BJ5*Constants!$H81*FracLEACHMM*MMLeachEF*NtoN2O*kgtoGg</f>
        <v>0.12488629569373427</v>
      </c>
      <c r="AR1547" s="22">
        <f>Constants!$H63*'Activity data'!BK5*Constants!$H81*FracLEACHMM*MMLeachEF*NtoN2O*kgtoGg</f>
        <v>0.12733088961691924</v>
      </c>
      <c r="AS1547" s="22">
        <f>Constants!$H63*'Activity data'!BL5*Constants!$H81*FracLEACHMM*MMLeachEF*NtoN2O*kgtoGg</f>
        <v>0.1299285168324007</v>
      </c>
      <c r="AT1547" s="22">
        <f>Constants!$H63*'Activity data'!BM5*Constants!$H81*FracLEACHMM*MMLeachEF*NtoN2O*kgtoGg</f>
        <v>0.13265733115300649</v>
      </c>
      <c r="AU1547" s="22">
        <f>Constants!$H63*'Activity data'!BN5*Constants!$H81*FracLEACHMM*MMLeachEF*NtoN2O*kgtoGg</f>
        <v>0.1355032537790716</v>
      </c>
      <c r="AV1547" s="22">
        <f>Constants!$H63*'Activity data'!BO5*Constants!$H81*FracLEACHMM*MMLeachEF*NtoN2O*kgtoGg</f>
        <v>0.13851756609044491</v>
      </c>
      <c r="AW1547" s="22">
        <f>Constants!$H63*'Activity data'!BP5*Constants!$H81*FracLEACHMM*MMLeachEF*NtoN2O*kgtoGg</f>
        <v>0.1414178902191697</v>
      </c>
    </row>
    <row r="1548" spans="1:49" x14ac:dyDescent="0.25">
      <c r="A1548" s="95" t="s">
        <v>959</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2.6984110087570477E-2</v>
      </c>
      <c r="T1548" s="22">
        <f>Constants!$H64*'Activity data'!AM6*Constants!$H82*FracLEACHMM*MMLeachEF*NtoN2O*kgtoGg</f>
        <v>2.7528273085418706E-2</v>
      </c>
      <c r="U1548" s="22">
        <f>Constants!$H64*'Activity data'!AN6*Constants!$H82*FracLEACHMM*MMLeachEF*NtoN2O*kgtoGg</f>
        <v>2.7798400630612993E-2</v>
      </c>
      <c r="V1548" s="22">
        <f>Constants!$H64*'Activity data'!AO6*Constants!$H82*FracLEACHMM*MMLeachEF*NtoN2O*kgtoGg</f>
        <v>2.786894698072824E-2</v>
      </c>
      <c r="W1548" s="22">
        <f>Constants!$H64*'Activity data'!AP6*Constants!$H82*FracLEACHMM*MMLeachEF*NtoN2O*kgtoGg</f>
        <v>2.7969255604963213E-2</v>
      </c>
      <c r="X1548" s="22">
        <f>Constants!$H64*'Activity data'!AQ6*Constants!$H82*FracLEACHMM*MMLeachEF*NtoN2O*kgtoGg</f>
        <v>2.8137574232657669E-2</v>
      </c>
      <c r="Y1548" s="22">
        <f>Constants!$H64*'Activity data'!AR6*Constants!$H82*FracLEACHMM*MMLeachEF*NtoN2O*kgtoGg</f>
        <v>2.8359929063430364E-2</v>
      </c>
      <c r="Z1548" s="22">
        <f>Constants!$H64*'Activity data'!AS6*Constants!$H82*FracLEACHMM*MMLeachEF*NtoN2O*kgtoGg</f>
        <v>2.8608880082812278E-2</v>
      </c>
      <c r="AA1548" s="22">
        <f>Constants!$H64*'Activity data'!AT6*Constants!$H82*FracLEACHMM*MMLeachEF*NtoN2O*kgtoGg</f>
        <v>2.8892267852396274E-2</v>
      </c>
      <c r="AB1548" s="22">
        <f>Constants!$H64*'Activity data'!AU6*Constants!$H82*FracLEACHMM*MMLeachEF*NtoN2O*kgtoGg</f>
        <v>2.9234390091896226E-2</v>
      </c>
      <c r="AC1548" s="22">
        <f>Constants!$H64*'Activity data'!AV6*Constants!$H82*FracLEACHMM*MMLeachEF*NtoN2O*kgtoGg</f>
        <v>2.9633259360555886E-2</v>
      </c>
      <c r="AD1548" s="22">
        <f>Constants!$H64*'Activity data'!AW6*Constants!$H82*FracLEACHMM*MMLeachEF*NtoN2O*kgtoGg</f>
        <v>3.0067394299210185E-2</v>
      </c>
      <c r="AE1548" s="22">
        <f>Constants!$H64*'Activity data'!AX6*Constants!$H82*FracLEACHMM*MMLeachEF*NtoN2O*kgtoGg</f>
        <v>3.0536402543105565E-2</v>
      </c>
      <c r="AF1548" s="22">
        <f>Constants!$H64*'Activity data'!AY6*Constants!$H82*FracLEACHMM*MMLeachEF*NtoN2O*kgtoGg</f>
        <v>3.102838252359965E-2</v>
      </c>
      <c r="AG1548" s="22">
        <f>Constants!$H64*'Activity data'!AZ6*Constants!$H82*FracLEACHMM*MMLeachEF*NtoN2O*kgtoGg</f>
        <v>3.1548836944488824E-2</v>
      </c>
      <c r="AH1548" s="22">
        <f>Constants!$H64*'Activity data'!BA6*Constants!$H82*FracLEACHMM*MMLeachEF*NtoN2O*kgtoGg</f>
        <v>3.2092414390921906E-2</v>
      </c>
      <c r="AI1548" s="22">
        <f>Constants!$H64*'Activity data'!BB6*Constants!$H82*FracLEACHMM*MMLeachEF*NtoN2O*kgtoGg</f>
        <v>3.2638168544515178E-2</v>
      </c>
      <c r="AJ1548" s="22">
        <f>Constants!$H64*'Activity data'!BC6*Constants!$H82*FracLEACHMM*MMLeachEF*NtoN2O*kgtoGg</f>
        <v>3.3216796719561036E-2</v>
      </c>
      <c r="AK1548" s="22">
        <f>Constants!$H64*'Activity data'!BD6*Constants!$H82*FracLEACHMM*MMLeachEF*NtoN2O*kgtoGg</f>
        <v>3.3808071839473604E-2</v>
      </c>
      <c r="AL1548" s="22">
        <f>Constants!$H64*'Activity data'!BE6*Constants!$H82*FracLEACHMM*MMLeachEF*NtoN2O*kgtoGg</f>
        <v>3.4410490100798045E-2</v>
      </c>
      <c r="AM1548" s="22">
        <f>Constants!$H64*'Activity data'!BF6*Constants!$H82*FracLEACHMM*MMLeachEF*NtoN2O*kgtoGg</f>
        <v>3.5033757187775863E-2</v>
      </c>
      <c r="AN1548" s="22">
        <f>Constants!$H64*'Activity data'!BG6*Constants!$H82*FracLEACHMM*MMLeachEF*NtoN2O*kgtoGg</f>
        <v>3.5654605670458001E-2</v>
      </c>
      <c r="AO1548" s="22">
        <f>Constants!$H64*'Activity data'!BH6*Constants!$H82*FracLEACHMM*MMLeachEF*NtoN2O*kgtoGg</f>
        <v>3.6305276707883034E-2</v>
      </c>
      <c r="AP1548" s="22">
        <f>Constants!$H64*'Activity data'!BI6*Constants!$H82*FracLEACHMM*MMLeachEF*NtoN2O*kgtoGg</f>
        <v>3.699778341597066E-2</v>
      </c>
      <c r="AQ1548" s="22">
        <f>Constants!$H64*'Activity data'!BJ6*Constants!$H82*FracLEACHMM*MMLeachEF*NtoN2O*kgtoGg</f>
        <v>3.7712492930889352E-2</v>
      </c>
      <c r="AR1548" s="22">
        <f>Constants!$H64*'Activity data'!BK6*Constants!$H82*FracLEACHMM*MMLeachEF*NtoN2O*kgtoGg</f>
        <v>3.8450698276278859E-2</v>
      </c>
      <c r="AS1548" s="22">
        <f>Constants!$H64*'Activity data'!BL6*Constants!$H82*FracLEACHMM*MMLeachEF*NtoN2O*kgtoGg</f>
        <v>3.9235115793483218E-2</v>
      </c>
      <c r="AT1548" s="22">
        <f>Constants!$H64*'Activity data'!BM6*Constants!$H82*FracLEACHMM*MMLeachEF*NtoN2O*kgtoGg</f>
        <v>4.0059148488214832E-2</v>
      </c>
      <c r="AU1548" s="22">
        <f>Constants!$H64*'Activity data'!BN6*Constants!$H82*FracLEACHMM*MMLeachEF*NtoN2O*kgtoGg</f>
        <v>4.0918544920154343E-2</v>
      </c>
      <c r="AV1548" s="22">
        <f>Constants!$H64*'Activity data'!BO6*Constants!$H82*FracLEACHMM*MMLeachEF*NtoN2O*kgtoGg</f>
        <v>4.1828790765006174E-2</v>
      </c>
      <c r="AW1548" s="22">
        <f>Constants!$H64*'Activity data'!BP6*Constants!$H82*FracLEACHMM*MMLeachEF*NtoN2O*kgtoGg</f>
        <v>4.2704615070581362E-2</v>
      </c>
    </row>
    <row r="1549" spans="1:49" x14ac:dyDescent="0.25">
      <c r="A1549" s="95" t="s">
        <v>959</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1.4564639612104711E-3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1.4507655471540646E-3</v>
      </c>
      <c r="T1549" s="22">
        <f>Constants!$H65*'Activity data'!AM7*Constants!$H83*FracLEACHMM*MMLeachEF*NtoN2O*kgtoGg</f>
        <v>1.4800217622655623E-3</v>
      </c>
      <c r="U1549" s="22">
        <f>Constants!$H65*'Activity data'!AN7*Constants!$H83*FracLEACHMM*MMLeachEF*NtoN2O*kgtoGg</f>
        <v>1.4945448180429578E-3</v>
      </c>
      <c r="V1549" s="22">
        <f>Constants!$H65*'Activity data'!AO7*Constants!$H83*FracLEACHMM*MMLeachEF*NtoN2O*kgtoGg</f>
        <v>1.4983376507097578E-3</v>
      </c>
      <c r="W1549" s="22">
        <f>Constants!$H65*'Activity data'!AP7*Constants!$H83*FracLEACHMM*MMLeachEF*NtoN2O*kgtoGg</f>
        <v>1.5037306132958967E-3</v>
      </c>
      <c r="X1549" s="22">
        <f>Constants!$H65*'Activity data'!AQ7*Constants!$H83*FracLEACHMM*MMLeachEF*NtoN2O*kgtoGg</f>
        <v>1.5127800451730611E-3</v>
      </c>
      <c r="Y1549" s="22">
        <f>Constants!$H65*'Activity data'!AR7*Constants!$H83*FracLEACHMM*MMLeachEF*NtoN2O*kgtoGg</f>
        <v>1.5247346631568088E-3</v>
      </c>
      <c r="Z1549" s="22">
        <f>Constants!$H65*'Activity data'!AS7*Constants!$H83*FracLEACHMM*MMLeachEF*NtoN2O*kgtoGg</f>
        <v>1.5381191905944778E-3</v>
      </c>
      <c r="AA1549" s="22">
        <f>Constants!$H65*'Activity data'!AT7*Constants!$H83*FracLEACHMM*MMLeachEF*NtoN2O*kgtoGg</f>
        <v>1.5533551650721636E-3</v>
      </c>
      <c r="AB1549" s="22">
        <f>Constants!$H65*'Activity data'!AU7*Constants!$H83*FracLEACHMM*MMLeachEF*NtoN2O*kgtoGg</f>
        <v>1.5717489218560997E-3</v>
      </c>
      <c r="AC1549" s="22">
        <f>Constants!$H65*'Activity data'!AV7*Constants!$H83*FracLEACHMM*MMLeachEF*NtoN2O*kgtoGg</f>
        <v>1.5931936087815548E-3</v>
      </c>
      <c r="AD1549" s="22">
        <f>Constants!$H65*'Activity data'!AW7*Constants!$H83*FracLEACHMM*MMLeachEF*NtoN2O*kgtoGg</f>
        <v>1.6165343085404703E-3</v>
      </c>
      <c r="AE1549" s="22">
        <f>Constants!$H65*'Activity data'!AX7*Constants!$H83*FracLEACHMM*MMLeachEF*NtoN2O*kgtoGg</f>
        <v>1.641749926152706E-3</v>
      </c>
      <c r="AF1549" s="22">
        <f>Constants!$H65*'Activity data'!AY7*Constants!$H83*FracLEACHMM*MMLeachEF*NtoN2O*kgtoGg</f>
        <v>1.6682005892753381E-3</v>
      </c>
      <c r="AG1549" s="22">
        <f>Constants!$H65*'Activity data'!AZ7*Constants!$H83*FracLEACHMM*MMLeachEF*NtoN2O*kgtoGg</f>
        <v>1.6961821436137869E-3</v>
      </c>
      <c r="AH1549" s="22">
        <f>Constants!$H65*'Activity data'!BA7*Constants!$H83*FracLEACHMM*MMLeachEF*NtoN2O*kgtoGg</f>
        <v>1.7254068773158021E-3</v>
      </c>
      <c r="AI1549" s="22">
        <f>Constants!$H65*'Activity data'!BB7*Constants!$H83*FracLEACHMM*MMLeachEF*NtoN2O*kgtoGg</f>
        <v>1.7547486388443409E-3</v>
      </c>
      <c r="AJ1549" s="22">
        <f>Constants!$H65*'Activity data'!BC7*Constants!$H83*FracLEACHMM*MMLeachEF*NtoN2O*kgtoGg</f>
        <v>1.785857829336261E-3</v>
      </c>
      <c r="AK1549" s="22">
        <f>Constants!$H65*'Activity data'!BD7*Constants!$H83*FracLEACHMM*MMLeachEF*NtoN2O*kgtoGg</f>
        <v>1.81764696635337E-3</v>
      </c>
      <c r="AL1549" s="22">
        <f>Constants!$H65*'Activity data'!BE7*Constants!$H83*FracLEACHMM*MMLeachEF*NtoN2O*kgtoGg</f>
        <v>1.8500351998607825E-3</v>
      </c>
      <c r="AM1549" s="22">
        <f>Constants!$H65*'Activity data'!BF7*Constants!$H83*FracLEACHMM*MMLeachEF*NtoN2O*kgtoGg</f>
        <v>1.88354434333552E-3</v>
      </c>
      <c r="AN1549" s="22">
        <f>Constants!$H65*'Activity data'!BG7*Constants!$H83*FracLEACHMM*MMLeachEF*NtoN2O*kgtoGg</f>
        <v>1.9169234536991781E-3</v>
      </c>
      <c r="AO1549" s="22">
        <f>Constants!$H65*'Activity data'!BH7*Constants!$H83*FracLEACHMM*MMLeachEF*NtoN2O*kgtoGg</f>
        <v>1.9519059348913977E-3</v>
      </c>
      <c r="AP1549" s="22">
        <f>Constants!$H65*'Activity data'!BI7*Constants!$H83*FracLEACHMM*MMLeachEF*NtoN2O*kgtoGg</f>
        <v>1.9891376564492419E-3</v>
      </c>
      <c r="AQ1549" s="22">
        <f>Constants!$H65*'Activity data'!BJ7*Constants!$H83*FracLEACHMM*MMLeachEF*NtoN2O*kgtoGg</f>
        <v>2.0275630830096244E-3</v>
      </c>
      <c r="AR1549" s="22">
        <f>Constants!$H65*'Activity data'!BK7*Constants!$H83*FracLEACHMM*MMLeachEF*NtoN2O*kgtoGg</f>
        <v>2.0672517323050989E-3</v>
      </c>
      <c r="AS1549" s="22">
        <f>Constants!$H65*'Activity data'!BL7*Constants!$H83*FracLEACHMM*MMLeachEF*NtoN2O*kgtoGg</f>
        <v>2.1094249188527039E-3</v>
      </c>
      <c r="AT1549" s="22">
        <f>Constants!$H65*'Activity data'!BM7*Constants!$H83*FracLEACHMM*MMLeachEF*NtoN2O*kgtoGg</f>
        <v>2.1537279638434597E-3</v>
      </c>
      <c r="AU1549" s="22">
        <f>Constants!$H65*'Activity data'!BN7*Constants!$H83*FracLEACHMM*MMLeachEF*NtoN2O*kgtoGg</f>
        <v>2.1999322941237188E-3</v>
      </c>
      <c r="AV1549" s="22">
        <f>Constants!$H65*'Activity data'!BO7*Constants!$H83*FracLEACHMM*MMLeachEF*NtoN2O*kgtoGg</f>
        <v>2.2488704768863013E-3</v>
      </c>
      <c r="AW1549" s="22">
        <f>Constants!$H65*'Activity data'!BP7*Constants!$H83*FracLEACHMM*MMLeachEF*NtoN2O*kgtoGg</f>
        <v>2.2959580304044692E-3</v>
      </c>
    </row>
    <row r="1550" spans="1:49" x14ac:dyDescent="0.25">
      <c r="A1550" s="95" t="s">
        <v>959</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3.0040206026371356E-2</v>
      </c>
      <c r="M1550" s="22">
        <f>Constants!$H66*'Activity data'!AF8*Constants!$H84*FracLEACHMM*MMLeachEF*NtoN2O*kgtoGg</f>
        <v>2.9940162837193186E-2</v>
      </c>
      <c r="N1550" s="22">
        <f>Constants!$H66*'Activity data'!AG8*Constants!$H84*FracLEACHMM*MMLeachEF*NtoN2O*kgtoGg</f>
        <v>2.9540351153331298E-2</v>
      </c>
      <c r="O1550" s="22">
        <f>Constants!$H66*'Activity data'!AH8*Constants!$H84*FracLEACHMM*MMLeachEF*NtoN2O*kgtoGg</f>
        <v>2.8960014730128842E-2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2.416485344196681E-2</v>
      </c>
      <c r="T1550" s="22">
        <f>Constants!$H66*'Activity data'!AM8*Constants!$H84*FracLEACHMM*MMLeachEF*NtoN2O*kgtoGg</f>
        <v>2.5320182377840249E-2</v>
      </c>
      <c r="U1550" s="22">
        <f>Constants!$H66*'Activity data'!AN8*Constants!$H84*FracLEACHMM*MMLeachEF*NtoN2O*kgtoGg</f>
        <v>2.5720157477778727E-2</v>
      </c>
      <c r="V1550" s="22">
        <f>Constants!$H66*'Activity data'!AO8*Constants!$H84*FracLEACHMM*MMLeachEF*NtoN2O*kgtoGg</f>
        <v>2.5546462223035794E-2</v>
      </c>
      <c r="W1550" s="22">
        <f>Constants!$H66*'Activity data'!AP8*Constants!$H84*FracLEACHMM*MMLeachEF*NtoN2O*kgtoGg</f>
        <v>2.5405173363708521E-2</v>
      </c>
      <c r="X1550" s="22">
        <f>Constants!$H66*'Activity data'!AQ8*Constants!$H84*FracLEACHMM*MMLeachEF*NtoN2O*kgtoGg</f>
        <v>2.5414454482957191E-2</v>
      </c>
      <c r="Y1550" s="22">
        <f>Constants!$H66*'Activity data'!AR8*Constants!$H84*FracLEACHMM*MMLeachEF*NtoN2O*kgtoGg</f>
        <v>2.5563690103476349E-2</v>
      </c>
      <c r="Z1550" s="22">
        <f>Constants!$H66*'Activity data'!AS8*Constants!$H84*FracLEACHMM*MMLeachEF*NtoN2O*kgtoGg</f>
        <v>2.5775445206678543E-2</v>
      </c>
      <c r="AA1550" s="22">
        <f>Constants!$H66*'Activity data'!AT8*Constants!$H84*FracLEACHMM*MMLeachEF*NtoN2O*kgtoGg</f>
        <v>2.6066776415666827E-2</v>
      </c>
      <c r="AB1550" s="22">
        <f>Constants!$H66*'Activity data'!AU8*Constants!$H84*FracLEACHMM*MMLeachEF*NtoN2O*kgtoGg</f>
        <v>2.6493519467488225E-2</v>
      </c>
      <c r="AC1550" s="22">
        <f>Constants!$H66*'Activity data'!AV8*Constants!$H84*FracLEACHMM*MMLeachEF*NtoN2O*kgtoGg</f>
        <v>2.7043622150726768E-2</v>
      </c>
      <c r="AD1550" s="22">
        <f>Constants!$H66*'Activity data'!AW8*Constants!$H84*FracLEACHMM*MMLeachEF*NtoN2O*kgtoGg</f>
        <v>2.7427151031194422E-2</v>
      </c>
      <c r="AE1550" s="22">
        <f>Constants!$H66*'Activity data'!AX8*Constants!$H84*FracLEACHMM*MMLeachEF*NtoN2O*kgtoGg</f>
        <v>2.7855985588875625E-2</v>
      </c>
      <c r="AF1550" s="22">
        <f>Constants!$H66*'Activity data'!AY8*Constants!$H84*FracLEACHMM*MMLeachEF*NtoN2O*kgtoGg</f>
        <v>2.8297808294208047E-2</v>
      </c>
      <c r="AG1550" s="22">
        <f>Constants!$H66*'Activity data'!AZ8*Constants!$H84*FracLEACHMM*MMLeachEF*NtoN2O*kgtoGg</f>
        <v>2.8762433728203925E-2</v>
      </c>
      <c r="AH1550" s="22">
        <f>Constants!$H66*'Activity data'!BA8*Constants!$H84*FracLEACHMM*MMLeachEF*NtoN2O*kgtoGg</f>
        <v>2.9234018291177721E-2</v>
      </c>
      <c r="AI1550" s="22">
        <f>Constants!$H66*'Activity data'!BB8*Constants!$H84*FracLEACHMM*MMLeachEF*NtoN2O*kgtoGg</f>
        <v>2.9664658796070921E-2</v>
      </c>
      <c r="AJ1550" s="22">
        <f>Constants!$H66*'Activity data'!BC8*Constants!$H84*FracLEACHMM*MMLeachEF*NtoN2O*kgtoGg</f>
        <v>3.0118905492871519E-2</v>
      </c>
      <c r="AK1550" s="22">
        <f>Constants!$H66*'Activity data'!BD8*Constants!$H84*FracLEACHMM*MMLeachEF*NtoN2O*kgtoGg</f>
        <v>3.0552583954684191E-2</v>
      </c>
      <c r="AL1550" s="22">
        <f>Constants!$H66*'Activity data'!BE8*Constants!$H84*FracLEACHMM*MMLeachEF*NtoN2O*kgtoGg</f>
        <v>3.0961516168479985E-2</v>
      </c>
      <c r="AM1550" s="22">
        <f>Constants!$H66*'Activity data'!BF8*Constants!$H84*FracLEACHMM*MMLeachEF*NtoN2O*kgtoGg</f>
        <v>3.1363182487267389E-2</v>
      </c>
      <c r="AN1550" s="22">
        <f>Constants!$H66*'Activity data'!BG8*Constants!$H84*FracLEACHMM*MMLeachEF*NtoN2O*kgtoGg</f>
        <v>3.1873237924965422E-2</v>
      </c>
      <c r="AO1550" s="22">
        <f>Constants!$H66*'Activity data'!BH8*Constants!$H84*FracLEACHMM*MMLeachEF*NtoN2O*kgtoGg</f>
        <v>3.2400793328725176E-2</v>
      </c>
      <c r="AP1550" s="22">
        <f>Constants!$H66*'Activity data'!BI8*Constants!$H84*FracLEACHMM*MMLeachEF*NtoN2O*kgtoGg</f>
        <v>3.2965020652190688E-2</v>
      </c>
      <c r="AQ1550" s="22">
        <f>Constants!$H66*'Activity data'!BJ8*Constants!$H84*FracLEACHMM*MMLeachEF*NtoN2O*kgtoGg</f>
        <v>3.3527052752866549E-2</v>
      </c>
      <c r="AR1550" s="22">
        <f>Constants!$H66*'Activity data'!BK8*Constants!$H84*FracLEACHMM*MMLeachEF*NtoN2O*kgtoGg</f>
        <v>3.4087619114860586E-2</v>
      </c>
      <c r="AS1550" s="22">
        <f>Constants!$H66*'Activity data'!BL8*Constants!$H84*FracLEACHMM*MMLeachEF*NtoN2O*kgtoGg</f>
        <v>3.4683560205557983E-2</v>
      </c>
      <c r="AT1550" s="22">
        <f>Constants!$H66*'Activity data'!BM8*Constants!$H84*FracLEACHMM*MMLeachEF*NtoN2O*kgtoGg</f>
        <v>3.5299445606795467E-2</v>
      </c>
      <c r="AU1550" s="22">
        <f>Constants!$H66*'Activity data'!BN8*Constants!$H84*FracLEACHMM*MMLeachEF*NtoN2O*kgtoGg</f>
        <v>3.5924567561005115E-2</v>
      </c>
      <c r="AV1550" s="22">
        <f>Constants!$H66*'Activity data'!BO8*Constants!$H84*FracLEACHMM*MMLeachEF*NtoN2O*kgtoGg</f>
        <v>3.6580199359184239E-2</v>
      </c>
      <c r="AW1550" s="22">
        <f>Constants!$H66*'Activity data'!BP8*Constants!$H84*FracLEACHMM*MMLeachEF*NtoN2O*kgtoGg</f>
        <v>3.712986506477154E-2</v>
      </c>
    </row>
    <row r="1551" spans="1:49" x14ac:dyDescent="0.25">
      <c r="A1551" s="95" t="s">
        <v>959</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4.0226293185258916E-2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3.9213881856453713E-2</v>
      </c>
      <c r="O1551" s="22">
        <f>Constants!$H67*'Activity data'!AH9*Constants!$H85*FracLEACHMM*MMLeachEF*NtoN2O*kgtoGg</f>
        <v>3.8443503609481136E-2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3.20780786603799E-2</v>
      </c>
      <c r="T1551" s="22">
        <f>Constants!$H67*'Activity data'!AM9*Constants!$H85*FracLEACHMM*MMLeachEF*NtoN2O*kgtoGg</f>
        <v>3.3611741282111272E-2</v>
      </c>
      <c r="U1551" s="22">
        <f>Constants!$H67*'Activity data'!AN9*Constants!$H85*FracLEACHMM*MMLeachEF*NtoN2O*kgtoGg</f>
        <v>3.414269557690279E-2</v>
      </c>
      <c r="V1551" s="22">
        <f>Constants!$H67*'Activity data'!AO9*Constants!$H85*FracLEACHMM*MMLeachEF*NtoN2O*kgtoGg</f>
        <v>3.3912120619849585E-2</v>
      </c>
      <c r="W1551" s="22">
        <f>Constants!$H67*'Activity data'!AP9*Constants!$H85*FracLEACHMM*MMLeachEF*NtoN2O*kgtoGg</f>
        <v>3.372456412776409E-2</v>
      </c>
      <c r="X1551" s="22">
        <f>Constants!$H67*'Activity data'!AQ9*Constants!$H85*FracLEACHMM*MMLeachEF*NtoN2O*kgtoGg</f>
        <v>3.3736884520024282E-2</v>
      </c>
      <c r="Y1551" s="22">
        <f>Constants!$H67*'Activity data'!AR9*Constants!$H85*FracLEACHMM*MMLeachEF*NtoN2O*kgtoGg</f>
        <v>3.3934990086252545E-2</v>
      </c>
      <c r="Z1551" s="22">
        <f>Constants!$H67*'Activity data'!AS9*Constants!$H85*FracLEACHMM*MMLeachEF*NtoN2O*kgtoGg</f>
        <v>3.4216088288381921E-2</v>
      </c>
      <c r="AA1551" s="22">
        <f>Constants!$H67*'Activity data'!AT9*Constants!$H85*FracLEACHMM*MMLeachEF*NtoN2O*kgtoGg</f>
        <v>3.4602821254116366E-2</v>
      </c>
      <c r="AB1551" s="22">
        <f>Constants!$H67*'Activity data'!AU9*Constants!$H85*FracLEACHMM*MMLeachEF*NtoN2O*kgtoGg</f>
        <v>3.5169309158418066E-2</v>
      </c>
      <c r="AC1551" s="22">
        <f>Constants!$H67*'Activity data'!AV9*Constants!$H85*FracLEACHMM*MMLeachEF*NtoN2O*kgtoGg</f>
        <v>3.589955307181858E-2</v>
      </c>
      <c r="AD1551" s="22">
        <f>Constants!$H67*'Activity data'!AW9*Constants!$H85*FracLEACHMM*MMLeachEF*NtoN2O*kgtoGg</f>
        <v>3.6408675530422145E-2</v>
      </c>
      <c r="AE1551" s="22">
        <f>Constants!$H67*'Activity data'!AX9*Constants!$H85*FracLEACHMM*MMLeachEF*NtoN2O*kgtoGg</f>
        <v>3.6977939842602774E-2</v>
      </c>
      <c r="AF1551" s="22">
        <f>Constants!$H67*'Activity data'!AY9*Constants!$H85*FracLEACHMM*MMLeachEF*NtoN2O*kgtoGg</f>
        <v>3.7564445510002403E-2</v>
      </c>
      <c r="AG1551" s="22">
        <f>Constants!$H67*'Activity data'!AZ9*Constants!$H85*FracLEACHMM*MMLeachEF*NtoN2O*kgtoGg</f>
        <v>3.8181221078500117E-2</v>
      </c>
      <c r="AH1551" s="22">
        <f>Constants!$H67*'Activity data'!BA9*Constants!$H85*FracLEACHMM*MMLeachEF*NtoN2O*kgtoGg</f>
        <v>3.8807234670613311E-2</v>
      </c>
      <c r="AI1551" s="22">
        <f>Constants!$H67*'Activity data'!BB9*Constants!$H85*FracLEACHMM*MMLeachEF*NtoN2O*kgtoGg</f>
        <v>3.9378896320599516E-2</v>
      </c>
      <c r="AJ1551" s="22">
        <f>Constants!$H67*'Activity data'!BC9*Constants!$H85*FracLEACHMM*MMLeachEF*NtoN2O*kgtoGg</f>
        <v>3.9981894443728266E-2</v>
      </c>
      <c r="AK1551" s="22">
        <f>Constants!$H67*'Activity data'!BD9*Constants!$H85*FracLEACHMM*MMLeachEF*NtoN2O*kgtoGg</f>
        <v>4.0557588885440844E-2</v>
      </c>
      <c r="AL1551" s="22">
        <f>Constants!$H67*'Activity data'!BE9*Constants!$H85*FracLEACHMM*MMLeachEF*NtoN2O*kgtoGg</f>
        <v>4.1100433465583154E-2</v>
      </c>
      <c r="AM1551" s="22">
        <f>Constants!$H67*'Activity data'!BF9*Constants!$H85*FracLEACHMM*MMLeachEF*NtoN2O*kgtoGg</f>
        <v>4.1633632799906894E-2</v>
      </c>
      <c r="AN1551" s="22">
        <f>Constants!$H67*'Activity data'!BG9*Constants!$H85*FracLEACHMM*MMLeachEF*NtoN2O*kgtoGg</f>
        <v>4.23107152614631E-2</v>
      </c>
      <c r="AO1551" s="22">
        <f>Constants!$H67*'Activity data'!BH9*Constants!$H85*FracLEACHMM*MMLeachEF*NtoN2O*kgtoGg</f>
        <v>4.3011028374478885E-2</v>
      </c>
      <c r="AP1551" s="22">
        <f>Constants!$H67*'Activity data'!BI9*Constants!$H85*FracLEACHMM*MMLeachEF*NtoN2O*kgtoGg</f>
        <v>4.3760022301047856E-2</v>
      </c>
      <c r="AQ1551" s="22">
        <f>Constants!$H67*'Activity data'!BJ9*Constants!$H85*FracLEACHMM*MMLeachEF*NtoN2O*kgtoGg</f>
        <v>4.4506102138793871E-2</v>
      </c>
      <c r="AR1551" s="22">
        <f>Constants!$H67*'Activity data'!BK9*Constants!$H85*FracLEACHMM*MMLeachEF*NtoN2O*kgtoGg</f>
        <v>4.5250236254798015E-2</v>
      </c>
      <c r="AS1551" s="22">
        <f>Constants!$H67*'Activity data'!BL9*Constants!$H85*FracLEACHMM*MMLeachEF*NtoN2O*kgtoGg</f>
        <v>4.6041329204327096E-2</v>
      </c>
      <c r="AT1551" s="22">
        <f>Constants!$H67*'Activity data'!BM9*Constants!$H85*FracLEACHMM*MMLeachEF*NtoN2O*kgtoGg</f>
        <v>4.6858897595301277E-2</v>
      </c>
      <c r="AU1551" s="22">
        <f>Constants!$H67*'Activity data'!BN9*Constants!$H85*FracLEACHMM*MMLeachEF*NtoN2O*kgtoGg</f>
        <v>4.7688727218213149E-2</v>
      </c>
      <c r="AV1551" s="22">
        <f>Constants!$H67*'Activity data'!BO9*Constants!$H85*FracLEACHMM*MMLeachEF*NtoN2O*kgtoGg</f>
        <v>4.8559057694031842E-2</v>
      </c>
      <c r="AW1551" s="22">
        <f>Constants!$H67*'Activity data'!BP9*Constants!$H85*FracLEACHMM*MMLeachEF*NtoN2O*kgtoGg</f>
        <v>4.928872153342103E-2</v>
      </c>
    </row>
    <row r="1552" spans="1:49" x14ac:dyDescent="0.25">
      <c r="A1552" s="95" t="s">
        <v>959</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4.1968337096859189E-2</v>
      </c>
      <c r="L1552" s="22">
        <f>Constants!$H68*'Activity data'!AE10*Constants!$H86*FracLEACHMM*MMLeachEF*NtoN2O*kgtoGg</f>
        <v>4.3383434779753448E-2</v>
      </c>
      <c r="M1552" s="22">
        <f>Constants!$H68*'Activity data'!AF10*Constants!$H86*FracLEACHMM*MMLeachEF*NtoN2O*kgtoGg</f>
        <v>4.5063007666824861E-2</v>
      </c>
      <c r="N1552" s="22">
        <f>Constants!$H68*'Activity data'!AG10*Constants!$H86*FracLEACHMM*MMLeachEF*NtoN2O*kgtoGg</f>
        <v>4.6315596244033488E-2</v>
      </c>
      <c r="O1552" s="22">
        <f>Constants!$H68*'Activity data'!AH10*Constants!$H86*FracLEACHMM*MMLeachEF*NtoN2O*kgtoGg</f>
        <v>4.7281576900430174E-2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4.6274354518489276E-2</v>
      </c>
      <c r="T1552" s="22">
        <f>Constants!$H68*'Activity data'!AM10*Constants!$H86*FracLEACHMM*MMLeachEF*NtoN2O*kgtoGg</f>
        <v>4.9654921678945953E-2</v>
      </c>
      <c r="U1552" s="22">
        <f>Constants!$H68*'Activity data'!AN10*Constants!$H86*FracLEACHMM*MMLeachEF*NtoN2O*kgtoGg</f>
        <v>5.1637836574471289E-2</v>
      </c>
      <c r="V1552" s="22">
        <f>Constants!$H68*'Activity data'!AO10*Constants!$H86*FracLEACHMM*MMLeachEF*NtoN2O*kgtoGg</f>
        <v>5.2492346966759522E-2</v>
      </c>
      <c r="W1552" s="22">
        <f>Constants!$H68*'Activity data'!AP10*Constants!$H86*FracLEACHMM*MMLeachEF*NtoN2O*kgtoGg</f>
        <v>5.3412266292045346E-2</v>
      </c>
      <c r="X1552" s="22">
        <f>Constants!$H68*'Activity data'!AQ10*Constants!$H86*FracLEACHMM*MMLeachEF*NtoN2O*kgtoGg</f>
        <v>5.4657017670669474E-2</v>
      </c>
      <c r="Y1552" s="22">
        <f>Constants!$H68*'Activity data'!AR10*Constants!$H86*FracLEACHMM*MMLeachEF*NtoN2O*kgtoGg</f>
        <v>5.6225924185537776E-2</v>
      </c>
      <c r="Z1552" s="22">
        <f>Constants!$H68*'Activity data'!AS10*Constants!$H86*FracLEACHMM*MMLeachEF*NtoN2O*kgtoGg</f>
        <v>5.7966478629194101E-2</v>
      </c>
      <c r="AA1552" s="22">
        <f>Constants!$H68*'Activity data'!AT10*Constants!$H86*FracLEACHMM*MMLeachEF*NtoN2O*kgtoGg</f>
        <v>5.9928438330955298E-2</v>
      </c>
      <c r="AB1552" s="22">
        <f>Constants!$H68*'Activity data'!AU10*Constants!$H86*FracLEACHMM*MMLeachEF*NtoN2O*kgtoGg</f>
        <v>6.2256429990458134E-2</v>
      </c>
      <c r="AC1552" s="22">
        <f>Constants!$H68*'Activity data'!AV10*Constants!$H86*FracLEACHMM*MMLeachEF*NtoN2O*kgtoGg</f>
        <v>6.4943944669320713E-2</v>
      </c>
      <c r="AD1552" s="22">
        <f>Constants!$H68*'Activity data'!AW10*Constants!$H86*FracLEACHMM*MMLeachEF*NtoN2O*kgtoGg</f>
        <v>6.8049231515403694E-2</v>
      </c>
      <c r="AE1552" s="22">
        <f>Constants!$H68*'Activity data'!AX10*Constants!$H86*FracLEACHMM*MMLeachEF*NtoN2O*kgtoGg</f>
        <v>7.140958377080403E-2</v>
      </c>
      <c r="AF1552" s="22">
        <f>Constants!$H68*'Activity data'!AY10*Constants!$H86*FracLEACHMM*MMLeachEF*NtoN2O*kgtoGg</f>
        <v>7.4958672292987819E-2</v>
      </c>
      <c r="AG1552" s="22">
        <f>Constants!$H68*'Activity data'!AZ10*Constants!$H86*FracLEACHMM*MMLeachEF*NtoN2O*kgtoGg</f>
        <v>7.8735451654029412E-2</v>
      </c>
      <c r="AH1552" s="22">
        <f>Constants!$H68*'Activity data'!BA10*Constants!$H86*FracLEACHMM*MMLeachEF*NtoN2O*kgtoGg</f>
        <v>8.2710770800306643E-2</v>
      </c>
      <c r="AI1552" s="22">
        <f>Constants!$H68*'Activity data'!BB10*Constants!$H86*FracLEACHMM*MMLeachEF*NtoN2O*kgtoGg</f>
        <v>8.6756849519810442E-2</v>
      </c>
      <c r="AJ1552" s="22">
        <f>Constants!$H68*'Activity data'!BC10*Constants!$H86*FracLEACHMM*MMLeachEF*NtoN2O*kgtoGg</f>
        <v>9.1067882332403163E-2</v>
      </c>
      <c r="AK1552" s="22">
        <f>Constants!$H68*'Activity data'!BD10*Constants!$H86*FracLEACHMM*MMLeachEF*NtoN2O*kgtoGg</f>
        <v>9.5524607474435114E-2</v>
      </c>
      <c r="AL1552" s="22">
        <f>Constants!$H68*'Activity data'!BE10*Constants!$H86*FracLEACHMM*MMLeachEF*NtoN2O*kgtoGg</f>
        <v>0.10011966756252628</v>
      </c>
      <c r="AM1552" s="22">
        <f>Constants!$H68*'Activity data'!BF10*Constants!$H86*FracLEACHMM*MMLeachEF*NtoN2O*kgtoGg</f>
        <v>0.10491676883738305</v>
      </c>
      <c r="AN1552" s="22">
        <f>Constants!$H68*'Activity data'!BG10*Constants!$H86*FracLEACHMM*MMLeachEF*NtoN2O*kgtoGg</f>
        <v>0.10963141037847199</v>
      </c>
      <c r="AO1552" s="22">
        <f>Constants!$H68*'Activity data'!BH10*Constants!$H86*FracLEACHMM*MMLeachEF*NtoN2O*kgtoGg</f>
        <v>0.11460133874628856</v>
      </c>
      <c r="AP1552" s="22">
        <f>Constants!$H68*'Activity data'!BI10*Constants!$H86*FracLEACHMM*MMLeachEF*NtoN2O*kgtoGg</f>
        <v>0.11991104885412743</v>
      </c>
      <c r="AQ1552" s="22">
        <f>Constants!$H68*'Activity data'!BJ10*Constants!$H86*FracLEACHMM*MMLeachEF*NtoN2O*kgtoGg</f>
        <v>0.12543680820975456</v>
      </c>
      <c r="AR1552" s="22">
        <f>Constants!$H68*'Activity data'!BK10*Constants!$H86*FracLEACHMM*MMLeachEF*NtoN2O*kgtoGg</f>
        <v>0.13119202833792193</v>
      </c>
      <c r="AS1552" s="22">
        <f>Constants!$H68*'Activity data'!BL10*Constants!$H86*FracLEACHMM*MMLeachEF*NtoN2O*kgtoGg</f>
        <v>0.13733413284188337</v>
      </c>
      <c r="AT1552" s="22">
        <f>Constants!$H68*'Activity data'!BM10*Constants!$H86*FracLEACHMM*MMLeachEF*NtoN2O*kgtoGg</f>
        <v>0.14382526611180527</v>
      </c>
      <c r="AU1552" s="22">
        <f>Constants!$H68*'Activity data'!BN10*Constants!$H86*FracLEACHMM*MMLeachEF*NtoN2O*kgtoGg</f>
        <v>0.15064177825264938</v>
      </c>
      <c r="AV1552" s="22">
        <f>Constants!$H68*'Activity data'!BO10*Constants!$H86*FracLEACHMM*MMLeachEF*NtoN2O*kgtoGg</f>
        <v>0.15789428521651691</v>
      </c>
      <c r="AW1552" s="22">
        <f>Constants!$H68*'Activity data'!BP10*Constants!$H86*FracLEACHMM*MMLeachEF*NtoN2O*kgtoGg</f>
        <v>0.16500456611205044</v>
      </c>
    </row>
    <row r="1553" spans="1:49" x14ac:dyDescent="0.25">
      <c r="A1553" s="95" t="s">
        <v>959</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4.4583317952924901E-3</v>
      </c>
      <c r="T1553" s="22">
        <f>Constants!$H69*'Activity data'!AM11*Constants!$H87*FracLEACHMM*MMLeachEF*NtoN2O*kgtoGg</f>
        <v>4.461540810317099E-3</v>
      </c>
      <c r="U1553" s="22">
        <f>Constants!$H69*'Activity data'!AN11*Constants!$H87*FracLEACHMM*MMLeachEF*NtoN2O*kgtoGg</f>
        <v>4.460412588981404E-3</v>
      </c>
      <c r="V1553" s="22">
        <f>Constants!$H69*'Activity data'!AO11*Constants!$H87*FracLEACHMM*MMLeachEF*NtoN2O*kgtoGg</f>
        <v>4.4603313660439596E-3</v>
      </c>
      <c r="W1553" s="22">
        <f>Constants!$H69*'Activity data'!AP11*Constants!$H87*FracLEACHMM*MMLeachEF*NtoN2O*kgtoGg</f>
        <v>4.4650624817454574E-3</v>
      </c>
      <c r="X1553" s="22">
        <f>Constants!$H69*'Activity data'!AQ11*Constants!$H87*FracLEACHMM*MMLeachEF*NtoN2O*kgtoGg</f>
        <v>4.472805388518619E-3</v>
      </c>
      <c r="Y1553" s="22">
        <f>Constants!$H69*'Activity data'!AR11*Constants!$H87*FracLEACHMM*MMLeachEF*NtoN2O*kgtoGg</f>
        <v>4.480234793471081E-3</v>
      </c>
      <c r="Z1553" s="22">
        <f>Constants!$H69*'Activity data'!AS11*Constants!$H87*FracLEACHMM*MMLeachEF*NtoN2O*kgtoGg</f>
        <v>4.4873746654050216E-3</v>
      </c>
      <c r="AA1553" s="22">
        <f>Constants!$H69*'Activity data'!AT11*Constants!$H87*FracLEACHMM*MMLeachEF*NtoN2O*kgtoGg</f>
        <v>4.494215260234709E-3</v>
      </c>
      <c r="AB1553" s="22">
        <f>Constants!$H69*'Activity data'!AU11*Constants!$H87*FracLEACHMM*MMLeachEF*NtoN2O*kgtoGg</f>
        <v>4.5008991343885481E-3</v>
      </c>
      <c r="AC1553" s="22">
        <f>Constants!$H69*'Activity data'!AV11*Constants!$H87*FracLEACHMM*MMLeachEF*NtoN2O*kgtoGg</f>
        <v>4.5075239217344356E-3</v>
      </c>
      <c r="AD1553" s="22">
        <f>Constants!$H69*'Activity data'!AW11*Constants!$H87*FracLEACHMM*MMLeachEF*NtoN2O*kgtoGg</f>
        <v>4.5140231510574953E-3</v>
      </c>
      <c r="AE1553" s="22">
        <f>Constants!$H69*'Activity data'!AX11*Constants!$H87*FracLEACHMM*MMLeachEF*NtoN2O*kgtoGg</f>
        <v>4.5204902706730936E-3</v>
      </c>
      <c r="AF1553" s="22">
        <f>Constants!$H69*'Activity data'!AY11*Constants!$H87*FracLEACHMM*MMLeachEF*NtoN2O*kgtoGg</f>
        <v>4.5269049079044851E-3</v>
      </c>
      <c r="AG1553" s="22">
        <f>Constants!$H69*'Activity data'!AZ11*Constants!$H87*FracLEACHMM*MMLeachEF*NtoN2O*kgtoGg</f>
        <v>4.5332156646464309E-3</v>
      </c>
      <c r="AH1553" s="22">
        <f>Constants!$H69*'Activity data'!BA11*Constants!$H87*FracLEACHMM*MMLeachEF*NtoN2O*kgtoGg</f>
        <v>4.5394503254180246E-3</v>
      </c>
      <c r="AI1553" s="22">
        <f>Constants!$H69*'Activity data'!BB11*Constants!$H87*FracLEACHMM*MMLeachEF*NtoN2O*kgtoGg</f>
        <v>4.5456155434925177E-3</v>
      </c>
      <c r="AJ1553" s="22">
        <f>Constants!$H69*'Activity data'!BC11*Constants!$H87*FracLEACHMM*MMLeachEF*NtoN2O*kgtoGg</f>
        <v>4.5517322494299031E-3</v>
      </c>
      <c r="AK1553" s="22">
        <f>Constants!$H69*'Activity data'!BD11*Constants!$H87*FracLEACHMM*MMLeachEF*NtoN2O*kgtoGg</f>
        <v>4.5576132842011325E-3</v>
      </c>
      <c r="AL1553" s="22">
        <f>Constants!$H69*'Activity data'!BE11*Constants!$H87*FracLEACHMM*MMLeachEF*NtoN2O*kgtoGg</f>
        <v>4.5632517671133398E-3</v>
      </c>
      <c r="AM1553" s="22">
        <f>Constants!$H69*'Activity data'!BF11*Constants!$H87*FracLEACHMM*MMLeachEF*NtoN2O*kgtoGg</f>
        <v>4.5687003958982874E-3</v>
      </c>
      <c r="AN1553" s="22">
        <f>Constants!$H69*'Activity data'!BG11*Constants!$H87*FracLEACHMM*MMLeachEF*NtoN2O*kgtoGg</f>
        <v>4.5739172155363928E-3</v>
      </c>
      <c r="AO1553" s="22">
        <f>Constants!$H69*'Activity data'!BH11*Constants!$H87*FracLEACHMM*MMLeachEF*NtoN2O*kgtoGg</f>
        <v>4.5789116897468072E-3</v>
      </c>
      <c r="AP1553" s="22">
        <f>Constants!$H69*'Activity data'!BI11*Constants!$H87*FracLEACHMM*MMLeachEF*NtoN2O*kgtoGg</f>
        <v>4.5836613233262938E-3</v>
      </c>
      <c r="AQ1553" s="22">
        <f>Constants!$H69*'Activity data'!BJ11*Constants!$H87*FracLEACHMM*MMLeachEF*NtoN2O*kgtoGg</f>
        <v>4.5880981486463275E-3</v>
      </c>
      <c r="AR1553" s="22">
        <f>Constants!$H69*'Activity data'!BK11*Constants!$H87*FracLEACHMM*MMLeachEF*NtoN2O*kgtoGg</f>
        <v>4.592159181597999E-3</v>
      </c>
      <c r="AS1553" s="22">
        <f>Constants!$H69*'Activity data'!BL11*Constants!$H87*FracLEACHMM*MMLeachEF*NtoN2O*kgtoGg</f>
        <v>4.5958403193991975E-3</v>
      </c>
      <c r="AT1553" s="22">
        <f>Constants!$H69*'Activity data'!BM11*Constants!$H87*FracLEACHMM*MMLeachEF*NtoN2O*kgtoGg</f>
        <v>4.5991133923720465E-3</v>
      </c>
      <c r="AU1553" s="22">
        <f>Constants!$H69*'Activity data'!BN11*Constants!$H87*FracLEACHMM*MMLeachEF*NtoN2O*kgtoGg</f>
        <v>4.6019768219588081E-3</v>
      </c>
      <c r="AV1553" s="22">
        <f>Constants!$H69*'Activity data'!BO11*Constants!$H87*FracLEACHMM*MMLeachEF*NtoN2O*kgtoGg</f>
        <v>4.6044854054681089E-3</v>
      </c>
      <c r="AW1553" s="22">
        <f>Constants!$H69*'Activity data'!BP11*Constants!$H87*FracLEACHMM*MMLeachEF*NtoN2O*kgtoGg</f>
        <v>4.6063133110806655E-3</v>
      </c>
    </row>
    <row r="1554" spans="1:49" x14ac:dyDescent="0.25">
      <c r="A1554" s="95" t="s">
        <v>959</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3.7085296571107255E-3</v>
      </c>
      <c r="T1554" s="22">
        <f>Constants!$H70*'Activity data'!AM12*Constants!$H88*FracLEACHMM*MMLeachEF*NtoN2O*kgtoGg</f>
        <v>3.7111989800627421E-3</v>
      </c>
      <c r="U1554" s="22">
        <f>Constants!$H70*'Activity data'!AN12*Constants!$H88*FracLEACHMM*MMLeachEF*NtoN2O*kgtoGg</f>
        <v>3.7102605029651799E-3</v>
      </c>
      <c r="V1554" s="22">
        <f>Constants!$H70*'Activity data'!AO12*Constants!$H88*FracLEACHMM*MMLeachEF*NtoN2O*kgtoGg</f>
        <v>3.7101929400994759E-3</v>
      </c>
      <c r="W1554" s="22">
        <f>Constants!$H70*'Activity data'!AP12*Constants!$H88*FracLEACHMM*MMLeachEF*NtoN2O*kgtoGg</f>
        <v>3.7141283768717579E-3</v>
      </c>
      <c r="X1554" s="22">
        <f>Constants!$H70*'Activity data'!AQ12*Constants!$H88*FracLEACHMM*MMLeachEF*NtoN2O*kgtoGg</f>
        <v>3.7205690817629544E-3</v>
      </c>
      <c r="Y1554" s="22">
        <f>Constants!$H70*'Activity data'!AR12*Constants!$H88*FracLEACHMM*MMLeachEF*NtoN2O*kgtoGg</f>
        <v>3.7267490095624013E-3</v>
      </c>
      <c r="Z1554" s="22">
        <f>Constants!$H70*'Activity data'!AS12*Constants!$H88*FracLEACHMM*MMLeachEF*NtoN2O*kgtoGg</f>
        <v>3.732688097999684E-3</v>
      </c>
      <c r="AA1554" s="22">
        <f>Constants!$H70*'Activity data'!AT12*Constants!$H88*FracLEACHMM*MMLeachEF*NtoN2O*kgtoGg</f>
        <v>3.7383782417491837E-3</v>
      </c>
      <c r="AB1554" s="22">
        <f>Constants!$H70*'Activity data'!AU12*Constants!$H88*FracLEACHMM*MMLeachEF*NtoN2O*kgtoGg</f>
        <v>3.7439380221024701E-3</v>
      </c>
      <c r="AC1554" s="22">
        <f>Constants!$H70*'Activity data'!AV12*Constants!$H88*FracLEACHMM*MMLeachEF*NtoN2O*kgtoGg</f>
        <v>3.7494486528658025E-3</v>
      </c>
      <c r="AD1554" s="22">
        <f>Constants!$H70*'Activity data'!AW12*Constants!$H88*FracLEACHMM*MMLeachEF*NtoN2O*kgtoGg</f>
        <v>3.7548548419516796E-3</v>
      </c>
      <c r="AE1554" s="22">
        <f>Constants!$H70*'Activity data'!AX12*Constants!$H88*FracLEACHMM*MMLeachEF*NtoN2O*kgtoGg</f>
        <v>3.7602343215399525E-3</v>
      </c>
      <c r="AF1554" s="22">
        <f>Constants!$H70*'Activity data'!AY12*Constants!$H88*FracLEACHMM*MMLeachEF*NtoN2O*kgtoGg</f>
        <v>3.7655701452301818E-3</v>
      </c>
      <c r="AG1554" s="22">
        <f>Constants!$H70*'Activity data'!AZ12*Constants!$H88*FracLEACHMM*MMLeachEF*NtoN2O*kgtoGg</f>
        <v>3.7708195590492773E-3</v>
      </c>
      <c r="AH1554" s="22">
        <f>Constants!$H70*'Activity data'!BA12*Constants!$H88*FracLEACHMM*MMLeachEF*NtoN2O*kgtoGg</f>
        <v>3.7760056747165515E-3</v>
      </c>
      <c r="AI1554" s="22">
        <f>Constants!$H70*'Activity data'!BB12*Constants!$H88*FracLEACHMM*MMLeachEF*NtoN2O*kgtoGg</f>
        <v>3.7811340265579189E-3</v>
      </c>
      <c r="AJ1554" s="22">
        <f>Constants!$H70*'Activity data'!BC12*Constants!$H88*FracLEACHMM*MMLeachEF*NtoN2O*kgtoGg</f>
        <v>3.7862220250322745E-3</v>
      </c>
      <c r="AK1554" s="22">
        <f>Constants!$H70*'Activity data'!BD12*Constants!$H88*FracLEACHMM*MMLeachEF*NtoN2O*kgtoGg</f>
        <v>3.791113987511746E-3</v>
      </c>
      <c r="AL1554" s="22">
        <f>Constants!$H70*'Activity data'!BE12*Constants!$H88*FracLEACHMM*MMLeachEF*NtoN2O*kgtoGg</f>
        <v>3.7958041904982334E-3</v>
      </c>
      <c r="AM1554" s="22">
        <f>Constants!$H70*'Activity data'!BF12*Constants!$H88*FracLEACHMM*MMLeachEF*NtoN2O*kgtoGg</f>
        <v>3.8003364690201913E-3</v>
      </c>
      <c r="AN1554" s="22">
        <f>Constants!$H70*'Activity data'!BG12*Constants!$H88*FracLEACHMM*MMLeachEF*NtoN2O*kgtoGg</f>
        <v>3.8046759240522587E-3</v>
      </c>
      <c r="AO1554" s="22">
        <f>Constants!$H70*'Activity data'!BH12*Constants!$H88*FracLEACHMM*MMLeachEF*NtoN2O*kgtoGg</f>
        <v>3.8088304277055216E-3</v>
      </c>
      <c r="AP1554" s="22">
        <f>Constants!$H70*'Activity data'!BI12*Constants!$H88*FracLEACHMM*MMLeachEF*NtoN2O*kgtoGg</f>
        <v>3.8127812680195002E-3</v>
      </c>
      <c r="AQ1554" s="22">
        <f>Constants!$H70*'Activity data'!BJ12*Constants!$H88*FracLEACHMM*MMLeachEF*NtoN2O*kgtoGg</f>
        <v>3.8164719081598638E-3</v>
      </c>
      <c r="AR1554" s="22">
        <f>Constants!$H70*'Activity data'!BK12*Constants!$H88*FracLEACHMM*MMLeachEF*NtoN2O*kgtoGg</f>
        <v>3.8198499566836808E-3</v>
      </c>
      <c r="AS1554" s="22">
        <f>Constants!$H70*'Activity data'!BL12*Constants!$H88*FracLEACHMM*MMLeachEF*NtoN2O*kgtoGg</f>
        <v>3.822912000814643E-3</v>
      </c>
      <c r="AT1554" s="22">
        <f>Constants!$H70*'Activity data'!BM12*Constants!$H88*FracLEACHMM*MMLeachEF*NtoN2O*kgtoGg</f>
        <v>3.8256346084506454E-3</v>
      </c>
      <c r="AU1554" s="22">
        <f>Constants!$H70*'Activity data'!BN12*Constants!$H88*FracLEACHMM*MMLeachEF*NtoN2O*kgtoGg</f>
        <v>3.8280164665157558E-3</v>
      </c>
      <c r="AV1554" s="22">
        <f>Constants!$H70*'Activity data'!BO12*Constants!$H88*FracLEACHMM*MMLeachEF*NtoN2O*kgtoGg</f>
        <v>3.830103156508502E-3</v>
      </c>
      <c r="AW1554" s="22">
        <f>Constants!$H70*'Activity data'!BP12*Constants!$H88*FracLEACHMM*MMLeachEF*NtoN2O*kgtoGg</f>
        <v>3.831623644997431E-3</v>
      </c>
    </row>
    <row r="1555" spans="1:49" x14ac:dyDescent="0.25">
      <c r="A1555" s="95" t="s">
        <v>959</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5.4322987485311551E-4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5.5840147541839707E-4</v>
      </c>
      <c r="R1555" s="22">
        <f>Constants!$H71*'Activity data'!AK13*Constants!$H89*FracLEACHMM*MMLeachEF*NtoN2O*kgtoGg</f>
        <v>5.620753208024884E-4</v>
      </c>
      <c r="S1555" s="22">
        <f>Constants!$H71*'Activity data'!AL13*Constants!$H89*FracLEACHMM*MMLeachEF*NtoN2O*kgtoGg</f>
        <v>5.6069712046990367E-4</v>
      </c>
      <c r="T1555" s="22">
        <f>Constants!$H71*'Activity data'!AM13*Constants!$H89*FracLEACHMM*MMLeachEF*NtoN2O*kgtoGg</f>
        <v>5.6166095935732032E-4</v>
      </c>
      <c r="U1555" s="22">
        <f>Constants!$H71*'Activity data'!AN13*Constants!$H89*FracLEACHMM*MMLeachEF*NtoN2O*kgtoGg</f>
        <v>5.6175448886496286E-4</v>
      </c>
      <c r="V1555" s="22">
        <f>Constants!$H71*'Activity data'!AO13*Constants!$H89*FracLEACHMM*MMLeachEF*NtoN2O*kgtoGg</f>
        <v>5.6201163535097535E-4</v>
      </c>
      <c r="W1555" s="22">
        <f>Constants!$H71*'Activity data'!AP13*Constants!$H89*FracLEACHMM*MMLeachEF*NtoN2O*kgtoGg</f>
        <v>5.6314854989012028E-4</v>
      </c>
      <c r="X1555" s="22">
        <f>Constants!$H71*'Activity data'!AQ13*Constants!$H89*FracLEACHMM*MMLeachEF*NtoN2O*kgtoGg</f>
        <v>5.6482088760724937E-4</v>
      </c>
      <c r="Y1555" s="22">
        <f>Constants!$H71*'Activity data'!AR13*Constants!$H89*FracLEACHMM*MMLeachEF*NtoN2O*kgtoGg</f>
        <v>5.6639948615984891E-4</v>
      </c>
      <c r="Z1555" s="22">
        <f>Constants!$H71*'Activity data'!AS13*Constants!$H89*FracLEACHMM*MMLeachEF*NtoN2O*kgtoGg</f>
        <v>5.6789176789216864E-4</v>
      </c>
      <c r="AA1555" s="22">
        <f>Constants!$H71*'Activity data'!AT13*Constants!$H89*FracLEACHMM*MMLeachEF*NtoN2O*kgtoGg</f>
        <v>5.692984966381053E-4</v>
      </c>
      <c r="AB1555" s="22">
        <f>Constants!$H71*'Activity data'!AU13*Constants!$H89*FracLEACHMM*MMLeachEF*NtoN2O*kgtoGg</f>
        <v>5.7064878025290242E-4</v>
      </c>
      <c r="AC1555" s="22">
        <f>Constants!$H71*'Activity data'!AV13*Constants!$H89*FracLEACHMM*MMLeachEF*NtoN2O*kgtoGg</f>
        <v>5.7196287833233815E-4</v>
      </c>
      <c r="AD1555" s="22">
        <f>Constants!$H71*'Activity data'!AW13*Constants!$H89*FracLEACHMM*MMLeachEF*NtoN2O*kgtoGg</f>
        <v>5.7323006225721597E-4</v>
      </c>
      <c r="AE1555" s="22">
        <f>Constants!$H71*'Activity data'!AX13*Constants!$H89*FracLEACHMM*MMLeachEF*NtoN2O*kgtoGg</f>
        <v>5.7446936511734096E-4</v>
      </c>
      <c r="AF1555" s="22">
        <f>Constants!$H71*'Activity data'!AY13*Constants!$H89*FracLEACHMM*MMLeachEF*NtoN2O*kgtoGg</f>
        <v>5.7567836458981281E-4</v>
      </c>
      <c r="AG1555" s="22">
        <f>Constants!$H71*'Activity data'!AZ13*Constants!$H89*FracLEACHMM*MMLeachEF*NtoN2O*kgtoGg</f>
        <v>5.7684878803825762E-4</v>
      </c>
      <c r="AH1555" s="22">
        <f>Constants!$H71*'Activity data'!BA13*Constants!$H89*FracLEACHMM*MMLeachEF*NtoN2O*kgtoGg</f>
        <v>5.7798700555519505E-4</v>
      </c>
      <c r="AI1555" s="22">
        <f>Constants!$H71*'Activity data'!BB13*Constants!$H89*FracLEACHMM*MMLeachEF*NtoN2O*kgtoGg</f>
        <v>5.7909534227176243E-4</v>
      </c>
      <c r="AJ1555" s="22">
        <f>Constants!$H71*'Activity data'!BC13*Constants!$H89*FracLEACHMM*MMLeachEF*NtoN2O*kgtoGg</f>
        <v>5.8017866455598575E-4</v>
      </c>
      <c r="AK1555" s="22">
        <f>Constants!$H71*'Activity data'!BD13*Constants!$H89*FracLEACHMM*MMLeachEF*NtoN2O*kgtoGg</f>
        <v>5.8120338345125585E-4</v>
      </c>
      <c r="AL1555" s="22">
        <f>Constants!$H71*'Activity data'!BE13*Constants!$H89*FracLEACHMM*MMLeachEF*NtoN2O*kgtoGg</f>
        <v>5.8216925674029819E-4</v>
      </c>
      <c r="AM1555" s="22">
        <f>Constants!$H71*'Activity data'!BF13*Constants!$H89*FracLEACHMM*MMLeachEF*NtoN2O*kgtoGg</f>
        <v>5.8308692423697495E-4</v>
      </c>
      <c r="AN1555" s="22">
        <f>Constants!$H71*'Activity data'!BG13*Constants!$H89*FracLEACHMM*MMLeachEF*NtoN2O*kgtoGg</f>
        <v>5.839495453276261E-4</v>
      </c>
      <c r="AO1555" s="22">
        <f>Constants!$H71*'Activity data'!BH13*Constants!$H89*FracLEACHMM*MMLeachEF*NtoN2O*kgtoGg</f>
        <v>5.8475968776002874E-4</v>
      </c>
      <c r="AP1555" s="22">
        <f>Constants!$H71*'Activity data'!BI13*Constants!$H89*FracLEACHMM*MMLeachEF*NtoN2O*kgtoGg</f>
        <v>5.8551401869501036E-4</v>
      </c>
      <c r="AQ1555" s="22">
        <f>Constants!$H71*'Activity data'!BJ13*Constants!$H89*FracLEACHMM*MMLeachEF*NtoN2O*kgtoGg</f>
        <v>5.8620089468398309E-4</v>
      </c>
      <c r="AR1555" s="22">
        <f>Constants!$H71*'Activity data'!BK13*Constants!$H89*FracLEACHMM*MMLeachEF*NtoN2O*kgtoGg</f>
        <v>5.868096200135702E-4</v>
      </c>
      <c r="AS1555" s="22">
        <f>Constants!$H71*'Activity data'!BL13*Constants!$H89*FracLEACHMM*MMLeachEF*NtoN2O*kgtoGg</f>
        <v>5.87340236215825E-4</v>
      </c>
      <c r="AT1555" s="22">
        <f>Constants!$H71*'Activity data'!BM13*Constants!$H89*FracLEACHMM*MMLeachEF*NtoN2O*kgtoGg</f>
        <v>5.8778838343391971E-4</v>
      </c>
      <c r="AU1555" s="22">
        <f>Constants!$H71*'Activity data'!BN13*Constants!$H89*FracLEACHMM*MMLeachEF*NtoN2O*kgtoGg</f>
        <v>5.8815451618636234E-4</v>
      </c>
      <c r="AV1555" s="22">
        <f>Constants!$H71*'Activity data'!BO13*Constants!$H89*FracLEACHMM*MMLeachEF*NtoN2O*kgtoGg</f>
        <v>5.8844925401827929E-4</v>
      </c>
      <c r="AW1555" s="22">
        <f>Constants!$H71*'Activity data'!BP13*Constants!$H89*FracLEACHMM*MMLeachEF*NtoN2O*kgtoGg</f>
        <v>5.8861438328620193E-4</v>
      </c>
    </row>
    <row r="1556" spans="1:49" x14ac:dyDescent="0.25">
      <c r="A1556" s="95" t="s">
        <v>959</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6.6992563985089938E-3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6.8863566425632549E-3</v>
      </c>
      <c r="R1556" s="22">
        <f>Constants!$H72*'Activity data'!AK14*Constants!$H90*FracLEACHMM*MMLeachEF*NtoN2O*kgtoGg</f>
        <v>6.9316634884048298E-3</v>
      </c>
      <c r="S1556" s="22">
        <f>Constants!$H72*'Activity data'!AL14*Constants!$H90*FracLEACHMM*MMLeachEF*NtoN2O*kgtoGg</f>
        <v>6.9146671525553097E-3</v>
      </c>
      <c r="T1556" s="22">
        <f>Constants!$H72*'Activity data'!AM14*Constants!$H90*FracLEACHMM*MMLeachEF*NtoN2O*kgtoGg</f>
        <v>6.9265534720170359E-3</v>
      </c>
      <c r="U1556" s="22">
        <f>Constants!$H72*'Activity data'!AN14*Constants!$H90*FracLEACHMM*MMLeachEF*NtoN2O*kgtoGg</f>
        <v>6.92770690297054E-3</v>
      </c>
      <c r="V1556" s="22">
        <f>Constants!$H72*'Activity data'!AO14*Constants!$H90*FracLEACHMM*MMLeachEF*NtoN2O*kgtoGg</f>
        <v>6.9308781023495105E-3</v>
      </c>
      <c r="W1556" s="22">
        <f>Constants!$H72*'Activity data'!AP14*Constants!$H90*FracLEACHMM*MMLeachEF*NtoN2O*kgtoGg</f>
        <v>6.9448988371314212E-3</v>
      </c>
      <c r="X1556" s="22">
        <f>Constants!$H72*'Activity data'!AQ14*Constants!$H90*FracLEACHMM*MMLeachEF*NtoN2O*kgtoGg</f>
        <v>6.9655225540339091E-3</v>
      </c>
      <c r="Y1556" s="22">
        <f>Constants!$H72*'Activity data'!AR14*Constants!$H90*FracLEACHMM*MMLeachEF*NtoN2O*kgtoGg</f>
        <v>6.9849902544379758E-3</v>
      </c>
      <c r="Z1556" s="22">
        <f>Constants!$H72*'Activity data'!AS14*Constants!$H90*FracLEACHMM*MMLeachEF*NtoN2O*kgtoGg</f>
        <v>7.0033934726820464E-3</v>
      </c>
      <c r="AA1556" s="22">
        <f>Constants!$H72*'Activity data'!AT14*Constants!$H90*FracLEACHMM*MMLeachEF*NtoN2O*kgtoGg</f>
        <v>7.0207416285704375E-3</v>
      </c>
      <c r="AB1556" s="22">
        <f>Constants!$H72*'Activity data'!AU14*Constants!$H90*FracLEACHMM*MMLeachEF*NtoN2O*kgtoGg</f>
        <v>7.0373936879747148E-3</v>
      </c>
      <c r="AC1556" s="22">
        <f>Constants!$H72*'Activity data'!AV14*Constants!$H90*FracLEACHMM*MMLeachEF*NtoN2O*kgtoGg</f>
        <v>7.0535994976594404E-3</v>
      </c>
      <c r="AD1556" s="22">
        <f>Constants!$H72*'Activity data'!AW14*Constants!$H90*FracLEACHMM*MMLeachEF*NtoN2O*kgtoGg</f>
        <v>7.0692267494174947E-3</v>
      </c>
      <c r="AE1556" s="22">
        <f>Constants!$H72*'Activity data'!AX14*Constants!$H90*FracLEACHMM*MMLeachEF*NtoN2O*kgtoGg</f>
        <v>7.0845101644130852E-3</v>
      </c>
      <c r="AF1556" s="22">
        <f>Constants!$H72*'Activity data'!AY14*Constants!$H90*FracLEACHMM*MMLeachEF*NtoN2O*kgtoGg</f>
        <v>7.0994198699110417E-3</v>
      </c>
      <c r="AG1556" s="22">
        <f>Constants!$H72*'Activity data'!AZ14*Constants!$H90*FracLEACHMM*MMLeachEF*NtoN2O*kgtoGg</f>
        <v>7.113853845542588E-3</v>
      </c>
      <c r="AH1556" s="22">
        <f>Constants!$H72*'Activity data'!BA14*Constants!$H90*FracLEACHMM*MMLeachEF*NtoN2O*kgtoGg</f>
        <v>7.1278906489958219E-3</v>
      </c>
      <c r="AI1556" s="22">
        <f>Constants!$H72*'Activity data'!BB14*Constants!$H90*FracLEACHMM*MMLeachEF*NtoN2O*kgtoGg</f>
        <v>7.1415589544110468E-3</v>
      </c>
      <c r="AJ1556" s="22">
        <f>Constants!$H72*'Activity data'!BC14*Constants!$H90*FracLEACHMM*MMLeachEF*NtoN2O*kgtoGg</f>
        <v>7.1549187751429096E-3</v>
      </c>
      <c r="AK1556" s="22">
        <f>Constants!$H72*'Activity data'!BD14*Constants!$H90*FracLEACHMM*MMLeachEF*NtoN2O*kgtoGg</f>
        <v>7.1675558831769013E-3</v>
      </c>
      <c r="AL1556" s="22">
        <f>Constants!$H72*'Activity data'!BE14*Constants!$H90*FracLEACHMM*MMLeachEF*NtoN2O*kgtoGg</f>
        <v>7.179467291424684E-3</v>
      </c>
      <c r="AM1556" s="22">
        <f>Constants!$H72*'Activity data'!BF14*Constants!$H90*FracLEACHMM*MMLeachEF*NtoN2O*kgtoGg</f>
        <v>7.1907842129221942E-3</v>
      </c>
      <c r="AN1556" s="22">
        <f>Constants!$H72*'Activity data'!BG14*Constants!$H90*FracLEACHMM*MMLeachEF*NtoN2O*kgtoGg</f>
        <v>7.2014222873885451E-3</v>
      </c>
      <c r="AO1556" s="22">
        <f>Constants!$H72*'Activity data'!BH14*Constants!$H90*FracLEACHMM*MMLeachEF*NtoN2O*kgtoGg</f>
        <v>7.2114131809774594E-3</v>
      </c>
      <c r="AP1556" s="22">
        <f>Constants!$H72*'Activity data'!BI14*Constants!$H90*FracLEACHMM*MMLeachEF*NtoN2O*kgtoGg</f>
        <v>7.2207157922230866E-3</v>
      </c>
      <c r="AQ1556" s="22">
        <f>Constants!$H72*'Activity data'!BJ14*Constants!$H90*FracLEACHMM*MMLeachEF*NtoN2O*kgtoGg</f>
        <v>7.2291865309970747E-3</v>
      </c>
      <c r="AR1556" s="22">
        <f>Constants!$H72*'Activity data'!BK14*Constants!$H90*FracLEACHMM*MMLeachEF*NtoN2O*kgtoGg</f>
        <v>7.2366934948956893E-3</v>
      </c>
      <c r="AS1556" s="22">
        <f>Constants!$H72*'Activity data'!BL14*Constants!$H90*FracLEACHMM*MMLeachEF*NtoN2O*kgtoGg</f>
        <v>7.2432371961033398E-3</v>
      </c>
      <c r="AT1556" s="22">
        <f>Constants!$H72*'Activity data'!BM14*Constants!$H90*FracLEACHMM*MMLeachEF*NtoN2O*kgtoGg</f>
        <v>7.2487638676972145E-3</v>
      </c>
      <c r="AU1556" s="22">
        <f>Constants!$H72*'Activity data'!BN14*Constants!$H90*FracLEACHMM*MMLeachEF*NtoN2O*kgtoGg</f>
        <v>7.2532791149213611E-3</v>
      </c>
      <c r="AV1556" s="22">
        <f>Constants!$H72*'Activity data'!BO14*Constants!$H90*FracLEACHMM*MMLeachEF*NtoN2O*kgtoGg</f>
        <v>7.2569139008522455E-3</v>
      </c>
      <c r="AW1556" s="22">
        <f>Constants!$H72*'Activity data'!BP14*Constants!$H90*FracLEACHMM*MMLeachEF*NtoN2O*kgtoGg</f>
        <v>7.258950319237764E-3</v>
      </c>
    </row>
    <row r="1557" spans="1:49" x14ac:dyDescent="0.25">
      <c r="A1557" s="95" t="s">
        <v>959</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95" t="s">
        <v>959</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95" t="s">
        <v>959</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2.6729002214214575E-2</v>
      </c>
      <c r="M1559" s="22">
        <f>Constants!$H75*'Activity data'!AF17*Constants!$H93*FracLEACHMM*MMLeachEF*NtoN2O*kgtoGg</f>
        <v>2.6740992333189311E-2</v>
      </c>
      <c r="N1559" s="22">
        <f>Constants!$H75*'Activity data'!AG17*Constants!$H93*FracLEACHMM*MMLeachEF*NtoN2O*kgtoGg</f>
        <v>2.6495489531984436E-2</v>
      </c>
      <c r="O1559" s="22">
        <f>Constants!$H75*'Activity data'!AH17*Constants!$H93*FracLEACHMM*MMLeachEF*NtoN2O*kgtoGg</f>
        <v>2.6094526833046999E-2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2.4781112413324518E-2</v>
      </c>
      <c r="S1559" s="22">
        <f>Constants!$H75*'Activity data'!AL17*Constants!$H93*FracLEACHMM*MMLeachEF*NtoN2O*kgtoGg</f>
        <v>2.2261363297447542E-2</v>
      </c>
      <c r="T1559" s="22">
        <f>Constants!$H75*'Activity data'!AM17*Constants!$H93*FracLEACHMM*MMLeachEF*NtoN2O*kgtoGg</f>
        <v>2.326732754049585E-2</v>
      </c>
      <c r="U1559" s="22">
        <f>Constants!$H75*'Activity data'!AN17*Constants!$H93*FracLEACHMM*MMLeachEF*NtoN2O*kgtoGg</f>
        <v>2.3571460777264748E-2</v>
      </c>
      <c r="V1559" s="22">
        <f>Constants!$H75*'Activity data'!AO17*Constants!$H93*FracLEACHMM*MMLeachEF*NtoN2O*kgtoGg</f>
        <v>2.3338833343161457E-2</v>
      </c>
      <c r="W1559" s="22">
        <f>Constants!$H75*'Activity data'!AP17*Constants!$H93*FracLEACHMM*MMLeachEF*NtoN2O*kgtoGg</f>
        <v>2.3134238751808155E-2</v>
      </c>
      <c r="X1559" s="22">
        <f>Constants!$H75*'Activity data'!AQ17*Constants!$H93*FracLEACHMM*MMLeachEF*NtoN2O*kgtoGg</f>
        <v>2.3071008709265216E-2</v>
      </c>
      <c r="Y1559" s="22">
        <f>Constants!$H75*'Activity data'!AR17*Constants!$H93*FracLEACHMM*MMLeachEF*NtoN2O*kgtoGg</f>
        <v>2.3143649238261243E-2</v>
      </c>
      <c r="Z1559" s="22">
        <f>Constants!$H75*'Activity data'!AS17*Constants!$H93*FracLEACHMM*MMLeachEF*NtoN2O*kgtoGg</f>
        <v>2.3278949396695201E-2</v>
      </c>
      <c r="AA1559" s="22">
        <f>Constants!$H75*'Activity data'!AT17*Constants!$H93*FracLEACHMM*MMLeachEF*NtoN2O*kgtoGg</f>
        <v>2.3492345128489588E-2</v>
      </c>
      <c r="AB1559" s="22">
        <f>Constants!$H75*'Activity data'!AU17*Constants!$H93*FracLEACHMM*MMLeachEF*NtoN2O*kgtoGg</f>
        <v>2.3835144398287569E-2</v>
      </c>
      <c r="AC1559" s="22">
        <f>Constants!$H75*'Activity data'!AV17*Constants!$H93*FracLEACHMM*MMLeachEF*NtoN2O*kgtoGg</f>
        <v>2.4295378697531386E-2</v>
      </c>
      <c r="AD1559" s="22">
        <f>Constants!$H75*'Activity data'!AW17*Constants!$H93*FracLEACHMM*MMLeachEF*NtoN2O*kgtoGg</f>
        <v>2.4819194567643824E-2</v>
      </c>
      <c r="AE1559" s="22">
        <f>Constants!$H75*'Activity data'!AX17*Constants!$H93*FracLEACHMM*MMLeachEF*NtoN2O*kgtoGg</f>
        <v>2.5401392072493423E-2</v>
      </c>
      <c r="AF1559" s="22">
        <f>Constants!$H75*'Activity data'!AY17*Constants!$H93*FracLEACHMM*MMLeachEF*NtoN2O*kgtoGg</f>
        <v>2.6012849455983828E-2</v>
      </c>
      <c r="AG1559" s="22">
        <f>Constants!$H75*'Activity data'!AZ17*Constants!$H93*FracLEACHMM*MMLeachEF*NtoN2O*kgtoGg</f>
        <v>2.6664067926854041E-2</v>
      </c>
      <c r="AH1559" s="22">
        <f>Constants!$H75*'Activity data'!BA17*Constants!$H93*FracLEACHMM*MMLeachEF*NtoN2O*kgtoGg</f>
        <v>2.734101119130557E-2</v>
      </c>
      <c r="AI1559" s="22">
        <f>Constants!$H75*'Activity data'!BB17*Constants!$H93*FracLEACHMM*MMLeachEF*NtoN2O*kgtoGg</f>
        <v>2.7997936856370267E-2</v>
      </c>
      <c r="AJ1559" s="22">
        <f>Constants!$H75*'Activity data'!BC17*Constants!$H93*FracLEACHMM*MMLeachEF*NtoN2O*kgtoGg</f>
        <v>2.8698310105033351E-2</v>
      </c>
      <c r="AK1559" s="22">
        <f>Constants!$H75*'Activity data'!BD17*Constants!$H93*FracLEACHMM*MMLeachEF*NtoN2O*kgtoGg</f>
        <v>2.9400080296227163E-2</v>
      </c>
      <c r="AL1559" s="22">
        <f>Constants!$H75*'Activity data'!BE17*Constants!$H93*FracLEACHMM*MMLeachEF*NtoN2O*kgtoGg</f>
        <v>3.0099562920322648E-2</v>
      </c>
      <c r="AM1559" s="22">
        <f>Constants!$H75*'Activity data'!BF17*Constants!$H93*FracLEACHMM*MMLeachEF*NtoN2O*kgtoGg</f>
        <v>3.0814857244530154E-2</v>
      </c>
      <c r="AN1559" s="22">
        <f>Constants!$H75*'Activity data'!BG17*Constants!$H93*FracLEACHMM*MMLeachEF*NtoN2O*kgtoGg</f>
        <v>3.1499706541710935E-2</v>
      </c>
      <c r="AO1559" s="22">
        <f>Constants!$H75*'Activity data'!BH17*Constants!$H93*FracLEACHMM*MMLeachEF*NtoN2O*kgtoGg</f>
        <v>3.2216361362909209E-2</v>
      </c>
      <c r="AP1559" s="22">
        <f>Constants!$H75*'Activity data'!BI17*Constants!$H93*FracLEACHMM*MMLeachEF*NtoN2O*kgtoGg</f>
        <v>3.2985480796324254E-2</v>
      </c>
      <c r="AQ1559" s="22">
        <f>Constants!$H75*'Activity data'!BJ17*Constants!$H93*FracLEACHMM*MMLeachEF*NtoN2O*kgtoGg</f>
        <v>3.376804159970731E-2</v>
      </c>
      <c r="AR1559" s="22">
        <f>Constants!$H75*'Activity data'!BK17*Constants!$H93*FracLEACHMM*MMLeachEF*NtoN2O*kgtoGg</f>
        <v>3.4565482452675621E-2</v>
      </c>
      <c r="AS1559" s="22">
        <f>Constants!$H75*'Activity data'!BL17*Constants!$H93*FracLEACHMM*MMLeachEF*NtoN2O*kgtoGg</f>
        <v>3.5417207872959197E-2</v>
      </c>
      <c r="AT1559" s="22">
        <f>Constants!$H75*'Activity data'!BM17*Constants!$H93*FracLEACHMM*MMLeachEF*NtoN2O*kgtoGg</f>
        <v>3.6308390334093638E-2</v>
      </c>
      <c r="AU1559" s="22">
        <f>Constants!$H75*'Activity data'!BN17*Constants!$H93*FracLEACHMM*MMLeachEF*NtoN2O*kgtoGg</f>
        <v>3.7228871549923839E-2</v>
      </c>
      <c r="AV1559" s="22">
        <f>Constants!$H75*'Activity data'!BO17*Constants!$H93*FracLEACHMM*MMLeachEF*NtoN2O*kgtoGg</f>
        <v>3.8202529295473395E-2</v>
      </c>
      <c r="AW1559" s="22">
        <f>Constants!$H75*'Activity data'!BP17*Constants!$H93*FracLEACHMM*MMLeachEF*NtoN2O*kgtoGg</f>
        <v>3.9083865804736009E-2</v>
      </c>
    </row>
    <row r="1560" spans="1:49" x14ac:dyDescent="0.25">
      <c r="A1560" s="95" t="s">
        <v>959</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3.9947810410006978E-3</v>
      </c>
      <c r="M1560" s="22">
        <f>Constants!$H76*'Activity data'!AF18*Constants!$H94*FracLEACHMM*MMLeachEF*NtoN2O*kgtoGg</f>
        <v>3.9965730233416669E-3</v>
      </c>
      <c r="N1560" s="22">
        <f>Constants!$H76*'Activity data'!AG18*Constants!$H94*FracLEACHMM*MMLeachEF*NtoN2O*kgtoGg</f>
        <v>3.9598814204188986E-3</v>
      </c>
      <c r="O1560" s="22">
        <f>Constants!$H76*'Activity data'!AH18*Constants!$H94*FracLEACHMM*MMLeachEF*NtoN2O*kgtoGg</f>
        <v>3.8999555700251287E-3</v>
      </c>
      <c r="P1560" s="22">
        <f>Constants!$H76*'Activity data'!AI18*Constants!$H94*FracLEACHMM*MMLeachEF*NtoN2O*kgtoGg</f>
        <v>3.8177534504158584E-3</v>
      </c>
      <c r="Q1560" s="22">
        <f>Constants!$H76*'Activity data'!AJ18*Constants!$H94*FracLEACHMM*MMLeachEF*NtoN2O*kgtoGg</f>
        <v>3.7580655955978051E-3</v>
      </c>
      <c r="R1560" s="22">
        <f>Constants!$H76*'Activity data'!AK18*Constants!$H94*FracLEACHMM*MMLeachEF*NtoN2O*kgtoGg</f>
        <v>3.7036593154610876E-3</v>
      </c>
      <c r="S1560" s="22">
        <f>Constants!$H76*'Activity data'!AL18*Constants!$H94*FracLEACHMM*MMLeachEF*NtoN2O*kgtoGg</f>
        <v>3.3270703984670008E-3</v>
      </c>
      <c r="T1560" s="22">
        <f>Constants!$H76*'Activity data'!AM18*Constants!$H94*FracLEACHMM*MMLeachEF*NtoN2O*kgtoGg</f>
        <v>3.4774167097077883E-3</v>
      </c>
      <c r="U1560" s="22">
        <f>Constants!$H76*'Activity data'!AN18*Constants!$H94*FracLEACHMM*MMLeachEF*NtoN2O*kgtoGg</f>
        <v>3.5228709200238193E-3</v>
      </c>
      <c r="V1560" s="22">
        <f>Constants!$H76*'Activity data'!AO18*Constants!$H94*FracLEACHMM*MMLeachEF*NtoN2O*kgtoGg</f>
        <v>3.4881036041350764E-3</v>
      </c>
      <c r="W1560" s="22">
        <f>Constants!$H76*'Activity data'!AP18*Constants!$H94*FracLEACHMM*MMLeachEF*NtoN2O*kgtoGg</f>
        <v>3.4575259346777865E-3</v>
      </c>
      <c r="X1560" s="22">
        <f>Constants!$H76*'Activity data'!AQ18*Constants!$H94*FracLEACHMM*MMLeachEF*NtoN2O*kgtoGg</f>
        <v>3.448075893365063E-3</v>
      </c>
      <c r="Y1560" s="22">
        <f>Constants!$H76*'Activity data'!AR18*Constants!$H94*FracLEACHMM*MMLeachEF*NtoN2O*kgtoGg</f>
        <v>3.4589323782318001E-3</v>
      </c>
      <c r="Z1560" s="22">
        <f>Constants!$H76*'Activity data'!AS18*Constants!$H94*FracLEACHMM*MMLeachEF*NtoN2O*kgtoGg</f>
        <v>3.4791536533630104E-3</v>
      </c>
      <c r="AA1560" s="22">
        <f>Constants!$H76*'Activity data'!AT18*Constants!$H94*FracLEACHMM*MMLeachEF*NtoN2O*kgtoGg</f>
        <v>3.5110466966113414E-3</v>
      </c>
      <c r="AB1560" s="22">
        <f>Constants!$H76*'Activity data'!AU18*Constants!$H94*FracLEACHMM*MMLeachEF*NtoN2O*kgtoGg</f>
        <v>3.5622797360223518E-3</v>
      </c>
      <c r="AC1560" s="22">
        <f>Constants!$H76*'Activity data'!AV18*Constants!$H94*FracLEACHMM*MMLeachEF*NtoN2O*kgtoGg</f>
        <v>3.6310640190383376E-3</v>
      </c>
      <c r="AD1560" s="22">
        <f>Constants!$H76*'Activity data'!AW18*Constants!$H94*FracLEACHMM*MMLeachEF*NtoN2O*kgtoGg</f>
        <v>3.7093508810068579E-3</v>
      </c>
      <c r="AE1560" s="22">
        <f>Constants!$H76*'Activity data'!AX18*Constants!$H94*FracLEACHMM*MMLeachEF*NtoN2O*kgtoGg</f>
        <v>3.7963631658595345E-3</v>
      </c>
      <c r="AF1560" s="22">
        <f>Constants!$H76*'Activity data'!AY18*Constants!$H94*FracLEACHMM*MMLeachEF*NtoN2O*kgtoGg</f>
        <v>3.8877484837016034E-3</v>
      </c>
      <c r="AG1560" s="22">
        <f>Constants!$H76*'Activity data'!AZ18*Constants!$H94*FracLEACHMM*MMLeachEF*NtoN2O*kgtoGg</f>
        <v>3.98507629190532E-3</v>
      </c>
      <c r="AH1560" s="22">
        <f>Constants!$H76*'Activity data'!BA18*Constants!$H94*FracLEACHMM*MMLeachEF*NtoN2O*kgtoGg</f>
        <v>4.0862487972233809E-3</v>
      </c>
      <c r="AI1560" s="22">
        <f>Constants!$H76*'Activity data'!BB18*Constants!$H94*FracLEACHMM*MMLeachEF*NtoN2O*kgtoGg</f>
        <v>4.1844295737116129E-3</v>
      </c>
      <c r="AJ1560" s="22">
        <f>Constants!$H76*'Activity data'!BC18*Constants!$H94*FracLEACHMM*MMLeachEF*NtoN2O*kgtoGg</f>
        <v>4.2891038055800747E-3</v>
      </c>
      <c r="AK1560" s="22">
        <f>Constants!$H76*'Activity data'!BD18*Constants!$H94*FracLEACHMM*MMLeachEF*NtoN2O*kgtoGg</f>
        <v>4.3939868173907288E-3</v>
      </c>
      <c r="AL1560" s="22">
        <f>Constants!$H76*'Activity data'!BE18*Constants!$H94*FracLEACHMM*MMLeachEF*NtoN2O*kgtoGg</f>
        <v>4.4985279410305803E-3</v>
      </c>
      <c r="AM1560" s="22">
        <f>Constants!$H76*'Activity data'!BF18*Constants!$H94*FracLEACHMM*MMLeachEF*NtoN2O*kgtoGg</f>
        <v>4.6054322011364794E-3</v>
      </c>
      <c r="AN1560" s="22">
        <f>Constants!$H76*'Activity data'!BG18*Constants!$H94*FracLEACHMM*MMLeachEF*NtoN2O*kgtoGg</f>
        <v>4.707786301988981E-3</v>
      </c>
      <c r="AO1560" s="22">
        <f>Constants!$H76*'Activity data'!BH18*Constants!$H94*FracLEACHMM*MMLeachEF*NtoN2O*kgtoGg</f>
        <v>4.8148938950716034E-3</v>
      </c>
      <c r="AP1560" s="22">
        <f>Constants!$H76*'Activity data'!BI18*Constants!$H94*FracLEACHMM*MMLeachEF*NtoN2O*kgtoGg</f>
        <v>4.929842582877003E-3</v>
      </c>
      <c r="AQ1560" s="22">
        <f>Constants!$H76*'Activity data'!BJ18*Constants!$H94*FracLEACHMM*MMLeachEF*NtoN2O*kgtoGg</f>
        <v>5.046800149632805E-3</v>
      </c>
      <c r="AR1560" s="22">
        <f>Constants!$H76*'Activity data'!BK18*Constants!$H94*FracLEACHMM*MMLeachEF*NtoN2O*kgtoGg</f>
        <v>5.1659816130943592E-3</v>
      </c>
      <c r="AS1560" s="22">
        <f>Constants!$H76*'Activity data'!BL18*Constants!$H94*FracLEACHMM*MMLeachEF*NtoN2O*kgtoGg</f>
        <v>5.2932761725327836E-3</v>
      </c>
      <c r="AT1560" s="22">
        <f>Constants!$H76*'Activity data'!BM18*Constants!$H94*FracLEACHMM*MMLeachEF*NtoN2O*kgtoGg</f>
        <v>5.4264677810814564E-3</v>
      </c>
      <c r="AU1560" s="22">
        <f>Constants!$H76*'Activity data'!BN18*Constants!$H94*FracLEACHMM*MMLeachEF*NtoN2O*kgtoGg</f>
        <v>5.5640382328374224E-3</v>
      </c>
      <c r="AV1560" s="22">
        <f>Constants!$H76*'Activity data'!BO18*Constants!$H94*FracLEACHMM*MMLeachEF*NtoN2O*kgtoGg</f>
        <v>5.7095561788936492E-3</v>
      </c>
      <c r="AW1560" s="22">
        <f>Constants!$H76*'Activity data'!BP18*Constants!$H94*FracLEACHMM*MMLeachEF*NtoN2O*kgtoGg</f>
        <v>5.8412762614364865E-3</v>
      </c>
    </row>
    <row r="1561" spans="1:49" x14ac:dyDescent="0.25">
      <c r="A1561" s="95" t="s">
        <v>959</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1.7926295011943302E-2</v>
      </c>
      <c r="T1561" s="22">
        <f>Constants!$H77*'Activity data'!AM19*Constants!$H95*FracLEACHMM*MMLeachEF*NtoN2O*kgtoGg</f>
        <v>1.8674748698375012E-2</v>
      </c>
      <c r="U1561" s="22">
        <f>Constants!$H77*'Activity data'!AN19*Constants!$H95*FracLEACHMM*MMLeachEF*NtoN2O*kgtoGg</f>
        <v>1.9119559955571311E-2</v>
      </c>
      <c r="V1561" s="22">
        <f>Constants!$H77*'Activity data'!AO19*Constants!$H95*FracLEACHMM*MMLeachEF*NtoN2O*kgtoGg</f>
        <v>1.933187353292521E-2</v>
      </c>
      <c r="W1561" s="22">
        <f>Constants!$H77*'Activity data'!AP19*Constants!$H95*FracLEACHMM*MMLeachEF*NtoN2O*kgtoGg</f>
        <v>1.9567336744090873E-2</v>
      </c>
      <c r="X1561" s="22">
        <f>Constants!$H77*'Activity data'!AQ19*Constants!$H95*FracLEACHMM*MMLeachEF*NtoN2O*kgtoGg</f>
        <v>1.9874405903185278E-2</v>
      </c>
      <c r="Y1561" s="22">
        <f>Constants!$H77*'Activity data'!AR19*Constants!$H95*FracLEACHMM*MMLeachEF*NtoN2O*kgtoGg</f>
        <v>2.0244038198599948E-2</v>
      </c>
      <c r="Z1561" s="22">
        <f>Constants!$H77*'Activity data'!AS19*Constants!$H95*FracLEACHMM*MMLeachEF*NtoN2O*kgtoGg</f>
        <v>2.064493630250834E-2</v>
      </c>
      <c r="AA1561" s="22">
        <f>Constants!$H77*'Activity data'!AT19*Constants!$H95*FracLEACHMM*MMLeachEF*NtoN2O*kgtoGg</f>
        <v>2.1086941142640651E-2</v>
      </c>
      <c r="AB1561" s="22">
        <f>Constants!$H77*'Activity data'!AU19*Constants!$H95*FracLEACHMM*MMLeachEF*NtoN2O*kgtoGg</f>
        <v>2.1599318957249428E-2</v>
      </c>
      <c r="AC1561" s="22">
        <f>Constants!$H77*'Activity data'!AV19*Constants!$H95*FracLEACHMM*MMLeachEF*NtoN2O*kgtoGg</f>
        <v>2.2180513768392543E-2</v>
      </c>
      <c r="AD1561" s="22">
        <f>Constants!$H77*'Activity data'!AW19*Constants!$H95*FracLEACHMM*MMLeachEF*NtoN2O*kgtoGg</f>
        <v>2.2805803764739216E-2</v>
      </c>
      <c r="AE1561" s="22">
        <f>Constants!$H77*'Activity data'!AX19*Constants!$H95*FracLEACHMM*MMLeachEF*NtoN2O*kgtoGg</f>
        <v>2.3475090902088748E-2</v>
      </c>
      <c r="AF1561" s="22">
        <f>Constants!$H77*'Activity data'!AY19*Constants!$H95*FracLEACHMM*MMLeachEF*NtoN2O*kgtoGg</f>
        <v>2.4174535529571241E-2</v>
      </c>
      <c r="AG1561" s="22">
        <f>Constants!$H77*'Activity data'!AZ19*Constants!$H95*FracLEACHMM*MMLeachEF*NtoN2O*kgtoGg</f>
        <v>2.4911238714913377E-2</v>
      </c>
      <c r="AH1561" s="22">
        <f>Constants!$H77*'Activity data'!BA19*Constants!$H95*FracLEACHMM*MMLeachEF*NtoN2O*kgtoGg</f>
        <v>2.5679011663267932E-2</v>
      </c>
      <c r="AI1561" s="22">
        <f>Constants!$H77*'Activity data'!BB19*Constants!$H95*FracLEACHMM*MMLeachEF*NtoN2O*kgtoGg</f>
        <v>2.645249874928041E-2</v>
      </c>
      <c r="AJ1561" s="22">
        <f>Constants!$H77*'Activity data'!BC19*Constants!$H95*FracLEACHMM*MMLeachEF*NtoN2O*kgtoGg</f>
        <v>2.7269372865090267E-2</v>
      </c>
      <c r="AK1561" s="22">
        <f>Constants!$H77*'Activity data'!BD19*Constants!$H95*FracLEACHMM*MMLeachEF*NtoN2O*kgtoGg</f>
        <v>2.8105461432882069E-2</v>
      </c>
      <c r="AL1561" s="22">
        <f>Constants!$H77*'Activity data'!BE19*Constants!$H95*FracLEACHMM*MMLeachEF*NtoN2O*kgtoGg</f>
        <v>2.8959047781856831E-2</v>
      </c>
      <c r="AM1561" s="22">
        <f>Constants!$H77*'Activity data'!BF19*Constants!$H95*FracLEACHMM*MMLeachEF*NtoN2O*kgtoGg</f>
        <v>2.9842194803075938E-2</v>
      </c>
      <c r="AN1561" s="22">
        <f>Constants!$H77*'Activity data'!BG19*Constants!$H95*FracLEACHMM*MMLeachEF*NtoN2O*kgtoGg</f>
        <v>3.0726207525762706E-2</v>
      </c>
      <c r="AO1561" s="22">
        <f>Constants!$H77*'Activity data'!BH19*Constants!$H95*FracLEACHMM*MMLeachEF*NtoN2O*kgtoGg</f>
        <v>3.1651324084180803E-2</v>
      </c>
      <c r="AP1561" s="22">
        <f>Constants!$H77*'Activity data'!BI19*Constants!$H95*FracLEACHMM*MMLeachEF*NtoN2O*kgtoGg</f>
        <v>3.263300298507002E-2</v>
      </c>
      <c r="AQ1561" s="22">
        <f>Constants!$H77*'Activity data'!BJ19*Constants!$H95*FracLEACHMM*MMLeachEF*NtoN2O*kgtoGg</f>
        <v>3.3647129592199072E-2</v>
      </c>
      <c r="AR1561" s="22">
        <f>Constants!$H77*'Activity data'!BK19*Constants!$H95*FracLEACHMM*MMLeachEF*NtoN2O*kgtoGg</f>
        <v>3.4695684340366462E-2</v>
      </c>
      <c r="AS1561" s="22">
        <f>Constants!$H77*'Activity data'!BL19*Constants!$H95*FracLEACHMM*MMLeachEF*NtoN2O*kgtoGg</f>
        <v>3.5807702215394269E-2</v>
      </c>
      <c r="AT1561" s="22">
        <f>Constants!$H77*'Activity data'!BM19*Constants!$H95*FracLEACHMM*MMLeachEF*NtoN2O*kgtoGg</f>
        <v>3.6975350864185588E-2</v>
      </c>
      <c r="AU1561" s="22">
        <f>Constants!$H77*'Activity data'!BN19*Constants!$H95*FracLEACHMM*MMLeachEF*NtoN2O*kgtoGg</f>
        <v>3.8193620446260186E-2</v>
      </c>
      <c r="AV1561" s="22">
        <f>Constants!$H77*'Activity data'!BO19*Constants!$H95*FracLEACHMM*MMLeachEF*NtoN2O*kgtoGg</f>
        <v>3.9482562307511335E-2</v>
      </c>
      <c r="AW1561" s="22">
        <f>Constants!$H77*'Activity data'!BP19*Constants!$H95*FracLEACHMM*MMLeachEF*NtoN2O*kgtoGg</f>
        <v>4.0733932208981263E-2</v>
      </c>
    </row>
    <row r="1562" spans="1:49" x14ac:dyDescent="0.25">
      <c r="A1562" s="95" t="s">
        <v>959</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8.024855331382115E-2</v>
      </c>
      <c r="N1562" s="22">
        <f>Constants!$H78*'Activity data'!AG20*Constants!$H96*FracLEACHMM*MMLeachEF*NtoN2O*kgtoGg</f>
        <v>8.0719757945382262E-2</v>
      </c>
      <c r="O1562" s="22">
        <f>Constants!$H78*'Activity data'!AH20*Constants!$H96*FracLEACHMM*MMLeachEF*NtoN2O*kgtoGg</f>
        <v>8.0430818839717685E-2</v>
      </c>
      <c r="P1562" s="22">
        <f>Constants!$H78*'Activity data'!AI20*Constants!$H96*FracLEACHMM*MMLeachEF*NtoN2O*kgtoGg</f>
        <v>7.938481013134728E-2</v>
      </c>
      <c r="Q1562" s="22">
        <f>Constants!$H78*'Activity data'!AJ20*Constants!$H96*FracLEACHMM*MMLeachEF*NtoN2O*kgtoGg</f>
        <v>7.8944464359385597E-2</v>
      </c>
      <c r="R1562" s="22">
        <f>Constants!$H78*'Activity data'!AK20*Constants!$H96*FracLEACHMM*MMLeachEF*NtoN2O*kgtoGg</f>
        <v>7.8604018955287347E-2</v>
      </c>
      <c r="S1562" s="22">
        <f>Constants!$H78*'Activity data'!AL20*Constants!$H96*FracLEACHMM*MMLeachEF*NtoN2O*kgtoGg</f>
        <v>6.838761678762284E-2</v>
      </c>
      <c r="T1562" s="22">
        <f>Constants!$H78*'Activity data'!AM20*Constants!$H96*FracLEACHMM*MMLeachEF*NtoN2O*kgtoGg</f>
        <v>7.4574992595892425E-2</v>
      </c>
      <c r="U1562" s="22">
        <f>Constants!$H78*'Activity data'!AN20*Constants!$H96*FracLEACHMM*MMLeachEF*NtoN2O*kgtoGg</f>
        <v>7.755216316581004E-2</v>
      </c>
      <c r="V1562" s="22">
        <f>Constants!$H78*'Activity data'!AO20*Constants!$H96*FracLEACHMM*MMLeachEF*NtoN2O*kgtoGg</f>
        <v>7.7924677783992133E-2</v>
      </c>
      <c r="W1562" s="22">
        <f>Constants!$H78*'Activity data'!AP20*Constants!$H96*FracLEACHMM*MMLeachEF*NtoN2O*kgtoGg</f>
        <v>7.8354110824083251E-2</v>
      </c>
      <c r="X1562" s="22">
        <f>Constants!$H78*'Activity data'!AQ20*Constants!$H96*FracLEACHMM*MMLeachEF*NtoN2O*kgtoGg</f>
        <v>7.9443157162657083E-2</v>
      </c>
      <c r="Y1562" s="22">
        <f>Constants!$H78*'Activity data'!AR20*Constants!$H96*FracLEACHMM*MMLeachEF*NtoN2O*kgtoGg</f>
        <v>8.1236326250134938E-2</v>
      </c>
      <c r="Z1562" s="22">
        <f>Constants!$H78*'Activity data'!AS20*Constants!$H96*FracLEACHMM*MMLeachEF*NtoN2O*kgtoGg</f>
        <v>8.3381793031121837E-2</v>
      </c>
      <c r="AA1562" s="22">
        <f>Constants!$H78*'Activity data'!AT20*Constants!$H96*FracLEACHMM*MMLeachEF*NtoN2O*kgtoGg</f>
        <v>8.5974252242443622E-2</v>
      </c>
      <c r="AB1562" s="22">
        <f>Constants!$H78*'Activity data'!AU20*Constants!$H96*FracLEACHMM*MMLeachEF*NtoN2O*kgtoGg</f>
        <v>8.9301533057552729E-2</v>
      </c>
      <c r="AC1562" s="22">
        <f>Constants!$H78*'Activity data'!AV20*Constants!$H96*FracLEACHMM*MMLeachEF*NtoN2O*kgtoGg</f>
        <v>9.3325676960655579E-2</v>
      </c>
      <c r="AD1562" s="22">
        <f>Constants!$H78*'Activity data'!AW20*Constants!$H96*FracLEACHMM*MMLeachEF*NtoN2O*kgtoGg</f>
        <v>9.7779695826372345E-2</v>
      </c>
      <c r="AE1562" s="22">
        <f>Constants!$H78*'Activity data'!AX20*Constants!$H96*FracLEACHMM*MMLeachEF*NtoN2O*kgtoGg</f>
        <v>0.10264881318689535</v>
      </c>
      <c r="AF1562" s="22">
        <f>Constants!$H78*'Activity data'!AY20*Constants!$H96*FracLEACHMM*MMLeachEF*NtoN2O*kgtoGg</f>
        <v>0.1077848208225682</v>
      </c>
      <c r="AG1562" s="22">
        <f>Constants!$H78*'Activity data'!AZ20*Constants!$H96*FracLEACHMM*MMLeachEF*NtoN2O*kgtoGg</f>
        <v>0.11325644741449936</v>
      </c>
      <c r="AH1562" s="22">
        <f>Constants!$H78*'Activity data'!BA20*Constants!$H96*FracLEACHMM*MMLeachEF*NtoN2O*kgtoGg</f>
        <v>0.11899390557339033</v>
      </c>
      <c r="AI1562" s="22">
        <f>Constants!$H78*'Activity data'!BB20*Constants!$H96*FracLEACHMM*MMLeachEF*NtoN2O*kgtoGg</f>
        <v>0.12473968814681194</v>
      </c>
      <c r="AJ1562" s="22">
        <f>Constants!$H78*'Activity data'!BC20*Constants!$H96*FracLEACHMM*MMLeachEF*NtoN2O*kgtoGg</f>
        <v>0.13086543937710404</v>
      </c>
      <c r="AK1562" s="22">
        <f>Constants!$H78*'Activity data'!BD20*Constants!$H96*FracLEACHMM*MMLeachEF*NtoN2O*kgtoGg</f>
        <v>0.13713570688007848</v>
      </c>
      <c r="AL1562" s="22">
        <f>Constants!$H78*'Activity data'!BE20*Constants!$H96*FracLEACHMM*MMLeachEF*NtoN2O*kgtoGg</f>
        <v>0.14353189422654788</v>
      </c>
      <c r="AM1562" s="22">
        <f>Constants!$H78*'Activity data'!BF20*Constants!$H96*FracLEACHMM*MMLeachEF*NtoN2O*kgtoGg</f>
        <v>0.15016680935758497</v>
      </c>
      <c r="AN1562" s="22">
        <f>Constants!$H78*'Activity data'!BG20*Constants!$H96*FracLEACHMM*MMLeachEF*NtoN2O*kgtoGg</f>
        <v>0.15676188787571166</v>
      </c>
      <c r="AO1562" s="22">
        <f>Constants!$H78*'Activity data'!BH20*Constants!$H96*FracLEACHMM*MMLeachEF*NtoN2O*kgtoGg</f>
        <v>0.16370376989202984</v>
      </c>
      <c r="AP1562" s="22">
        <f>Constants!$H78*'Activity data'!BI20*Constants!$H96*FracLEACHMM*MMLeachEF*NtoN2O*kgtoGg</f>
        <v>0.17113537656800237</v>
      </c>
      <c r="AQ1562" s="22">
        <f>Constants!$H78*'Activity data'!BJ20*Constants!$H96*FracLEACHMM*MMLeachEF*NtoN2O*kgtoGg</f>
        <v>0.17882351737077742</v>
      </c>
      <c r="AR1562" s="22">
        <f>Constants!$H78*'Activity data'!BK20*Constants!$H96*FracLEACHMM*MMLeachEF*NtoN2O*kgtoGg</f>
        <v>0.18678614513935693</v>
      </c>
      <c r="AS1562" s="22">
        <f>Constants!$H78*'Activity data'!BL20*Constants!$H96*FracLEACHMM*MMLeachEF*NtoN2O*kgtoGg</f>
        <v>0.19529177080691471</v>
      </c>
      <c r="AT1562" s="22">
        <f>Constants!$H78*'Activity data'!BM20*Constants!$H96*FracLEACHMM*MMLeachEF*NtoN2O*kgtoGg</f>
        <v>0.20426055038144844</v>
      </c>
      <c r="AU1562" s="22">
        <f>Constants!$H78*'Activity data'!BN20*Constants!$H96*FracLEACHMM*MMLeachEF*NtoN2O*kgtoGg</f>
        <v>0.21363944759847542</v>
      </c>
      <c r="AV1562" s="22">
        <f>Constants!$H78*'Activity data'!BO20*Constants!$H96*FracLEACHMM*MMLeachEF*NtoN2O*kgtoGg</f>
        <v>0.2236051975341104</v>
      </c>
      <c r="AW1562" s="22">
        <f>Constants!$H78*'Activity data'!BP20*Constants!$H96*FracLEACHMM*MMLeachEF*NtoN2O*kgtoGg</f>
        <v>0.23317129202372885</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5546875" defaultRowHeight="15" x14ac:dyDescent="0.25"/>
  <cols>
    <col min="1" max="3" width="9.140625" style="96"/>
    <col min="4" max="4" width="34.42578125" customWidth="1"/>
    <col min="5" max="5" width="37" customWidth="1"/>
    <col min="6" max="6" width="27.42578125" customWidth="1"/>
    <col min="7" max="7" width="7.42578125" customWidth="1"/>
    <col min="8" max="8" width="26.140625" customWidth="1"/>
    <col min="9" max="36" width="9.7109375" customWidth="1"/>
    <col min="37" max="37" width="9.42578125" customWidth="1"/>
    <col min="52" max="53" width="9.42578125" customWidth="1"/>
    <col min="54" max="54" width="9.7109375" customWidth="1"/>
  </cols>
  <sheetData>
    <row r="1" spans="1:75" ht="18.75" x14ac:dyDescent="0.3">
      <c r="D1" s="1" t="s">
        <v>312</v>
      </c>
    </row>
    <row r="3" spans="1:75" s="19" customFormat="1" ht="15.75" x14ac:dyDescent="0.25">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1171.2651160486196</v>
      </c>
      <c r="AF4" s="40">
        <f t="shared" si="0"/>
        <v>1166.5593957177307</v>
      </c>
      <c r="AG4" s="40">
        <f t="shared" si="0"/>
        <v>1166.8343107149292</v>
      </c>
      <c r="AH4" s="40">
        <f t="shared" si="0"/>
        <v>1158.6000321770462</v>
      </c>
      <c r="AI4" s="40">
        <f t="shared" si="0"/>
        <v>1145.2621528294469</v>
      </c>
      <c r="AJ4" s="40">
        <f t="shared" si="0"/>
        <v>1127.1134954870122</v>
      </c>
      <c r="AK4" s="40">
        <f t="shared" si="0"/>
        <v>1113.6808905305425</v>
      </c>
      <c r="AL4" s="40">
        <f t="shared" si="0"/>
        <v>1101.2673361670934</v>
      </c>
      <c r="AM4" s="40">
        <f t="shared" si="0"/>
        <v>1017.6117042108492</v>
      </c>
      <c r="AN4" s="40">
        <f t="shared" si="0"/>
        <v>1053.8423909757914</v>
      </c>
      <c r="AO4" s="40">
        <f t="shared" ref="AO4:BQ4" si="1">SUM(AO5:AO10)</f>
        <v>1067.4058268955357</v>
      </c>
      <c r="AP4" s="40">
        <f t="shared" si="1"/>
        <v>1063.9478502703628</v>
      </c>
      <c r="AQ4" s="40">
        <f t="shared" si="1"/>
        <v>1061.7787588649976</v>
      </c>
      <c r="AR4" s="40">
        <f t="shared" si="1"/>
        <v>1064.3368637062783</v>
      </c>
      <c r="AS4" s="40">
        <f t="shared" si="1"/>
        <v>1071.112046883019</v>
      </c>
      <c r="AT4" s="40">
        <f t="shared" si="1"/>
        <v>1079.7987138637247</v>
      </c>
      <c r="AU4" s="40">
        <f t="shared" si="1"/>
        <v>1090.92776647803</v>
      </c>
      <c r="AV4" s="40">
        <f t="shared" si="1"/>
        <v>1106.2224393016975</v>
      </c>
      <c r="AW4" s="40">
        <f t="shared" si="1"/>
        <v>1125.3549515896207</v>
      </c>
      <c r="AX4" s="40">
        <f t="shared" si="1"/>
        <v>1140.678032920905</v>
      </c>
      <c r="AY4" s="40">
        <f t="shared" si="1"/>
        <v>1157.589105111585</v>
      </c>
      <c r="AZ4" s="40">
        <f t="shared" si="1"/>
        <v>1175.1200340057915</v>
      </c>
      <c r="BA4" s="40">
        <f t="shared" si="1"/>
        <v>1193.5882964830491</v>
      </c>
      <c r="BB4" s="40">
        <f t="shared" si="1"/>
        <v>1212.5264842536626</v>
      </c>
      <c r="BC4" s="40">
        <f t="shared" si="1"/>
        <v>1230.4585140683021</v>
      </c>
      <c r="BD4" s="40">
        <f t="shared" si="1"/>
        <v>1249.4067907087888</v>
      </c>
      <c r="BE4" s="40">
        <f t="shared" si="1"/>
        <v>1267.9950895951893</v>
      </c>
      <c r="BF4" s="40">
        <f t="shared" si="1"/>
        <v>1286.0993065022913</v>
      </c>
      <c r="BG4" s="40">
        <f t="shared" si="1"/>
        <v>1304.2862086991124</v>
      </c>
      <c r="BH4" s="40">
        <f t="shared" si="1"/>
        <v>1325.20534170563</v>
      </c>
      <c r="BI4" s="40">
        <f t="shared" si="1"/>
        <v>1346.9475055583187</v>
      </c>
      <c r="BJ4" s="40">
        <f t="shared" si="1"/>
        <v>1370.1502791878108</v>
      </c>
      <c r="BK4" s="40">
        <f t="shared" si="1"/>
        <v>1393.5814875820438</v>
      </c>
      <c r="BL4" s="40">
        <f t="shared" si="1"/>
        <v>1417.2756972402506</v>
      </c>
      <c r="BM4" s="40">
        <f t="shared" si="1"/>
        <v>1442.4537233061369</v>
      </c>
      <c r="BN4" s="40">
        <f t="shared" si="1"/>
        <v>1468.6423332237828</v>
      </c>
      <c r="BO4" s="40">
        <f t="shared" si="1"/>
        <v>1495.5179456054125</v>
      </c>
      <c r="BP4" s="40">
        <f t="shared" si="1"/>
        <v>1523.8175041429192</v>
      </c>
      <c r="BQ4" s="40">
        <f t="shared" si="1"/>
        <v>1549.0015293121799</v>
      </c>
    </row>
    <row r="5" spans="1:75" x14ac:dyDescent="0.25">
      <c r="A5" s="95" t="str">
        <f>B5&amp;" "&amp;C5</f>
        <v>FSFAGSPQNIBDDSCM Cattle</v>
      </c>
      <c r="B5" s="95" t="s">
        <v>1374</v>
      </c>
      <c r="C5" s="95" t="s">
        <v>1107</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977.48324710494308</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963.82588908536786</v>
      </c>
      <c r="AI5" s="94">
        <f>IF($A5="Baseline",'Emissions summary'!AF5,SUMIF('Net zero emission reductions'!$A$4:$A$1448,$A$5,'Net zero emission reductions'!O$4:O$1448))</f>
        <v>949.97028936128584</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821.1064579269464</v>
      </c>
      <c r="AN5" s="94">
        <f>IF($A5="Baseline",'Emissions summary'!AK5,SUMIF('Net zero emission reductions'!$A$4:$A$1448,$A$5,'Net zero emission reductions'!T$4:T$1448))</f>
        <v>856.92754925444467</v>
      </c>
      <c r="AO5" s="94">
        <f>IF($A5="Baseline",'Emissions summary'!AL5,SUMIF('Net zero emission reductions'!$A$4:$A$1448,$A$5,'Net zero emission reductions'!U$4:U$1448))</f>
        <v>870.42008751949834</v>
      </c>
      <c r="AP5" s="94">
        <f>IF($A5="Baseline",'Emissions summary'!AM5,SUMIF('Net zero emission reductions'!$A$4:$A$1448,$A$5,'Net zero emission reductions'!V$4:V$1448))</f>
        <v>866.95335854266136</v>
      </c>
      <c r="AQ5" s="94">
        <f>IF($A5="Baseline",'Emissions summary'!AN5,SUMIF('Net zero emission reductions'!$A$4:$A$1448,$A$5,'Net zero emission reductions'!W$4:W$1448))</f>
        <v>864.55308380163444</v>
      </c>
      <c r="AR5" s="94">
        <f>IF($A5="Baseline",'Emissions summary'!AO5,SUMIF('Net zero emission reductions'!$A$4:$A$1448,$A$5,'Net zero emission reductions'!X$4:X$1448))</f>
        <v>866.71642961297175</v>
      </c>
      <c r="AS5" s="94">
        <f>IF($A5="Baseline",'Emissions summary'!AP5,SUMIF('Net zero emission reductions'!$A$4:$A$1448,$A$5,'Net zero emission reductions'!Y$4:Y$1448))</f>
        <v>873.08533403985496</v>
      </c>
      <c r="AT5" s="94">
        <f>IF($A5="Baseline",'Emissions summary'!AQ5,SUMIF('Net zero emission reductions'!$A$4:$A$1448,$A$5,'Net zero emission reductions'!Z$4:Z$1448))</f>
        <v>881.36755955523506</v>
      </c>
      <c r="AU5" s="94">
        <f>IF($A5="Baseline",'Emissions summary'!AR5,SUMIF('Net zero emission reductions'!$A$4:$A$1448,$A$5,'Net zero emission reductions'!AA$4:AA$1448))</f>
        <v>892.09071378564352</v>
      </c>
      <c r="AV5" s="94">
        <f>IF($A5="Baseline",'Emissions summary'!AS5,SUMIF('Net zero emission reductions'!$A$4:$A$1448,$A$5,'Net zero emission reductions'!AB$4:AB$1448))</f>
        <v>906.9601402466775</v>
      </c>
      <c r="AW5" s="94">
        <f>IF($A5="Baseline",'Emissions summary'!AT5,SUMIF('Net zero emission reductions'!$A$4:$A$1448,$A$5,'Net zero emission reductions'!AC$4:AC$1448))</f>
        <v>925.64539571635362</v>
      </c>
      <c r="AX5" s="94">
        <f>IF($A5="Baseline",'Emissions summary'!AU5,SUMIF('Net zero emission reductions'!$A$4:$A$1448,$A$5,'Net zero emission reductions'!AD$4:AD$1448))</f>
        <v>940.51305995394057</v>
      </c>
      <c r="AY5" s="94">
        <f>IF($A5="Baseline",'Emissions summary'!AV5,SUMIF('Net zero emission reductions'!$A$4:$A$1448,$A$5,'Net zero emission reductions'!AE$4:AE$1448))</f>
        <v>956.95696995346702</v>
      </c>
      <c r="AZ5" s="94">
        <f>IF($A5="Baseline",'Emissions summary'!AW5,SUMIF('Net zero emission reductions'!$A$4:$A$1448,$A$5,'Net zero emission reductions'!AF$4:AF$1448))</f>
        <v>974.01581757706958</v>
      </c>
      <c r="BA5" s="94">
        <f>IF($A5="Baseline",'Emissions summary'!AX5,SUMIF('Net zero emission reductions'!$A$4:$A$1448,$A$5,'Net zero emission reductions'!AG$4:AG$1448))</f>
        <v>992.00678468096146</v>
      </c>
      <c r="BB5" s="94">
        <f>IF($A5="Baseline",'Emissions summary'!AY5,SUMIF('Net zero emission reductions'!$A$4:$A$1448,$A$5,'Net zero emission reductions'!AH$4:AH$1448))</f>
        <v>1010.4639518480906</v>
      </c>
      <c r="BC5" s="94">
        <f>IF($A5="Baseline",'Emissions summary'!AZ5,SUMIF('Net zero emission reductions'!$A$4:$A$1448,$A$5,'Net zero emission reductions'!AI$4:AI$1448))</f>
        <v>1027.9208577312465</v>
      </c>
      <c r="BD5" s="94">
        <f>IF($A5="Baseline",'Emissions summary'!BA5,SUMIF('Net zero emission reductions'!$A$4:$A$1448,$A$5,'Net zero emission reductions'!AJ$4:AJ$1448))</f>
        <v>1046.3846333443971</v>
      </c>
      <c r="BE5" s="94">
        <f>IF($A5="Baseline",'Emissions summary'!BB5,SUMIF('Net zero emission reductions'!$A$4:$A$1448,$A$5,'Net zero emission reductions'!AK$4:AK$1448))</f>
        <v>1064.4965990294947</v>
      </c>
      <c r="BF5" s="94">
        <f>IF($A5="Baseline",'Emissions summary'!BC5,SUMIF('Net zero emission reductions'!$A$4:$A$1448,$A$5,'Net zero emission reductions'!AL$4:AL$1448))</f>
        <v>1082.1336039968837</v>
      </c>
      <c r="BG5" s="94">
        <f>IF($A5="Baseline",'Emissions summary'!BD5,SUMIF('Net zero emission reductions'!$A$4:$A$1448,$A$5,'Net zero emission reductions'!AM$4:AM$1448))</f>
        <v>1099.8557057435819</v>
      </c>
      <c r="BH5" s="94">
        <f>IF($A5="Baseline",'Emissions summary'!BE5,SUMIF('Net zero emission reductions'!$A$4:$A$1448,$A$5,'Net zero emission reductions'!AN$4:AN$1448))</f>
        <v>1120.3248126092897</v>
      </c>
      <c r="BI5" s="94">
        <f>IF($A5="Baseline",'Emissions summary'!BF5,SUMIF('Net zero emission reductions'!$A$4:$A$1448,$A$5,'Net zero emission reductions'!AO$4:AO$1448))</f>
        <v>1141.6166794211431</v>
      </c>
      <c r="BJ5" s="94">
        <f>IF($A5="Baseline",'Emissions summary'!BG5,SUMIF('Net zero emission reductions'!$A$4:$A$1448,$A$5,'Net zero emission reductions'!AP$4:AP$1448))</f>
        <v>1164.3646047693242</v>
      </c>
      <c r="BK5" s="94">
        <f>IF($A5="Baseline",'Emissions summary'!BH5,SUMIF('Net zero emission reductions'!$A$4:$A$1448,$A$5,'Net zero emission reductions'!AQ$4:AQ$1448))</f>
        <v>1187.3482181315678</v>
      </c>
      <c r="BL5" s="94">
        <f>IF($A5="Baseline",'Emissions summary'!BI5,SUMIF('Net zero emission reductions'!$A$4:$A$1448,$A$5,'Net zero emission reductions'!AR$4:AR$1448))</f>
        <v>1210.6042101396581</v>
      </c>
      <c r="BM5" s="94">
        <f>IF($A5="Baseline",'Emissions summary'!BJ5,SUMIF('Net zero emission reductions'!$A$4:$A$1448,$A$5,'Net zero emission reductions'!AS$4:AS$1448))</f>
        <v>1235.3436292107494</v>
      </c>
      <c r="BN5" s="94">
        <f>IF($A5="Baseline",'Emissions summary'!BK5,SUMIF('Net zero emission reductions'!$A$4:$A$1448,$A$5,'Net zero emission reductions'!AT$4:AT$1448))</f>
        <v>1261.0974851809121</v>
      </c>
      <c r="BO5" s="94">
        <f>IF($A5="Baseline",'Emissions summary'!BL5,SUMIF('Net zero emission reductions'!$A$4:$A$1448,$A$5,'Net zero emission reductions'!AU$4:AU$1448))</f>
        <v>1287.5442108269126</v>
      </c>
      <c r="BP5" s="94">
        <f>IF($A5="Baseline",'Emissions summary'!BM5,SUMIF('Net zero emission reductions'!$A$4:$A$1448,$A$5,'Net zero emission reductions'!AV$4:AV$1448))</f>
        <v>1315.4118258490278</v>
      </c>
      <c r="BQ5" s="94">
        <f>IF($A5="Baseline",'Emissions summary'!BN5,SUMIF('Net zero emission reductions'!$A$4:$A$1448,$A$5,'Net zero emission reductions'!AW$4:AW$1448))</f>
        <v>1340.2112734573964</v>
      </c>
    </row>
    <row r="6" spans="1:75" x14ac:dyDescent="0.25">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149.09220789200279</v>
      </c>
      <c r="AN6" s="94">
        <f>IF($A6="Baseline",'Emissions summary'!AK6,SUMIF('Net zero emission reductions'!$A$4:$A$1448,$A$6,'Net zero emission reductions'!T$4:T$1448))</f>
        <v>149.19952137990489</v>
      </c>
      <c r="AO6" s="94">
        <f>IF($A6="Baseline",'Emissions summary'!AL6,SUMIF('Net zero emission reductions'!$A$4:$A$1448,$A$6,'Net zero emission reductions'!U$4:U$1448))</f>
        <v>149.1617922431665</v>
      </c>
      <c r="AP6" s="94">
        <f>IF($A6="Baseline",'Emissions summary'!AM6,SUMIF('Net zero emission reductions'!$A$4:$A$1448,$A$6,'Net zero emission reductions'!V$4:V$1448))</f>
        <v>149.15907604624999</v>
      </c>
      <c r="AQ6" s="94">
        <f>IF($A6="Baseline",'Emissions summary'!AN6,SUMIF('Net zero emission reductions'!$A$4:$A$1448,$A$6,'Net zero emission reductions'!W$4:W$1448))</f>
        <v>149.31729049015337</v>
      </c>
      <c r="AR6" s="94">
        <f>IF($A6="Baseline",'Emissions summary'!AO6,SUMIF('Net zero emission reductions'!$A$4:$A$1448,$A$6,'Net zero emission reductions'!X$4:X$1448))</f>
        <v>149.57622300556901</v>
      </c>
      <c r="AS6" s="94">
        <f>IF($A6="Baseline",'Emissions summary'!AP6,SUMIF('Net zero emission reductions'!$A$4:$A$1448,$A$6,'Net zero emission reductions'!Y$4:Y$1448))</f>
        <v>149.82467162683491</v>
      </c>
      <c r="AT6" s="94">
        <f>IF($A6="Baseline",'Emissions summary'!AQ6,SUMIF('Net zero emission reductions'!$A$4:$A$1448,$A$6,'Net zero emission reductions'!Z$4:Z$1448))</f>
        <v>150.06343790076303</v>
      </c>
      <c r="AU6" s="94">
        <f>IF($A6="Baseline",'Emissions summary'!AR6,SUMIF('Net zero emission reductions'!$A$4:$A$1448,$A$6,'Net zero emission reductions'!AA$4:AA$1448))</f>
        <v>150.2921959729033</v>
      </c>
      <c r="AV6" s="94">
        <f>IF($A6="Baseline",'Emissions summary'!AS6,SUMIF('Net zero emission reductions'!$A$4:$A$1448,$A$6,'Net zero emission reductions'!AB$4:AB$1448))</f>
        <v>150.51571310904831</v>
      </c>
      <c r="AW6" s="94">
        <f>IF($A6="Baseline",'Emissions summary'!AT6,SUMIF('Net zero emission reductions'!$A$4:$A$1448,$A$6,'Net zero emission reductions'!AC$4:AC$1448))</f>
        <v>150.73725430821531</v>
      </c>
      <c r="AX6" s="94">
        <f>IF($A6="Baseline",'Emissions summary'!AU6,SUMIF('Net zero emission reductions'!$A$4:$A$1448,$A$6,'Net zero emission reductions'!AD$4:AD$1448))</f>
        <v>150.95459668959543</v>
      </c>
      <c r="AY6" s="94">
        <f>IF($A6="Baseline",'Emissions summary'!AV6,SUMIF('Net zero emission reductions'!$A$4:$A$1448,$A$6,'Net zero emission reductions'!AE$4:AE$1448))</f>
        <v>151.17086528207864</v>
      </c>
      <c r="AZ6" s="94">
        <f>IF($A6="Baseline",'Emissions summary'!AW6,SUMIF('Net zero emission reductions'!$A$4:$A$1448,$A$6,'Net zero emission reductions'!AF$4:AF$1448))</f>
        <v>151.38537879779864</v>
      </c>
      <c r="BA6" s="94">
        <f>IF($A6="Baseline",'Emissions summary'!AX6,SUMIF('Net zero emission reductions'!$A$4:$A$1448,$A$6,'Net zero emission reductions'!AG$4:AG$1448))</f>
        <v>151.59641841964094</v>
      </c>
      <c r="BB6" s="94">
        <f>IF($A6="Baseline",'Emissions summary'!AY6,SUMIF('Net zero emission reductions'!$A$4:$A$1448,$A$6,'Net zero emission reductions'!AH$4:AH$1448))</f>
        <v>151.80491329677773</v>
      </c>
      <c r="BC6" s="94">
        <f>IF($A6="Baseline",'Emissions summary'!AZ6,SUMIF('Net zero emission reductions'!$A$4:$A$1448,$A$6,'Net zero emission reductions'!AI$4:AI$1448))</f>
        <v>152.01108592301256</v>
      </c>
      <c r="BD6" s="94">
        <f>IF($A6="Baseline",'Emissions summary'!BA6,SUMIF('Net zero emission reductions'!$A$4:$A$1448,$A$6,'Net zero emission reductions'!AJ$4:AJ$1448))</f>
        <v>152.21563624252758</v>
      </c>
      <c r="BE6" s="94">
        <f>IF($A6="Baseline",'Emissions summary'!BB6,SUMIF('Net zero emission reductions'!$A$4:$A$1448,$A$6,'Net zero emission reductions'!AK$4:AK$1448))</f>
        <v>152.41230542261374</v>
      </c>
      <c r="BF6" s="94">
        <f>IF($A6="Baseline",'Emissions summary'!BC6,SUMIF('Net zero emission reductions'!$A$4:$A$1448,$A$6,'Net zero emission reductions'!AL$4:AL$1448))</f>
        <v>152.60086336427031</v>
      </c>
      <c r="BG6" s="94">
        <f>IF($A6="Baseline",'Emissions summary'!BD6,SUMIF('Net zero emission reductions'!$A$4:$A$1448,$A$6,'Net zero emission reductions'!AM$4:AM$1448))</f>
        <v>152.78307234575294</v>
      </c>
      <c r="BH6" s="94">
        <f>IF($A6="Baseline",'Emissions summary'!BE6,SUMIF('Net zero emission reductions'!$A$4:$A$1448,$A$6,'Net zero emission reductions'!AN$4:AN$1448))</f>
        <v>152.95752933857716</v>
      </c>
      <c r="BI6" s="94">
        <f>IF($A6="Baseline",'Emissions summary'!BF6,SUMIF('Net zero emission reductions'!$A$4:$A$1448,$A$6,'Net zero emission reductions'!AO$4:AO$1448))</f>
        <v>153.12455082138302</v>
      </c>
      <c r="BJ6" s="94">
        <f>IF($A6="Baseline",'Emissions summary'!BG6,SUMIF('Net zero emission reductions'!$A$4:$A$1448,$A$6,'Net zero emission reductions'!AP$4:AP$1448))</f>
        <v>153.28338452635569</v>
      </c>
      <c r="BK6" s="94">
        <f>IF($A6="Baseline",'Emissions summary'!BH6,SUMIF('Net zero emission reductions'!$A$4:$A$1448,$A$6,'Net zero emission reductions'!AQ$4:AQ$1448))</f>
        <v>153.43175753073672</v>
      </c>
      <c r="BL6" s="94">
        <f>IF($A6="Baseline",'Emissions summary'!BI6,SUMIF('Net zero emission reductions'!$A$4:$A$1448,$A$6,'Net zero emission reductions'!AR$4:AR$1448))</f>
        <v>153.56756356691508</v>
      </c>
      <c r="BM6" s="94">
        <f>IF($A6="Baseline",'Emissions summary'!BJ6,SUMIF('Net zero emission reductions'!$A$4:$A$1448,$A$6,'Net zero emission reductions'!AS$4:AS$1448))</f>
        <v>153.69066543271052</v>
      </c>
      <c r="BN6" s="94">
        <f>IF($A6="Baseline",'Emissions summary'!BK6,SUMIF('Net zero emission reductions'!$A$4:$A$1448,$A$6,'Net zero emission reductions'!AT$4:AT$1448))</f>
        <v>153.80012109875778</v>
      </c>
      <c r="BO6" s="94">
        <f>IF($A6="Baseline",'Emissions summary'!BL6,SUMIF('Net zero emission reductions'!$A$4:$A$1448,$A$6,'Net zero emission reductions'!AU$4:AU$1448))</f>
        <v>153.89587777610615</v>
      </c>
      <c r="BP6" s="94">
        <f>IF($A6="Baseline",'Emissions summary'!BM6,SUMIF('Net zero emission reductions'!$A$4:$A$1448,$A$6,'Net zero emission reductions'!AV$4:AV$1448))</f>
        <v>153.97976795549522</v>
      </c>
      <c r="BQ6" s="94">
        <f>IF($A6="Baseline",'Emissions summary'!BN6,SUMIF('Net zero emission reductions'!$A$4:$A$1448,$A$6,'Net zero emission reductions'!AW$4:AW$1448))</f>
        <v>154.04089541215561</v>
      </c>
    </row>
    <row r="7" spans="1:75" x14ac:dyDescent="0.25">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37.504515885641091</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38.710452121917413</v>
      </c>
      <c r="AN7" s="94">
        <f>IF($A7="Baseline",'Emissions summary'!AK7,SUMIF('Net zero emission reductions'!$A$4:$A$1448,$A$7,'Net zero emission reductions'!T$4:T$1448))</f>
        <v>38.776995426212103</v>
      </c>
      <c r="AO7" s="94">
        <f>IF($A7="Baseline",'Emissions summary'!AL7,SUMIF('Net zero emission reductions'!$A$4:$A$1448,$A$7,'Net zero emission reductions'!U$4:U$1448))</f>
        <v>38.783452690562861</v>
      </c>
      <c r="AP7" s="94">
        <f>IF($A7="Baseline",'Emissions summary'!AM7,SUMIF('Net zero emission reductions'!$A$4:$A$1448,$A$7,'Net zero emission reductions'!V$4:V$1448))</f>
        <v>38.801206048608933</v>
      </c>
      <c r="AQ7" s="94">
        <f>IF($A7="Baseline",'Emissions summary'!AN7,SUMIF('Net zero emission reductions'!$A$4:$A$1448,$A$7,'Net zero emission reductions'!W$4:W$1448))</f>
        <v>38.879698472107385</v>
      </c>
      <c r="AR7" s="94">
        <f>IF($A7="Baseline",'Emissions summary'!AO7,SUMIF('Net zero emission reductions'!$A$4:$A$1448,$A$7,'Net zero emission reductions'!X$4:X$1448))</f>
        <v>38.995156438212767</v>
      </c>
      <c r="AS7" s="94">
        <f>IF($A7="Baseline",'Emissions summary'!AP7,SUMIF('Net zero emission reductions'!$A$4:$A$1448,$A$7,'Net zero emission reductions'!Y$4:Y$1448))</f>
        <v>39.104142665284733</v>
      </c>
      <c r="AT7" s="94">
        <f>IF($A7="Baseline",'Emissions summary'!AQ7,SUMIF('Net zero emission reductions'!$A$4:$A$1448,$A$7,'Net zero emission reductions'!Z$4:Z$1448))</f>
        <v>39.207169590949995</v>
      </c>
      <c r="AU7" s="94">
        <f>IF($A7="Baseline",'Emissions summary'!AR7,SUMIF('Net zero emission reductions'!$A$4:$A$1448,$A$7,'Net zero emission reductions'!AA$4:AA$1448))</f>
        <v>39.304289950195766</v>
      </c>
      <c r="AV7" s="94">
        <f>IF($A7="Baseline",'Emissions summary'!AS7,SUMIF('Net zero emission reductions'!$A$4:$A$1448,$A$7,'Net zero emission reductions'!AB$4:AB$1448))</f>
        <v>39.397513345346809</v>
      </c>
      <c r="AW7" s="94">
        <f>IF($A7="Baseline",'Emissions summary'!AT7,SUMIF('Net zero emission reductions'!$A$4:$A$1448,$A$7,'Net zero emission reductions'!AC$4:AC$1448))</f>
        <v>39.488238496110661</v>
      </c>
      <c r="AX7" s="94">
        <f>IF($A7="Baseline",'Emissions summary'!AU7,SUMIF('Net zero emission reductions'!$A$4:$A$1448,$A$7,'Net zero emission reductions'!AD$4:AD$1448))</f>
        <v>39.575724700092842</v>
      </c>
      <c r="AY7" s="94">
        <f>IF($A7="Baseline",'Emissions summary'!AV7,SUMIF('Net zero emission reductions'!$A$4:$A$1448,$A$7,'Net zero emission reductions'!AE$4:AE$1448))</f>
        <v>39.661285999197112</v>
      </c>
      <c r="AZ7" s="94">
        <f>IF($A7="Baseline",'Emissions summary'!AW7,SUMIF('Net zero emission reductions'!$A$4:$A$1448,$A$7,'Net zero emission reductions'!AF$4:AF$1448))</f>
        <v>39.744755156583402</v>
      </c>
      <c r="BA7" s="94">
        <f>IF($A7="Baseline",'Emissions summary'!AX7,SUMIF('Net zero emission reductions'!$A$4:$A$1448,$A$7,'Net zero emission reductions'!AG$4:AG$1448))</f>
        <v>39.825561030573652</v>
      </c>
      <c r="BB7" s="94">
        <f>IF($A7="Baseline",'Emissions summary'!AY7,SUMIF('Net zero emission reductions'!$A$4:$A$1448,$A$7,'Net zero emission reductions'!AH$4:AH$1448))</f>
        <v>39.904143411479787</v>
      </c>
      <c r="BC7" s="94">
        <f>IF($A7="Baseline",'Emissions summary'!AZ7,SUMIF('Net zero emission reductions'!$A$4:$A$1448,$A$7,'Net zero emission reductions'!AI$4:AI$1448))</f>
        <v>39.980662826035882</v>
      </c>
      <c r="BD7" s="94">
        <f>IF($A7="Baseline",'Emissions summary'!BA7,SUMIF('Net zero emission reductions'!$A$4:$A$1448,$A$7,'Net zero emission reductions'!AJ$4:AJ$1448))</f>
        <v>40.055455247621502</v>
      </c>
      <c r="BE7" s="94">
        <f>IF($A7="Baseline",'Emissions summary'!BB7,SUMIF('Net zero emission reductions'!$A$4:$A$1448,$A$7,'Net zero emission reductions'!AK$4:AK$1448))</f>
        <v>40.126201699289624</v>
      </c>
      <c r="BF7" s="94">
        <f>IF($A7="Baseline",'Emissions summary'!BC7,SUMIF('Net zero emission reductions'!$A$4:$A$1448,$A$7,'Net zero emission reductions'!AL$4:AL$1448))</f>
        <v>40.192885458392894</v>
      </c>
      <c r="BG7" s="94">
        <f>IF($A7="Baseline",'Emissions summary'!BD7,SUMIF('Net zero emission reductions'!$A$4:$A$1448,$A$7,'Net zero emission reductions'!AM$4:AM$1448))</f>
        <v>40.256241096217778</v>
      </c>
      <c r="BH7" s="94">
        <f>IF($A7="Baseline",'Emissions summary'!BE7,SUMIF('Net zero emission reductions'!$A$4:$A$1448,$A$7,'Net zero emission reductions'!AN$4:AN$1448))</f>
        <v>40.315796337737517</v>
      </c>
      <c r="BI7" s="94">
        <f>IF($A7="Baseline",'Emissions summary'!BF7,SUMIF('Net zero emission reductions'!$A$4:$A$1448,$A$7,'Net zero emission reductions'!AO$4:AO$1448))</f>
        <v>40.371728459905668</v>
      </c>
      <c r="BJ7" s="94">
        <f>IF($A7="Baseline",'Emissions summary'!BG7,SUMIF('Net zero emission reductions'!$A$4:$A$1448,$A$7,'Net zero emission reductions'!AP$4:AP$1448))</f>
        <v>40.423807363963917</v>
      </c>
      <c r="BK7" s="94">
        <f>IF($A7="Baseline",'Emissions summary'!BH7,SUMIF('Net zero emission reductions'!$A$4:$A$1448,$A$7,'Net zero emission reductions'!AQ$4:AQ$1448))</f>
        <v>40.471229187822296</v>
      </c>
      <c r="BL7" s="94">
        <f>IF($A7="Baseline",'Emissions summary'!BI7,SUMIF('Net zero emission reductions'!$A$4:$A$1448,$A$7,'Net zero emission reductions'!AR$4:AR$1448))</f>
        <v>40.513255500899547</v>
      </c>
      <c r="BM7" s="94">
        <f>IF($A7="Baseline",'Emissions summary'!BJ7,SUMIF('Net zero emission reductions'!$A$4:$A$1448,$A$7,'Net zero emission reductions'!AS$4:AS$1448))</f>
        <v>40.549889170562921</v>
      </c>
      <c r="BN7" s="94">
        <f>IF($A7="Baseline",'Emissions summary'!BK7,SUMIF('Net zero emission reductions'!$A$4:$A$1448,$A$7,'Net zero emission reductions'!AT$4:AT$1448))</f>
        <v>40.580829192896346</v>
      </c>
      <c r="BO7" s="94">
        <f>IF($A7="Baseline",'Emissions summary'!BL7,SUMIF('Net zero emission reductions'!$A$4:$A$1448,$A$7,'Net zero emission reductions'!AU$4:AU$1448))</f>
        <v>40.606106947795126</v>
      </c>
      <c r="BP7" s="94">
        <f>IF($A7="Baseline",'Emissions summary'!BM7,SUMIF('Net zero emission reductions'!$A$4:$A$1448,$A$7,'Net zero emission reductions'!AV$4:AV$1448))</f>
        <v>40.62645560719502</v>
      </c>
      <c r="BQ7" s="94">
        <f>IF($A7="Baseline",'Emissions summary'!BN7,SUMIF('Net zero emission reductions'!$A$4:$A$1448,$A$7,'Net zero emission reductions'!AW$4:AW$1448))</f>
        <v>40.637856109153176</v>
      </c>
    </row>
    <row r="8" spans="1:75" x14ac:dyDescent="0.25">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5.579523571019652</v>
      </c>
      <c r="AG8" s="27">
        <f>'Net zero emission reductions'!M1389</f>
        <v>5.6203482259438013</v>
      </c>
      <c r="AH8" s="27">
        <f>'Net zero emission reductions'!N1389</f>
        <v>5.629075655008374</v>
      </c>
      <c r="AI8" s="27">
        <f>'Net zero emission reductions'!O1389</f>
        <v>5.6165815405282276</v>
      </c>
      <c r="AJ8" s="27">
        <f>'Net zero emission reductions'!P1389</f>
        <v>5.5833231296706103</v>
      </c>
      <c r="AK8" s="27">
        <f>'Net zero emission reductions'!Q1389</f>
        <v>5.5648827699457346</v>
      </c>
      <c r="AL8" s="27">
        <f>'Net zero emission reductions'!R1389</f>
        <v>5.5483103177944031</v>
      </c>
      <c r="AM8" s="27">
        <f>'Net zero emission reductions'!S1389</f>
        <v>5.2971852508905934</v>
      </c>
      <c r="AN8" s="27">
        <f>'Net zero emission reductions'!T1389</f>
        <v>5.4545032105207021</v>
      </c>
      <c r="AO8" s="27">
        <f>'Net zero emission reductions'!U1389</f>
        <v>5.5329638064801401</v>
      </c>
      <c r="AP8" s="27">
        <f>'Net zero emission reductions'!V1389</f>
        <v>5.544813640469159</v>
      </c>
      <c r="AQ8" s="27">
        <f>'Net zero emission reductions'!W1389</f>
        <v>5.5552394312209037</v>
      </c>
      <c r="AR8" s="27">
        <f>'Net zero emission reductions'!X1389</f>
        <v>5.5805371243140618</v>
      </c>
      <c r="AS8" s="27">
        <f>'Net zero emission reductions'!Y1389</f>
        <v>5.6237182797404808</v>
      </c>
      <c r="AT8" s="27">
        <f>'Net zero emission reductions'!Z1389</f>
        <v>5.6758191216830927</v>
      </c>
      <c r="AU8" s="27">
        <f>'Net zero emission reductions'!AA1389</f>
        <v>5.7392036522982304</v>
      </c>
      <c r="AV8" s="27">
        <f>'Net zero emission reductions'!AB1389</f>
        <v>5.8209863133515896</v>
      </c>
      <c r="AW8" s="27">
        <f>'Net zero emission reductions'!AC1389</f>
        <v>5.9200988769206573</v>
      </c>
      <c r="AX8" s="27">
        <f>'Net zero emission reductions'!AD1389</f>
        <v>6.0298529321871719</v>
      </c>
      <c r="AY8" s="27">
        <f>'Net zero emission reductions'!AE1389</f>
        <v>6.1497995952254207</v>
      </c>
      <c r="AZ8" s="27">
        <f>'Net zero emission reductions'!AF1389</f>
        <v>6.2762315807434783</v>
      </c>
      <c r="BA8" s="27">
        <f>'Net zero emission reductions'!AG1389</f>
        <v>6.4109152413607369</v>
      </c>
      <c r="BB8" s="27">
        <f>'Net zero emission reductions'!AH1389</f>
        <v>6.552086974601302</v>
      </c>
      <c r="BC8" s="27">
        <f>'Net zero emission reductions'!AI1389</f>
        <v>6.6933077398392395</v>
      </c>
      <c r="BD8" s="27">
        <f>'Net zero emission reductions'!AJ1389</f>
        <v>6.8438679121481307</v>
      </c>
      <c r="BE8" s="27">
        <f>'Net zero emission reductions'!AK1389</f>
        <v>6.9980784680830306</v>
      </c>
      <c r="BF8" s="27">
        <f>'Net zero emission reductions'!AL1389</f>
        <v>7.1555200224058177</v>
      </c>
      <c r="BG8" s="27">
        <f>'Net zero emission reductions'!AM1389</f>
        <v>7.3189945558292679</v>
      </c>
      <c r="BH8" s="27">
        <f>'Net zero emission reductions'!AN1389</f>
        <v>7.4816205294730294</v>
      </c>
      <c r="BI8" s="27">
        <f>'Net zero emission reductions'!AO1389</f>
        <v>7.6530966093944661</v>
      </c>
      <c r="BJ8" s="27">
        <f>'Net zero emission reductions'!AP1389</f>
        <v>7.8370750081366163</v>
      </c>
      <c r="BK8" s="27">
        <f>'Net zero emission reductions'!AQ1389</f>
        <v>8.0278701064246079</v>
      </c>
      <c r="BL8" s="27">
        <f>'Net zero emission reductions'!AR1389</f>
        <v>8.2260903165664789</v>
      </c>
      <c r="BM8" s="27">
        <f>'Net zero emission reductions'!AS1389</f>
        <v>8.4385648916420113</v>
      </c>
      <c r="BN8" s="27">
        <f>'Net zero emission reductions'!AT1389</f>
        <v>8.6634503637197486</v>
      </c>
      <c r="BO8" s="27">
        <f>'Net zero emission reductions'!AU1389</f>
        <v>8.8995458740132776</v>
      </c>
      <c r="BP8" s="27">
        <f>'Net zero emission reductions'!AV1389</f>
        <v>9.151348341874078</v>
      </c>
      <c r="BQ8" s="27">
        <f>'Net zero emission reductions'!AW1389</f>
        <v>9.3946927055732683</v>
      </c>
    </row>
    <row r="9" spans="1:75" x14ac:dyDescent="0.25">
      <c r="A9" s="95" t="str">
        <f t="shared" si="2"/>
        <v>FSFAGSPQNIBDDSCM Mules&amp;Asses</v>
      </c>
      <c r="B9" s="95" t="str">
        <f t="shared" si="3"/>
        <v>FSFAGSPQNIBDDSCM</v>
      </c>
      <c r="C9" s="96" t="s">
        <v>1322</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5">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2.0846138094278075</v>
      </c>
      <c r="AH10" s="27">
        <f>SUM('Net zero emission reductions'!N1391:N1392)</f>
        <v>2.0654754572205229</v>
      </c>
      <c r="AI10" s="27">
        <f>SUM('Net zero emission reductions'!O1391:O1392)</f>
        <v>2.0342181138558559</v>
      </c>
      <c r="AJ10" s="27">
        <f>SUM('Net zero emission reductions'!P1391:P1392)</f>
        <v>1.9913414611083866</v>
      </c>
      <c r="AK10" s="27">
        <f>SUM('Net zero emission reductions'!Q1391:Q1392)</f>
        <v>1.9602082563146461</v>
      </c>
      <c r="AL10" s="27">
        <f>SUM('Net zero emission reductions'!R1391:R1392)</f>
        <v>1.9318299226197024</v>
      </c>
      <c r="AM10" s="27">
        <f>SUM('Net zero emission reductions'!S1391:S1392)</f>
        <v>1.7354010190920159</v>
      </c>
      <c r="AN10" s="27">
        <f>SUM('Net zero emission reductions'!T1391:T1392)</f>
        <v>1.8138217047090701</v>
      </c>
      <c r="AO10" s="27">
        <f>SUM('Net zero emission reductions'!U1391:U1392)</f>
        <v>1.8375306358278132</v>
      </c>
      <c r="AP10" s="27">
        <f>SUM('Net zero emission reductions'!V1391:V1392)</f>
        <v>1.8193959923732539</v>
      </c>
      <c r="AQ10" s="27">
        <f>SUM('Net zero emission reductions'!W1391:W1392)</f>
        <v>1.803446669881583</v>
      </c>
      <c r="AR10" s="27">
        <f>SUM('Net zero emission reductions'!X1391:X1392)</f>
        <v>1.7985175252106087</v>
      </c>
      <c r="AS10" s="27">
        <f>SUM('Net zero emission reductions'!Y1391:Y1392)</f>
        <v>1.8041802713040402</v>
      </c>
      <c r="AT10" s="27">
        <f>SUM('Net zero emission reductions'!Z1391:Z1392)</f>
        <v>1.8147276950935136</v>
      </c>
      <c r="AU10" s="27">
        <f>SUM('Net zero emission reductions'!AA1391:AA1392)</f>
        <v>1.8313631169891857</v>
      </c>
      <c r="AV10" s="27">
        <f>SUM('Net zero emission reductions'!AB1391:AB1392)</f>
        <v>1.8580862872731732</v>
      </c>
      <c r="AW10" s="27">
        <f>SUM('Net zero emission reductions'!AC1391:AC1392)</f>
        <v>1.893964192020382</v>
      </c>
      <c r="AX10" s="27">
        <f>SUM('Net zero emission reductions'!AD1391:AD1392)</f>
        <v>1.9347986450888484</v>
      </c>
      <c r="AY10" s="27">
        <f>SUM('Net zero emission reductions'!AE1391:AE1392)</f>
        <v>1.9801842816165383</v>
      </c>
      <c r="AZ10" s="27">
        <f>SUM('Net zero emission reductions'!AF1391:AF1392)</f>
        <v>2.0278508935963289</v>
      </c>
      <c r="BA10" s="27">
        <f>SUM('Net zero emission reductions'!AG1391:AG1392)</f>
        <v>2.0786171105121314</v>
      </c>
      <c r="BB10" s="27">
        <f>SUM('Net zero emission reductions'!AH1391:AH1392)</f>
        <v>2.1313887227130501</v>
      </c>
      <c r="BC10" s="27">
        <f>SUM('Net zero emission reductions'!AI1391:AI1392)</f>
        <v>2.1825998481678734</v>
      </c>
      <c r="BD10" s="27">
        <f>SUM('Net zero emission reductions'!AJ1391:AJ1392)</f>
        <v>2.2371979620944384</v>
      </c>
      <c r="BE10" s="27">
        <f>SUM('Net zero emission reductions'!AK1391:AK1392)</f>
        <v>2.2919049757078311</v>
      </c>
      <c r="BF10" s="27">
        <f>SUM('Net zero emission reductions'!AL1391:AL1392)</f>
        <v>2.346433660338374</v>
      </c>
      <c r="BG10" s="27">
        <f>SUM('Net zero emission reductions'!AM1391:AM1392)</f>
        <v>2.4021949577303787</v>
      </c>
      <c r="BH10" s="27">
        <f>SUM('Net zero emission reductions'!AN1391:AN1392)</f>
        <v>2.4555828905524559</v>
      </c>
      <c r="BI10" s="27">
        <f>SUM('Net zero emission reductions'!AO1391:AO1392)</f>
        <v>2.5114502464923003</v>
      </c>
      <c r="BJ10" s="27">
        <f>SUM('Net zero emission reductions'!AP1391:AP1392)</f>
        <v>2.5714075200302147</v>
      </c>
      <c r="BK10" s="27">
        <f>SUM('Net zero emission reductions'!AQ1391:AQ1392)</f>
        <v>2.6324126254923823</v>
      </c>
      <c r="BL10" s="27">
        <f>SUM('Net zero emission reductions'!AR1391:AR1392)</f>
        <v>2.69457771621104</v>
      </c>
      <c r="BM10" s="27">
        <f>SUM('Net zero emission reductions'!AS1391:AS1392)</f>
        <v>2.7609746004717697</v>
      </c>
      <c r="BN10" s="27">
        <f>SUM('Net zero emission reductions'!AT1391:AT1392)</f>
        <v>2.8304473874967662</v>
      </c>
      <c r="BO10" s="27">
        <f>SUM('Net zero emission reductions'!AU1391:AU1392)</f>
        <v>2.9022041805854424</v>
      </c>
      <c r="BP10" s="27">
        <f>SUM('Net zero emission reductions'!AV1391:AV1392)</f>
        <v>2.9781063893269555</v>
      </c>
      <c r="BQ10" s="27">
        <f>SUM('Net zero emission reductions'!AW1391:AW1392)</f>
        <v>3.046811627901123</v>
      </c>
    </row>
    <row r="11" spans="1:75" s="19" customFormat="1" ht="15.75" x14ac:dyDescent="0.25">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36.99429818142989</v>
      </c>
      <c r="AH11" s="40">
        <f t="shared" si="8"/>
        <v>36.867987271463186</v>
      </c>
      <c r="AI11" s="40">
        <f t="shared" si="8"/>
        <v>36.560879511524725</v>
      </c>
      <c r="AJ11" s="40">
        <f t="shared" si="8"/>
        <v>36.078165266151387</v>
      </c>
      <c r="AK11" s="40">
        <f t="shared" si="8"/>
        <v>35.76940684907337</v>
      </c>
      <c r="AL11" s="40">
        <f t="shared" si="8"/>
        <v>35.500627316217205</v>
      </c>
      <c r="AM11" s="40">
        <f t="shared" si="8"/>
        <v>32.631518382984474</v>
      </c>
      <c r="AN11" s="40">
        <f t="shared" si="8"/>
        <v>33.959274155101461</v>
      </c>
      <c r="AO11" s="40">
        <f t="shared" si="8"/>
        <v>34.450867395739522</v>
      </c>
      <c r="AP11" s="40">
        <f t="shared" si="8"/>
        <v>34.301639592365419</v>
      </c>
      <c r="AQ11" s="40">
        <f t="shared" si="8"/>
        <v>34.191200397815606</v>
      </c>
      <c r="AR11" s="40">
        <f t="shared" si="8"/>
        <v>34.255153539363093</v>
      </c>
      <c r="AS11" s="40">
        <f t="shared" si="8"/>
        <v>34.484465367224118</v>
      </c>
      <c r="AT11" s="40">
        <f t="shared" si="8"/>
        <v>34.791785863114313</v>
      </c>
      <c r="AU11" s="40">
        <f t="shared" si="8"/>
        <v>35.197208631984161</v>
      </c>
      <c r="AV11" s="40">
        <f t="shared" si="8"/>
        <v>35.765723755877872</v>
      </c>
      <c r="AW11" s="40">
        <f t="shared" si="8"/>
        <v>36.484883707896991</v>
      </c>
      <c r="AX11" s="40">
        <f t="shared" si="8"/>
        <v>37.290302895607155</v>
      </c>
      <c r="AY11" s="40">
        <f t="shared" si="8"/>
        <v>38.176202700425954</v>
      </c>
      <c r="AZ11" s="40">
        <f t="shared" si="8"/>
        <v>39.107109580328427</v>
      </c>
      <c r="BA11" s="40">
        <f t="shared" si="8"/>
        <v>40.096943708371356</v>
      </c>
      <c r="BB11" s="40">
        <f t="shared" si="8"/>
        <v>41.128845165174752</v>
      </c>
      <c r="BC11" s="40">
        <f t="shared" si="8"/>
        <v>42.145161363170644</v>
      </c>
      <c r="BD11" s="40">
        <f t="shared" si="8"/>
        <v>43.227175070353873</v>
      </c>
      <c r="BE11" s="40">
        <f t="shared" si="8"/>
        <v>44.321513123322475</v>
      </c>
      <c r="BF11" s="40">
        <f t="shared" si="8"/>
        <v>45.423705029238896</v>
      </c>
      <c r="BG11" s="40">
        <f t="shared" si="8"/>
        <v>46.557617894459199</v>
      </c>
      <c r="BH11" s="40">
        <f t="shared" si="8"/>
        <v>47.662688219945373</v>
      </c>
      <c r="BI11" s="40">
        <f t="shared" si="8"/>
        <v>48.821010196875378</v>
      </c>
      <c r="BJ11" s="40">
        <f t="shared" si="8"/>
        <v>50.060774203739101</v>
      </c>
      <c r="BK11" s="40">
        <f t="shared" si="8"/>
        <v>51.331506627087172</v>
      </c>
      <c r="BL11" s="40">
        <f t="shared" si="8"/>
        <v>52.635686740072728</v>
      </c>
      <c r="BM11" s="40">
        <f t="shared" si="8"/>
        <v>54.026834981305626</v>
      </c>
      <c r="BN11" s="40">
        <f t="shared" si="8"/>
        <v>55.486494877685857</v>
      </c>
      <c r="BO11" s="40">
        <f t="shared" si="8"/>
        <v>57.002207385938966</v>
      </c>
      <c r="BP11" s="40">
        <f t="shared" si="8"/>
        <v>58.607702907511438</v>
      </c>
      <c r="BQ11" s="40">
        <f t="shared" si="8"/>
        <v>60.10498700380807</v>
      </c>
      <c r="BT11"/>
    </row>
    <row r="12" spans="1:75" x14ac:dyDescent="0.25">
      <c r="A12" s="95" t="str">
        <f t="shared" si="2"/>
        <v>FSFAGSPQNIBDDSCM Cattle MMCH4</v>
      </c>
      <c r="B12" s="95" t="str">
        <f t="shared" ref="B12:B18" si="9">$B$5</f>
        <v>FSFAGSPQNIBDDSCM</v>
      </c>
      <c r="C12" s="95" t="s">
        <v>1228</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10.545353922906072</v>
      </c>
      <c r="AN12" s="94">
        <f>IF($A12="Baseline",'Emissions summary'!AK12,SUMIF('Net zero emission reductions'!$A$4:$A$1448,$A$12,'Net zero emission reductions'!T$4:T$1448))</f>
        <v>10.789110381942317</v>
      </c>
      <c r="AO12" s="94">
        <f>IF($A12="Baseline",'Emissions summary'!AL12,SUMIF('Net zero emission reductions'!$A$4:$A$1448,$A$12,'Net zero emission reductions'!U$4:U$1448))</f>
        <v>10.912591793209609</v>
      </c>
      <c r="AP12" s="94">
        <f>IF($A12="Baseline",'Emissions summary'!AM12,SUMIF('Net zero emission reductions'!$A$4:$A$1448,$A$12,'Net zero emission reductions'!V$4:V$1448))</f>
        <v>10.947108353465719</v>
      </c>
      <c r="AQ12" s="94">
        <f>IF($A12="Baseline",'Emissions summary'!AN12,SUMIF('Net zero emission reductions'!$A$4:$A$1448,$A$12,'Net zero emission reductions'!W$4:W$1448))</f>
        <v>10.993448514778068</v>
      </c>
      <c r="AR12" s="94">
        <f>IF($A12="Baseline",'Emissions summary'!AO12,SUMIF('Net zero emission reductions'!$A$4:$A$1448,$A$12,'Net zero emission reductions'!X$4:X$1448))</f>
        <v>11.069190787339927</v>
      </c>
      <c r="AS12" s="94">
        <f>IF($A12="Baseline",'Emissions summary'!AP12,SUMIF('Net zero emission reductions'!$A$4:$A$1448,$A$12,'Net zero emission reductions'!Y$4:Y$1448))</f>
        <v>11.169145914100731</v>
      </c>
      <c r="AT12" s="94">
        <f>IF($A12="Baseline",'Emissions summary'!AQ12,SUMIF('Net zero emission reductions'!$A$4:$A$1448,$A$12,'Net zero emission reductions'!Z$4:Z$1448))</f>
        <v>11.281119680153814</v>
      </c>
      <c r="AU12" s="94">
        <f>IF($A12="Baseline",'Emissions summary'!AR12,SUMIF('Net zero emission reductions'!$A$4:$A$1448,$A$12,'Net zero emission reductions'!AA$4:AA$1448))</f>
        <v>11.408638241280499</v>
      </c>
      <c r="AV12" s="94">
        <f>IF($A12="Baseline",'Emissions summary'!AS12,SUMIF('Net zero emission reductions'!$A$4:$A$1448,$A$12,'Net zero emission reductions'!AB$4:AB$1448))</f>
        <v>11.562537824194667</v>
      </c>
      <c r="AW12" s="94">
        <f>IF($A12="Baseline",'Emissions summary'!AT12,SUMIF('Net zero emission reductions'!$A$4:$A$1448,$A$12,'Net zero emission reductions'!AC$4:AC$1448))</f>
        <v>11.741951151312151</v>
      </c>
      <c r="AX12" s="94">
        <f>IF($A12="Baseline",'Emissions summary'!AU12,SUMIF('Net zero emission reductions'!$A$4:$A$1448,$A$12,'Net zero emission reductions'!AD$4:AD$1448))</f>
        <v>11.938080610563796</v>
      </c>
      <c r="AY12" s="94">
        <f>IF($A12="Baseline",'Emissions summary'!AV12,SUMIF('Net zero emission reductions'!$A$4:$A$1448,$A$12,'Net zero emission reductions'!AE$4:AE$1448))</f>
        <v>12.150106653424354</v>
      </c>
      <c r="AZ12" s="94">
        <f>IF($A12="Baseline",'Emissions summary'!AW12,SUMIF('Net zero emission reductions'!$A$4:$A$1448,$A$12,'Net zero emission reductions'!AF$4:AF$1448))</f>
        <v>12.372745121832862</v>
      </c>
      <c r="BA12" s="94">
        <f>IF($A12="Baseline",'Emissions summary'!AX12,SUMIF('Net zero emission reductions'!$A$4:$A$1448,$A$12,'Net zero emission reductions'!AG$4:AG$1448))</f>
        <v>12.608504326688797</v>
      </c>
      <c r="BB12" s="94">
        <f>IF($A12="Baseline",'Emissions summary'!AY12,SUMIF('Net zero emission reductions'!$A$4:$A$1448,$A$12,'Net zero emission reductions'!AH$4:AH$1448))</f>
        <v>12.855008730894999</v>
      </c>
      <c r="BC12" s="94">
        <f>IF($A12="Baseline",'Emissions summary'!AZ12,SUMIF('Net zero emission reductions'!$A$4:$A$1448,$A$12,'Net zero emission reductions'!AI$4:AI$1448))</f>
        <v>13.102883193080231</v>
      </c>
      <c r="BD12" s="94">
        <f>IF($A12="Baseline",'Emissions summary'!BA12,SUMIF('Net zero emission reductions'!$A$4:$A$1448,$A$12,'Net zero emission reductions'!AJ$4:AJ$1448))</f>
        <v>13.36591428269535</v>
      </c>
      <c r="BE12" s="94">
        <f>IF($A12="Baseline",'Emissions summary'!BB12,SUMIF('Net zero emission reductions'!$A$4:$A$1448,$A$12,'Net zero emission reductions'!AK$4:AK$1448))</f>
        <v>13.635106458756464</v>
      </c>
      <c r="BF12" s="94">
        <f>IF($A12="Baseline",'Emissions summary'!BC12,SUMIF('Net zero emission reductions'!$A$4:$A$1448,$A$12,'Net zero emission reductions'!AL$4:AL$1448))</f>
        <v>13.909803024888964</v>
      </c>
      <c r="BG12" s="94">
        <f>IF($A12="Baseline",'Emissions summary'!BD12,SUMIF('Net zero emission reductions'!$A$4:$A$1448,$A$12,'Net zero emission reductions'!AM$4:AM$1448))</f>
        <v>14.194372922686513</v>
      </c>
      <c r="BH12" s="94">
        <f>IF($A12="Baseline",'Emissions summary'!BE12,SUMIF('Net zero emission reductions'!$A$4:$A$1448,$A$12,'Net zero emission reductions'!AN$4:AN$1448))</f>
        <v>14.477718996113421</v>
      </c>
      <c r="BI12" s="94">
        <f>IF($A12="Baseline",'Emissions summary'!BF12,SUMIF('Net zero emission reductions'!$A$4:$A$1448,$A$12,'Net zero emission reductions'!AO$4:AO$1448))</f>
        <v>14.77496109424578</v>
      </c>
      <c r="BJ12" s="94">
        <f>IF($A12="Baseline",'Emissions summary'!BG12,SUMIF('Net zero emission reductions'!$A$4:$A$1448,$A$12,'Net zero emission reductions'!AP$4:AP$1448))</f>
        <v>15.091556791024473</v>
      </c>
      <c r="BK12" s="94">
        <f>IF($A12="Baseline",'Emissions summary'!BH12,SUMIF('Net zero emission reductions'!$A$4:$A$1448,$A$12,'Net zero emission reductions'!AQ$4:AQ$1448))</f>
        <v>15.418707075555014</v>
      </c>
      <c r="BL12" s="94">
        <f>IF($A12="Baseline",'Emissions summary'!BI12,SUMIF('Net zero emission reductions'!$A$4:$A$1448,$A$12,'Net zero emission reductions'!AR$4:AR$1448))</f>
        <v>15.75704058090828</v>
      </c>
      <c r="BM12" s="94">
        <f>IF($A12="Baseline",'Emissions summary'!BJ12,SUMIF('Net zero emission reductions'!$A$4:$A$1448,$A$12,'Net zero emission reductions'!AS$4:AS$1448))</f>
        <v>16.116854146493917</v>
      </c>
      <c r="BN12" s="94">
        <f>IF($A12="Baseline",'Emissions summary'!BK12,SUMIF('Net zero emission reductions'!$A$4:$A$1448,$A$12,'Net zero emission reductions'!AT$4:AT$1448))</f>
        <v>16.495220037575837</v>
      </c>
      <c r="BO12" s="94">
        <f>IF($A12="Baseline",'Emissions summary'!BL12,SUMIF('Net zero emission reductions'!$A$4:$A$1448,$A$12,'Net zero emission reductions'!AU$4:AU$1448))</f>
        <v>16.890255701061655</v>
      </c>
      <c r="BP12" s="94">
        <f>IF($A12="Baseline",'Emissions summary'!BM12,SUMIF('Net zero emission reductions'!$A$4:$A$1448,$A$12,'Net zero emission reductions'!AV$4:AV$1448))</f>
        <v>17.308996658415484</v>
      </c>
      <c r="BQ12" s="94">
        <f>IF($A12="Baseline",'Emissions summary'!BN12,SUMIF('Net zero emission reductions'!$A$4:$A$1448,$A$12,'Net zero emission reductions'!AW$4:AW$1448))</f>
        <v>17.71294382748448</v>
      </c>
    </row>
    <row r="13" spans="1:75" x14ac:dyDescent="0.25">
      <c r="A13" s="95" t="str">
        <f t="shared" si="2"/>
        <v>FSFAGSPQNIBDDSCM Sheep MMCH4</v>
      </c>
      <c r="B13" s="95" t="str">
        <f t="shared" si="9"/>
        <v>FSFAGSPQNIBDDSCM</v>
      </c>
      <c r="C13" s="96" t="s">
        <v>1323</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4.0755234479592478E-2</v>
      </c>
      <c r="AN13" s="27">
        <f>SUM('Net zero emission reductions'!T1399:T1400)</f>
        <v>4.0784569254522111E-2</v>
      </c>
      <c r="AO13" s="27">
        <f>SUM('Net zero emission reductions'!U1399:U1400)</f>
        <v>4.0774255772441273E-2</v>
      </c>
      <c r="AP13" s="27">
        <f>SUM('Net zero emission reductions'!V1399:V1400)</f>
        <v>4.0773513283992084E-2</v>
      </c>
      <c r="AQ13" s="27">
        <f>SUM('Net zero emission reductions'!W1399:W1400)</f>
        <v>4.0816762135494844E-2</v>
      </c>
      <c r="AR13" s="27">
        <f>SUM('Net zero emission reductions'!X1399:X1400)</f>
        <v>4.08875428659526E-2</v>
      </c>
      <c r="AS13" s="27">
        <f>SUM('Net zero emission reductions'!Y1399:Y1400)</f>
        <v>4.0955457762103027E-2</v>
      </c>
      <c r="AT13" s="27">
        <f>SUM('Net zero emission reductions'!Z1399:Z1400)</f>
        <v>4.1020725931495278E-2</v>
      </c>
      <c r="AU13" s="27">
        <f>SUM('Net zero emission reductions'!AA1399:AA1400)</f>
        <v>4.1083258299893281E-2</v>
      </c>
      <c r="AV13" s="27">
        <f>SUM('Net zero emission reductions'!AB1399:AB1400)</f>
        <v>4.1144358027522213E-2</v>
      </c>
      <c r="AW13" s="27">
        <f>SUM('Net zero emission reductions'!AC1399:AC1400)</f>
        <v>4.1204917621122716E-2</v>
      </c>
      <c r="AX13" s="27">
        <f>SUM('Net zero emission reductions'!AD1399:AD1400)</f>
        <v>4.1264329443113541E-2</v>
      </c>
      <c r="AY13" s="27">
        <f>SUM('Net zero emission reductions'!AE1399:AE1400)</f>
        <v>4.1323447738575429E-2</v>
      </c>
      <c r="AZ13" s="27">
        <f>SUM('Net zero emission reductions'!AF1399:AF1400)</f>
        <v>4.1382086273451399E-2</v>
      </c>
      <c r="BA13" s="27">
        <f>SUM('Net zero emission reductions'!AG1399:AG1400)</f>
        <v>4.1439775198944401E-2</v>
      </c>
      <c r="BB13" s="27">
        <f>SUM('Net zero emission reductions'!AH1399:AH1400)</f>
        <v>4.1496768503461415E-2</v>
      </c>
      <c r="BC13" s="27">
        <f>SUM('Net zero emission reductions'!AI1399:AI1400)</f>
        <v>4.15531270069961E-2</v>
      </c>
      <c r="BD13" s="27">
        <f>SUM('Net zero emission reductions'!AJ1399:AJ1400)</f>
        <v>4.1609042043419378E-2</v>
      </c>
      <c r="BE13" s="27">
        <f>SUM('Net zero emission reductions'!AK1399:AK1400)</f>
        <v>4.1662802723891203E-2</v>
      </c>
      <c r="BF13" s="27">
        <f>SUM('Net zero emission reductions'!AL1399:AL1400)</f>
        <v>4.1714346149492418E-2</v>
      </c>
      <c r="BG13" s="27">
        <f>SUM('Net zero emission reductions'!AM1399:AM1400)</f>
        <v>4.1764154049379394E-2</v>
      </c>
      <c r="BH13" s="27">
        <f>SUM('Net zero emission reductions'!AN1399:AN1400)</f>
        <v>4.1811842897439819E-2</v>
      </c>
      <c r="BI13" s="27">
        <f>SUM('Net zero emission reductions'!AO1399:AO1400)</f>
        <v>4.1857499204976785E-2</v>
      </c>
      <c r="BJ13" s="27">
        <f>SUM('Net zero emission reductions'!AP1399:AP1400)</f>
        <v>4.1900917335145685E-2</v>
      </c>
      <c r="BK13" s="27">
        <f>SUM('Net zero emission reductions'!AQ1399:AQ1400)</f>
        <v>4.1941475971103176E-2</v>
      </c>
      <c r="BL13" s="27">
        <f>SUM('Net zero emission reductions'!AR1399:AR1400)</f>
        <v>4.1978599352173518E-2</v>
      </c>
      <c r="BM13" s="27">
        <f>SUM('Net zero emission reductions'!AS1399:AS1400)</f>
        <v>4.2012249973331403E-2</v>
      </c>
      <c r="BN13" s="27">
        <f>SUM('Net zero emission reductions'!AT1399:AT1400)</f>
        <v>4.2042170325293116E-2</v>
      </c>
      <c r="BO13" s="27">
        <f>SUM('Net zero emission reductions'!AU1399:AU1400)</f>
        <v>4.2068345977887556E-2</v>
      </c>
      <c r="BP13" s="27">
        <f>SUM('Net zero emission reductions'!AV1399:AV1400)</f>
        <v>4.2091277853267745E-2</v>
      </c>
      <c r="BQ13" s="27">
        <f>SUM('Net zero emission reductions'!AW1399:AW1400)</f>
        <v>4.2107987404119258E-2</v>
      </c>
    </row>
    <row r="14" spans="1:75" x14ac:dyDescent="0.25">
      <c r="A14" s="95" t="str">
        <f t="shared" si="2"/>
        <v>FSFAGSPQNIBDDSCM Goats MMCH4</v>
      </c>
      <c r="B14" s="95" t="str">
        <f t="shared" si="9"/>
        <v>FSFAGSPQNIBDDSCM</v>
      </c>
      <c r="C14" s="96" t="s">
        <v>1324</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4.2381891563828093E-2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4.3565554612885068E-2</v>
      </c>
      <c r="AL14" s="27">
        <f>SUM('Net zero emission reductions'!R1401:R1402)</f>
        <v>4.3852181920952263E-2</v>
      </c>
      <c r="AM14" s="27">
        <f>SUM('Net zero emission reductions'!S1401:S1402)</f>
        <v>4.3744657022649056E-2</v>
      </c>
      <c r="AN14" s="27">
        <f>SUM('Net zero emission reductions'!T1401:T1402)</f>
        <v>4.3819854129992508E-2</v>
      </c>
      <c r="AO14" s="27">
        <f>SUM('Net zero emission reductions'!U1401:U1402)</f>
        <v>4.3827151146659707E-2</v>
      </c>
      <c r="AP14" s="27">
        <f>SUM('Net zero emission reductions'!V1401:V1402)</f>
        <v>4.3847213287920156E-2</v>
      </c>
      <c r="AQ14" s="27">
        <f>SUM('Net zero emission reductions'!W1401:W1402)</f>
        <v>4.3935913469824575E-2</v>
      </c>
      <c r="AR14" s="27">
        <f>SUM('Net zero emission reductions'!X1401:X1402)</f>
        <v>4.4066386477783909E-2</v>
      </c>
      <c r="AS14" s="27">
        <f>SUM('Net zero emission reductions'!Y1401:Y1402)</f>
        <v>4.4189546111994341E-2</v>
      </c>
      <c r="AT14" s="27">
        <f>SUM('Net zero emission reductions'!Z1401:Z1402)</f>
        <v>4.4305971451412504E-2</v>
      </c>
      <c r="AU14" s="27">
        <f>SUM('Net zero emission reductions'!AA1401:AA1402)</f>
        <v>4.4415722089088921E-2</v>
      </c>
      <c r="AV14" s="27">
        <f>SUM('Net zero emission reductions'!AB1401:AB1402)</f>
        <v>4.4521068971489705E-2</v>
      </c>
      <c r="AW14" s="27">
        <f>SUM('Net zero emission reductions'!AC1401:AC1402)</f>
        <v>4.4623592718590198E-2</v>
      </c>
      <c r="AX14" s="27">
        <f>SUM('Net zero emission reductions'!AD1401:AD1402)</f>
        <v>4.4722456301360056E-2</v>
      </c>
      <c r="AY14" s="27">
        <f>SUM('Net zero emission reductions'!AE1401:AE1402)</f>
        <v>4.4819144649818003E-2</v>
      </c>
      <c r="AZ14" s="27">
        <f>SUM('Net zero emission reductions'!AF1401:AF1402)</f>
        <v>4.4913468778359125E-2</v>
      </c>
      <c r="BA14" s="27">
        <f>SUM('Net zero emission reductions'!AG1401:AG1402)</f>
        <v>4.5004783269649129E-2</v>
      </c>
      <c r="BB14" s="27">
        <f>SUM('Net zero emission reductions'!AH1401:AH1402)</f>
        <v>4.509358510771435E-2</v>
      </c>
      <c r="BC14" s="27">
        <f>SUM('Net zero emission reductions'!AI1401:AI1402)</f>
        <v>4.5180055695419913E-2</v>
      </c>
      <c r="BD14" s="27">
        <f>SUM('Net zero emission reductions'!AJ1401:AJ1402)</f>
        <v>4.526457469870751E-2</v>
      </c>
      <c r="BE14" s="27">
        <f>SUM('Net zero emission reductions'!AK1401:AK1402)</f>
        <v>4.5344521563033563E-2</v>
      </c>
      <c r="BF14" s="27">
        <f>SUM('Net zero emission reductions'!AL1401:AL1402)</f>
        <v>4.5419877391009084E-2</v>
      </c>
      <c r="BG14" s="27">
        <f>SUM('Net zero emission reductions'!AM1401:AM1402)</f>
        <v>4.5491472283219897E-2</v>
      </c>
      <c r="BH14" s="27">
        <f>SUM('Net zero emission reductions'!AN1401:AN1402)</f>
        <v>4.5558772546362696E-2</v>
      </c>
      <c r="BI14" s="27">
        <f>SUM('Net zero emission reductions'!AO1401:AO1402)</f>
        <v>4.5621978511849466E-2</v>
      </c>
      <c r="BJ14" s="27">
        <f>SUM('Net zero emission reductions'!AP1401:AP1402)</f>
        <v>4.568083015710972E-2</v>
      </c>
      <c r="BK14" s="27">
        <f>SUM('Net zero emission reductions'!AQ1401:AQ1402)</f>
        <v>4.5734419079645164E-2</v>
      </c>
      <c r="BL14" s="27">
        <f>SUM('Net zero emission reductions'!AR1401:AR1402)</f>
        <v>4.578191081768275E-2</v>
      </c>
      <c r="BM14" s="27">
        <f>SUM('Net zero emission reductions'!AS1401:AS1402)</f>
        <v>4.5823308611484231E-2</v>
      </c>
      <c r="BN14" s="27">
        <f>SUM('Net zero emission reductions'!AT1401:AT1402)</f>
        <v>4.5858272312269382E-2</v>
      </c>
      <c r="BO14" s="27">
        <f>SUM('Net zero emission reductions'!AU1401:AU1402)</f>
        <v>4.5886837380816441E-2</v>
      </c>
      <c r="BP14" s="27">
        <f>SUM('Net zero emission reductions'!AV1401:AV1402)</f>
        <v>4.5909832336378187E-2</v>
      </c>
      <c r="BQ14" s="27">
        <f>SUM('Net zero emission reductions'!AW1401:AW1402)</f>
        <v>4.5922715447287744E-2</v>
      </c>
    </row>
    <row r="15" spans="1:75" x14ac:dyDescent="0.25">
      <c r="A15" s="95" t="str">
        <f t="shared" si="2"/>
        <v>FSFAGSPQNIBDDSCM Horses MMCH4</v>
      </c>
      <c r="B15" s="95" t="str">
        <f t="shared" si="9"/>
        <v>FSFAGSPQNIBDDSCM</v>
      </c>
      <c r="C15" s="96" t="s">
        <v>1325</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4.1536453250924079E-3</v>
      </c>
      <c r="AG15" s="27">
        <f>'Net zero emission reductions'!M1403</f>
        <v>4.1840370126470525E-3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4.130408792135833E-3</v>
      </c>
      <c r="AM15" s="27">
        <f>'Net zero emission reductions'!S1403</f>
        <v>3.9434601312185527E-3</v>
      </c>
      <c r="AN15" s="27">
        <f>'Net zero emission reductions'!T1403</f>
        <v>4.0605746122765228E-3</v>
      </c>
      <c r="AO15" s="27">
        <f>'Net zero emission reductions'!U1403</f>
        <v>4.1189841670463273E-3</v>
      </c>
      <c r="AP15" s="27">
        <f>'Net zero emission reductions'!V1403</f>
        <v>4.1278057101270405E-3</v>
      </c>
      <c r="AQ15" s="27">
        <f>'Net zero emission reductions'!W1403</f>
        <v>4.1355671321311174E-3</v>
      </c>
      <c r="AR15" s="27">
        <f>'Net zero emission reductions'!X1403</f>
        <v>4.1543998592115791E-3</v>
      </c>
      <c r="AS15" s="27">
        <f>'Net zero emission reductions'!Y1403</f>
        <v>4.1865458304734694E-3</v>
      </c>
      <c r="AT15" s="27">
        <f>'Net zero emission reductions'!Z1403</f>
        <v>4.2253320128085251E-3</v>
      </c>
      <c r="AU15" s="27">
        <f>'Net zero emission reductions'!AA1403</f>
        <v>4.272518274488683E-3</v>
      </c>
      <c r="AV15" s="27">
        <f>'Net zero emission reductions'!AB1403</f>
        <v>4.3334009221617396E-3</v>
      </c>
      <c r="AW15" s="27">
        <f>'Net zero emission reductions'!AC1403</f>
        <v>4.4071847194853781E-3</v>
      </c>
      <c r="AX15" s="27">
        <f>'Net zero emission reductions'!AD1403</f>
        <v>4.4888905161837847E-3</v>
      </c>
      <c r="AY15" s="27">
        <f>'Net zero emission reductions'!AE1403</f>
        <v>4.5781841431122572E-3</v>
      </c>
      <c r="AZ15" s="27">
        <f>'Net zero emission reductions'!AF1403</f>
        <v>4.6723057323312554E-3</v>
      </c>
      <c r="BA15" s="27">
        <f>'Net zero emission reductions'!AG1403</f>
        <v>4.7725702352352153E-3</v>
      </c>
      <c r="BB15" s="27">
        <f>'Net zero emission reductions'!AH1403</f>
        <v>4.8776647477587476E-3</v>
      </c>
      <c r="BC15" s="27">
        <f>'Net zero emission reductions'!AI1403</f>
        <v>4.9827957618803235E-3</v>
      </c>
      <c r="BD15" s="27">
        <f>'Net zero emission reductions'!AJ1403</f>
        <v>5.0948794457102743E-3</v>
      </c>
      <c r="BE15" s="27">
        <f>'Net zero emission reductions'!AK1403</f>
        <v>5.2096806373507004E-3</v>
      </c>
      <c r="BF15" s="27">
        <f>'Net zero emission reductions'!AL1403</f>
        <v>5.326887127790998E-3</v>
      </c>
      <c r="BG15" s="27">
        <f>'Net zero emission reductions'!AM1403</f>
        <v>5.4485848360062324E-3</v>
      </c>
      <c r="BH15" s="27">
        <f>'Net zero emission reductions'!AN1403</f>
        <v>5.5696508386077004E-3</v>
      </c>
      <c r="BI15" s="27">
        <f>'Net zero emission reductions'!AO1403</f>
        <v>5.6973052536603251E-3</v>
      </c>
      <c r="BJ15" s="27">
        <f>'Net zero emission reductions'!AP1403</f>
        <v>5.8342669505017037E-3</v>
      </c>
      <c r="BK15" s="27">
        <f>'Net zero emission reductions'!AQ1403</f>
        <v>5.9763033014494302E-3</v>
      </c>
      <c r="BL15" s="27">
        <f>'Net zero emission reductions'!AR1403</f>
        <v>6.1238672356661557E-3</v>
      </c>
      <c r="BM15" s="27">
        <f>'Net zero emission reductions'!AS1403</f>
        <v>6.2820427526668306E-3</v>
      </c>
      <c r="BN15" s="27">
        <f>'Net zero emission reductions'!AT1403</f>
        <v>6.4494574929913678E-3</v>
      </c>
      <c r="BO15" s="27">
        <f>'Net zero emission reductions'!AU1403</f>
        <v>6.6252174839876625E-3</v>
      </c>
      <c r="BP15" s="27">
        <f>'Net zero emission reductions'!AV1403</f>
        <v>6.8126704322840365E-3</v>
      </c>
      <c r="BQ15" s="27">
        <f>'Net zero emission reductions'!AW1403</f>
        <v>6.9938267919267671E-3</v>
      </c>
    </row>
    <row r="16" spans="1:75" x14ac:dyDescent="0.25">
      <c r="A16" s="95" t="str">
        <f t="shared" si="2"/>
        <v>FSFAGSPQNIBDDSCM Mules MM CH4</v>
      </c>
      <c r="B16" s="95" t="str">
        <f t="shared" si="9"/>
        <v>FSFAGSPQNIBDDSCM</v>
      </c>
      <c r="C16" s="96" t="s">
        <v>1333</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5">
      <c r="A17" s="95" t="str">
        <f t="shared" si="2"/>
        <v>FSFAGSPQNIBDDSCM Swine MMCH4</v>
      </c>
      <c r="B17" s="95" t="str">
        <f t="shared" si="9"/>
        <v>FSFAGSPQNIBDDSCM</v>
      </c>
      <c r="C17" s="96" t="s">
        <v>1229</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22.678619791645822</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21.853515832253052</v>
      </c>
      <c r="AL17" s="94">
        <f>IF($A17="Baseline",'Emissions summary'!AI17,SUMIF('Net zero emission reductions'!$A$4:$A$1448,$A$17,'Net zero emission reductions'!R$4:R$1448))</f>
        <v>21.53713803785411</v>
      </c>
      <c r="AM17" s="94">
        <f>IF($A17="Baseline",'Emissions summary'!AJ17,SUMIF('Net zero emission reductions'!$A$4:$A$1448,$A$17,'Net zero emission reductions'!S$4:S$1448))</f>
        <v>19.347236970288485</v>
      </c>
      <c r="AN17" s="94">
        <f>IF($A17="Baseline",'Emissions summary'!AK17,SUMIF('Net zero emission reductions'!$A$4:$A$1448,$A$17,'Net zero emission reductions'!T$4:T$1448))</f>
        <v>20.221515348204544</v>
      </c>
      <c r="AO17" s="94">
        <f>IF($A17="Baseline",'Emissions summary'!AL17,SUMIF('Net zero emission reductions'!$A$4:$A$1448,$A$17,'Net zero emission reductions'!U$4:U$1448))</f>
        <v>20.485835988575356</v>
      </c>
      <c r="AP17" s="94">
        <f>IF($A17="Baseline",'Emissions summary'!AM17,SUMIF('Net zero emission reductions'!$A$4:$A$1448,$A$17,'Net zero emission reductions'!V$4:V$1448))</f>
        <v>20.283660675534101</v>
      </c>
      <c r="AQ17" s="94">
        <f>IF($A17="Baseline",'Emissions summary'!AN17,SUMIF('Net zero emission reductions'!$A$4:$A$1448,$A$17,'Net zero emission reductions'!W$4:W$1448))</f>
        <v>20.105848562733019</v>
      </c>
      <c r="AR17" s="94">
        <f>IF($A17="Baseline",'Emissions summary'!AO17,SUMIF('Net zero emission reductions'!$A$4:$A$1448,$A$17,'Net zero emission reductions'!X$4:X$1448))</f>
        <v>20.050895656193823</v>
      </c>
      <c r="AS17" s="94">
        <f>IF($A17="Baseline",'Emissions summary'!AP17,SUMIF('Net zero emission reductions'!$A$4:$A$1448,$A$17,'Net zero emission reductions'!Y$4:Y$1448))</f>
        <v>20.114027168372793</v>
      </c>
      <c r="AT17" s="94">
        <f>IF($A17="Baseline",'Emissions summary'!AQ17,SUMIF('Net zero emission reductions'!$A$4:$A$1448,$A$17,'Net zero emission reductions'!Z$4:Z$1448))</f>
        <v>20.231615843979174</v>
      </c>
      <c r="AU17" s="94">
        <f>IF($A17="Baseline",'Emissions summary'!AR17,SUMIF('Net zero emission reductions'!$A$4:$A$1448,$A$17,'Net zero emission reductions'!AA$4:AA$1448))</f>
        <v>20.417076982917933</v>
      </c>
      <c r="AV17" s="94">
        <f>IF($A17="Baseline",'Emissions summary'!AS17,SUMIF('Net zero emission reductions'!$A$4:$A$1448,$A$17,'Net zero emission reductions'!AB$4:AB$1448))</f>
        <v>20.71500207480949</v>
      </c>
      <c r="AW17" s="94">
        <f>IF($A17="Baseline",'Emissions summary'!AT17,SUMIF('Net zero emission reductions'!$A$4:$A$1448,$A$17,'Net zero emission reductions'!AC$4:AC$1448))</f>
        <v>21.114989350087718</v>
      </c>
      <c r="AX17" s="94">
        <f>IF($A17="Baseline",'Emissions summary'!AU17,SUMIF('Net zero emission reductions'!$A$4:$A$1448,$A$17,'Net zero emission reductions'!AD$4:AD$1448))</f>
        <v>21.570235043374854</v>
      </c>
      <c r="AY17" s="94">
        <f>IF($A17="Baseline",'Emissions summary'!AV17,SUMIF('Net zero emission reductions'!$A$4:$A$1448,$A$17,'Net zero emission reductions'!AE$4:AE$1448))</f>
        <v>22.076219916777788</v>
      </c>
      <c r="AZ17" s="94">
        <f>IF($A17="Baseline",'Emissions summary'!AW17,SUMIF('Net zero emission reductions'!$A$4:$A$1448,$A$17,'Net zero emission reductions'!AF$4:AF$1448))</f>
        <v>22.607634401037064</v>
      </c>
      <c r="BA17" s="94">
        <f>IF($A17="Baseline",'Emissions summary'!AX17,SUMIF('Net zero emission reductions'!$A$4:$A$1448,$A$17,'Net zero emission reductions'!AG$4:AG$1448))</f>
        <v>23.173605042951863</v>
      </c>
      <c r="BB17" s="94">
        <f>IF($A17="Baseline",'Emissions summary'!AY17,SUMIF('Net zero emission reductions'!$A$4:$A$1448,$A$17,'Net zero emission reductions'!AH$4:AH$1448))</f>
        <v>23.761932971380496</v>
      </c>
      <c r="BC17" s="94">
        <f>IF($A17="Baseline",'Emissions summary'!AZ17,SUMIF('Net zero emission reductions'!$A$4:$A$1448,$A$17,'Net zero emission reductions'!AI$4:AI$1448))</f>
        <v>24.332863706576227</v>
      </c>
      <c r="BD17" s="94">
        <f>IF($A17="Baseline",'Emissions summary'!BA17,SUMIF('Net zero emission reductions'!$A$4:$A$1448,$A$17,'Net zero emission reductions'!AJ$4:AJ$1448))</f>
        <v>24.941554514433854</v>
      </c>
      <c r="BE17" s="94">
        <f>IF($A17="Baseline",'Emissions summary'!BB17,SUMIF('Net zero emission reductions'!$A$4:$A$1448,$A$17,'Net zero emission reductions'!AK$4:AK$1448))</f>
        <v>25.551459397899283</v>
      </c>
      <c r="BF17" s="94">
        <f>IF($A17="Baseline",'Emissions summary'!BC17,SUMIF('Net zero emission reductions'!$A$4:$A$1448,$A$17,'Net zero emission reductions'!AL$4:AL$1448))</f>
        <v>26.159376168500938</v>
      </c>
      <c r="BG17" s="94">
        <f>IF($A17="Baseline",'Emissions summary'!BD17,SUMIF('Net zero emission reductions'!$A$4:$A$1448,$A$17,'Net zero emission reductions'!AM$4:AM$1448))</f>
        <v>26.781034806789801</v>
      </c>
      <c r="BH17" s="94">
        <f>IF($A17="Baseline",'Emissions summary'!BE17,SUMIF('Net zero emission reductions'!$A$4:$A$1448,$A$17,'Net zero emission reductions'!AN$4:AN$1448))</f>
        <v>27.376233827822418</v>
      </c>
      <c r="BI17" s="94">
        <f>IF($A17="Baseline",'Emissions summary'!BF17,SUMIF('Net zero emission reductions'!$A$4:$A$1448,$A$17,'Net zero emission reductions'!AO$4:AO$1448))</f>
        <v>27.999074867086733</v>
      </c>
      <c r="BJ17" s="94">
        <f>IF($A17="Baseline",'Emissions summary'!BG17,SUMIF('Net zero emission reductions'!$A$4:$A$1448,$A$17,'Net zero emission reductions'!AP$4:AP$1448))</f>
        <v>28.667512632461193</v>
      </c>
      <c r="BK17" s="94">
        <f>IF($A17="Baseline",'Emissions summary'!BH17,SUMIF('Net zero emission reductions'!$A$4:$A$1448,$A$17,'Net zero emission reductions'!AQ$4:AQ$1448))</f>
        <v>29.347632223719444</v>
      </c>
      <c r="BL17" s="94">
        <f>IF($A17="Baseline",'Emissions summary'!BI17,SUMIF('Net zero emission reductions'!$A$4:$A$1448,$A$17,'Net zero emission reductions'!AR$4:AR$1448))</f>
        <v>30.040683989957664</v>
      </c>
      <c r="BM17" s="94">
        <f>IF($A17="Baseline",'Emissions summary'!BJ17,SUMIF('Net zero emission reductions'!$A$4:$A$1448,$A$17,'Net zero emission reductions'!AS$4:AS$1448))</f>
        <v>30.780914195972684</v>
      </c>
      <c r="BN17" s="94">
        <f>IF($A17="Baseline",'Emissions summary'!BK17,SUMIF('Net zero emission reductions'!$A$4:$A$1448,$A$17,'Net zero emission reductions'!AT$4:AT$1448))</f>
        <v>31.555436314360193</v>
      </c>
      <c r="BO17" s="94">
        <f>IF($A17="Baseline",'Emissions summary'!BL17,SUMIF('Net zero emission reductions'!$A$4:$A$1448,$A$17,'Net zero emission reductions'!AU$4:AU$1448))</f>
        <v>32.355421830584532</v>
      </c>
      <c r="BP17" s="94">
        <f>IF($A17="Baseline",'Emissions summary'!BM17,SUMIF('Net zero emission reductions'!$A$4:$A$1448,$A$17,'Net zero emission reductions'!AV$4:AV$1448))</f>
        <v>33.201622796778906</v>
      </c>
      <c r="BQ17" s="94">
        <f>IF($A17="Baseline",'Emissions summary'!BN17,SUMIF('Net zero emission reductions'!$A$4:$A$1448,$A$17,'Net zero emission reductions'!AW$4:AW$1448))</f>
        <v>33.967587848758711</v>
      </c>
    </row>
    <row r="18" spans="1:72" x14ac:dyDescent="0.25">
      <c r="A18" s="95" t="str">
        <f t="shared" si="2"/>
        <v>FSFAGSPQNIBDDSCM Poultry MMCH4</v>
      </c>
      <c r="B18" s="95" t="str">
        <f t="shared" si="9"/>
        <v>FSFAGSPQNIBDDSCM</v>
      </c>
      <c r="C18" s="96" t="s">
        <v>1230</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2.9856726990921132</v>
      </c>
      <c r="AH18" s="94">
        <f>IF($A18="Baseline",'Emissions summary'!AE18,SUMIF('Net zero emission reductions'!$A$4:$A$1448,$A$18,'Net zero emission reductions'!N$4:N$1448))</f>
        <v>3.0102189866459588</v>
      </c>
      <c r="AI18" s="94">
        <f>IF($A18="Baseline",'Emissions summary'!AF18,SUMIF('Net zero emission reductions'!$A$4:$A$1448,$A$18,'Net zero emission reductions'!O$4:O$1448))</f>
        <v>3.0101265790703722</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2.9805084686213323</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2.6497326381564594</v>
      </c>
      <c r="AN18" s="94">
        <f>IF($A18="Baseline",'Emissions summary'!AK18,SUMIF('Net zero emission reductions'!$A$4:$A$1448,$A$18,'Net zero emission reductions'!T$4:T$1448))</f>
        <v>2.8592319269578121</v>
      </c>
      <c r="AO18" s="94">
        <f>IF($A18="Baseline",'Emissions summary'!AL18,SUMIF('Net zero emission reductions'!$A$4:$A$1448,$A$18,'Net zero emission reductions'!U$4:U$1448))</f>
        <v>2.9629677228684126</v>
      </c>
      <c r="AP18" s="94">
        <f>IF($A18="Baseline",'Emissions summary'!AM18,SUMIF('Net zero emission reductions'!$A$4:$A$1448,$A$18,'Net zero emission reductions'!V$4:V$1448))</f>
        <v>2.981370531083563</v>
      </c>
      <c r="AQ18" s="94">
        <f>IF($A18="Baseline",'Emissions summary'!AN18,SUMIF('Net zero emission reductions'!$A$4:$A$1448,$A$18,'Net zero emission reductions'!W$4:W$1448))</f>
        <v>3.0022635775670641</v>
      </c>
      <c r="AR18" s="94">
        <f>IF($A18="Baseline",'Emissions summary'!AO18,SUMIF('Net zero emission reductions'!$A$4:$A$1448,$A$18,'Net zero emission reductions'!X$4:X$1448))</f>
        <v>3.0452072666263947</v>
      </c>
      <c r="AS18" s="94">
        <f>IF($A18="Baseline",'Emissions summary'!AP18,SUMIF('Net zero emission reductions'!$A$4:$A$1448,$A$18,'Net zero emission reductions'!Y$4:Y$1448))</f>
        <v>3.1112092350460272</v>
      </c>
      <c r="AT18" s="94">
        <f>IF($A18="Baseline",'Emissions summary'!AQ18,SUMIF('Net zero emission reductions'!$A$4:$A$1448,$A$18,'Net zero emission reductions'!Z$4:Z$1448))</f>
        <v>3.1887468095856057</v>
      </c>
      <c r="AU18" s="94">
        <f>IF($A18="Baseline",'Emissions summary'!AR18,SUMIF('Net zero emission reductions'!$A$4:$A$1448,$A$18,'Net zero emission reductions'!AA$4:AA$1448))</f>
        <v>3.2809704091222516</v>
      </c>
      <c r="AV18" s="94">
        <f>IF($A18="Baseline",'Emissions summary'!AS18,SUMIF('Net zero emission reductions'!$A$4:$A$1448,$A$18,'Net zero emission reductions'!AB$4:AB$1448))</f>
        <v>3.3974335289525404</v>
      </c>
      <c r="AW18" s="94">
        <f>IF($A18="Baseline",'Emissions summary'!AT18,SUMIF('Net zero emission reductions'!$A$4:$A$1448,$A$18,'Net zero emission reductions'!AC$4:AC$1448))</f>
        <v>3.536956011437923</v>
      </c>
      <c r="AX18" s="94">
        <f>IF($A18="Baseline",'Emissions summary'!AU18,SUMIF('Net zero emission reductions'!$A$4:$A$1448,$A$18,'Net zero emission reductions'!AD$4:AD$1448))</f>
        <v>3.6907600654078498</v>
      </c>
      <c r="AY18" s="94">
        <f>IF($A18="Baseline",'Emissions summary'!AV18,SUMIF('Net zero emission reductions'!$A$4:$A$1448,$A$18,'Net zero emission reductions'!AE$4:AE$1448))</f>
        <v>3.8584038536923067</v>
      </c>
      <c r="AZ18" s="94">
        <f>IF($A18="Baseline",'Emissions summary'!AW18,SUMIF('Net zero emission reductions'!$A$4:$A$1448,$A$18,'Net zero emission reductions'!AF$4:AF$1448))</f>
        <v>4.035010696674366</v>
      </c>
      <c r="BA18" s="94">
        <f>IF($A18="Baseline",'Emissions summary'!AX18,SUMIF('Net zero emission reductions'!$A$4:$A$1448,$A$18,'Net zero emission reductions'!AG$4:AG$1448))</f>
        <v>4.2228657100268654</v>
      </c>
      <c r="BB18" s="94">
        <f>IF($A18="Baseline",'Emissions summary'!AY18,SUMIF('Net zero emission reductions'!$A$4:$A$1448,$A$18,'Net zero emission reductions'!AH$4:AH$1448))</f>
        <v>4.4196839445403215</v>
      </c>
      <c r="BC18" s="94">
        <f>IF($A18="Baseline",'Emissions summary'!AZ18,SUMIF('Net zero emission reductions'!$A$4:$A$1448,$A$18,'Net zero emission reductions'!AI$4:AI$1448))</f>
        <v>4.6169469850498963</v>
      </c>
      <c r="BD18" s="94">
        <f>IF($A18="Baseline",'Emissions summary'!BA18,SUMIF('Net zero emission reductions'!$A$4:$A$1448,$A$18,'Net zero emission reductions'!AJ$4:AJ$1448))</f>
        <v>4.8269862770368315</v>
      </c>
      <c r="BE18" s="94">
        <f>IF($A18="Baseline",'Emissions summary'!BB18,SUMIF('Net zero emission reductions'!$A$4:$A$1448,$A$18,'Net zero emission reductions'!AK$4:AK$1448))</f>
        <v>5.0419787617424596</v>
      </c>
      <c r="BF18" s="94">
        <f>IF($A18="Baseline",'Emissions summary'!BC18,SUMIF('Net zero emission reductions'!$A$4:$A$1448,$A$18,'Net zero emission reductions'!AL$4:AL$1448))</f>
        <v>5.2613132251807029</v>
      </c>
      <c r="BG18" s="94">
        <f>IF($A18="Baseline",'Emissions summary'!BD18,SUMIF('Net zero emission reductions'!$A$4:$A$1448,$A$18,'Net zero emission reductions'!AM$4:AM$1448))</f>
        <v>5.4887544538142841</v>
      </c>
      <c r="BH18" s="94">
        <f>IF($A18="Baseline",'Emissions summary'!BE18,SUMIF('Net zero emission reductions'!$A$4:$A$1448,$A$18,'Net zero emission reductions'!AN$4:AN$1448))</f>
        <v>5.7150436297271279</v>
      </c>
      <c r="BI18" s="94">
        <f>IF($A18="Baseline",'Emissions summary'!BF18,SUMIF('Net zero emission reductions'!$A$4:$A$1448,$A$18,'Net zero emission reductions'!AO$4:AO$1448))</f>
        <v>5.9530459525723813</v>
      </c>
      <c r="BJ18" s="94">
        <f>IF($A18="Baseline",'Emissions summary'!BG18,SUMIF('Net zero emission reductions'!$A$4:$A$1448,$A$18,'Net zero emission reductions'!AP$4:AP$1448))</f>
        <v>6.2075372658106813</v>
      </c>
      <c r="BK18" s="94">
        <f>IF($A18="Baseline",'Emissions summary'!BH18,SUMIF('Net zero emission reductions'!$A$4:$A$1448,$A$18,'Net zero emission reductions'!AQ$4:AQ$1448))</f>
        <v>6.4707636294605146</v>
      </c>
      <c r="BL18" s="94">
        <f>IF($A18="Baseline",'Emissions summary'!BI18,SUMIF('Net zero emission reductions'!$A$4:$A$1448,$A$18,'Net zero emission reductions'!AR$4:AR$1448))</f>
        <v>6.7433262918012637</v>
      </c>
      <c r="BM18" s="94">
        <f>IF($A18="Baseline",'Emissions summary'!BJ18,SUMIF('Net zero emission reductions'!$A$4:$A$1448,$A$18,'Net zero emission reductions'!AS$4:AS$1448))</f>
        <v>7.0341975375015435</v>
      </c>
      <c r="BN18" s="94">
        <f>IF($A18="Baseline",'Emissions summary'!BK18,SUMIF('Net zero emission reductions'!$A$4:$A$1448,$A$18,'Net zero emission reductions'!AT$4:AT$1448))</f>
        <v>7.3407371256192686</v>
      </c>
      <c r="BO18" s="94">
        <f>IF($A18="Baseline",'Emissions summary'!BL18,SUMIF('Net zero emission reductions'!$A$4:$A$1448,$A$18,'Net zero emission reductions'!AU$4:AU$1448))</f>
        <v>7.6611979534500918</v>
      </c>
      <c r="BP18" s="94">
        <f>IF($A18="Baseline",'Emissions summary'!BM18,SUMIF('Net zero emission reductions'!$A$4:$A$1448,$A$18,'Net zero emission reductions'!AV$4:AV$1448))</f>
        <v>8.0015181716951158</v>
      </c>
      <c r="BQ18" s="94">
        <f>IF($A18="Baseline",'Emissions summary'!BN18,SUMIF('Net zero emission reductions'!$A$4:$A$1448,$A$18,'Net zero emission reductions'!AW$4:AW$1448))</f>
        <v>8.3286792979215463</v>
      </c>
    </row>
    <row r="19" spans="1:72" s="19" customFormat="1" ht="15.75" x14ac:dyDescent="0.25">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5.1994200766582477</v>
      </c>
      <c r="AF19" s="40">
        <f t="shared" ref="AF19:BQ19" si="13">SUM(AF20:AF26)</f>
        <v>5.2527414367903038</v>
      </c>
      <c r="AG19" s="40">
        <f t="shared" si="13"/>
        <v>5.336537874346206</v>
      </c>
      <c r="AH19" s="40">
        <f t="shared" si="13"/>
        <v>5.3665755836071103</v>
      </c>
      <c r="AI19" s="40">
        <f t="shared" si="13"/>
        <v>5.3622649672773717</v>
      </c>
      <c r="AJ19" s="40">
        <f t="shared" si="13"/>
        <v>5.3238634740042308</v>
      </c>
      <c r="AK19" s="40">
        <f t="shared" si="13"/>
        <v>5.3145192594478212</v>
      </c>
      <c r="AL19" s="40">
        <f t="shared" si="13"/>
        <v>5.3105434668737512</v>
      </c>
      <c r="AM19" s="40">
        <f t="shared" si="13"/>
        <v>4.8289135867161592</v>
      </c>
      <c r="AN19" s="40">
        <f t="shared" si="13"/>
        <v>5.1272697424260603</v>
      </c>
      <c r="AO19" s="40">
        <f t="shared" si="13"/>
        <v>5.2730257555662901</v>
      </c>
      <c r="AP19" s="40">
        <f t="shared" si="13"/>
        <v>5.2979399861620706</v>
      </c>
      <c r="AQ19" s="40">
        <f t="shared" si="13"/>
        <v>5.3284896243498938</v>
      </c>
      <c r="AR19" s="40">
        <f t="shared" si="13"/>
        <v>5.3915591951976864</v>
      </c>
      <c r="AS19" s="40">
        <f t="shared" si="13"/>
        <v>5.4870138199433409</v>
      </c>
      <c r="AT19" s="40">
        <f t="shared" si="13"/>
        <v>5.5985154550540948</v>
      </c>
      <c r="AU19" s="40">
        <f t="shared" si="13"/>
        <v>5.7305121651320068</v>
      </c>
      <c r="AV19" s="40">
        <f t="shared" si="13"/>
        <v>5.8965730208919336</v>
      </c>
      <c r="AW19" s="40">
        <f t="shared" si="13"/>
        <v>6.095042226723967</v>
      </c>
      <c r="AX19" s="40">
        <f t="shared" si="13"/>
        <v>6.3074098847150113</v>
      </c>
      <c r="AY19" s="40">
        <f t="shared" si="13"/>
        <v>6.5388150364597273</v>
      </c>
      <c r="AZ19" s="40">
        <f t="shared" si="13"/>
        <v>6.7823283292858969</v>
      </c>
      <c r="BA19" s="40">
        <f t="shared" si="13"/>
        <v>7.0411212516520463</v>
      </c>
      <c r="BB19" s="40">
        <f t="shared" si="13"/>
        <v>7.3119635371854077</v>
      </c>
      <c r="BC19" s="40">
        <f t="shared" si="13"/>
        <v>7.5828828255802385</v>
      </c>
      <c r="BD19" s="40">
        <f t="shared" si="13"/>
        <v>7.8712030974390021</v>
      </c>
      <c r="BE19" s="40">
        <f t="shared" si="13"/>
        <v>8.1658534226233517</v>
      </c>
      <c r="BF19" s="40">
        <f t="shared" si="13"/>
        <v>8.4659814279800223</v>
      </c>
      <c r="BG19" s="40">
        <f t="shared" si="13"/>
        <v>8.7768797424918183</v>
      </c>
      <c r="BH19" s="40">
        <f t="shared" si="13"/>
        <v>9.0895119604268935</v>
      </c>
      <c r="BI19" s="40">
        <f t="shared" si="13"/>
        <v>9.4181373480642421</v>
      </c>
      <c r="BJ19" s="40">
        <f t="shared" si="13"/>
        <v>9.7694000693378023</v>
      </c>
      <c r="BK19" s="40">
        <f t="shared" si="13"/>
        <v>10.132443324064155</v>
      </c>
      <c r="BL19" s="40">
        <f t="shared" si="13"/>
        <v>10.508080710628299</v>
      </c>
      <c r="BM19" s="40">
        <f t="shared" si="13"/>
        <v>10.90880780186864</v>
      </c>
      <c r="BN19" s="40">
        <f t="shared" si="13"/>
        <v>11.330921872294809</v>
      </c>
      <c r="BO19" s="40">
        <f t="shared" si="13"/>
        <v>11.771983668482694</v>
      </c>
      <c r="BP19" s="40">
        <f t="shared" si="13"/>
        <v>12.24027083502402</v>
      </c>
      <c r="BQ19" s="40">
        <f t="shared" si="13"/>
        <v>12.689743144697481</v>
      </c>
      <c r="BT19"/>
    </row>
    <row r="20" spans="1:72" x14ac:dyDescent="0.25">
      <c r="A20" s="95" t="str">
        <f t="shared" si="2"/>
        <v>FSFAGSPQNIBDDSCM Mattle MMN2O</v>
      </c>
      <c r="B20" s="95" t="str">
        <f t="shared" ref="B20:B26" si="14">$B$5</f>
        <v>FSFAGSPQNIBDDSCM</v>
      </c>
      <c r="C20" s="95" t="s">
        <v>1334</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2.6405154397771433</v>
      </c>
      <c r="AF20" s="27">
        <f>SUM('Net zero emission reductions'!L1411:L1416)</f>
        <v>2.663854765875719</v>
      </c>
      <c r="AG20" s="27">
        <f>SUM('Net zero emission reductions'!M1411:M1416)</f>
        <v>2.7012838960025096</v>
      </c>
      <c r="AH20" s="27">
        <f>SUM('Net zero emission reductions'!N1411:N1416)</f>
        <v>2.7146557268578309</v>
      </c>
      <c r="AI20" s="27">
        <f>SUM('Net zero emission reductions'!O1411:O1416)</f>
        <v>2.71285127989717</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2.4721790699569088</v>
      </c>
      <c r="AN20" s="27">
        <f>SUM('Net zero emission reductions'!T1411:T1416)</f>
        <v>2.6084535601325491</v>
      </c>
      <c r="AO20" s="27">
        <f>SUM('Net zero emission reductions'!U1411:U1416)</f>
        <v>2.6755973375175408</v>
      </c>
      <c r="AP20" s="27">
        <f>SUM('Net zero emission reductions'!V1411:V1416)</f>
        <v>2.6887817317009004</v>
      </c>
      <c r="AQ20" s="27">
        <f>SUM('Net zero emission reductions'!W1411:W1416)</f>
        <v>2.7052806234007161</v>
      </c>
      <c r="AR20" s="27">
        <f>SUM('Net zero emission reductions'!X1411:X1416)</f>
        <v>2.7368031738529197</v>
      </c>
      <c r="AS20" s="27">
        <f>SUM('Net zero emission reductions'!Y1411:Y1416)</f>
        <v>2.7826958123422552</v>
      </c>
      <c r="AT20" s="27">
        <f>SUM('Net zero emission reductions'!Z1411:Z1416)</f>
        <v>2.8356643448523782</v>
      </c>
      <c r="AU20" s="27">
        <f>SUM('Net zero emission reductions'!AA1411:AA1416)</f>
        <v>2.8977147403550707</v>
      </c>
      <c r="AV20" s="27">
        <f>SUM('Net zero emission reductions'!AB1411:AB1416)</f>
        <v>2.9749708152792502</v>
      </c>
      <c r="AW20" s="27">
        <f>SUM('Net zero emission reductions'!AC1411:AC1416)</f>
        <v>3.0667273564091038</v>
      </c>
      <c r="AX20" s="27">
        <f>SUM('Net zero emission reductions'!AD1411:AD1416)</f>
        <v>3.1613561317109511</v>
      </c>
      <c r="AY20" s="27">
        <f>SUM('Net zero emission reductions'!AE1411:AE1416)</f>
        <v>3.2643536661483479</v>
      </c>
      <c r="AZ20" s="27">
        <f>SUM('Net zero emission reductions'!AF1411:AF1416)</f>
        <v>3.3726076567879044</v>
      </c>
      <c r="BA20" s="27">
        <f>SUM('Net zero emission reductions'!AG1411:AG1416)</f>
        <v>3.4875254418050274</v>
      </c>
      <c r="BB20" s="27">
        <f>SUM('Net zero emission reductions'!AH1411:AH1416)</f>
        <v>3.6076657236956566</v>
      </c>
      <c r="BC20" s="27">
        <f>SUM('Net zero emission reductions'!AI1411:AI1416)</f>
        <v>3.7276871096675595</v>
      </c>
      <c r="BD20" s="27">
        <f>SUM('Net zero emission reductions'!AJ1411:AJ1416)</f>
        <v>3.8553311585871564</v>
      </c>
      <c r="BE20" s="27">
        <f>SUM('Net zero emission reductions'!AK1411:AK1416)</f>
        <v>3.9856277194109024</v>
      </c>
      <c r="BF20" s="27">
        <f>SUM('Net zero emission reductions'!AL1411:AL1416)</f>
        <v>4.1182032738640153</v>
      </c>
      <c r="BG20" s="27">
        <f>SUM('Net zero emission reductions'!AM1411:AM1416)</f>
        <v>4.2554308092705284</v>
      </c>
      <c r="BH20" s="27">
        <f>SUM('Net zero emission reductions'!AN1411:AN1416)</f>
        <v>4.395460931857591</v>
      </c>
      <c r="BI20" s="27">
        <f>SUM('Net zero emission reductions'!AO1411:AO1416)</f>
        <v>4.5425826434901317</v>
      </c>
      <c r="BJ20" s="27">
        <f>SUM('Net zero emission reductions'!AP1411:AP1416)</f>
        <v>4.6997566242412354</v>
      </c>
      <c r="BK20" s="27">
        <f>SUM('Net zero emission reductions'!AQ1411:AQ1416)</f>
        <v>4.8621486155116678</v>
      </c>
      <c r="BL20" s="27">
        <f>SUM('Net zero emission reductions'!AR1411:AR1416)</f>
        <v>5.0301194745788056</v>
      </c>
      <c r="BM20" s="27">
        <f>SUM('Net zero emission reductions'!AS1411:AS1416)</f>
        <v>5.2092385905362519</v>
      </c>
      <c r="BN20" s="27">
        <f>SUM('Net zero emission reductions'!AT1411:AT1416)</f>
        <v>5.3978643648980986</v>
      </c>
      <c r="BO20" s="27">
        <f>SUM('Net zero emission reductions'!AU1411:AU1416)</f>
        <v>5.5949227697506991</v>
      </c>
      <c r="BP20" s="27">
        <f>SUM('Net zero emission reductions'!AV1411:AV1416)</f>
        <v>5.8041189164290055</v>
      </c>
      <c r="BQ20" s="27">
        <f>SUM('Net zero emission reductions'!AW1411:AW1416)</f>
        <v>6.0049228378106054</v>
      </c>
    </row>
    <row r="21" spans="1:72" x14ac:dyDescent="0.25">
      <c r="A21" s="95" t="str">
        <f t="shared" si="2"/>
        <v>FSFAGSPQNIBDDSCM Sheep MMN2O</v>
      </c>
      <c r="B21" s="95" t="str">
        <f t="shared" si="14"/>
        <v>FSFAGSPQNIBDDSCM</v>
      </c>
      <c r="C21" s="96" t="s">
        <v>1327</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0.18246364199636456</v>
      </c>
      <c r="AN21" s="27">
        <f>SUM('Net zero emission reductions'!T1417:T1418)</f>
        <v>0.18259497555238871</v>
      </c>
      <c r="AO21" s="27">
        <f>SUM('Net zero emission reductions'!U1417:U1418)</f>
        <v>0.18254880147128816</v>
      </c>
      <c r="AP21" s="27">
        <f>SUM('Net zero emission reductions'!V1417:V1418)</f>
        <v>0.18254547730573473</v>
      </c>
      <c r="AQ21" s="27">
        <f>SUM('Net zero emission reductions'!W1417:W1418)</f>
        <v>0.18273910502148993</v>
      </c>
      <c r="AR21" s="27">
        <f>SUM('Net zero emission reductions'!X1417:X1418)</f>
        <v>0.18305599461929001</v>
      </c>
      <c r="AS21" s="27">
        <f>SUM('Net zero emission reductions'!Y1417:Y1418)</f>
        <v>0.1833600537041081</v>
      </c>
      <c r="AT21" s="27">
        <f>SUM('Net zero emission reductions'!Z1417:Z1418)</f>
        <v>0.1836522632336523</v>
      </c>
      <c r="AU21" s="27">
        <f>SUM('Net zero emission reductions'!AA1417:AA1418)</f>
        <v>0.18393222441719731</v>
      </c>
      <c r="AV21" s="27">
        <f>SUM('Net zero emission reductions'!AB1417:AB1418)</f>
        <v>0.1842057715816417</v>
      </c>
      <c r="AW21" s="27">
        <f>SUM('Net zero emission reductions'!AC1417:AC1418)</f>
        <v>0.18447690053347487</v>
      </c>
      <c r="AX21" s="27">
        <f>SUM('Net zero emission reductions'!AD1417:AD1418)</f>
        <v>0.18474289084260961</v>
      </c>
      <c r="AY21" s="27">
        <f>SUM('Net zero emission reductions'!AE1417:AE1418)</f>
        <v>0.18500756701577692</v>
      </c>
      <c r="AZ21" s="27">
        <f>SUM('Net zero emission reductions'!AF1417:AF1418)</f>
        <v>0.1852700952718751</v>
      </c>
      <c r="BA21" s="27">
        <f>SUM('Net zero emission reductions'!AG1417:AG1418)</f>
        <v>0.18552837206951145</v>
      </c>
      <c r="BB21" s="27">
        <f>SUM('Net zero emission reductions'!AH1417:AH1418)</f>
        <v>0.18578353453009772</v>
      </c>
      <c r="BC21" s="27">
        <f>SUM('Net zero emission reductions'!AI1417:AI1418)</f>
        <v>0.1860358549484124</v>
      </c>
      <c r="BD21" s="27">
        <f>SUM('Net zero emission reductions'!AJ1417:AJ1418)</f>
        <v>0.18628618993773161</v>
      </c>
      <c r="BE21" s="27">
        <f>SUM('Net zero emission reductions'!AK1417:AK1418)</f>
        <v>0.18652687974556489</v>
      </c>
      <c r="BF21" s="27">
        <f>SUM('Net zero emission reductions'!AL1417:AL1418)</f>
        <v>0.18675764276965873</v>
      </c>
      <c r="BG21" s="27">
        <f>SUM('Net zero emission reductions'!AM1417:AM1418)</f>
        <v>0.18698063574049095</v>
      </c>
      <c r="BH21" s="27">
        <f>SUM('Net zero emission reductions'!AN1417:AN1418)</f>
        <v>0.18719414158853301</v>
      </c>
      <c r="BI21" s="27">
        <f>SUM('Net zero emission reductions'!AO1417:AO1418)</f>
        <v>0.18739854763010472</v>
      </c>
      <c r="BJ21" s="27">
        <f>SUM('Net zero emission reductions'!AP1417:AP1418)</f>
        <v>0.18759293321665452</v>
      </c>
      <c r="BK21" s="27">
        <f>SUM('Net zero emission reductions'!AQ1417:AQ1418)</f>
        <v>0.187774516675214</v>
      </c>
      <c r="BL21" s="27">
        <f>SUM('Net zero emission reductions'!AR1417:AR1418)</f>
        <v>0.187940720290524</v>
      </c>
      <c r="BM21" s="27">
        <f>SUM('Net zero emission reductions'!AS1417:AS1418)</f>
        <v>0.18809137615032484</v>
      </c>
      <c r="BN21" s="27">
        <f>SUM('Net zero emission reductions'!AT1417:AT1418)</f>
        <v>0.1882253313700275</v>
      </c>
      <c r="BO21" s="27">
        <f>SUM('Net zero emission reductions'!AU1417:AU1418)</f>
        <v>0.18834252134488594</v>
      </c>
      <c r="BP21" s="27">
        <f>SUM('Net zero emission reductions'!AV1417:AV1418)</f>
        <v>0.18844518873358101</v>
      </c>
      <c r="BQ21" s="27">
        <f>SUM('Net zero emission reductions'!AW1417:AW1418)</f>
        <v>0.18851999840020225</v>
      </c>
    </row>
    <row r="22" spans="1:72" x14ac:dyDescent="0.25">
      <c r="A22" s="95" t="str">
        <f t="shared" si="2"/>
        <v>FSFAGSPQNIBDDSCM Goats MMN2O</v>
      </c>
      <c r="B22" s="95" t="str">
        <f t="shared" si="14"/>
        <v>FSFAGSPQNIBDDSCM</v>
      </c>
      <c r="C22" s="96" t="s">
        <v>1328</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0.1313609060950319</v>
      </c>
      <c r="AJ22" s="27">
        <f>SUM('Net zero emission reductions'!P1419:P1420)</f>
        <v>0.13212269035728819</v>
      </c>
      <c r="AK22" s="27">
        <f>SUM('Net zero emission reductions'!Q1419:Q1420)</f>
        <v>0.13294253416938448</v>
      </c>
      <c r="AL22" s="27">
        <f>SUM('Net zero emission reductions'!R1419:R1420)</f>
        <v>0.13381719216548246</v>
      </c>
      <c r="AM22" s="27">
        <f>SUM('Net zero emission reductions'!S1419:S1420)</f>
        <v>0.13348907439919319</v>
      </c>
      <c r="AN22" s="27">
        <f>SUM('Net zero emission reductions'!T1419:T1420)</f>
        <v>0.13371854224601104</v>
      </c>
      <c r="AO22" s="27">
        <f>SUM('Net zero emission reductions'!U1419:U1420)</f>
        <v>0.13374080946827493</v>
      </c>
      <c r="AP22" s="27">
        <f>SUM('Net zero emission reductions'!V1419:V1420)</f>
        <v>0.13380203012582714</v>
      </c>
      <c r="AQ22" s="27">
        <f>SUM('Net zero emission reductions'!W1419:W1420)</f>
        <v>0.13407270330027515</v>
      </c>
      <c r="AR22" s="27">
        <f>SUM('Net zero emission reductions'!X1419:X1420)</f>
        <v>0.13447084840534604</v>
      </c>
      <c r="AS22" s="27">
        <f>SUM('Net zero emission reductions'!Y1419:Y1420)</f>
        <v>0.13484667637367553</v>
      </c>
      <c r="AT22" s="27">
        <f>SUM('Net zero emission reductions'!Z1419:Z1420)</f>
        <v>0.135201954294531</v>
      </c>
      <c r="AU22" s="27">
        <f>SUM('Net zero emission reductions'!AA1419:AA1420)</f>
        <v>0.13553686401917603</v>
      </c>
      <c r="AV22" s="27">
        <f>SUM('Net zero emission reductions'!AB1419:AB1420)</f>
        <v>0.13585833545773915</v>
      </c>
      <c r="AW22" s="27">
        <f>SUM('Net zero emission reductions'!AC1419:AC1420)</f>
        <v>0.13617119195350036</v>
      </c>
      <c r="AX22" s="27">
        <f>SUM('Net zero emission reductions'!AD1419:AD1420)</f>
        <v>0.13647287926925422</v>
      </c>
      <c r="AY22" s="27">
        <f>SUM('Net zero emission reductions'!AE1419:AE1420)</f>
        <v>0.13676792874544863</v>
      </c>
      <c r="AZ22" s="27">
        <f>SUM('Net zero emission reductions'!AF1419:AF1420)</f>
        <v>0.13705576368277475</v>
      </c>
      <c r="BA22" s="27">
        <f>SUM('Net zero emission reductions'!AG1419:AG1420)</f>
        <v>0.13733441455698836</v>
      </c>
      <c r="BB22" s="27">
        <f>SUM('Net zero emission reductions'!AH1419:AH1420)</f>
        <v>0.13760539794044785</v>
      </c>
      <c r="BC22" s="27">
        <f>SUM('Net zero emission reductions'!AI1419:AI1420)</f>
        <v>0.13786926739334113</v>
      </c>
      <c r="BD22" s="27">
        <f>SUM('Net zero emission reductions'!AJ1419:AJ1420)</f>
        <v>0.13812718148584757</v>
      </c>
      <c r="BE22" s="27">
        <f>SUM('Net zero emission reductions'!AK1419:AK1420)</f>
        <v>0.13837114346078036</v>
      </c>
      <c r="BF22" s="27">
        <f>SUM('Net zero emission reductions'!AL1419:AL1420)</f>
        <v>0.13860109565178344</v>
      </c>
      <c r="BG22" s="27">
        <f>SUM('Net zero emission reductions'!AM1419:AM1420)</f>
        <v>0.13881957115355692</v>
      </c>
      <c r="BH22" s="27">
        <f>SUM('Net zero emission reductions'!AN1419:AN1420)</f>
        <v>0.13902494137349267</v>
      </c>
      <c r="BI22" s="27">
        <f>SUM('Net zero emission reductions'!AO1419:AO1420)</f>
        <v>0.13921781763321434</v>
      </c>
      <c r="BJ22" s="27">
        <f>SUM('Net zero emission reductions'!AP1419:AP1420)</f>
        <v>0.13939740646045315</v>
      </c>
      <c r="BK22" s="27">
        <f>SUM('Net zero emission reductions'!AQ1419:AQ1420)</f>
        <v>0.13956093581818937</v>
      </c>
      <c r="BL22" s="27">
        <f>SUM('Net zero emission reductions'!AR1419:AR1420)</f>
        <v>0.13970585930333557</v>
      </c>
      <c r="BM22" s="27">
        <f>SUM('Net zero emission reductions'!AS1419:AS1420)</f>
        <v>0.13983218680371737</v>
      </c>
      <c r="BN22" s="27">
        <f>SUM('Net zero emission reductions'!AT1419:AT1420)</f>
        <v>0.13993888033780913</v>
      </c>
      <c r="BO22" s="27">
        <f>SUM('Net zero emission reductions'!AU1419:AU1420)</f>
        <v>0.14002604811600253</v>
      </c>
      <c r="BP22" s="27">
        <f>SUM('Net zero emission reductions'!AV1419:AV1420)</f>
        <v>0.14009621840747832</v>
      </c>
      <c r="BQ22" s="27">
        <f>SUM('Net zero emission reductions'!AW1419:AW1420)</f>
        <v>0.14013553188408892</v>
      </c>
    </row>
    <row r="23" spans="1:72" x14ac:dyDescent="0.25">
      <c r="A23" s="95" t="str">
        <f t="shared" si="2"/>
        <v>FSFAGSPQNIBDDSCM Horses MMN2O</v>
      </c>
      <c r="B23" s="95" t="str">
        <f t="shared" si="14"/>
        <v>FSFAGSPQNIBDDSCM</v>
      </c>
      <c r="C23" s="96" t="s">
        <v>1329</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5">
      <c r="A24" s="95" t="str">
        <f t="shared" si="2"/>
        <v>FSFAGSPQNIBDDSCM Mules MMN2O</v>
      </c>
      <c r="B24" s="95" t="str">
        <f t="shared" si="14"/>
        <v>FSFAGSPQNIBDDSCM</v>
      </c>
      <c r="C24" s="96" t="s">
        <v>1330</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5">
      <c r="A25" s="95" t="str">
        <f t="shared" si="2"/>
        <v>FSFAGSPQNIBDDSCM Swine MMN2O</v>
      </c>
      <c r="B25" s="95" t="str">
        <f t="shared" si="14"/>
        <v>FSFAGSPQNIBDDSCM</v>
      </c>
      <c r="C25" s="96" t="s">
        <v>1232</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0.13492146542995681</v>
      </c>
      <c r="AH25" s="27">
        <f>SUM('Net zero emission reductions'!N1423:N1424)</f>
        <v>0.13368278298717362</v>
      </c>
      <c r="AI25" s="27">
        <f>SUM('Net zero emission reductions'!O1423:O1424)</f>
        <v>0.131659728859289</v>
      </c>
      <c r="AJ25" s="27">
        <f>SUM('Net zero emission reductions'!P1423:P1424)</f>
        <v>0.12888464371149955</v>
      </c>
      <c r="AK25" s="27">
        <f>SUM('Net zero emission reductions'!Q1423:Q1424)</f>
        <v>0.12686962414513903</v>
      </c>
      <c r="AL25" s="27">
        <f>SUM('Net zero emission reductions'!R1423:R1424)</f>
        <v>0.12503290678710086</v>
      </c>
      <c r="AM25" s="27">
        <f>SUM('Net zero emission reductions'!S1423:S1424)</f>
        <v>0.11231953254152316</v>
      </c>
      <c r="AN25" s="27">
        <f>SUM('Net zero emission reductions'!T1423:T1424)</f>
        <v>0.1173951171776909</v>
      </c>
      <c r="AO25" s="27">
        <f>SUM('Net zero emission reductions'!U1423:U1424)</f>
        <v>0.11892961901963964</v>
      </c>
      <c r="AP25" s="27">
        <f>SUM('Net zero emission reductions'!V1423:V1424)</f>
        <v>0.1177558991397879</v>
      </c>
      <c r="AQ25" s="27">
        <f>SUM('Net zero emission reductions'!W1423:W1424)</f>
        <v>0.11672361874643203</v>
      </c>
      <c r="AR25" s="27">
        <f>SUM('Net zero emission reductions'!X1423:X1424)</f>
        <v>0.11640459206661419</v>
      </c>
      <c r="AS25" s="27">
        <f>SUM('Net zero emission reductions'!Y1423:Y1424)</f>
        <v>0.11677109928144133</v>
      </c>
      <c r="AT25" s="27">
        <f>SUM('Net zero emission reductions'!Z1423:Z1424)</f>
        <v>0.11745375516127411</v>
      </c>
      <c r="AU25" s="27">
        <f>SUM('Net zero emission reductions'!AA1423:AA1424)</f>
        <v>0.11853044163915259</v>
      </c>
      <c r="AV25" s="27">
        <f>SUM('Net zero emission reductions'!AB1423:AB1424)</f>
        <v>0.12026003264509512</v>
      </c>
      <c r="AW25" s="27">
        <f>SUM('Net zero emission reductions'!AC1423:AC1424)</f>
        <v>0.12258214116378446</v>
      </c>
      <c r="AX25" s="27">
        <f>SUM('Net zero emission reductions'!AD1423:AD1424)</f>
        <v>0.12522504999568007</v>
      </c>
      <c r="AY25" s="27">
        <f>SUM('Net zero emission reductions'!AE1423:AE1424)</f>
        <v>0.12816252290413602</v>
      </c>
      <c r="AZ25" s="27">
        <f>SUM('Net zero emission reductions'!AF1423:AF1424)</f>
        <v>0.13124762629897524</v>
      </c>
      <c r="BA25" s="27">
        <f>SUM('Net zero emission reductions'!AG1423:AG1424)</f>
        <v>0.13453334394587851</v>
      </c>
      <c r="BB25" s="27">
        <f>SUM('Net zero emission reductions'!AH1423:AH1424)</f>
        <v>0.1379488558354422</v>
      </c>
      <c r="BC25" s="27">
        <f>SUM('Net zero emission reductions'!AI1423:AI1424)</f>
        <v>0.14126336908553844</v>
      </c>
      <c r="BD25" s="27">
        <f>SUM('Net zero emission reductions'!AJ1423:AJ1424)</f>
        <v>0.14479709677522781</v>
      </c>
      <c r="BE25" s="27">
        <f>SUM('Net zero emission reductions'!AK1423:AK1424)</f>
        <v>0.14833787272741317</v>
      </c>
      <c r="BF25" s="27">
        <f>SUM('Net zero emission reductions'!AL1423:AL1424)</f>
        <v>0.15186710677788712</v>
      </c>
      <c r="BG25" s="27">
        <f>SUM('Net zero emission reductions'!AM1423:AM1424)</f>
        <v>0.15547611863628502</v>
      </c>
      <c r="BH25" s="27">
        <f>SUM('Net zero emission reductions'!AN1423:AN1424)</f>
        <v>0.15893152035148708</v>
      </c>
      <c r="BI25" s="27">
        <f>SUM('Net zero emission reductions'!AO1423:AO1424)</f>
        <v>0.16254739658669715</v>
      </c>
      <c r="BJ25" s="27">
        <f>SUM('Net zero emission reductions'!AP1423:AP1424)</f>
        <v>0.166427982608115</v>
      </c>
      <c r="BK25" s="27">
        <f>SUM('Net zero emission reductions'!AQ1423:AQ1424)</f>
        <v>0.17037638695545265</v>
      </c>
      <c r="BL25" s="27">
        <f>SUM('Net zero emission reductions'!AR1423:AR1424)</f>
        <v>0.17439986847534605</v>
      </c>
      <c r="BM25" s="27">
        <f>SUM('Net zero emission reductions'!AS1423:AS1424)</f>
        <v>0.17869724235050991</v>
      </c>
      <c r="BN25" s="27">
        <f>SUM('Net zero emission reductions'!AT1423:AT1424)</f>
        <v>0.18319369641337954</v>
      </c>
      <c r="BO25" s="27">
        <f>SUM('Net zero emission reductions'!AU1423:AU1424)</f>
        <v>0.18783797711146039</v>
      </c>
      <c r="BP25" s="27">
        <f>SUM('Net zero emission reductions'!AV1423:AV1424)</f>
        <v>0.19275055956988055</v>
      </c>
      <c r="BQ25" s="27">
        <f>SUM('Net zero emission reductions'!AW1423:AW1424)</f>
        <v>0.19719733596041297</v>
      </c>
    </row>
    <row r="26" spans="1:72" x14ac:dyDescent="0.25">
      <c r="A26" s="95" t="str">
        <f t="shared" si="2"/>
        <v>FSFAGSPQNIBDDSCM Poultry MMN2O</v>
      </c>
      <c r="B26" s="95" t="str">
        <f t="shared" si="14"/>
        <v>FSFAGSPQNIBDDSCM</v>
      </c>
      <c r="C26" s="96" t="s">
        <v>1233</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2.1900184905347508</v>
      </c>
      <c r="AH26" s="27">
        <f>SUM('Net zero emission reductions'!N1425:N1428)</f>
        <v>2.2070152134542438</v>
      </c>
      <c r="AI26" s="27">
        <f>SUM('Net zero emission reductions'!O1425:O1428)</f>
        <v>2.205415691039156</v>
      </c>
      <c r="AJ26" s="27">
        <f>SUM('Net zero emission reductions'!P1425:P1428)</f>
        <v>2.1852604118945709</v>
      </c>
      <c r="AK26" s="27">
        <f>SUM('Net zero emission reductions'!Q1425:Q1428)</f>
        <v>2.1799994398925184</v>
      </c>
      <c r="AL26" s="27">
        <f>SUM('Net zero emission reductions'!R1425:R1428)</f>
        <v>2.1772115733745303</v>
      </c>
      <c r="AM26" s="27">
        <f>SUM('Net zero emission reductions'!S1425:S1428)</f>
        <v>1.9284622678221699</v>
      </c>
      <c r="AN26" s="27">
        <f>SUM('Net zero emission reductions'!T1425:T1428)</f>
        <v>2.085107547317421</v>
      </c>
      <c r="AO26" s="27">
        <f>SUM('Net zero emission reductions'!U1425:U1428)</f>
        <v>2.1622091880895464</v>
      </c>
      <c r="AP26" s="27">
        <f>SUM('Net zero emission reductions'!V1425:V1428)</f>
        <v>2.1750548478898208</v>
      </c>
      <c r="AQ26" s="27">
        <f>SUM('Net zero emission reductions'!W1425:W1428)</f>
        <v>2.1896735738809801</v>
      </c>
      <c r="AR26" s="27">
        <f>SUM('Net zero emission reductions'!X1425:X1428)</f>
        <v>2.2208245862535172</v>
      </c>
      <c r="AS26" s="27">
        <f>SUM('Net zero emission reductions'!Y1425:Y1428)</f>
        <v>2.2693401782418601</v>
      </c>
      <c r="AT26" s="27">
        <f>SUM('Net zero emission reductions'!Z1425:Z1428)</f>
        <v>2.3265431375122594</v>
      </c>
      <c r="AU26" s="27">
        <f>SUM('Net zero emission reductions'!AA1425:AA1428)</f>
        <v>2.3947978947014099</v>
      </c>
      <c r="AV26" s="27">
        <f>SUM('Net zero emission reductions'!AB1425:AB1428)</f>
        <v>2.481278065928207</v>
      </c>
      <c r="AW26" s="27">
        <f>SUM('Net zero emission reductions'!AC1425:AC1428)</f>
        <v>2.5850846366641034</v>
      </c>
      <c r="AX26" s="27">
        <f>SUM('Net zero emission reductions'!AD1425:AD1428)</f>
        <v>2.6996129328965166</v>
      </c>
      <c r="AY26" s="27">
        <f>SUM('Net zero emission reductions'!AE1425:AE1428)</f>
        <v>2.8245233516460178</v>
      </c>
      <c r="AZ26" s="27">
        <f>SUM('Net zero emission reductions'!AF1425:AF1428)</f>
        <v>2.9561471872443672</v>
      </c>
      <c r="BA26" s="27">
        <f>SUM('Net zero emission reductions'!AG1425:AG1428)</f>
        <v>3.0961996792746405</v>
      </c>
      <c r="BB26" s="27">
        <f>SUM('Net zero emission reductions'!AH1425:AH1428)</f>
        <v>3.2429600251837631</v>
      </c>
      <c r="BC26" s="27">
        <f>SUM('Net zero emission reductions'!AI1425:AI1428)</f>
        <v>3.3900272244853862</v>
      </c>
      <c r="BD26" s="27">
        <f>SUM('Net zero emission reductions'!AJ1425:AJ1428)</f>
        <v>3.546661470653039</v>
      </c>
      <c r="BE26" s="27">
        <f>SUM('Net zero emission reductions'!AK1425:AK1428)</f>
        <v>3.7069898072786907</v>
      </c>
      <c r="BF26" s="27">
        <f>SUM('Net zero emission reductions'!AL1425:AL1428)</f>
        <v>3.8705523089166776</v>
      </c>
      <c r="BG26" s="27">
        <f>SUM('Net zero emission reductions'!AM1425:AM1428)</f>
        <v>4.0401726076909572</v>
      </c>
      <c r="BH26" s="27">
        <f>SUM('Net zero emission reductions'!AN1425:AN1428)</f>
        <v>4.2089004252557887</v>
      </c>
      <c r="BI26" s="27">
        <f>SUM('Net zero emission reductions'!AO1425:AO1428)</f>
        <v>4.3863909427240957</v>
      </c>
      <c r="BJ26" s="27">
        <f>SUM('Net zero emission reductions'!AP1425:AP1428)</f>
        <v>4.5762251228113442</v>
      </c>
      <c r="BK26" s="27">
        <f>SUM('Net zero emission reductions'!AQ1425:AQ1428)</f>
        <v>4.7725828691036316</v>
      </c>
      <c r="BL26" s="27">
        <f>SUM('Net zero emission reductions'!AR1425:AR1428)</f>
        <v>4.9759147879802885</v>
      </c>
      <c r="BM26" s="27">
        <f>SUM('Net zero emission reductions'!AS1425:AS1428)</f>
        <v>5.1929484060278366</v>
      </c>
      <c r="BN26" s="27">
        <f>SUM('Net zero emission reductions'!AT1425:AT1428)</f>
        <v>5.4216995992754935</v>
      </c>
      <c r="BO26" s="27">
        <f>SUM('Net zero emission reductions'!AU1425:AU1428)</f>
        <v>5.6608543521596459</v>
      </c>
      <c r="BP26" s="27">
        <f>SUM('Net zero emission reductions'!AV1425:AV1428)</f>
        <v>5.9148599518840737</v>
      </c>
      <c r="BQ26" s="27">
        <f>SUM('Net zero emission reductions'!AW1425:AW1428)</f>
        <v>6.1589674406421722</v>
      </c>
    </row>
    <row r="27" spans="1:72" s="19" customFormat="1" ht="15.75" x14ac:dyDescent="0.25">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75" x14ac:dyDescent="0.25">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75" x14ac:dyDescent="0.25">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893.63599451516268</v>
      </c>
      <c r="AO41" s="41">
        <f>'Net zero emission reductions'!U1461</f>
        <v>901.53557284553392</v>
      </c>
      <c r="AP41" s="41">
        <f>'Net zero emission reductions'!V1461</f>
        <v>905.89010059598195</v>
      </c>
      <c r="AQ41" s="41">
        <f>'Net zero emission reductions'!W1461</f>
        <v>907.58009218117843</v>
      </c>
      <c r="AR41" s="41">
        <f>'Net zero emission reductions'!X1461</f>
        <v>909.40288860123439</v>
      </c>
      <c r="AS41" s="41">
        <f>'Net zero emission reductions'!Y1461</f>
        <v>911.92422757648922</v>
      </c>
      <c r="AT41" s="41">
        <f>'Net zero emission reductions'!Z1461</f>
        <v>915.10313656095923</v>
      </c>
      <c r="AU41" s="41">
        <f>'Net zero emission reductions'!AA1461</f>
        <v>918.57833095683384</v>
      </c>
      <c r="AV41" s="41">
        <f>'Net zero emission reductions'!AB1461</f>
        <v>922.43403487282035</v>
      </c>
      <c r="AW41" s="41">
        <f>'Net zero emission reductions'!AC1461</f>
        <v>926.93686062638631</v>
      </c>
      <c r="AX41" s="41">
        <f>'Net zero emission reductions'!AD1461</f>
        <v>932.02307525086815</v>
      </c>
      <c r="AY41" s="41">
        <f>'Net zero emission reductions'!AE1461</f>
        <v>937.4114004614803</v>
      </c>
      <c r="AZ41" s="41">
        <f>'Net zero emission reductions'!AF1461</f>
        <v>943.0703615154913</v>
      </c>
      <c r="BA41" s="41">
        <f>'Net zero emission reductions'!AG1461</f>
        <v>948.84872324168452</v>
      </c>
      <c r="BB41" s="41">
        <f>'Net zero emission reductions'!AH1461</f>
        <v>954.79399041296358</v>
      </c>
      <c r="BC41" s="41">
        <f>'Net zero emission reductions'!AI1461</f>
        <v>960.83317350344373</v>
      </c>
      <c r="BD41" s="41">
        <f>'Net zero emission reductions'!AJ1461</f>
        <v>966.74459566725386</v>
      </c>
      <c r="BE41" s="41">
        <f>'Net zero emission reductions'!AK1461</f>
        <v>972.83250351153242</v>
      </c>
      <c r="BF41" s="41">
        <f>'Net zero emission reductions'!AL1461</f>
        <v>978.89306599922156</v>
      </c>
      <c r="BG41" s="41">
        <f>'Net zero emission reductions'!AM1461</f>
        <v>984.91027811786876</v>
      </c>
      <c r="BH41" s="41">
        <f>'Net zero emission reductions'!AN1461</f>
        <v>990.96854669159461</v>
      </c>
      <c r="BI41" s="41">
        <f>'Net zero emission reductions'!AO1461</f>
        <v>996.85817227544851</v>
      </c>
      <c r="BJ41" s="41">
        <f>'Net zero emission reductions'!AP1461</f>
        <v>1002.8620363509766</v>
      </c>
      <c r="BK41" s="41">
        <f>'Net zero emission reductions'!AQ1461</f>
        <v>1009.0666625916243</v>
      </c>
      <c r="BL41" s="41">
        <f>'Net zero emission reductions'!AR1461</f>
        <v>1015.2950621882683</v>
      </c>
      <c r="BM41" s="41">
        <f>'Net zero emission reductions'!AS1461</f>
        <v>1021.5521396290935</v>
      </c>
      <c r="BN41" s="41">
        <f>'Net zero emission reductions'!AT1461</f>
        <v>1028.0026193966835</v>
      </c>
      <c r="BO41" s="41">
        <f>'Net zero emission reductions'!AU1461</f>
        <v>1034.5766203170861</v>
      </c>
      <c r="BP41" s="41">
        <f>'Net zero emission reductions'!AV1461</f>
        <v>1041.2271453774342</v>
      </c>
      <c r="BQ41" s="41">
        <f>'Net zero emission reductions'!AW1461</f>
        <v>1048.046646803637</v>
      </c>
      <c r="BT41"/>
    </row>
    <row r="42" spans="1:72" s="19" customFormat="1" ht="15.75" x14ac:dyDescent="0.25">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469.91487835797898</v>
      </c>
      <c r="AO42" s="41">
        <f>'Net zero emission reductions'!U1462</f>
        <v>469.71584189716231</v>
      </c>
      <c r="AP42" s="41">
        <f>'Net zero emission reductions'!V1462</f>
        <v>469.60612594072387</v>
      </c>
      <c r="AQ42" s="41">
        <f>'Net zero emission reductions'!W1462</f>
        <v>469.56354519402316</v>
      </c>
      <c r="AR42" s="41">
        <f>'Net zero emission reductions'!X1462</f>
        <v>469.51761831880731</v>
      </c>
      <c r="AS42" s="41">
        <f>'Net zero emission reductions'!Y1462</f>
        <v>469.45409108163506</v>
      </c>
      <c r="AT42" s="41">
        <f>'Net zero emission reductions'!Z1462</f>
        <v>469.37399581995572</v>
      </c>
      <c r="AU42" s="41">
        <f>'Net zero emission reductions'!AA1462</f>
        <v>469.28643540036416</v>
      </c>
      <c r="AV42" s="41">
        <f>'Net zero emission reductions'!AB1462</f>
        <v>469.18928772623514</v>
      </c>
      <c r="AW42" s="41">
        <f>'Net zero emission reductions'!AC1462</f>
        <v>469.07583527799261</v>
      </c>
      <c r="AX42" s="41">
        <f>'Net zero emission reductions'!AD1462</f>
        <v>468.94768386085701</v>
      </c>
      <c r="AY42" s="41">
        <f>'Net zero emission reductions'!AE1462</f>
        <v>468.81192051567615</v>
      </c>
      <c r="AZ42" s="41">
        <f>'Net zero emission reductions'!AF1462</f>
        <v>468.66933827482927</v>
      </c>
      <c r="BA42" s="41">
        <f>'Net zero emission reductions'!AG1462</f>
        <v>468.523747634519</v>
      </c>
      <c r="BB42" s="41">
        <f>'Net zero emission reductions'!AH1462</f>
        <v>468.37395167239384</v>
      </c>
      <c r="BC42" s="41">
        <f>'Net zero emission reductions'!AI1462</f>
        <v>468.22178942039972</v>
      </c>
      <c r="BD42" s="41">
        <f>'Net zero emission reductions'!AJ1462</f>
        <v>468.07284621144964</v>
      </c>
      <c r="BE42" s="41">
        <f>'Net zero emission reductions'!AK1462</f>
        <v>467.91945629866859</v>
      </c>
      <c r="BF42" s="41">
        <f>'Net zero emission reductions'!AL1462</f>
        <v>467.76675537494071</v>
      </c>
      <c r="BG42" s="41">
        <f>'Net zero emission reductions'!AM1462</f>
        <v>467.61514669989612</v>
      </c>
      <c r="BH42" s="41">
        <f>'Net zero emission reductions'!AN1462</f>
        <v>467.46250357324266</v>
      </c>
      <c r="BI42" s="41">
        <f>'Net zero emission reductions'!AO1462</f>
        <v>467.31410954729336</v>
      </c>
      <c r="BJ42" s="41">
        <f>'Net zero emission reductions'!AP1462</f>
        <v>467.16283718732154</v>
      </c>
      <c r="BK42" s="41">
        <f>'Net zero emission reductions'!AQ1462</f>
        <v>467.00650645725204</v>
      </c>
      <c r="BL42" s="41">
        <f>'Net zero emission reductions'!AR1462</f>
        <v>466.84957673766149</v>
      </c>
      <c r="BM42" s="41">
        <f>'Net zero emission reductions'!AS1462</f>
        <v>466.6919244558822</v>
      </c>
      <c r="BN42" s="41">
        <f>'Net zero emission reductions'!AT1462</f>
        <v>466.52939924126719</v>
      </c>
      <c r="BO42" s="41">
        <f>'Net zero emission reductions'!AU1462</f>
        <v>466.36376180824482</v>
      </c>
      <c r="BP42" s="41">
        <f>'Net zero emission reductions'!AV1462</f>
        <v>466.19619628572883</v>
      </c>
      <c r="BQ42" s="41">
        <f>'Net zero emission reductions'!AW1462</f>
        <v>466.02437326282302</v>
      </c>
      <c r="BT42"/>
    </row>
    <row r="43" spans="1:72" s="19" customFormat="1" ht="15.75" x14ac:dyDescent="0.25">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55.141377146941771</v>
      </c>
      <c r="AG43" s="41">
        <f t="shared" si="26"/>
        <v>55.133536751110512</v>
      </c>
      <c r="AH43" s="41">
        <f t="shared" si="26"/>
        <v>54.82749609462973</v>
      </c>
      <c r="AI43" s="41">
        <f t="shared" si="26"/>
        <v>54.339148116939313</v>
      </c>
      <c r="AJ43" s="41">
        <f t="shared" si="26"/>
        <v>53.680284142654159</v>
      </c>
      <c r="AK43" s="41">
        <f t="shared" si="26"/>
        <v>53.185580517007523</v>
      </c>
      <c r="AL43" s="41">
        <f t="shared" si="26"/>
        <v>52.728403644181718</v>
      </c>
      <c r="AM43" s="41">
        <f t="shared" si="26"/>
        <v>49.776002036357177</v>
      </c>
      <c r="AN43" s="41">
        <f t="shared" si="26"/>
        <v>51.003365118719287</v>
      </c>
      <c r="AO43" s="41">
        <f t="shared" si="26"/>
        <v>51.48015462747982</v>
      </c>
      <c r="AP43" s="41">
        <f t="shared" si="26"/>
        <v>51.35236467073296</v>
      </c>
      <c r="AQ43" s="41">
        <f t="shared" si="26"/>
        <v>51.263051507469783</v>
      </c>
      <c r="AR43" s="41">
        <f t="shared" si="26"/>
        <v>51.339212557854061</v>
      </c>
      <c r="AS43" s="41">
        <f t="shared" si="26"/>
        <v>51.564010962210261</v>
      </c>
      <c r="AT43" s="41">
        <f t="shared" si="26"/>
        <v>51.856668367800211</v>
      </c>
      <c r="AU43" s="41">
        <f t="shared" si="26"/>
        <v>52.23458137788618</v>
      </c>
      <c r="AV43" s="41">
        <f t="shared" si="26"/>
        <v>52.757729498670166</v>
      </c>
      <c r="AW43" s="41">
        <f t="shared" si="26"/>
        <v>53.415064810815132</v>
      </c>
      <c r="AX43" s="41">
        <f t="shared" si="26"/>
        <v>53.932248663939241</v>
      </c>
      <c r="AY43" s="41">
        <f t="shared" si="26"/>
        <v>54.503448397646693</v>
      </c>
      <c r="AZ43" s="41">
        <f t="shared" si="26"/>
        <v>55.094763067504381</v>
      </c>
      <c r="BA43" s="41">
        <f t="shared" si="26"/>
        <v>55.716628094389577</v>
      </c>
      <c r="BB43" s="41">
        <f t="shared" si="26"/>
        <v>56.352790516314272</v>
      </c>
      <c r="BC43" s="41">
        <f t="shared" si="26"/>
        <v>56.951910014367307</v>
      </c>
      <c r="BD43" s="41">
        <f t="shared" si="26"/>
        <v>57.583201771834524</v>
      </c>
      <c r="BE43" s="41">
        <f t="shared" si="26"/>
        <v>58.199760424409973</v>
      </c>
      <c r="BF43" s="41">
        <f t="shared" si="26"/>
        <v>58.796707718004413</v>
      </c>
      <c r="BG43" s="41">
        <f t="shared" si="26"/>
        <v>59.393412475129367</v>
      </c>
      <c r="BH43" s="41">
        <f t="shared" si="26"/>
        <v>60.088513363191879</v>
      </c>
      <c r="BI43" s="41">
        <f t="shared" si="26"/>
        <v>60.80879176111231</v>
      </c>
      <c r="BJ43" s="41">
        <f t="shared" si="26"/>
        <v>61.576604409888091</v>
      </c>
      <c r="BK43" s="41">
        <f t="shared" si="26"/>
        <v>62.349735070440218</v>
      </c>
      <c r="BL43" s="41">
        <f t="shared" si="26"/>
        <v>63.128761206248519</v>
      </c>
      <c r="BM43" s="41">
        <f t="shared" si="26"/>
        <v>63.955183987739041</v>
      </c>
      <c r="BN43" s="41">
        <f t="shared" si="26"/>
        <v>64.812971064675452</v>
      </c>
      <c r="BO43" s="41">
        <f t="shared" si="26"/>
        <v>65.690654773508626</v>
      </c>
      <c r="BP43" s="41">
        <f t="shared" si="26"/>
        <v>66.612907292840518</v>
      </c>
      <c r="BQ43" s="41">
        <f t="shared" si="26"/>
        <v>67.425578530981952</v>
      </c>
      <c r="BT43"/>
    </row>
    <row r="44" spans="1:72" x14ac:dyDescent="0.25">
      <c r="A44" s="95" t="str">
        <f t="shared" ref="A44:A48" si="27">B44&amp;" "&amp;C44</f>
        <v>FSFAGSPQNIBDDSCM Synthetic</v>
      </c>
      <c r="B44" s="95" t="str">
        <f t="shared" ref="B44:B48" si="28">$B$5</f>
        <v>FSFAGSPQNIBDDSCM</v>
      </c>
      <c r="C44" s="95" t="s">
        <v>1125</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6.603634243590573</v>
      </c>
      <c r="AO44" s="94">
        <f>IF($A44="Baseline",'Emissions summary'!AL44,SUMIF('Net zero emission reductions'!$A$4:$A$1448,$A$44,'Net zero emission reductions'!U$4:U$1448))</f>
        <v>6.6004971859529533</v>
      </c>
      <c r="AP44" s="94">
        <f>IF($A44="Baseline",'Emissions summary'!AM44,SUMIF('Net zero emission reductions'!$A$4:$A$1448,$A$44,'Net zero emission reductions'!V$4:V$1448))</f>
        <v>6.5987679285209158</v>
      </c>
      <c r="AQ44" s="94">
        <f>IF($A44="Baseline",'Emissions summary'!AN44,SUMIF('Net zero emission reductions'!$A$4:$A$1448,$A$44,'Net zero emission reductions'!W$4:W$1448))</f>
        <v>6.5980968039636112</v>
      </c>
      <c r="AR44" s="94">
        <f>IF($A44="Baseline",'Emissions summary'!AO44,SUMIF('Net zero emission reductions'!$A$4:$A$1448,$A$44,'Net zero emission reductions'!X$4:X$1448))</f>
        <v>6.5973729403354264</v>
      </c>
      <c r="AS44" s="94">
        <f>IF($A44="Baseline",'Emissions summary'!AP44,SUMIF('Net zero emission reductions'!$A$4:$A$1448,$A$44,'Net zero emission reductions'!Y$4:Y$1448))</f>
        <v>6.5963716735135058</v>
      </c>
      <c r="AT44" s="94">
        <f>IF($A44="Baseline",'Emissions summary'!AQ44,SUMIF('Net zero emission reductions'!$A$4:$A$1448,$A$44,'Net zero emission reductions'!Z$4:Z$1448))</f>
        <v>6.5951092743964939</v>
      </c>
      <c r="AU44" s="94">
        <f>IF($A44="Baseline",'Emissions summary'!AR44,SUMIF('Net zero emission reductions'!$A$4:$A$1448,$A$44,'Net zero emission reductions'!AA$4:AA$1448))</f>
        <v>6.5937292152761398</v>
      </c>
      <c r="AV44" s="94">
        <f>IF($A44="Baseline",'Emissions summary'!AS44,SUMIF('Net zero emission reductions'!$A$4:$A$1448,$A$44,'Net zero emission reductions'!AB$4:AB$1448))</f>
        <v>6.5921980493186423</v>
      </c>
      <c r="AW44" s="94">
        <f>IF($A44="Baseline",'Emissions summary'!AT44,SUMIF('Net zero emission reductions'!$A$4:$A$1448,$A$44,'Net zero emission reductions'!AC$4:AC$1448))</f>
        <v>6.5904099002136718</v>
      </c>
      <c r="AX44" s="94">
        <f>IF($A44="Baseline",'Emissions summary'!AU44,SUMIF('Net zero emission reductions'!$A$4:$A$1448,$A$44,'Net zero emission reductions'!AD$4:AD$1448))</f>
        <v>6.5883900774121225</v>
      </c>
      <c r="AY44" s="94">
        <f>IF($A44="Baseline",'Emissions summary'!AV44,SUMIF('Net zero emission reductions'!$A$4:$A$1448,$A$44,'Net zero emission reductions'!AE$4:AE$1448))</f>
        <v>6.5862502813307362</v>
      </c>
      <c r="AZ44" s="94">
        <f>IF($A44="Baseline",'Emissions summary'!AW44,SUMIF('Net zero emission reductions'!$A$4:$A$1448,$A$44,'Net zero emission reductions'!AF$4:AF$1448))</f>
        <v>6.5840030111280692</v>
      </c>
      <c r="BA44" s="94">
        <f>IF($A44="Baseline",'Emissions summary'!AX44,SUMIF('Net zero emission reductions'!$A$4:$A$1448,$A$44,'Net zero emission reductions'!AG$4:AG$1448))</f>
        <v>6.5817083248767299</v>
      </c>
      <c r="BB44" s="94">
        <f>IF($A44="Baseline",'Emissions summary'!AY44,SUMIF('Net zero emission reductions'!$A$4:$A$1448,$A$44,'Net zero emission reductions'!AH$4:AH$1448))</f>
        <v>6.5793473576190653</v>
      </c>
      <c r="BC44" s="94">
        <f>IF($A44="Baseline",'Emissions summary'!AZ44,SUMIF('Net zero emission reductions'!$A$4:$A$1448,$A$44,'Net zero emission reductions'!AI$4:AI$1448))</f>
        <v>6.5769490947439282</v>
      </c>
      <c r="BD44" s="94">
        <f>IF($A44="Baseline",'Emissions summary'!BA44,SUMIF('Net zero emission reductions'!$A$4:$A$1448,$A$44,'Net zero emission reductions'!AJ$4:AJ$1448))</f>
        <v>6.5746015679174796</v>
      </c>
      <c r="BE44" s="94">
        <f>IF($A44="Baseline",'Emissions summary'!BB44,SUMIF('Net zero emission reductions'!$A$4:$A$1448,$A$44,'Net zero emission reductions'!AK$4:AK$1448))</f>
        <v>6.5721839556094164</v>
      </c>
      <c r="BF44" s="94">
        <f>IF($A44="Baseline",'Emissions summary'!BC44,SUMIF('Net zero emission reductions'!$A$4:$A$1448,$A$44,'Net zero emission reductions'!AL$4:AL$1448))</f>
        <v>6.5697772026100587</v>
      </c>
      <c r="BG44" s="94">
        <f>IF($A44="Baseline",'Emissions summary'!BD44,SUMIF('Net zero emission reductions'!$A$4:$A$1448,$A$44,'Net zero emission reductions'!AM$4:AM$1448))</f>
        <v>6.5673876647835385</v>
      </c>
      <c r="BH44" s="94">
        <f>IF($A44="Baseline",'Emissions summary'!BE44,SUMIF('Net zero emission reductions'!$A$4:$A$1448,$A$44,'Net zero emission reductions'!AN$4:AN$1448))</f>
        <v>6.5649818227366428</v>
      </c>
      <c r="BI44" s="94">
        <f>IF($A44="Baseline",'Emissions summary'!BF44,SUMIF('Net zero emission reductions'!$A$4:$A$1448,$A$44,'Net zero emission reductions'!AO$4:AO$1448))</f>
        <v>6.5626429517048157</v>
      </c>
      <c r="BJ44" s="94">
        <f>IF($A44="Baseline",'Emissions summary'!BG44,SUMIF('Net zero emission reductions'!$A$4:$A$1448,$A$44,'Net zero emission reductions'!AP$4:AP$1448))</f>
        <v>6.5602587146144691</v>
      </c>
      <c r="BK44" s="94">
        <f>IF($A44="Baseline",'Emissions summary'!BH44,SUMIF('Net zero emission reductions'!$A$4:$A$1448,$A$44,'Net zero emission reductions'!AQ$4:AQ$1448))</f>
        <v>6.557794751435325</v>
      </c>
      <c r="BL44" s="94">
        <f>IF($A44="Baseline",'Emissions summary'!BI44,SUMIF('Net zero emission reductions'!$A$4:$A$1448,$A$44,'Net zero emission reductions'!AR$4:AR$1448))</f>
        <v>6.5553213474499907</v>
      </c>
      <c r="BM44" s="94">
        <f>IF($A44="Baseline",'Emissions summary'!BJ44,SUMIF('Net zero emission reductions'!$A$4:$A$1448,$A$44,'Net zero emission reductions'!AS$4:AS$1448))</f>
        <v>6.552836555002342</v>
      </c>
      <c r="BN44" s="94">
        <f>IF($A44="Baseline",'Emissions summary'!BK44,SUMIF('Net zero emission reductions'!$A$4:$A$1448,$A$44,'Net zero emission reductions'!AT$4:AT$1448))</f>
        <v>6.5502749591835583</v>
      </c>
      <c r="BO44" s="94">
        <f>IF($A44="Baseline",'Emissions summary'!BL44,SUMIF('Net zero emission reductions'!$A$4:$A$1448,$A$44,'Net zero emission reductions'!AU$4:AU$1448))</f>
        <v>6.5476643110027855</v>
      </c>
      <c r="BP44" s="94">
        <f>IF($A44="Baseline",'Emissions summary'!BM44,SUMIF('Net zero emission reductions'!$A$4:$A$1448,$A$44,'Net zero emission reductions'!AV$4:AV$1448))</f>
        <v>6.5450232737774749</v>
      </c>
      <c r="BQ44" s="94">
        <f>IF($A44="Baseline",'Emissions summary'!BN44,SUMIF('Net zero emission reductions'!$A$4:$A$1448,$A$44,'Net zero emission reductions'!AW$4:AW$1448))</f>
        <v>6.5423151331477944</v>
      </c>
    </row>
    <row r="45" spans="1:72" x14ac:dyDescent="0.25">
      <c r="A45" s="95" t="str">
        <f t="shared" si="27"/>
        <v>FSFAGSPQNIBDDSCM Organic</v>
      </c>
      <c r="B45" s="95" t="str">
        <f t="shared" si="28"/>
        <v>FSFAGSPQNIBDDSCM</v>
      </c>
      <c r="C45" s="95" t="s">
        <v>1126</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6.0478064170898813</v>
      </c>
      <c r="AF45" s="94">
        <f>IF($A45="Baseline",'Emissions summary'!AC45,SUMIF('Net zero emission reductions'!$A$4:$A$1448,$A$45,'Net zero emission reductions'!L$4:L$1448))</f>
        <v>6.0531159936457977</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6.0713021029410523</v>
      </c>
      <c r="AI45" s="94">
        <f>IF($A45="Baseline",'Emissions summary'!AF45,SUMIF('Net zero emission reductions'!$A$4:$A$1448,$A$45,'Net zero emission reductions'!O$4:O$1448))</f>
        <v>6.0227924876945904</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5.361073172257159</v>
      </c>
      <c r="AN45" s="94">
        <f>IF($A45="Baseline",'Emissions summary'!AK45,SUMIF('Net zero emission reductions'!$A$4:$A$1448,$A$45,'Net zero emission reductions'!T$4:T$1448))</f>
        <v>5.6075413127962106</v>
      </c>
      <c r="AO45" s="94">
        <f>IF($A45="Baseline",'Emissions summary'!AL45,SUMIF('Net zero emission reductions'!$A$4:$A$1448,$A$45,'Net zero emission reductions'!U$4:U$1448))</f>
        <v>5.7132915850716302</v>
      </c>
      <c r="AP45" s="94">
        <f>IF($A45="Baseline",'Emissions summary'!AM45,SUMIF('Net zero emission reductions'!$A$4:$A$1448,$A$45,'Net zero emission reductions'!V$4:V$1448))</f>
        <v>5.7105985000607102</v>
      </c>
      <c r="AQ45" s="94">
        <f>IF($A45="Baseline",'Emissions summary'!AN45,SUMIF('Net zero emission reductions'!$A$4:$A$1448,$A$45,'Net zero emission reductions'!W$4:W$1448))</f>
        <v>5.7143832691172163</v>
      </c>
      <c r="AR45" s="94">
        <f>IF($A45="Baseline",'Emissions summary'!AO45,SUMIF('Net zero emission reductions'!$A$4:$A$1448,$A$45,'Net zero emission reductions'!X$4:X$1448))</f>
        <v>5.7476603812739979</v>
      </c>
      <c r="AS45" s="94">
        <f>IF($A45="Baseline",'Emissions summary'!AP45,SUMIF('Net zero emission reductions'!$A$4:$A$1448,$A$45,'Net zero emission reductions'!Y$4:Y$1448))</f>
        <v>5.8088209787514007</v>
      </c>
      <c r="AT45" s="94">
        <f>IF($A45="Baseline",'Emissions summary'!AQ45,SUMIF('Net zero emission reductions'!$A$4:$A$1448,$A$45,'Net zero emission reductions'!Z$4:Z$1448))</f>
        <v>5.8831888608854204</v>
      </c>
      <c r="AU45" s="94">
        <f>IF($A45="Baseline",'Emissions summary'!AR45,SUMIF('Net zero emission reductions'!$A$4:$A$1448,$A$45,'Net zero emission reductions'!AA$4:AA$1448))</f>
        <v>5.9744150295603706</v>
      </c>
      <c r="AV45" s="94">
        <f>IF($A45="Baseline",'Emissions summary'!AS45,SUMIF('Net zero emission reductions'!$A$4:$A$1448,$A$45,'Net zero emission reductions'!AB$4:AB$1448))</f>
        <v>6.0939934772348936</v>
      </c>
      <c r="AW45" s="94">
        <f>IF($A45="Baseline",'Emissions summary'!AT45,SUMIF('Net zero emission reductions'!$A$4:$A$1448,$A$45,'Net zero emission reductions'!AC$4:AC$1448))</f>
        <v>6.2400941374873398</v>
      </c>
      <c r="AX45" s="94">
        <f>IF($A45="Baseline",'Emissions summary'!AU45,SUMIF('Net zero emission reductions'!$A$4:$A$1448,$A$45,'Net zero emission reductions'!AD$4:AD$1448))</f>
        <v>6.3796223906994687</v>
      </c>
      <c r="AY45" s="94">
        <f>IF($A45="Baseline",'Emissions summary'!AV45,SUMIF('Net zero emission reductions'!$A$4:$A$1448,$A$45,'Net zero emission reductions'!AE$4:AE$1448))</f>
        <v>6.5324503591471625</v>
      </c>
      <c r="AZ45" s="94">
        <f>IF($A45="Baseline",'Emissions summary'!AW45,SUMIF('Net zero emission reductions'!$A$4:$A$1448,$A$45,'Net zero emission reductions'!AF$4:AF$1448))</f>
        <v>6.6923947376861594</v>
      </c>
      <c r="BA45" s="94">
        <f>IF($A45="Baseline",'Emissions summary'!AX45,SUMIF('Net zero emission reductions'!$A$4:$A$1448,$A$45,'Net zero emission reductions'!AG$4:AG$1448))</f>
        <v>6.8618531825268221</v>
      </c>
      <c r="BB45" s="94">
        <f>IF($A45="Baseline",'Emissions summary'!AY45,SUMIF('Net zero emission reductions'!$A$4:$A$1448,$A$45,'Net zero emission reductions'!AH$4:AH$1448))</f>
        <v>7.0378833858824086</v>
      </c>
      <c r="BC45" s="94">
        <f>IF($A45="Baseline",'Emissions summary'!AZ45,SUMIF('Net zero emission reductions'!$A$4:$A$1448,$A$45,'Net zero emission reductions'!AI$4:AI$1448))</f>
        <v>7.2104775458860617</v>
      </c>
      <c r="BD45" s="94">
        <f>IF($A45="Baseline",'Emissions summary'!BA45,SUMIF('Net zero emission reductions'!$A$4:$A$1448,$A$45,'Net zero emission reductions'!AJ$4:AJ$1448))</f>
        <v>7.393717109274089</v>
      </c>
      <c r="BE45" s="94">
        <f>IF($A45="Baseline",'Emissions summary'!BB45,SUMIF('Net zero emission reductions'!$A$4:$A$1448,$A$45,'Net zero emission reductions'!AK$4:AK$1448))</f>
        <v>7.5783194744295281</v>
      </c>
      <c r="BF45" s="94">
        <f>IF($A45="Baseline",'Emissions summary'!BC45,SUMIF('Net zero emission reductions'!$A$4:$A$1448,$A$45,'Net zero emission reductions'!AL$4:AL$1448))</f>
        <v>7.7635042095877029</v>
      </c>
      <c r="BG45" s="94">
        <f>IF($A45="Baseline",'Emissions summary'!BD45,SUMIF('Net zero emission reductions'!$A$4:$A$1448,$A$45,'Net zero emission reductions'!AM$4:AM$1448))</f>
        <v>7.9533915608848744</v>
      </c>
      <c r="BH45" s="94">
        <f>IF($A45="Baseline",'Emissions summary'!BE45,SUMIF('Net zero emission reductions'!$A$4:$A$1448,$A$45,'Net zero emission reductions'!AN$4:AN$1448))</f>
        <v>8.1528454716375123</v>
      </c>
      <c r="BI45" s="94">
        <f>IF($A45="Baseline",'Emissions summary'!BF45,SUMIF('Net zero emission reductions'!$A$4:$A$1448,$A$45,'Net zero emission reductions'!AO$4:AO$1448))</f>
        <v>8.3616676025144461</v>
      </c>
      <c r="BJ45" s="94">
        <f>IF($A45="Baseline",'Emissions summary'!BG45,SUMIF('Net zero emission reductions'!$A$4:$A$1448,$A$45,'Net zero emission reductions'!AP$4:AP$1448))</f>
        <v>8.5847775205882932</v>
      </c>
      <c r="BK45" s="94">
        <f>IF($A45="Baseline",'Emissions summary'!BH45,SUMIF('Net zero emission reductions'!$A$4:$A$1448,$A$45,'Net zero emission reductions'!AQ$4:AQ$1448))</f>
        <v>8.8134690115460081</v>
      </c>
      <c r="BL45" s="94">
        <f>IF($A45="Baseline",'Emissions summary'!BI45,SUMIF('Net zero emission reductions'!$A$4:$A$1448,$A$45,'Net zero emission reductions'!AR$4:AR$1448))</f>
        <v>9.0481939409864225</v>
      </c>
      <c r="BM45" s="94">
        <f>IF($A45="Baseline",'Emissions summary'!BJ45,SUMIF('Net zero emission reductions'!$A$4:$A$1448,$A$45,'Net zero emission reductions'!AS$4:AS$1448))</f>
        <v>9.298280877352239</v>
      </c>
      <c r="BN45" s="94">
        <f>IF($A45="Baseline",'Emissions summary'!BK45,SUMIF('Net zero emission reductions'!$A$4:$A$1448,$A$45,'Net zero emission reductions'!AT$4:AT$1448))</f>
        <v>9.5605723855677027</v>
      </c>
      <c r="BO45" s="94">
        <f>IF($A45="Baseline",'Emissions summary'!BL45,SUMIF('Net zero emission reductions'!$A$4:$A$1448,$A$45,'Net zero emission reductions'!AU$4:AU$1448))</f>
        <v>9.8329449047528925</v>
      </c>
      <c r="BP45" s="94">
        <f>IF($A45="Baseline",'Emissions summary'!BM45,SUMIF('Net zero emission reductions'!$A$4:$A$1448,$A$45,'Net zero emission reductions'!AV$4:AV$1448))</f>
        <v>10.121321349077935</v>
      </c>
      <c r="BQ45" s="94">
        <f>IF($A45="Baseline",'Emissions summary'!BN45,SUMIF('Net zero emission reductions'!$A$4:$A$1448,$A$45,'Net zero emission reductions'!AW$4:AW$1448))</f>
        <v>10.391191329087096</v>
      </c>
    </row>
    <row r="46" spans="1:72" x14ac:dyDescent="0.25">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2.9705633438591348</v>
      </c>
      <c r="AO46" s="27">
        <f>'Net zero emission reductions'!U1465</f>
        <v>2.9939833213378622</v>
      </c>
      <c r="AP46" s="27">
        <f>'Net zero emission reductions'!V1465</f>
        <v>3.0068932435616724</v>
      </c>
      <c r="AQ46" s="27">
        <f>'Net zero emission reductions'!W1465</f>
        <v>3.0119035824948748</v>
      </c>
      <c r="AR46" s="27">
        <f>'Net zero emission reductions'!X1465</f>
        <v>3.0173076495628459</v>
      </c>
      <c r="AS46" s="27">
        <f>'Net zero emission reductions'!Y1465</f>
        <v>3.0247826943750078</v>
      </c>
      <c r="AT46" s="27">
        <f>'Net zero emission reductions'!Z1465</f>
        <v>3.0342072451180488</v>
      </c>
      <c r="AU46" s="27">
        <f>'Net zero emission reductions'!AA1465</f>
        <v>3.0445101968810144</v>
      </c>
      <c r="AV46" s="27">
        <f>'Net zero emission reductions'!AB1465</f>
        <v>3.0559412499196137</v>
      </c>
      <c r="AW46" s="27">
        <f>'Net zero emission reductions'!AC1465</f>
        <v>3.0692908330655531</v>
      </c>
      <c r="AX46" s="27">
        <f>'Net zero emission reductions'!AD1465</f>
        <v>3.0843699964051159</v>
      </c>
      <c r="AY46" s="27">
        <f>'Net zero emission reductions'!AE1465</f>
        <v>3.1003448307320856</v>
      </c>
      <c r="AZ46" s="27">
        <f>'Net zero emission reductions'!AF1465</f>
        <v>3.1171220224878007</v>
      </c>
      <c r="BA46" s="27">
        <f>'Net zero emission reductions'!AG1465</f>
        <v>3.1342532028915815</v>
      </c>
      <c r="BB46" s="27">
        <f>'Net zero emission reductions'!AH1465</f>
        <v>3.1518792099305966</v>
      </c>
      <c r="BC46" s="27">
        <f>'Net zero emission reductions'!AI1465</f>
        <v>3.1697836506556398</v>
      </c>
      <c r="BD46" s="27">
        <f>'Net zero emission reductions'!AJ1465</f>
        <v>3.1873093169828417</v>
      </c>
      <c r="BE46" s="27">
        <f>'Net zero emission reductions'!AK1465</f>
        <v>3.2053582125874849</v>
      </c>
      <c r="BF46" s="27">
        <f>'Net zero emission reductions'!AL1465</f>
        <v>3.2233260370755845</v>
      </c>
      <c r="BG46" s="27">
        <f>'Net zero emission reductions'!AM1465</f>
        <v>3.2411653401889731</v>
      </c>
      <c r="BH46" s="27">
        <f>'Net zero emission reductions'!AN1465</f>
        <v>3.2591263638820034</v>
      </c>
      <c r="BI46" s="27">
        <f>'Net zero emission reductions'!AO1465</f>
        <v>3.2765874096193026</v>
      </c>
      <c r="BJ46" s="27">
        <f>'Net zero emission reductions'!AP1465</f>
        <v>3.294387139624336</v>
      </c>
      <c r="BK46" s="27">
        <f>'Net zero emission reductions'!AQ1465</f>
        <v>3.3127820717007999</v>
      </c>
      <c r="BL46" s="27">
        <f>'Net zero emission reductions'!AR1465</f>
        <v>3.3312474849395168</v>
      </c>
      <c r="BM46" s="27">
        <f>'Net zero emission reductions'!AS1465</f>
        <v>3.3497979197372052</v>
      </c>
      <c r="BN46" s="27">
        <f>'Net zero emission reductions'!AT1465</f>
        <v>3.3689217368026219</v>
      </c>
      <c r="BO46" s="27">
        <f>'Net zero emission reductions'!AU1465</f>
        <v>3.3884117585559377</v>
      </c>
      <c r="BP46" s="27">
        <f>'Net zero emission reductions'!AV1465</f>
        <v>3.4081286523724397</v>
      </c>
      <c r="BQ46" s="27">
        <f>'Net zero emission reductions'!AW1465</f>
        <v>3.4283465125085661</v>
      </c>
    </row>
    <row r="47" spans="1:72" x14ac:dyDescent="0.25">
      <c r="A47" s="95" t="str">
        <f t="shared" si="27"/>
        <v>FSFAGSPQNIBDDSCM U&amp;D</v>
      </c>
      <c r="B47" s="95" t="str">
        <f t="shared" si="28"/>
        <v>FSFAGSPQNIBDDSCM</v>
      </c>
      <c r="C47" s="95" t="s">
        <v>1335</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35.397528140833231</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34.84870552267401</v>
      </c>
      <c r="AI47" s="94">
        <f>IF($A47="Baseline",'Emissions summary'!AF47,SUMIF('Net zero emission reductions'!$A$4:$A$1448,$A$47,'Net zero emission reductions'!O$4:O$1448))</f>
        <v>34.401446898347132</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30.480934553755446</v>
      </c>
      <c r="AN47" s="94">
        <f>IF($A47="Baseline",'Emissions summary'!AK47,SUMIF('Net zero emission reductions'!$A$4:$A$1448,$A$47,'Net zero emission reductions'!T$4:T$1448))</f>
        <v>31.484481480462641</v>
      </c>
      <c r="AO47" s="94">
        <f>IF($A47="Baseline",'Emissions summary'!AL47,SUMIF('Net zero emission reductions'!$A$4:$A$1448,$A$47,'Net zero emission reductions'!U$4:U$1448))</f>
        <v>31.834105941397901</v>
      </c>
      <c r="AP47" s="94">
        <f>IF($A47="Baseline",'Emissions summary'!AM47,SUMIF('Net zero emission reductions'!$A$4:$A$1448,$A$47,'Net zero emission reductions'!V$4:V$1448))</f>
        <v>31.696696549161452</v>
      </c>
      <c r="AQ47" s="94">
        <f>IF($A47="Baseline",'Emissions summary'!AN47,SUMIF('Net zero emission reductions'!$A$4:$A$1448,$A$47,'Net zero emission reductions'!W$4:W$1448))</f>
        <v>31.598127546757123</v>
      </c>
      <c r="AR47" s="94">
        <f>IF($A47="Baseline",'Emissions summary'!AO47,SUMIF('Net zero emission reductions'!$A$4:$A$1448,$A$47,'Net zero emission reductions'!X$4:X$1448))</f>
        <v>31.635199425836099</v>
      </c>
      <c r="AS47" s="94">
        <f>IF($A47="Baseline",'Emissions summary'!AP47,SUMIF('Net zero emission reductions'!$A$4:$A$1448,$A$47,'Net zero emission reductions'!Y$4:Y$1448))</f>
        <v>31.791231599015905</v>
      </c>
      <c r="AT47" s="94">
        <f>IF($A47="Baseline",'Emissions summary'!AQ47,SUMIF('Net zero emission reductions'!$A$4:$A$1448,$A$47,'Net zero emission reductions'!Z$4:Z$1448))</f>
        <v>32.000227115137072</v>
      </c>
      <c r="AU47" s="94">
        <f>IF($A47="Baseline",'Emissions summary'!AR47,SUMIF('Net zero emission reductions'!$A$4:$A$1448,$A$47,'Net zero emission reductions'!AA$4:AA$1448))</f>
        <v>32.27685920819674</v>
      </c>
      <c r="AV47" s="94">
        <f>IF($A47="Baseline",'Emissions summary'!AS47,SUMIF('Net zero emission reductions'!$A$4:$A$1448,$A$47,'Net zero emission reductions'!AB$4:AB$1448))</f>
        <v>32.669397138516359</v>
      </c>
      <c r="AW47" s="94">
        <f>IF($A47="Baseline",'Emissions summary'!AT47,SUMIF('Net zero emission reductions'!$A$4:$A$1448,$A$47,'Net zero emission reductions'!AC$4:AC$1448))</f>
        <v>33.167938500659169</v>
      </c>
      <c r="AX47" s="94">
        <f>IF($A47="Baseline",'Emissions summary'!AU47,SUMIF('Net zero emission reductions'!$A$4:$A$1448,$A$47,'Net zero emission reductions'!AD$4:AD$1448))</f>
        <v>33.531402904324402</v>
      </c>
      <c r="AY47" s="94">
        <f>IF($A47="Baseline",'Emissions summary'!AV47,SUMIF('Net zero emission reductions'!$A$4:$A$1448,$A$47,'Net zero emission reductions'!AE$4:AE$1448))</f>
        <v>33.934807775629835</v>
      </c>
      <c r="AZ47" s="94">
        <f>IF($A47="Baseline",'Emissions summary'!AW47,SUMIF('Net zero emission reductions'!$A$4:$A$1448,$A$47,'Net zero emission reductions'!AF$4:AF$1448))</f>
        <v>34.35051628968673</v>
      </c>
      <c r="BA47" s="94">
        <f>IF($A47="Baseline",'Emissions summary'!AX47,SUMIF('Net zero emission reductions'!$A$4:$A$1448,$A$47,'Net zero emission reductions'!AG$4:AG$1448))</f>
        <v>34.786954521870079</v>
      </c>
      <c r="BB47" s="94">
        <f>IF($A47="Baseline",'Emissions summary'!AY47,SUMIF('Net zero emission reductions'!$A$4:$A$1448,$A$47,'Net zero emission reductions'!AH$4:AH$1448))</f>
        <v>35.230689844949104</v>
      </c>
      <c r="BC47" s="94">
        <f>IF($A47="Baseline",'Emissions summary'!AZ47,SUMIF('Net zero emission reductions'!$A$4:$A$1448,$A$47,'Net zero emission reductions'!AI$4:AI$1448))</f>
        <v>35.640577149439835</v>
      </c>
      <c r="BD47" s="94">
        <f>IF($A47="Baseline",'Emissions summary'!BA47,SUMIF('Net zero emission reductions'!$A$4:$A$1448,$A$47,'Net zero emission reductions'!AJ$4:AJ$1448))</f>
        <v>36.072319348309534</v>
      </c>
      <c r="BE47" s="94">
        <f>IF($A47="Baseline",'Emissions summary'!BB47,SUMIF('Net zero emission reductions'!$A$4:$A$1448,$A$47,'Net zero emission reductions'!AK$4:AK$1448))</f>
        <v>36.487512496724221</v>
      </c>
      <c r="BF47" s="94">
        <f>IF($A47="Baseline",'Emissions summary'!BC47,SUMIF('Net zero emission reductions'!$A$4:$A$1448,$A$47,'Net zero emission reductions'!AL$4:AL$1448))</f>
        <v>36.882582127963005</v>
      </c>
      <c r="BG47" s="94">
        <f>IF($A47="Baseline",'Emissions summary'!BD47,SUMIF('Net zero emission reductions'!$A$4:$A$1448,$A$47,'Net zero emission reductions'!AM$4:AM$1448))</f>
        <v>37.272817912795183</v>
      </c>
      <c r="BH47" s="94">
        <f>IF($A47="Baseline",'Emissions summary'!BE47,SUMIF('Net zero emission reductions'!$A$4:$A$1448,$A$47,'Net zero emission reductions'!AN$4:AN$1448))</f>
        <v>37.75177785275018</v>
      </c>
      <c r="BI47" s="94">
        <f>IF($A47="Baseline",'Emissions summary'!BF47,SUMIF('Net zero emission reductions'!$A$4:$A$1448,$A$47,'Net zero emission reductions'!AO$4:AO$1448))</f>
        <v>38.246980089379463</v>
      </c>
      <c r="BJ47" s="94">
        <f>IF($A47="Baseline",'Emissions summary'!BG47,SUMIF('Net zero emission reductions'!$A$4:$A$1448,$A$47,'Net zero emission reductions'!AP$4:AP$1448))</f>
        <v>38.775135471457965</v>
      </c>
      <c r="BK47" s="94">
        <f>IF($A47="Baseline",'Emissions summary'!BH47,SUMIF('Net zero emission reductions'!$A$4:$A$1448,$A$47,'Net zero emission reductions'!AQ$4:AQ$1448))</f>
        <v>39.302511816446327</v>
      </c>
      <c r="BL47" s="94">
        <f>IF($A47="Baseline",'Emissions summary'!BI47,SUMIF('Net zero emission reductions'!$A$4:$A$1448,$A$47,'Net zero emission reductions'!AR$4:AR$1448))</f>
        <v>39.829689157852087</v>
      </c>
      <c r="BM47" s="94">
        <f>IF($A47="Baseline",'Emissions summary'!BJ47,SUMIF('Net zero emission reductions'!$A$4:$A$1448,$A$47,'Net zero emission reductions'!AS$4:AS$1448))</f>
        <v>40.388827504918005</v>
      </c>
      <c r="BN47" s="94">
        <f>IF($A47="Baseline",'Emissions summary'!BK47,SUMIF('Net zero emission reductions'!$A$4:$A$1448,$A$47,'Net zero emission reductions'!AT$4:AT$1448))</f>
        <v>40.966628996683589</v>
      </c>
      <c r="BO47" s="94">
        <f>IF($A47="Baseline",'Emissions summary'!BL47,SUMIF('Net zero emission reductions'!$A$4:$A$1448,$A$47,'Net zero emission reductions'!AU$4:AU$1448))</f>
        <v>41.553928957050289</v>
      </c>
      <c r="BP47" s="94">
        <f>IF($A47="Baseline",'Emissions summary'!BM47,SUMIF('Net zero emission reductions'!$A$4:$A$1448,$A$47,'Net zero emission reductions'!AV$4:AV$1448))</f>
        <v>42.169597319757202</v>
      </c>
      <c r="BQ47" s="94">
        <f>IF($A47="Baseline",'Emissions summary'!BN47,SUMIF('Net zero emission reductions'!$A$4:$A$1448,$A$47,'Net zero emission reductions'!AW$4:AW$1448))</f>
        <v>42.693757002674289</v>
      </c>
    </row>
    <row r="48" spans="1:72" x14ac:dyDescent="0.25">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75" x14ac:dyDescent="0.25">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6.6159271131948438</v>
      </c>
      <c r="AF49" s="41">
        <f t="shared" ref="AF49:BQ49" si="32">SUM(AF50:AF51)</f>
        <v>6.5985117259102442</v>
      </c>
      <c r="AG49" s="41">
        <f t="shared" si="32"/>
        <v>6.6034108162416469</v>
      </c>
      <c r="AH49" s="41">
        <f t="shared" si="32"/>
        <v>6.5718769479322932</v>
      </c>
      <c r="AI49" s="41">
        <f t="shared" si="32"/>
        <v>6.5185214490709118</v>
      </c>
      <c r="AJ49" s="41">
        <f t="shared" si="32"/>
        <v>6.4445703159865921</v>
      </c>
      <c r="AK49" s="41">
        <f t="shared" si="32"/>
        <v>6.3913491075327142</v>
      </c>
      <c r="AL49" s="41">
        <f t="shared" si="32"/>
        <v>6.3428476696520812</v>
      </c>
      <c r="AM49" s="41">
        <f t="shared" si="32"/>
        <v>5.9791685827473202</v>
      </c>
      <c r="AN49" s="41">
        <f t="shared" si="32"/>
        <v>6.1381299513690033</v>
      </c>
      <c r="AO49" s="41">
        <f t="shared" si="32"/>
        <v>6.1985625671056948</v>
      </c>
      <c r="AP49" s="41">
        <f t="shared" si="32"/>
        <v>6.1846210124716059</v>
      </c>
      <c r="AQ49" s="41">
        <f t="shared" si="32"/>
        <v>6.1769251765170194</v>
      </c>
      <c r="AR49" s="41">
        <f t="shared" si="32"/>
        <v>6.1903985659434557</v>
      </c>
      <c r="AS49" s="41">
        <f t="shared" si="32"/>
        <v>6.2223332402936933</v>
      </c>
      <c r="AT49" s="41">
        <f t="shared" si="32"/>
        <v>6.262660576049579</v>
      </c>
      <c r="AU49" s="41">
        <f t="shared" si="32"/>
        <v>6.3136884129231392</v>
      </c>
      <c r="AV49" s="41">
        <f t="shared" si="32"/>
        <v>6.3829999472314789</v>
      </c>
      <c r="AW49" s="41">
        <f t="shared" si="32"/>
        <v>6.4692102331979147</v>
      </c>
      <c r="AX49" s="41">
        <f t="shared" si="32"/>
        <v>6.5404099727968195</v>
      </c>
      <c r="AY49" s="41">
        <f t="shared" si="32"/>
        <v>6.6187621344289038</v>
      </c>
      <c r="AZ49" s="41">
        <f t="shared" si="32"/>
        <v>6.7000344561778764</v>
      </c>
      <c r="BA49" s="41">
        <f t="shared" si="32"/>
        <v>6.7856179714582057</v>
      </c>
      <c r="BB49" s="41">
        <f t="shared" si="32"/>
        <v>6.8734826502065198</v>
      </c>
      <c r="BC49" s="41">
        <f t="shared" si="32"/>
        <v>6.9571421659838686</v>
      </c>
      <c r="BD49" s="41">
        <f t="shared" si="32"/>
        <v>7.0454918355961178</v>
      </c>
      <c r="BE49" s="41">
        <f t="shared" si="32"/>
        <v>7.1324747023749229</v>
      </c>
      <c r="BF49" s="41">
        <f t="shared" si="32"/>
        <v>7.2175349981553847</v>
      </c>
      <c r="BG49" s="41">
        <f t="shared" si="32"/>
        <v>7.303188008852695</v>
      </c>
      <c r="BH49" s="41">
        <f t="shared" si="32"/>
        <v>7.3999031332008629</v>
      </c>
      <c r="BI49" s="41">
        <f t="shared" si="32"/>
        <v>7.5004082711850799</v>
      </c>
      <c r="BJ49" s="41">
        <f t="shared" si="32"/>
        <v>7.6075539934610443</v>
      </c>
      <c r="BK49" s="41">
        <f t="shared" si="32"/>
        <v>7.715897234880071</v>
      </c>
      <c r="BL49" s="41">
        <f t="shared" si="32"/>
        <v>7.8255799810559479</v>
      </c>
      <c r="BM49" s="41">
        <f t="shared" si="32"/>
        <v>7.9420290520828081</v>
      </c>
      <c r="BN49" s="41">
        <f t="shared" si="32"/>
        <v>8.0631725444537814</v>
      </c>
      <c r="BO49" s="41">
        <f t="shared" si="32"/>
        <v>8.1875874242547297</v>
      </c>
      <c r="BP49" s="41">
        <f t="shared" si="32"/>
        <v>8.3185739336066842</v>
      </c>
      <c r="BQ49" s="41">
        <f t="shared" si="32"/>
        <v>8.4359059264030698</v>
      </c>
      <c r="BT49"/>
    </row>
    <row r="50" spans="1:75" x14ac:dyDescent="0.25">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6.2677893680252641</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6.2219605366729409</v>
      </c>
      <c r="AI50" s="94">
        <f>IF($A50="Baseline",'Emissions summary'!AF50,SUMIF('Net zero emission reductions'!$A$4:$A$1448,$A$50,'Net zero emission reductions'!O$4:O$1448))</f>
        <v>6.1699888782464036</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5.6527287598282419</v>
      </c>
      <c r="AN50" s="94">
        <f>IF($A50="Baseline",'Emissions summary'!AK50,SUMIF('Net zero emission reductions'!$A$4:$A$1448,$A$50,'Net zero emission reductions'!T$4:T$1448))</f>
        <v>5.8040960901331218</v>
      </c>
      <c r="AO50" s="94">
        <f>IF($A50="Baseline",'Emissions summary'!AL50,SUMIF('Net zero emission reductions'!$A$4:$A$1448,$A$50,'Net zero emission reductions'!U$4:U$1448))</f>
        <v>5.8600326778661165</v>
      </c>
      <c r="AP50" s="94">
        <f>IF($A50="Baseline",'Emissions summary'!AM50,SUMIF('Net zero emission reductions'!$A$4:$A$1448,$A$50,'Net zero emission reductions'!V$4:V$1448))</f>
        <v>5.8456992596274473</v>
      </c>
      <c r="AQ50" s="94">
        <f>IF($A50="Baseline",'Emissions summary'!AN50,SUMIF('Net zero emission reductions'!$A$4:$A$1448,$A$50,'Net zero emission reductions'!W$4:W$1448))</f>
        <v>5.8376608139168145</v>
      </c>
      <c r="AR50" s="94">
        <f>IF($A50="Baseline",'Emissions summary'!AO50,SUMIF('Net zero emission reductions'!$A$4:$A$1448,$A$50,'Net zero emission reductions'!X$4:X$1448))</f>
        <v>5.8497605139524165</v>
      </c>
      <c r="AS50" s="94">
        <f>IF($A50="Baseline",'Emissions summary'!AP50,SUMIF('Net zero emission reductions'!$A$4:$A$1448,$A$50,'Net zero emission reductions'!Y$4:Y$1448))</f>
        <v>5.879288016404951</v>
      </c>
      <c r="AT50" s="94">
        <f>IF($A50="Baseline",'Emissions summary'!AQ50,SUMIF('Net zero emission reductions'!$A$4:$A$1448,$A$50,'Net zero emission reductions'!Z$4:Z$1448))</f>
        <v>5.9166852205965652</v>
      </c>
      <c r="AU50" s="94">
        <f>IF($A50="Baseline",'Emissions summary'!AR50,SUMIF('Net zero emission reductions'!$A$4:$A$1448,$A$50,'Net zero emission reductions'!AA$4:AA$1448))</f>
        <v>5.9641709874798829</v>
      </c>
      <c r="AV50" s="94">
        <f>IF($A50="Baseline",'Emissions summary'!AS50,SUMIF('Net zero emission reductions'!$A$4:$A$1448,$A$50,'Net zero emission reductions'!AB$4:AB$1448))</f>
        <v>6.0289233495190517</v>
      </c>
      <c r="AW50" s="94">
        <f>IF($A50="Baseline",'Emissions summary'!AT50,SUMIF('Net zero emission reductions'!$A$4:$A$1448,$A$50,'Net zero emission reductions'!AC$4:AC$1448))</f>
        <v>6.1095932080030462</v>
      </c>
      <c r="AX50" s="94">
        <f>IF($A50="Baseline",'Emissions summary'!AU50,SUMIF('Net zero emission reductions'!$A$4:$A$1448,$A$50,'Net zero emission reductions'!AD$4:AD$1448))</f>
        <v>6.1754195529391147</v>
      </c>
      <c r="AY50" s="94">
        <f>IF($A50="Baseline",'Emissions summary'!AV50,SUMIF('Net zero emission reductions'!$A$4:$A$1448,$A$50,'Net zero emission reductions'!AE$4:AE$1448))</f>
        <v>6.2479085559321508</v>
      </c>
      <c r="AZ50" s="94">
        <f>IF($A50="Baseline",'Emissions summary'!AW50,SUMIF('Net zero emission reductions'!$A$4:$A$1448,$A$50,'Net zero emission reductions'!AF$4:AF$1448))</f>
        <v>6.3230445008231042</v>
      </c>
      <c r="BA50" s="94">
        <f>IF($A50="Baseline",'Emissions summary'!AX50,SUMIF('Net zero emission reductions'!$A$4:$A$1448,$A$50,'Net zero emission reductions'!AG$4:AG$1448))</f>
        <v>6.4021511821996651</v>
      </c>
      <c r="BB50" s="94">
        <f>IF($A50="Baseline",'Emissions summary'!AY50,SUMIF('Net zero emission reductions'!$A$4:$A$1448,$A$50,'Net zero emission reductions'!AH$4:AH$1448))</f>
        <v>6.4832952170661322</v>
      </c>
      <c r="BC50" s="94">
        <f>IF($A50="Baseline",'Emissions summary'!AZ50,SUMIF('Net zero emission reductions'!$A$4:$A$1448,$A$50,'Net zero emission reductions'!AI$4:AI$1448))</f>
        <v>6.5603430192980863</v>
      </c>
      <c r="BD50" s="94">
        <f>IF($A50="Baseline",'Emissions summary'!BA50,SUMIF('Net zero emission reductions'!$A$4:$A$1448,$A$50,'Net zero emission reductions'!AJ$4:AJ$1448))</f>
        <v>6.6417267864555569</v>
      </c>
      <c r="BE50" s="94">
        <f>IF($A50="Baseline",'Emissions summary'!BB50,SUMIF('Net zero emission reductions'!$A$4:$A$1448,$A$50,'Net zero emission reductions'!AK$4:AK$1448))</f>
        <v>6.72167866918398</v>
      </c>
      <c r="BF50" s="94">
        <f>IF($A50="Baseline",'Emissions summary'!BC50,SUMIF('Net zero emission reductions'!$A$4:$A$1448,$A$50,'Net zero emission reductions'!AL$4:AL$1448))</f>
        <v>6.7996906881980319</v>
      </c>
      <c r="BG50" s="94">
        <f>IF($A50="Baseline",'Emissions summary'!BD50,SUMIF('Net zero emission reductions'!$A$4:$A$1448,$A$50,'Net zero emission reductions'!AM$4:AM$1448))</f>
        <v>6.8781376191816168</v>
      </c>
      <c r="BH50" s="94">
        <f>IF($A50="Baseline",'Emissions summary'!BE50,SUMIF('Net zero emission reductions'!$A$4:$A$1448,$A$50,'Net zero emission reductions'!AN$4:AN$1448))</f>
        <v>6.9673124150085837</v>
      </c>
      <c r="BI50" s="94">
        <f>IF($A50="Baseline",'Emissions summary'!BF50,SUMIF('Net zero emission reductions'!$A$4:$A$1448,$A$50,'Net zero emission reductions'!AO$4:AO$1448))</f>
        <v>7.0599712830403361</v>
      </c>
      <c r="BJ50" s="94">
        <f>IF($A50="Baseline",'Emissions summary'!BG50,SUMIF('Net zero emission reductions'!$A$4:$A$1448,$A$50,'Net zero emission reductions'!AP$4:AP$1448))</f>
        <v>7.158766113343912</v>
      </c>
      <c r="BK50" s="94">
        <f>IF($A50="Baseline",'Emissions summary'!BH50,SUMIF('Net zero emission reductions'!$A$4:$A$1448,$A$50,'Net zero emission reductions'!AQ$4:AQ$1448))</f>
        <v>7.2585453486696663</v>
      </c>
      <c r="BL50" s="94">
        <f>IF($A50="Baseline",'Emissions summary'!BI50,SUMIF('Net zero emission reductions'!$A$4:$A$1448,$A$50,'Net zero emission reductions'!AR$4:AR$1448))</f>
        <v>7.3594535017027063</v>
      </c>
      <c r="BM50" s="94">
        <f>IF($A50="Baseline",'Emissions summary'!BJ50,SUMIF('Net zero emission reductions'!$A$4:$A$1448,$A$50,'Net zero emission reductions'!AS$4:AS$1448))</f>
        <v>7.4665950549063602</v>
      </c>
      <c r="BN50" s="94">
        <f>IF($A50="Baseline",'Emissions summary'!BK50,SUMIF('Net zero emission reductions'!$A$4:$A$1448,$A$50,'Net zero emission reductions'!AT$4:AT$1448))</f>
        <v>7.5779901752161543</v>
      </c>
      <c r="BO50" s="94">
        <f>IF($A50="Baseline",'Emissions summary'!BL50,SUMIF('Net zero emission reductions'!$A$4:$A$1448,$A$50,'Net zero emission reductions'!AU$4:AU$1448))</f>
        <v>7.6922962445499898</v>
      </c>
      <c r="BP50" s="94">
        <f>IF($A50="Baseline",'Emissions summary'!BM50,SUMIF('Net zero emission reductions'!$A$4:$A$1448,$A$50,'Net zero emission reductions'!AV$4:AV$1448))</f>
        <v>7.8126139750670811</v>
      </c>
      <c r="BQ50" s="94">
        <f>IF($A50="Baseline",'Emissions summary'!BN50,SUMIF('Net zero emission reductions'!$A$4:$A$1448,$A$50,'Net zero emission reductions'!AW$4:AW$1448))</f>
        <v>7.9198983657603756</v>
      </c>
    </row>
    <row r="51" spans="1:75" x14ac:dyDescent="0.25">
      <c r="A51" s="95" t="str">
        <f t="shared" si="33"/>
        <v>FSFAGSPQNIBDDSCM Leaching</v>
      </c>
      <c r="B51" s="95" t="str">
        <f t="shared" si="34"/>
        <v>FSFAGSPQNIBDDSCM</v>
      </c>
      <c r="C51" s="95" t="s">
        <v>1189</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0.34991641125935208</v>
      </c>
      <c r="AI51" s="94">
        <f>IF($A51="Baseline",'Emissions summary'!AF51,SUMIF('Net zero emission reductions'!$A$4:$A$1448,$A$51,'Net zero emission reductions'!O$4:O$1448))</f>
        <v>0.34853257082450806</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0.32643982291907808</v>
      </c>
      <c r="AN51" s="94">
        <f>IF($A51="Baseline",'Emissions summary'!AK51,SUMIF('Net zero emission reductions'!$A$4:$A$1448,$A$51,'Net zero emission reductions'!T$4:T$1448))</f>
        <v>0.3340338612358813</v>
      </c>
      <c r="AO51" s="94">
        <f>IF($A51="Baseline",'Emissions summary'!AL51,SUMIF('Net zero emission reductions'!$A$4:$A$1448,$A$51,'Net zero emission reductions'!U$4:U$1448))</f>
        <v>0.33852988923957844</v>
      </c>
      <c r="AP51" s="94">
        <f>IF($A51="Baseline",'Emissions summary'!AM51,SUMIF('Net zero emission reductions'!$A$4:$A$1448,$A$51,'Net zero emission reductions'!V$4:V$1448))</f>
        <v>0.33892175284415871</v>
      </c>
      <c r="AQ51" s="94">
        <f>IF($A51="Baseline",'Emissions summary'!AN51,SUMIF('Net zero emission reductions'!$A$4:$A$1448,$A$51,'Net zero emission reductions'!W$4:W$1448))</f>
        <v>0.33926436260020471</v>
      </c>
      <c r="AR51" s="94">
        <f>IF($A51="Baseline",'Emissions summary'!AO51,SUMIF('Net zero emission reductions'!$A$4:$A$1448,$A$51,'Net zero emission reductions'!X$4:X$1448))</f>
        <v>0.34063805199103936</v>
      </c>
      <c r="AS51" s="94">
        <f>IF($A51="Baseline",'Emissions summary'!AP51,SUMIF('Net zero emission reductions'!$A$4:$A$1448,$A$51,'Net zero emission reductions'!Y$4:Y$1448))</f>
        <v>0.34304522388874259</v>
      </c>
      <c r="AT51" s="94">
        <f>IF($A51="Baseline",'Emissions summary'!AQ51,SUMIF('Net zero emission reductions'!$A$4:$A$1448,$A$51,'Net zero emission reductions'!Z$4:Z$1448))</f>
        <v>0.34597535545301378</v>
      </c>
      <c r="AU51" s="94">
        <f>IF($A51="Baseline",'Emissions summary'!AR51,SUMIF('Net zero emission reductions'!$A$4:$A$1448,$A$51,'Net zero emission reductions'!AA$4:AA$1448))</f>
        <v>0.34951742544325587</v>
      </c>
      <c r="AV51" s="94">
        <f>IF($A51="Baseline",'Emissions summary'!AS51,SUMIF('Net zero emission reductions'!$A$4:$A$1448,$A$51,'Net zero emission reductions'!AB$4:AB$1448))</f>
        <v>0.35407659771242683</v>
      </c>
      <c r="AW51" s="94">
        <f>IF($A51="Baseline",'Emissions summary'!AT51,SUMIF('Net zero emission reductions'!$A$4:$A$1448,$A$51,'Net zero emission reductions'!AC$4:AC$1448))</f>
        <v>0.3596170251948681</v>
      </c>
      <c r="AX51" s="94">
        <f>IF($A51="Baseline",'Emissions summary'!AU51,SUMIF('Net zero emission reductions'!$A$4:$A$1448,$A$51,'Net zero emission reductions'!AD$4:AD$1448))</f>
        <v>0.36499041985770453</v>
      </c>
      <c r="AY51" s="94">
        <f>IF($A51="Baseline",'Emissions summary'!AV51,SUMIF('Net zero emission reductions'!$A$4:$A$1448,$A$51,'Net zero emission reductions'!AE$4:AE$1448))</f>
        <v>0.37085357849675343</v>
      </c>
      <c r="AZ51" s="94">
        <f>IF($A51="Baseline",'Emissions summary'!AW51,SUMIF('Net zero emission reductions'!$A$4:$A$1448,$A$51,'Net zero emission reductions'!AF$4:AF$1448))</f>
        <v>0.37698995535477237</v>
      </c>
      <c r="BA51" s="94">
        <f>IF($A51="Baseline",'Emissions summary'!AX51,SUMIF('Net zero emission reductions'!$A$4:$A$1448,$A$51,'Net zero emission reductions'!AG$4:AG$1448))</f>
        <v>0.38346678925854083</v>
      </c>
      <c r="BB51" s="94">
        <f>IF($A51="Baseline",'Emissions summary'!AY51,SUMIF('Net zero emission reductions'!$A$4:$A$1448,$A$51,'Net zero emission reductions'!AH$4:AH$1448))</f>
        <v>0.39018743314038801</v>
      </c>
      <c r="BC51" s="94">
        <f>IF($A51="Baseline",'Emissions summary'!AZ51,SUMIF('Net zero emission reductions'!$A$4:$A$1448,$A$51,'Net zero emission reductions'!AI$4:AI$1448))</f>
        <v>0.39679914668578259</v>
      </c>
      <c r="BD51" s="94">
        <f>IF($A51="Baseline",'Emissions summary'!BA51,SUMIF('Net zero emission reductions'!$A$4:$A$1448,$A$51,'Net zero emission reductions'!AJ$4:AJ$1448))</f>
        <v>0.40376504914056049</v>
      </c>
      <c r="BE51" s="94">
        <f>IF($A51="Baseline",'Emissions summary'!BB51,SUMIF('Net zero emission reductions'!$A$4:$A$1448,$A$51,'Net zero emission reductions'!AK$4:AK$1448))</f>
        <v>0.41079603319094254</v>
      </c>
      <c r="BF51" s="94">
        <f>IF($A51="Baseline",'Emissions summary'!BC51,SUMIF('Net zero emission reductions'!$A$4:$A$1448,$A$51,'Net zero emission reductions'!AL$4:AL$1448))</f>
        <v>0.41784430995735233</v>
      </c>
      <c r="BG51" s="94">
        <f>IF($A51="Baseline",'Emissions summary'!BD51,SUMIF('Net zero emission reductions'!$A$4:$A$1448,$A$51,'Net zero emission reductions'!AM$4:AM$1448))</f>
        <v>0.42505038967107861</v>
      </c>
      <c r="BH51" s="94">
        <f>IF($A51="Baseline",'Emissions summary'!BE51,SUMIF('Net zero emission reductions'!$A$4:$A$1448,$A$51,'Net zero emission reductions'!AN$4:AN$1448))</f>
        <v>0.4325907181922789</v>
      </c>
      <c r="BI51" s="94">
        <f>IF($A51="Baseline",'Emissions summary'!BF51,SUMIF('Net zero emission reductions'!$A$4:$A$1448,$A$51,'Net zero emission reductions'!AO$4:AO$1448))</f>
        <v>0.44043698814474391</v>
      </c>
      <c r="BJ51" s="94">
        <f>IF($A51="Baseline",'Emissions summary'!BG51,SUMIF('Net zero emission reductions'!$A$4:$A$1448,$A$51,'Net zero emission reductions'!AP$4:AP$1448))</f>
        <v>0.448787880117132</v>
      </c>
      <c r="BK51" s="94">
        <f>IF($A51="Baseline",'Emissions summary'!BH51,SUMIF('Net zero emission reductions'!$A$4:$A$1448,$A$51,'Net zero emission reductions'!AQ$4:AQ$1448))</f>
        <v>0.4573518862104044</v>
      </c>
      <c r="BL51" s="94">
        <f>IF($A51="Baseline",'Emissions summary'!BI51,SUMIF('Net zero emission reductions'!$A$4:$A$1448,$A$51,'Net zero emission reductions'!AR$4:AR$1448))</f>
        <v>0.46612647935324192</v>
      </c>
      <c r="BM51" s="94">
        <f>IF($A51="Baseline",'Emissions summary'!BJ51,SUMIF('Net zero emission reductions'!$A$4:$A$1448,$A$51,'Net zero emission reductions'!AS$4:AS$1448))</f>
        <v>0.47543399717644808</v>
      </c>
      <c r="BN51" s="94">
        <f>IF($A51="Baseline",'Emissions summary'!BK51,SUMIF('Net zero emission reductions'!$A$4:$A$1448,$A$51,'Net zero emission reductions'!AT$4:AT$1448))</f>
        <v>0.48518236923762675</v>
      </c>
      <c r="BO51" s="94">
        <f>IF($A51="Baseline",'Emissions summary'!BL51,SUMIF('Net zero emission reductions'!$A$4:$A$1448,$A$51,'Net zero emission reductions'!AU$4:AU$1448))</f>
        <v>0.49529117970474057</v>
      </c>
      <c r="BP51" s="94">
        <f>IF($A51="Baseline",'Emissions summary'!BM51,SUMIF('Net zero emission reductions'!$A$4:$A$1448,$A$51,'Net zero emission reductions'!AV$4:AV$1448))</f>
        <v>0.50595995853960318</v>
      </c>
      <c r="BQ51" s="94">
        <f>IF($A51="Baseline",'Emissions summary'!BN51,SUMIF('Net zero emission reductions'!$A$4:$A$1448,$A$51,'Net zero emission reductions'!AW$4:AW$1448))</f>
        <v>0.51600756064269326</v>
      </c>
    </row>
    <row r="52" spans="1:75" s="19" customFormat="1" ht="15.75" x14ac:dyDescent="0.25">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1.5114628716679739</v>
      </c>
      <c r="AG52" s="41">
        <f t="shared" si="38"/>
        <v>1.5337636748745849</v>
      </c>
      <c r="AH52" s="41">
        <f t="shared" si="38"/>
        <v>1.5436359301289113</v>
      </c>
      <c r="AI52" s="41">
        <f t="shared" si="38"/>
        <v>1.5455830647924333</v>
      </c>
      <c r="AJ52" s="41">
        <f t="shared" si="38"/>
        <v>1.5396059638680233</v>
      </c>
      <c r="AK52" s="41">
        <f t="shared" si="38"/>
        <v>1.5406069398014894</v>
      </c>
      <c r="AL52" s="41">
        <f t="shared" si="38"/>
        <v>1.5429841908916513</v>
      </c>
      <c r="AM52" s="41">
        <f t="shared" si="38"/>
        <v>1.4301645714495868</v>
      </c>
      <c r="AN52" s="41">
        <f t="shared" si="38"/>
        <v>1.5018586768335371</v>
      </c>
      <c r="AO52" s="41">
        <f t="shared" si="38"/>
        <v>1.5369941174227948</v>
      </c>
      <c r="AP52" s="41">
        <f t="shared" si="38"/>
        <v>1.5433733807301317</v>
      </c>
      <c r="AQ52" s="41">
        <f t="shared" si="38"/>
        <v>1.5513661118529765</v>
      </c>
      <c r="AR52" s="41">
        <f t="shared" si="38"/>
        <v>1.5673098642621071</v>
      </c>
      <c r="AS52" s="41">
        <f t="shared" si="38"/>
        <v>1.591013223682068</v>
      </c>
      <c r="AT52" s="41">
        <f t="shared" si="38"/>
        <v>1.6185773869229654</v>
      </c>
      <c r="AU52" s="41">
        <f t="shared" si="38"/>
        <v>1.6510705043700964</v>
      </c>
      <c r="AV52" s="41">
        <f t="shared" si="38"/>
        <v>1.6917550985069707</v>
      </c>
      <c r="AW52" s="41">
        <f t="shared" si="38"/>
        <v>1.7402496652192294</v>
      </c>
      <c r="AX52" s="41">
        <f t="shared" si="38"/>
        <v>1.7937331445887523</v>
      </c>
      <c r="AY52" s="41">
        <f t="shared" si="38"/>
        <v>1.8519415903845209</v>
      </c>
      <c r="AZ52" s="41">
        <f t="shared" si="38"/>
        <v>1.9132244473231923</v>
      </c>
      <c r="BA52" s="41">
        <f t="shared" si="38"/>
        <v>1.9783541346860378</v>
      </c>
      <c r="BB52" s="41">
        <f t="shared" si="38"/>
        <v>2.0465663325361767</v>
      </c>
      <c r="BC52" s="41">
        <f t="shared" si="38"/>
        <v>2.1149777935041607</v>
      </c>
      <c r="BD52" s="41">
        <f t="shared" si="38"/>
        <v>2.1877811234945517</v>
      </c>
      <c r="BE52" s="41">
        <f t="shared" si="38"/>
        <v>2.2622983454331687</v>
      </c>
      <c r="BF52" s="41">
        <f t="shared" si="38"/>
        <v>2.338326278142139</v>
      </c>
      <c r="BG52" s="41">
        <f t="shared" si="38"/>
        <v>2.4171575764404047</v>
      </c>
      <c r="BH52" s="41">
        <f t="shared" si="38"/>
        <v>2.4954738283833682</v>
      </c>
      <c r="BI52" s="41">
        <f t="shared" si="38"/>
        <v>2.5778026991774565</v>
      </c>
      <c r="BJ52" s="41">
        <f t="shared" si="38"/>
        <v>2.6657710683224694</v>
      </c>
      <c r="BK52" s="41">
        <f t="shared" si="38"/>
        <v>2.7567392107077291</v>
      </c>
      <c r="BL52" s="41">
        <f t="shared" si="38"/>
        <v>2.8509078868334945</v>
      </c>
      <c r="BM52" s="41">
        <f t="shared" si="38"/>
        <v>2.9513366610388774</v>
      </c>
      <c r="BN52" s="41">
        <f t="shared" si="38"/>
        <v>3.0571319989920727</v>
      </c>
      <c r="BO52" s="41">
        <f t="shared" si="38"/>
        <v>3.1677078146976503</v>
      </c>
      <c r="BP52" s="41">
        <f t="shared" si="38"/>
        <v>3.2851048107640843</v>
      </c>
      <c r="BQ52" s="41">
        <f t="shared" si="38"/>
        <v>3.3980289415077438</v>
      </c>
      <c r="BT52"/>
    </row>
    <row r="53" spans="1:75" x14ac:dyDescent="0.25">
      <c r="A53" s="95" t="str">
        <f t="shared" ref="A53:A54" si="39">B53&amp;" "&amp;C53</f>
        <v>FSFAGSPQNIBDDSCM MM Volatilisation</v>
      </c>
      <c r="B53" s="95" t="str">
        <f t="shared" ref="B53:B54" si="40">$B$5</f>
        <v>FSFAGSPQNIBDDSCM</v>
      </c>
      <c r="C53" s="95" t="s">
        <v>1331</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1.138191698010641</v>
      </c>
      <c r="AG53" s="27">
        <f>SUM('Net zero emission reductions'!M1531:M1546)</f>
        <v>1.1560242056612524</v>
      </c>
      <c r="AH53" s="27">
        <f>SUM('Net zero emission reductions'!N1531:N1546)</f>
        <v>1.1644338155648368</v>
      </c>
      <c r="AI53" s="27">
        <f>SUM('Net zero emission reductions'!O1531:O1546)</f>
        <v>1.1668147538350462</v>
      </c>
      <c r="AJ53" s="27">
        <f>SUM('Net zero emission reductions'!P1531:P1546)</f>
        <v>1.1631491557292368</v>
      </c>
      <c r="AK53" s="27">
        <f>SUM('Net zero emission reductions'!Q1531:Q1546)</f>
        <v>1.164779548726063</v>
      </c>
      <c r="AL53" s="27">
        <f>SUM('Net zero emission reductions'!R1531:R1546)</f>
        <v>1.1674495942945498</v>
      </c>
      <c r="AM53" s="27">
        <f>SUM('Net zero emission reductions'!S1531:S1546)</f>
        <v>1.0823089733230329</v>
      </c>
      <c r="AN53" s="27">
        <f>SUM('Net zero emission reductions'!T1531:T1546)</f>
        <v>1.1374472166179572</v>
      </c>
      <c r="AO53" s="27">
        <f>SUM('Net zero emission reductions'!U1531:U1546)</f>
        <v>1.1647188755624529</v>
      </c>
      <c r="AP53" s="27">
        <f>SUM('Net zero emission reductions'!V1531:V1546)</f>
        <v>1.1700192296897183</v>
      </c>
      <c r="AQ53" s="27">
        <f>SUM('Net zero emission reductions'!W1531:W1546)</f>
        <v>1.1765294613922754</v>
      </c>
      <c r="AR53" s="27">
        <f>SUM('Net zero emission reductions'!X1531:X1546)</f>
        <v>1.1891121844975103</v>
      </c>
      <c r="AS53" s="27">
        <f>SUM('Net zero emission reductions'!Y1531:Y1546)</f>
        <v>1.2076476966073777</v>
      </c>
      <c r="AT53" s="27">
        <f>SUM('Net zero emission reductions'!Z1531:Z1546)</f>
        <v>1.2291568453938746</v>
      </c>
      <c r="AU53" s="27">
        <f>SUM('Net zero emission reductions'!AA1531:AA1546)</f>
        <v>1.2544618278367823</v>
      </c>
      <c r="AV53" s="27">
        <f>SUM('Net zero emission reductions'!AB1531:AB1546)</f>
        <v>1.2860677961521865</v>
      </c>
      <c r="AW53" s="27">
        <f>SUM('Net zero emission reductions'!AC1531:AC1546)</f>
        <v>1.3236893048812783</v>
      </c>
      <c r="AX53" s="27">
        <f>SUM('Net zero emission reductions'!AD1531:AD1546)</f>
        <v>1.3655695052969905</v>
      </c>
      <c r="AY53" s="27">
        <f>SUM('Net zero emission reductions'!AE1531:AE1546)</f>
        <v>1.4111361545972323</v>
      </c>
      <c r="AZ53" s="27">
        <f>SUM('Net zero emission reductions'!AF1531:AF1546)</f>
        <v>1.4591277902193562</v>
      </c>
      <c r="BA53" s="27">
        <f>SUM('Net zero emission reductions'!AG1531:AG1546)</f>
        <v>1.5101433168220004</v>
      </c>
      <c r="BB53" s="27">
        <f>SUM('Net zero emission reductions'!AH1531:AH1546)</f>
        <v>1.5635997759783933</v>
      </c>
      <c r="BC53" s="27">
        <f>SUM('Net zero emission reductions'!AI1531:AI1546)</f>
        <v>1.6172800290608709</v>
      </c>
      <c r="BD53" s="27">
        <f>SUM('Net zero emission reductions'!AJ1531:AJ1546)</f>
        <v>1.6744158750752371</v>
      </c>
      <c r="BE53" s="27">
        <f>SUM('Net zero emission reductions'!AK1531:AK1546)</f>
        <v>1.7329484614903599</v>
      </c>
      <c r="BF53" s="27">
        <f>SUM('Net zero emission reductions'!AL1531:AL1546)</f>
        <v>1.7927228173696281</v>
      </c>
      <c r="BG53" s="27">
        <f>SUM('Net zero emission reductions'!AM1531:AM1546)</f>
        <v>1.8547389245878807</v>
      </c>
      <c r="BH53" s="27">
        <f>SUM('Net zero emission reductions'!AN1531:AN1546)</f>
        <v>1.9161558554959894</v>
      </c>
      <c r="BI53" s="27">
        <f>SUM('Net zero emission reductions'!AO1531:AO1546)</f>
        <v>1.980735844013932</v>
      </c>
      <c r="BJ53" s="27">
        <f>SUM('Net zero emission reductions'!AP1531:AP1546)</f>
        <v>2.0497421710381132</v>
      </c>
      <c r="BK53" s="27">
        <f>SUM('Net zero emission reductions'!AQ1531:AQ1546)</f>
        <v>2.1211374497038769</v>
      </c>
      <c r="BL53" s="27">
        <f>SUM('Net zero emission reductions'!AR1531:AR1546)</f>
        <v>2.1950803577017264</v>
      </c>
      <c r="BM53" s="27">
        <f>SUM('Net zero emission reductions'!AS1531:AS1546)</f>
        <v>2.2739452944220382</v>
      </c>
      <c r="BN53" s="27">
        <f>SUM('Net zero emission reductions'!AT1531:AT1546)</f>
        <v>2.3570461224603427</v>
      </c>
      <c r="BO53" s="27">
        <f>SUM('Net zero emission reductions'!AU1531:AU1546)</f>
        <v>2.4439336059253538</v>
      </c>
      <c r="BP53" s="27">
        <f>SUM('Net zero emission reductions'!AV1531:AV1546)</f>
        <v>2.5361962441291781</v>
      </c>
      <c r="BQ53" s="27">
        <f>SUM('Net zero emission reductions'!AW1531:AW1546)</f>
        <v>2.6250714575198604</v>
      </c>
    </row>
    <row r="54" spans="1:75" x14ac:dyDescent="0.25">
      <c r="A54" s="95" t="str">
        <f t="shared" si="39"/>
        <v>FSFAGSPQNIBDDSCM MM Leaching</v>
      </c>
      <c r="B54" s="95" t="str">
        <f t="shared" si="40"/>
        <v>FSFAGSPQNIBDDSCM</v>
      </c>
      <c r="C54" s="95" t="s">
        <v>1332</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0.37327117365733292</v>
      </c>
      <c r="AG54" s="27">
        <f>SUM('Net zero emission reductions'!M1547:M1562)</f>
        <v>0.3777394692133324</v>
      </c>
      <c r="AH54" s="27">
        <f>SUM('Net zero emission reductions'!N1547:N1562)</f>
        <v>0.37920211456407454</v>
      </c>
      <c r="AI54" s="27">
        <f>SUM('Net zero emission reductions'!O1547:O1562)</f>
        <v>0.37876831095738728</v>
      </c>
      <c r="AJ54" s="27">
        <f>SUM('Net zero emission reductions'!P1547:P1562)</f>
        <v>0.3764568081387864</v>
      </c>
      <c r="AK54" s="27">
        <f>SUM('Net zero emission reductions'!Q1547:Q1562)</f>
        <v>0.37582739107542651</v>
      </c>
      <c r="AL54" s="27">
        <f>SUM('Net zero emission reductions'!R1547:R1562)</f>
        <v>0.37553459659710148</v>
      </c>
      <c r="AM54" s="27">
        <f>SUM('Net zero emission reductions'!S1547:S1562)</f>
        <v>0.34785559812655398</v>
      </c>
      <c r="AN54" s="27">
        <f>SUM('Net zero emission reductions'!T1547:T1562)</f>
        <v>0.3644114602155798</v>
      </c>
      <c r="AO54" s="27">
        <f>SUM('Net zero emission reductions'!U1547:U1562)</f>
        <v>0.37227524186034183</v>
      </c>
      <c r="AP54" s="27">
        <f>SUM('Net zero emission reductions'!V1547:V1562)</f>
        <v>0.37335415104041347</v>
      </c>
      <c r="AQ54" s="27">
        <f>SUM('Net zero emission reductions'!W1547:W1562)</f>
        <v>0.37483665046070103</v>
      </c>
      <c r="AR54" s="27">
        <f>SUM('Net zero emission reductions'!X1547:X1562)</f>
        <v>0.37819767976459673</v>
      </c>
      <c r="AS54" s="27">
        <f>SUM('Net zero emission reductions'!Y1547:Y1562)</f>
        <v>0.38336552707469035</v>
      </c>
      <c r="AT54" s="27">
        <f>SUM('Net zero emission reductions'!Z1547:Z1562)</f>
        <v>0.38942054152909067</v>
      </c>
      <c r="AU54" s="27">
        <f>SUM('Net zero emission reductions'!AA1547:AA1562)</f>
        <v>0.39660867653331411</v>
      </c>
      <c r="AV54" s="27">
        <f>SUM('Net zero emission reductions'!AB1547:AB1562)</f>
        <v>0.40568730235478412</v>
      </c>
      <c r="AW54" s="27">
        <f>SUM('Net zero emission reductions'!AC1547:AC1562)</f>
        <v>0.41656036033795096</v>
      </c>
      <c r="AX54" s="27">
        <f>SUM('Net zero emission reductions'!AD1547:AD1562)</f>
        <v>0.42816363929176188</v>
      </c>
      <c r="AY54" s="27">
        <f>SUM('Net zero emission reductions'!AE1547:AE1562)</f>
        <v>0.44080543578728848</v>
      </c>
      <c r="AZ54" s="27">
        <f>SUM('Net zero emission reductions'!AF1547:AF1562)</f>
        <v>0.45409665710383612</v>
      </c>
      <c r="BA54" s="27">
        <f>SUM('Net zero emission reductions'!AG1547:AG1562)</f>
        <v>0.46821081786403745</v>
      </c>
      <c r="BB54" s="27">
        <f>SUM('Net zero emission reductions'!AH1547:AH1562)</f>
        <v>0.48296655655778331</v>
      </c>
      <c r="BC54" s="27">
        <f>SUM('Net zero emission reductions'!AI1547:AI1562)</f>
        <v>0.49769776444328961</v>
      </c>
      <c r="BD54" s="27">
        <f>SUM('Net zero emission reductions'!AJ1547:AJ1562)</f>
        <v>0.51336524841931452</v>
      </c>
      <c r="BE54" s="27">
        <f>SUM('Net zero emission reductions'!AK1547:AK1562)</f>
        <v>0.52934988394280857</v>
      </c>
      <c r="BF54" s="27">
        <f>SUM('Net zero emission reductions'!AL1547:AL1562)</f>
        <v>0.54560346077251087</v>
      </c>
      <c r="BG54" s="27">
        <f>SUM('Net zero emission reductions'!AM1547:AM1562)</f>
        <v>0.56241865185252404</v>
      </c>
      <c r="BH54" s="27">
        <f>SUM('Net zero emission reductions'!AN1547:AN1562)</f>
        <v>0.57931797288737874</v>
      </c>
      <c r="BI54" s="27">
        <f>SUM('Net zero emission reductions'!AO1547:AO1562)</f>
        <v>0.59706685516352465</v>
      </c>
      <c r="BJ54" s="27">
        <f>SUM('Net zero emission reductions'!AP1547:AP1562)</f>
        <v>0.61602889728435628</v>
      </c>
      <c r="BK54" s="27">
        <f>SUM('Net zero emission reductions'!AQ1547:AQ1562)</f>
        <v>0.63560176100385213</v>
      </c>
      <c r="BL54" s="27">
        <f>SUM('Net zero emission reductions'!AR1547:AR1562)</f>
        <v>0.65582752913176801</v>
      </c>
      <c r="BM54" s="27">
        <f>SUM('Net zero emission reductions'!AS1547:AS1562)</f>
        <v>0.67739136661683896</v>
      </c>
      <c r="BN54" s="27">
        <f>SUM('Net zero emission reductions'!AT1547:AT1562)</f>
        <v>0.70008587653172982</v>
      </c>
      <c r="BO54" s="27">
        <f>SUM('Net zero emission reductions'!AU1547:AU1562)</f>
        <v>0.72377420877229648</v>
      </c>
      <c r="BP54" s="27">
        <f>SUM('Net zero emission reductions'!AV1547:AV1562)</f>
        <v>0.74890856663490624</v>
      </c>
      <c r="BQ54" s="27">
        <f>SUM('Net zero emission reductions'!AW1547:AW1562)</f>
        <v>0.77295748398788333</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0.14320397099079685</v>
      </c>
      <c r="AF56">
        <f t="shared" ref="AF56:BQ56" si="43">AF55-AF47</f>
        <v>0.23284707853220254</v>
      </c>
      <c r="AG56">
        <f t="shared" si="43"/>
        <v>-1.2251905140914232E-4</v>
      </c>
      <c r="AH56">
        <f t="shared" si="43"/>
        <v>-0.15877072903014522</v>
      </c>
      <c r="AI56">
        <f t="shared" si="43"/>
        <v>-0.29567157165919156</v>
      </c>
      <c r="AJ56">
        <f t="shared" si="43"/>
        <v>-0.15084611458040342</v>
      </c>
      <c r="AK56">
        <f t="shared" si="43"/>
        <v>-0.17785149009184664</v>
      </c>
      <c r="AL56">
        <f t="shared" si="43"/>
        <v>-0.26363626302885734</v>
      </c>
      <c r="AM56">
        <f t="shared" si="43"/>
        <v>-0.58516173490493628</v>
      </c>
      <c r="AN56">
        <f t="shared" si="43"/>
        <v>-1.4451917780414263</v>
      </c>
      <c r="AO56">
        <f t="shared" si="43"/>
        <v>-1.6790433958824948</v>
      </c>
      <c r="AP56">
        <f t="shared" si="43"/>
        <v>-1.4250094758654299</v>
      </c>
      <c r="AQ56">
        <f t="shared" si="43"/>
        <v>-1.2329100305572425</v>
      </c>
      <c r="AR56">
        <f t="shared" si="43"/>
        <v>-1.1591277352974956</v>
      </c>
      <c r="AS56">
        <f t="shared" si="43"/>
        <v>-1.1199227702125469</v>
      </c>
      <c r="AT56">
        <f t="shared" si="43"/>
        <v>-1.1479259020940979</v>
      </c>
      <c r="AU56">
        <f t="shared" si="43"/>
        <v>-1.2242053114840523</v>
      </c>
      <c r="AV56">
        <f t="shared" si="43"/>
        <v>-1.405823393656167</v>
      </c>
      <c r="AW56">
        <f t="shared" si="43"/>
        <v>-1.6820589184503127</v>
      </c>
      <c r="AX56">
        <f t="shared" si="43"/>
        <v>-1.8915327163533533</v>
      </c>
      <c r="AY56">
        <f t="shared" si="43"/>
        <v>-2.1962457998380174</v>
      </c>
      <c r="AZ56">
        <f t="shared" si="43"/>
        <v>-2.460527628361227</v>
      </c>
      <c r="BA56">
        <f t="shared" si="43"/>
        <v>-2.7194326824175121</v>
      </c>
      <c r="BB56">
        <f t="shared" si="43"/>
        <v>-2.9599723864904348</v>
      </c>
      <c r="BC56">
        <f t="shared" si="43"/>
        <v>-3.1763771858605097</v>
      </c>
      <c r="BD56">
        <f t="shared" si="43"/>
        <v>-3.4097357430599118</v>
      </c>
      <c r="BE56">
        <f t="shared" si="43"/>
        <v>-3.643416405846402</v>
      </c>
      <c r="BF56">
        <f t="shared" si="43"/>
        <v>-3.854067689191325</v>
      </c>
      <c r="BG56">
        <f t="shared" si="43"/>
        <v>-4.0418562505178954</v>
      </c>
      <c r="BH56">
        <f t="shared" si="43"/>
        <v>-4.209546249448934</v>
      </c>
      <c r="BI56">
        <f t="shared" si="43"/>
        <v>-4.3852490743534389</v>
      </c>
      <c r="BJ56">
        <f t="shared" si="43"/>
        <v>-4.5894660795696396</v>
      </c>
      <c r="BK56">
        <f t="shared" si="43"/>
        <v>-4.7854945747217386</v>
      </c>
      <c r="BL56">
        <f t="shared" si="43"/>
        <v>-4.9569840058726271</v>
      </c>
      <c r="BM56">
        <f t="shared" si="43"/>
        <v>-5.1529689733451676</v>
      </c>
      <c r="BN56">
        <f t="shared" si="43"/>
        <v>-5.3563335752315808</v>
      </c>
      <c r="BO56">
        <f t="shared" si="43"/>
        <v>-5.5924865035833093</v>
      </c>
      <c r="BP56">
        <f t="shared" si="43"/>
        <v>-5.8449432337548899</v>
      </c>
      <c r="BQ56">
        <f t="shared" si="43"/>
        <v>-5.992619912020487</v>
      </c>
    </row>
    <row r="57" spans="1:75" s="19" customFormat="1" ht="15.75" x14ac:dyDescent="0.25">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24596.567437021011</v>
      </c>
      <c r="AF58" s="22">
        <f t="shared" si="45"/>
        <v>24497.747310072344</v>
      </c>
      <c r="AG58" s="22">
        <f t="shared" si="45"/>
        <v>24503.520525013511</v>
      </c>
      <c r="AH58" s="22">
        <f t="shared" si="45"/>
        <v>24330.600675717971</v>
      </c>
      <c r="AI58" s="22">
        <f t="shared" si="45"/>
        <v>24050.505209418385</v>
      </c>
      <c r="AJ58" s="22">
        <f t="shared" si="45"/>
        <v>23669.383405227258</v>
      </c>
      <c r="AK58" s="22">
        <f t="shared" si="45"/>
        <v>23387.298701141393</v>
      </c>
      <c r="AL58" s="22">
        <f t="shared" si="45"/>
        <v>23126.61405950896</v>
      </c>
      <c r="AM58" s="22">
        <f t="shared" si="45"/>
        <v>21369.845788427832</v>
      </c>
      <c r="AN58" s="22">
        <f t="shared" si="45"/>
        <v>22130.690210491619</v>
      </c>
      <c r="AO58" s="22">
        <f t="shared" si="45"/>
        <v>22415.522364806249</v>
      </c>
      <c r="AP58" s="22">
        <f t="shared" si="45"/>
        <v>22342.904855677618</v>
      </c>
      <c r="AQ58" s="22">
        <f t="shared" si="45"/>
        <v>22297.353936164949</v>
      </c>
      <c r="AR58" s="22">
        <f t="shared" si="45"/>
        <v>22351.074137831845</v>
      </c>
      <c r="AS58" s="22">
        <f t="shared" si="45"/>
        <v>22493.352984543399</v>
      </c>
      <c r="AT58" s="22">
        <f t="shared" si="45"/>
        <v>22675.772991138219</v>
      </c>
      <c r="AU58" s="22">
        <f t="shared" si="45"/>
        <v>22909.483096038628</v>
      </c>
      <c r="AV58" s="22">
        <f t="shared" si="45"/>
        <v>23230.671225335645</v>
      </c>
      <c r="AW58" s="22">
        <f t="shared" si="45"/>
        <v>23632.453983382034</v>
      </c>
      <c r="AX58" s="22">
        <f t="shared" si="45"/>
        <v>23954.238691339007</v>
      </c>
      <c r="AY58" s="22">
        <f t="shared" si="45"/>
        <v>24309.371207343283</v>
      </c>
      <c r="AZ58" s="22">
        <f t="shared" si="45"/>
        <v>24677.52071412162</v>
      </c>
      <c r="BA58" s="22">
        <f t="shared" si="45"/>
        <v>25065.354226144031</v>
      </c>
      <c r="BB58" s="22">
        <f t="shared" si="45"/>
        <v>25463.056169326916</v>
      </c>
      <c r="BC58" s="22">
        <f t="shared" si="45"/>
        <v>25839.628795434342</v>
      </c>
      <c r="BD58" s="22">
        <f t="shared" si="45"/>
        <v>26237.542604884566</v>
      </c>
      <c r="BE58" s="22">
        <f t="shared" si="45"/>
        <v>26627.896881498975</v>
      </c>
      <c r="BF58" s="22">
        <f t="shared" si="45"/>
        <v>27008.085436548117</v>
      </c>
      <c r="BG58" s="22">
        <f t="shared" si="45"/>
        <v>27390.010382681361</v>
      </c>
      <c r="BH58" s="22">
        <f t="shared" si="45"/>
        <v>27829.312175818228</v>
      </c>
      <c r="BI58" s="22">
        <f t="shared" si="45"/>
        <v>28285.897616724691</v>
      </c>
      <c r="BJ58" s="22">
        <f t="shared" si="45"/>
        <v>28773.155862944026</v>
      </c>
      <c r="BK58" s="22">
        <f t="shared" si="45"/>
        <v>29265.211239222921</v>
      </c>
      <c r="BL58" s="22">
        <f t="shared" si="45"/>
        <v>29762.789642045263</v>
      </c>
      <c r="BM58" s="22">
        <f t="shared" si="45"/>
        <v>30291.528189428875</v>
      </c>
      <c r="BN58" s="22">
        <f t="shared" si="45"/>
        <v>30841.488997699438</v>
      </c>
      <c r="BO58" s="22">
        <f t="shared" si="45"/>
        <v>31405.876857713662</v>
      </c>
      <c r="BP58" s="22">
        <f t="shared" si="45"/>
        <v>32000.167587001302</v>
      </c>
      <c r="BQ58" s="22">
        <f t="shared" si="45"/>
        <v>32529.032115555776</v>
      </c>
    </row>
    <row r="59" spans="1:75" x14ac:dyDescent="0.25">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776.88026181002772</v>
      </c>
      <c r="AH59" s="22">
        <f t="shared" si="47"/>
        <v>774.22773270072685</v>
      </c>
      <c r="AI59" s="22">
        <f t="shared" si="47"/>
        <v>767.77846974201918</v>
      </c>
      <c r="AJ59" s="22">
        <f t="shared" si="47"/>
        <v>757.64147058917911</v>
      </c>
      <c r="AK59" s="22">
        <f t="shared" si="47"/>
        <v>751.15754383054082</v>
      </c>
      <c r="AL59" s="22">
        <f t="shared" si="47"/>
        <v>745.51317364056126</v>
      </c>
      <c r="AM59" s="22">
        <f t="shared" si="47"/>
        <v>685.26188604267395</v>
      </c>
      <c r="AN59" s="22">
        <f t="shared" si="47"/>
        <v>713.14475725713066</v>
      </c>
      <c r="AO59" s="22">
        <f t="shared" si="47"/>
        <v>723.46821531053001</v>
      </c>
      <c r="AP59" s="22">
        <f t="shared" si="47"/>
        <v>720.33443143967384</v>
      </c>
      <c r="AQ59" s="22">
        <f t="shared" si="47"/>
        <v>718.01520835412771</v>
      </c>
      <c r="AR59" s="22">
        <f t="shared" si="47"/>
        <v>719.35822432662496</v>
      </c>
      <c r="AS59" s="22">
        <f t="shared" si="47"/>
        <v>724.17377271170653</v>
      </c>
      <c r="AT59" s="22">
        <f t="shared" si="47"/>
        <v>730.62750312540061</v>
      </c>
      <c r="AU59" s="22">
        <f t="shared" si="47"/>
        <v>739.14138127166734</v>
      </c>
      <c r="AV59" s="22">
        <f t="shared" si="47"/>
        <v>751.08019887343528</v>
      </c>
      <c r="AW59" s="22">
        <f t="shared" si="47"/>
        <v>766.18255786583677</v>
      </c>
      <c r="AX59" s="22">
        <f t="shared" si="47"/>
        <v>783.09636080775022</v>
      </c>
      <c r="AY59" s="22">
        <f t="shared" si="47"/>
        <v>801.70025670894506</v>
      </c>
      <c r="AZ59" s="22">
        <f t="shared" si="47"/>
        <v>821.2493011868969</v>
      </c>
      <c r="BA59" s="22">
        <f t="shared" si="47"/>
        <v>842.03581787579844</v>
      </c>
      <c r="BB59" s="22">
        <f t="shared" si="47"/>
        <v>863.70574846866975</v>
      </c>
      <c r="BC59" s="22">
        <f t="shared" si="47"/>
        <v>885.04838862658357</v>
      </c>
      <c r="BD59" s="22">
        <f t="shared" si="47"/>
        <v>907.77067647743138</v>
      </c>
      <c r="BE59" s="22">
        <f t="shared" si="47"/>
        <v>930.75177558977202</v>
      </c>
      <c r="BF59" s="22">
        <f t="shared" si="47"/>
        <v>953.89780561401676</v>
      </c>
      <c r="BG59" s="22">
        <f t="shared" si="47"/>
        <v>977.70997578364313</v>
      </c>
      <c r="BH59" s="22">
        <f t="shared" si="47"/>
        <v>1000.9164526188529</v>
      </c>
      <c r="BI59" s="22">
        <f t="shared" si="47"/>
        <v>1025.241214134383</v>
      </c>
      <c r="BJ59" s="22">
        <f t="shared" si="47"/>
        <v>1051.276258278521</v>
      </c>
      <c r="BK59" s="22">
        <f t="shared" si="47"/>
        <v>1077.9616391688305</v>
      </c>
      <c r="BL59" s="22">
        <f t="shared" si="47"/>
        <v>1105.3494215415274</v>
      </c>
      <c r="BM59" s="22">
        <f t="shared" si="47"/>
        <v>1134.5635346074182</v>
      </c>
      <c r="BN59" s="22">
        <f t="shared" si="47"/>
        <v>1165.2163924314029</v>
      </c>
      <c r="BO59" s="22">
        <f t="shared" si="47"/>
        <v>1197.0463551047183</v>
      </c>
      <c r="BP59" s="22">
        <f t="shared" si="47"/>
        <v>1230.7617610577402</v>
      </c>
      <c r="BQ59" s="22">
        <f t="shared" si="47"/>
        <v>1262.2047270799694</v>
      </c>
    </row>
    <row r="60" spans="1:75" x14ac:dyDescent="0.25">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1611.8202237640569</v>
      </c>
      <c r="AF60" s="22">
        <f t="shared" si="49"/>
        <v>1628.3498454049941</v>
      </c>
      <c r="AG60" s="22">
        <f t="shared" si="49"/>
        <v>1654.3267410473238</v>
      </c>
      <c r="AH60" s="22">
        <f t="shared" si="49"/>
        <v>1663.6384309182042</v>
      </c>
      <c r="AI60" s="22">
        <f t="shared" si="49"/>
        <v>1662.3021398559852</v>
      </c>
      <c r="AJ60" s="22">
        <f t="shared" si="49"/>
        <v>1650.3976769413116</v>
      </c>
      <c r="AK60" s="22">
        <f t="shared" si="49"/>
        <v>1647.5009704288245</v>
      </c>
      <c r="AL60" s="22">
        <f t="shared" si="49"/>
        <v>1646.2684747308629</v>
      </c>
      <c r="AM60" s="22">
        <f t="shared" si="49"/>
        <v>1496.9632118820093</v>
      </c>
      <c r="AN60" s="22">
        <f t="shared" si="49"/>
        <v>1589.4536201520787</v>
      </c>
      <c r="AO60" s="22">
        <f t="shared" si="49"/>
        <v>1634.6379842255499</v>
      </c>
      <c r="AP60" s="22">
        <f t="shared" si="49"/>
        <v>1642.3613957102418</v>
      </c>
      <c r="AQ60" s="22">
        <f t="shared" si="49"/>
        <v>1651.831783548467</v>
      </c>
      <c r="AR60" s="22">
        <f t="shared" si="49"/>
        <v>1671.3833505112827</v>
      </c>
      <c r="AS60" s="22">
        <f t="shared" si="49"/>
        <v>1700.9742841824357</v>
      </c>
      <c r="AT60" s="22">
        <f t="shared" si="49"/>
        <v>1735.5397910667693</v>
      </c>
      <c r="AU60" s="22">
        <f t="shared" si="49"/>
        <v>1776.4587711909221</v>
      </c>
      <c r="AV60" s="22">
        <f t="shared" si="49"/>
        <v>1827.9376364764994</v>
      </c>
      <c r="AW60" s="22">
        <f t="shared" si="49"/>
        <v>1889.4630902844299</v>
      </c>
      <c r="AX60" s="22">
        <f t="shared" si="49"/>
        <v>1955.2970642616535</v>
      </c>
      <c r="AY60" s="22">
        <f t="shared" si="49"/>
        <v>2027.0326613025154</v>
      </c>
      <c r="AZ60" s="22">
        <f t="shared" si="49"/>
        <v>2102.5217820786279</v>
      </c>
      <c r="BA60" s="22">
        <f t="shared" si="49"/>
        <v>2182.7475880121342</v>
      </c>
      <c r="BB60" s="22">
        <f t="shared" si="49"/>
        <v>2266.7086965274766</v>
      </c>
      <c r="BC60" s="22">
        <f t="shared" si="49"/>
        <v>2350.6936759298737</v>
      </c>
      <c r="BD60" s="22">
        <f t="shared" si="49"/>
        <v>2440.0729602060906</v>
      </c>
      <c r="BE60" s="22">
        <f t="shared" si="49"/>
        <v>2531.4145610132391</v>
      </c>
      <c r="BF60" s="22">
        <f t="shared" si="49"/>
        <v>2624.4542426738071</v>
      </c>
      <c r="BG60" s="22">
        <f t="shared" si="49"/>
        <v>2720.8327201724637</v>
      </c>
      <c r="BH60" s="22">
        <f t="shared" si="49"/>
        <v>2817.7487077323372</v>
      </c>
      <c r="BI60" s="22">
        <f t="shared" si="49"/>
        <v>2919.6225778999151</v>
      </c>
      <c r="BJ60" s="22">
        <f t="shared" si="49"/>
        <v>3028.5140214947187</v>
      </c>
      <c r="BK60" s="22">
        <f t="shared" si="49"/>
        <v>3141.0574304598881</v>
      </c>
      <c r="BL60" s="22">
        <f t="shared" si="49"/>
        <v>3257.5050202947727</v>
      </c>
      <c r="BM60" s="22">
        <f t="shared" si="49"/>
        <v>3381.7304185792786</v>
      </c>
      <c r="BN60" s="22">
        <f t="shared" si="49"/>
        <v>3512.5857804113907</v>
      </c>
      <c r="BO60" s="22">
        <f t="shared" si="49"/>
        <v>3649.3149372296352</v>
      </c>
      <c r="BP60" s="22">
        <f t="shared" si="49"/>
        <v>3794.4839588574464</v>
      </c>
      <c r="BQ60" s="22">
        <f t="shared" si="49"/>
        <v>3933.8203748562191</v>
      </c>
    </row>
    <row r="61" spans="1:75" x14ac:dyDescent="0.25">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893.63599451516268</v>
      </c>
      <c r="AO63" s="22">
        <f t="shared" si="54"/>
        <v>901.53557284553392</v>
      </c>
      <c r="AP63" s="22">
        <f t="shared" si="54"/>
        <v>905.89010059598195</v>
      </c>
      <c r="AQ63" s="22">
        <f t="shared" si="54"/>
        <v>907.58009218117843</v>
      </c>
      <c r="AR63" s="22">
        <f t="shared" si="54"/>
        <v>909.40288860123439</v>
      </c>
      <c r="AS63" s="22">
        <f t="shared" si="54"/>
        <v>911.92422757648922</v>
      </c>
      <c r="AT63" s="22">
        <f t="shared" si="54"/>
        <v>915.10313656095923</v>
      </c>
      <c r="AU63" s="22">
        <f t="shared" si="54"/>
        <v>918.57833095683384</v>
      </c>
      <c r="AV63" s="22">
        <f t="shared" si="54"/>
        <v>922.43403487282035</v>
      </c>
      <c r="AW63" s="22">
        <f t="shared" si="54"/>
        <v>926.93686062638631</v>
      </c>
      <c r="AX63" s="22">
        <f t="shared" si="54"/>
        <v>932.02307525086815</v>
      </c>
      <c r="AY63" s="22">
        <f t="shared" si="54"/>
        <v>937.4114004614803</v>
      </c>
      <c r="AZ63" s="22">
        <f t="shared" si="54"/>
        <v>943.0703615154913</v>
      </c>
      <c r="BA63" s="22">
        <f t="shared" si="54"/>
        <v>948.84872324168452</v>
      </c>
      <c r="BB63" s="22">
        <f t="shared" si="54"/>
        <v>954.79399041296358</v>
      </c>
      <c r="BC63" s="22">
        <f t="shared" si="54"/>
        <v>960.83317350344373</v>
      </c>
      <c r="BD63" s="22">
        <f t="shared" si="54"/>
        <v>966.74459566725386</v>
      </c>
      <c r="BE63" s="22">
        <f t="shared" si="54"/>
        <v>972.83250351153242</v>
      </c>
      <c r="BF63" s="22">
        <f t="shared" si="54"/>
        <v>978.89306599922156</v>
      </c>
      <c r="BG63" s="22">
        <f t="shared" si="54"/>
        <v>984.91027811786876</v>
      </c>
      <c r="BH63" s="22">
        <f t="shared" si="54"/>
        <v>990.96854669159461</v>
      </c>
      <c r="BI63" s="22">
        <f t="shared" si="54"/>
        <v>996.85817227544851</v>
      </c>
      <c r="BJ63" s="22">
        <f t="shared" si="54"/>
        <v>1002.8620363509766</v>
      </c>
      <c r="BK63" s="22">
        <f t="shared" si="54"/>
        <v>1009.0666625916243</v>
      </c>
      <c r="BL63" s="22">
        <f t="shared" si="54"/>
        <v>1015.2950621882683</v>
      </c>
      <c r="BM63" s="22">
        <f t="shared" si="54"/>
        <v>1021.5521396290935</v>
      </c>
      <c r="BN63" s="22">
        <f t="shared" si="54"/>
        <v>1028.0026193966835</v>
      </c>
      <c r="BO63" s="22">
        <f t="shared" si="54"/>
        <v>1034.5766203170861</v>
      </c>
      <c r="BP63" s="22">
        <f t="shared" si="54"/>
        <v>1041.2271453774342</v>
      </c>
      <c r="BQ63" s="22">
        <f t="shared" ref="BQ63:BQ64" si="55">BQ41</f>
        <v>1048.046646803637</v>
      </c>
    </row>
    <row r="64" spans="1:75" x14ac:dyDescent="0.25">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469.91487835797898</v>
      </c>
      <c r="AO64" s="22">
        <f t="shared" si="54"/>
        <v>469.71584189716231</v>
      </c>
      <c r="AP64" s="22">
        <f t="shared" si="54"/>
        <v>469.60612594072387</v>
      </c>
      <c r="AQ64" s="22">
        <f t="shared" si="54"/>
        <v>469.56354519402316</v>
      </c>
      <c r="AR64" s="22">
        <f t="shared" si="54"/>
        <v>469.51761831880731</v>
      </c>
      <c r="AS64" s="22">
        <f t="shared" si="54"/>
        <v>469.45409108163506</v>
      </c>
      <c r="AT64" s="22">
        <f t="shared" si="54"/>
        <v>469.37399581995572</v>
      </c>
      <c r="AU64" s="22">
        <f t="shared" si="54"/>
        <v>469.28643540036416</v>
      </c>
      <c r="AV64" s="22">
        <f t="shared" si="54"/>
        <v>469.18928772623514</v>
      </c>
      <c r="AW64" s="22">
        <f t="shared" si="54"/>
        <v>469.07583527799261</v>
      </c>
      <c r="AX64" s="22">
        <f t="shared" si="54"/>
        <v>468.94768386085701</v>
      </c>
      <c r="AY64" s="22">
        <f t="shared" si="54"/>
        <v>468.81192051567615</v>
      </c>
      <c r="AZ64" s="22">
        <f t="shared" si="54"/>
        <v>468.66933827482927</v>
      </c>
      <c r="BA64" s="22">
        <f t="shared" si="54"/>
        <v>468.523747634519</v>
      </c>
      <c r="BB64" s="22">
        <f t="shared" si="54"/>
        <v>468.37395167239384</v>
      </c>
      <c r="BC64" s="22">
        <f t="shared" si="54"/>
        <v>468.22178942039972</v>
      </c>
      <c r="BD64" s="22">
        <f t="shared" si="54"/>
        <v>468.07284621144964</v>
      </c>
      <c r="BE64" s="22">
        <f t="shared" si="54"/>
        <v>467.91945629866859</v>
      </c>
      <c r="BF64" s="22">
        <f t="shared" si="54"/>
        <v>467.76675537494071</v>
      </c>
      <c r="BG64" s="22">
        <f t="shared" si="54"/>
        <v>467.61514669989612</v>
      </c>
      <c r="BH64" s="22">
        <f t="shared" si="54"/>
        <v>467.46250357324266</v>
      </c>
      <c r="BI64" s="22">
        <f t="shared" si="54"/>
        <v>467.31410954729336</v>
      </c>
      <c r="BJ64" s="22">
        <f t="shared" si="54"/>
        <v>467.16283718732154</v>
      </c>
      <c r="BK64" s="22">
        <f t="shared" si="54"/>
        <v>467.00650645725204</v>
      </c>
      <c r="BL64" s="22">
        <f t="shared" si="54"/>
        <v>466.84957673766149</v>
      </c>
      <c r="BM64" s="22">
        <f t="shared" si="54"/>
        <v>466.6919244558822</v>
      </c>
      <c r="BN64" s="22">
        <f t="shared" si="54"/>
        <v>466.52939924126719</v>
      </c>
      <c r="BO64" s="22">
        <f t="shared" si="54"/>
        <v>466.36376180824482</v>
      </c>
      <c r="BP64" s="22">
        <f t="shared" si="54"/>
        <v>466.19619628572883</v>
      </c>
      <c r="BQ64" s="22">
        <f t="shared" si="55"/>
        <v>466.02437326282302</v>
      </c>
    </row>
    <row r="65" spans="1:75" x14ac:dyDescent="0.25">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17093.826915551948</v>
      </c>
      <c r="AG65" s="22">
        <f t="shared" si="56"/>
        <v>17091.396392844257</v>
      </c>
      <c r="AH65" s="22">
        <f t="shared" si="56"/>
        <v>16996.523789335217</v>
      </c>
      <c r="AI65" s="22">
        <f t="shared" si="56"/>
        <v>16845.135916251187</v>
      </c>
      <c r="AJ65" s="22">
        <f t="shared" si="56"/>
        <v>16640.888084222788</v>
      </c>
      <c r="AK65" s="22">
        <f t="shared" si="56"/>
        <v>16487.529960272332</v>
      </c>
      <c r="AL65" s="22">
        <f t="shared" si="56"/>
        <v>16345.805129696333</v>
      </c>
      <c r="AM65" s="22">
        <f t="shared" si="56"/>
        <v>15430.560631270724</v>
      </c>
      <c r="AN65" s="22">
        <f t="shared" si="56"/>
        <v>15811.043186802979</v>
      </c>
      <c r="AO65" s="22">
        <f t="shared" si="56"/>
        <v>15958.847934518744</v>
      </c>
      <c r="AP65" s="22">
        <f t="shared" si="56"/>
        <v>15919.233047927217</v>
      </c>
      <c r="AQ65" s="22">
        <f t="shared" si="56"/>
        <v>15891.545967315633</v>
      </c>
      <c r="AR65" s="22">
        <f t="shared" si="56"/>
        <v>15915.155892934759</v>
      </c>
      <c r="AS65" s="22">
        <f t="shared" si="56"/>
        <v>15984.84339828518</v>
      </c>
      <c r="AT65" s="22">
        <f t="shared" si="56"/>
        <v>16075.567194018065</v>
      </c>
      <c r="AU65" s="22">
        <f t="shared" si="56"/>
        <v>16192.720227144715</v>
      </c>
      <c r="AV65" s="22">
        <f t="shared" si="56"/>
        <v>16354.896144587752</v>
      </c>
      <c r="AW65" s="22">
        <f t="shared" si="56"/>
        <v>16558.670091352691</v>
      </c>
      <c r="AX65" s="22">
        <f t="shared" si="56"/>
        <v>16718.997085821164</v>
      </c>
      <c r="AY65" s="22">
        <f t="shared" si="56"/>
        <v>16896.069003270473</v>
      </c>
      <c r="AZ65" s="22">
        <f t="shared" si="56"/>
        <v>17079.376550926358</v>
      </c>
      <c r="BA65" s="22">
        <f t="shared" si="56"/>
        <v>17272.154709260769</v>
      </c>
      <c r="BB65" s="22">
        <f t="shared" si="56"/>
        <v>17469.365060057426</v>
      </c>
      <c r="BC65" s="22">
        <f t="shared" si="56"/>
        <v>17655.092104453866</v>
      </c>
      <c r="BD65" s="22">
        <f t="shared" si="56"/>
        <v>17850.792549268703</v>
      </c>
      <c r="BE65" s="22">
        <f t="shared" si="56"/>
        <v>18041.925731567091</v>
      </c>
      <c r="BF65" s="22">
        <f t="shared" si="56"/>
        <v>18226.979392581368</v>
      </c>
      <c r="BG65" s="22">
        <f t="shared" si="56"/>
        <v>18411.957867290104</v>
      </c>
      <c r="BH65" s="22">
        <f t="shared" si="56"/>
        <v>18627.439142589483</v>
      </c>
      <c r="BI65" s="22">
        <f t="shared" si="56"/>
        <v>18850.725445944816</v>
      </c>
      <c r="BJ65" s="22">
        <f t="shared" si="56"/>
        <v>19088.747367065309</v>
      </c>
      <c r="BK65" s="22">
        <f t="shared" si="56"/>
        <v>19328.417871836467</v>
      </c>
      <c r="BL65" s="22">
        <f t="shared" si="56"/>
        <v>19569.915973937041</v>
      </c>
      <c r="BM65" s="22">
        <f t="shared" si="56"/>
        <v>19826.107036199104</v>
      </c>
      <c r="BN65" s="22">
        <f t="shared" si="56"/>
        <v>20092.021030049389</v>
      </c>
      <c r="BO65" s="22">
        <f t="shared" si="56"/>
        <v>20364.102979787673</v>
      </c>
      <c r="BP65" s="22">
        <f t="shared" si="56"/>
        <v>20650.001260780562</v>
      </c>
      <c r="BQ65" s="22">
        <f t="shared" si="56"/>
        <v>20901.929344604407</v>
      </c>
    </row>
    <row r="66" spans="1:75" x14ac:dyDescent="0.25">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2050.9374050904016</v>
      </c>
      <c r="AF66" s="22">
        <f t="shared" si="58"/>
        <v>2045.5386350321758</v>
      </c>
      <c r="AG66" s="22">
        <f t="shared" si="58"/>
        <v>2047.0573530349106</v>
      </c>
      <c r="AH66" s="22">
        <f t="shared" si="58"/>
        <v>2037.2818538590109</v>
      </c>
      <c r="AI66" s="22">
        <f t="shared" si="58"/>
        <v>2020.7416492119826</v>
      </c>
      <c r="AJ66" s="22">
        <f t="shared" si="58"/>
        <v>1997.8167979558436</v>
      </c>
      <c r="AK66" s="22">
        <f t="shared" si="58"/>
        <v>1981.3182233351415</v>
      </c>
      <c r="AL66" s="22">
        <f t="shared" si="58"/>
        <v>1966.2827775921453</v>
      </c>
      <c r="AM66" s="22">
        <f t="shared" si="58"/>
        <v>1853.5422606516693</v>
      </c>
      <c r="AN66" s="22">
        <f t="shared" si="58"/>
        <v>1902.820284924391</v>
      </c>
      <c r="AO66" s="22">
        <f t="shared" si="58"/>
        <v>1921.5543958027654</v>
      </c>
      <c r="AP66" s="22">
        <f t="shared" si="58"/>
        <v>1917.2325138661979</v>
      </c>
      <c r="AQ66" s="22">
        <f t="shared" si="58"/>
        <v>1914.8468047202759</v>
      </c>
      <c r="AR66" s="22">
        <f t="shared" si="58"/>
        <v>1919.0235554424712</v>
      </c>
      <c r="AS66" s="22">
        <f t="shared" si="58"/>
        <v>1928.923304491045</v>
      </c>
      <c r="AT66" s="22">
        <f t="shared" si="58"/>
        <v>1941.4247785753696</v>
      </c>
      <c r="AU66" s="22">
        <f t="shared" si="58"/>
        <v>1957.2434080061732</v>
      </c>
      <c r="AV66" s="22">
        <f t="shared" si="58"/>
        <v>1978.7299836417585</v>
      </c>
      <c r="AW66" s="22">
        <f t="shared" si="58"/>
        <v>2005.4551722913536</v>
      </c>
      <c r="AX66" s="22">
        <f t="shared" si="58"/>
        <v>2027.5270915670139</v>
      </c>
      <c r="AY66" s="22">
        <f t="shared" si="58"/>
        <v>2051.8162616729601</v>
      </c>
      <c r="AZ66" s="22">
        <f t="shared" si="58"/>
        <v>2077.0106814151418</v>
      </c>
      <c r="BA66" s="22">
        <f t="shared" si="58"/>
        <v>2103.5415711520436</v>
      </c>
      <c r="BB66" s="22">
        <f t="shared" si="58"/>
        <v>2130.779621564021</v>
      </c>
      <c r="BC66" s="22">
        <f t="shared" si="58"/>
        <v>2156.7140714549992</v>
      </c>
      <c r="BD66" s="22">
        <f t="shared" si="58"/>
        <v>2184.1024690347967</v>
      </c>
      <c r="BE66" s="22">
        <f t="shared" si="58"/>
        <v>2211.0671577362259</v>
      </c>
      <c r="BF66" s="22">
        <f t="shared" si="58"/>
        <v>2237.4358494281691</v>
      </c>
      <c r="BG66" s="22">
        <f t="shared" si="58"/>
        <v>2263.9882827443353</v>
      </c>
      <c r="BH66" s="22">
        <f t="shared" si="58"/>
        <v>2293.9699712922675</v>
      </c>
      <c r="BI66" s="22">
        <f t="shared" si="58"/>
        <v>2325.1265640673746</v>
      </c>
      <c r="BJ66" s="22">
        <f t="shared" si="58"/>
        <v>2358.341737972924</v>
      </c>
      <c r="BK66" s="22">
        <f t="shared" si="58"/>
        <v>2391.928142812822</v>
      </c>
      <c r="BL66" s="22">
        <f t="shared" si="58"/>
        <v>2425.9297941273439</v>
      </c>
      <c r="BM66" s="22">
        <f t="shared" si="58"/>
        <v>2462.0290061456703</v>
      </c>
      <c r="BN66" s="22">
        <f t="shared" si="58"/>
        <v>2499.5834887806723</v>
      </c>
      <c r="BO66" s="22">
        <f t="shared" si="58"/>
        <v>2538.1521015189664</v>
      </c>
      <c r="BP66" s="22">
        <f t="shared" si="58"/>
        <v>2578.7579194180721</v>
      </c>
      <c r="BQ66" s="22">
        <f t="shared" si="58"/>
        <v>2615.1308371849518</v>
      </c>
    </row>
    <row r="67" spans="1:75" x14ac:dyDescent="0.25">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468.5534902170719</v>
      </c>
      <c r="AG67" s="22">
        <f t="shared" si="60"/>
        <v>475.46673921112131</v>
      </c>
      <c r="AH67" s="22">
        <f t="shared" si="60"/>
        <v>478.52713833996251</v>
      </c>
      <c r="AI67" s="22">
        <f t="shared" si="60"/>
        <v>479.13075008565431</v>
      </c>
      <c r="AJ67" s="22">
        <f t="shared" si="60"/>
        <v>477.27784879908722</v>
      </c>
      <c r="AK67" s="22">
        <f t="shared" si="60"/>
        <v>477.58815133846173</v>
      </c>
      <c r="AL67" s="22">
        <f t="shared" si="60"/>
        <v>478.32509917641192</v>
      </c>
      <c r="AM67" s="22">
        <f t="shared" si="60"/>
        <v>443.3510171493719</v>
      </c>
      <c r="AN67" s="22">
        <f t="shared" si="60"/>
        <v>465.57618981839653</v>
      </c>
      <c r="AO67" s="22">
        <f t="shared" si="60"/>
        <v>476.46817640106639</v>
      </c>
      <c r="AP67" s="22">
        <f t="shared" si="60"/>
        <v>478.44574802634082</v>
      </c>
      <c r="AQ67" s="22">
        <f t="shared" si="60"/>
        <v>480.92349467442273</v>
      </c>
      <c r="AR67" s="22">
        <f t="shared" si="60"/>
        <v>485.86605792125317</v>
      </c>
      <c r="AS67" s="22">
        <f t="shared" si="60"/>
        <v>493.21409934144106</v>
      </c>
      <c r="AT67" s="22">
        <f t="shared" si="60"/>
        <v>501.75898994611924</v>
      </c>
      <c r="AU67" s="22">
        <f t="shared" si="60"/>
        <v>511.83185635472989</v>
      </c>
      <c r="AV67" s="22">
        <f t="shared" si="60"/>
        <v>524.44408053716097</v>
      </c>
      <c r="AW67" s="22">
        <f t="shared" si="60"/>
        <v>539.47739621796109</v>
      </c>
      <c r="AX67" s="22">
        <f t="shared" si="60"/>
        <v>556.05727482251325</v>
      </c>
      <c r="AY67" s="22">
        <f t="shared" si="60"/>
        <v>574.1018930192015</v>
      </c>
      <c r="AZ67" s="22">
        <f t="shared" si="60"/>
        <v>593.09957867018966</v>
      </c>
      <c r="BA67" s="22">
        <f t="shared" si="60"/>
        <v>613.28978175267173</v>
      </c>
      <c r="BB67" s="22">
        <f t="shared" si="60"/>
        <v>634.43556308621476</v>
      </c>
      <c r="BC67" s="22">
        <f t="shared" si="60"/>
        <v>655.64311598628979</v>
      </c>
      <c r="BD67" s="22">
        <f t="shared" si="60"/>
        <v>678.21214828331097</v>
      </c>
      <c r="BE67" s="22">
        <f t="shared" si="60"/>
        <v>701.31248708428234</v>
      </c>
      <c r="BF67" s="22">
        <f t="shared" si="60"/>
        <v>724.88114622406306</v>
      </c>
      <c r="BG67" s="22">
        <f t="shared" si="60"/>
        <v>749.31884869652549</v>
      </c>
      <c r="BH67" s="22">
        <f t="shared" si="60"/>
        <v>773.59688679884414</v>
      </c>
      <c r="BI67" s="22">
        <f t="shared" si="60"/>
        <v>799.11883674501155</v>
      </c>
      <c r="BJ67" s="22">
        <f t="shared" si="60"/>
        <v>826.38903117996551</v>
      </c>
      <c r="BK67" s="22">
        <f t="shared" si="60"/>
        <v>854.58915531939601</v>
      </c>
      <c r="BL67" s="22">
        <f t="shared" si="60"/>
        <v>883.78144491838327</v>
      </c>
      <c r="BM67" s="22">
        <f t="shared" si="60"/>
        <v>914.91436492205196</v>
      </c>
      <c r="BN67" s="22">
        <f t="shared" si="60"/>
        <v>947.71091968754251</v>
      </c>
      <c r="BO67" s="22">
        <f t="shared" si="60"/>
        <v>981.98942255627162</v>
      </c>
      <c r="BP67" s="22">
        <f t="shared" si="60"/>
        <v>1018.3824913368661</v>
      </c>
      <c r="BQ67" s="22">
        <f t="shared" si="60"/>
        <v>1053.3889718674006</v>
      </c>
    </row>
    <row r="70" spans="1:75" s="19" customFormat="1" ht="15.75" x14ac:dyDescent="0.25">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26982.018509963771</v>
      </c>
      <c r="AF71" s="22">
        <f t="shared" si="61"/>
        <v>26899.412164760473</v>
      </c>
      <c r="AG71" s="22">
        <f t="shared" si="61"/>
        <v>26934.727527870862</v>
      </c>
      <c r="AH71" s="22">
        <f t="shared" si="61"/>
        <v>26768.466839336899</v>
      </c>
      <c r="AI71" s="22">
        <f t="shared" si="61"/>
        <v>26480.585819016389</v>
      </c>
      <c r="AJ71" s="22">
        <f t="shared" si="61"/>
        <v>26077.422552757751</v>
      </c>
      <c r="AK71" s="22">
        <f t="shared" si="61"/>
        <v>25785.957215400758</v>
      </c>
      <c r="AL71" s="22">
        <f t="shared" si="61"/>
        <v>25518.395707880383</v>
      </c>
      <c r="AM71" s="22">
        <f t="shared" si="61"/>
        <v>23552.070886352514</v>
      </c>
      <c r="AN71" s="22">
        <f t="shared" si="61"/>
        <v>24433.288587900828</v>
      </c>
      <c r="AO71" s="22">
        <f t="shared" si="61"/>
        <v>24773.628564342329</v>
      </c>
      <c r="AP71" s="22">
        <f t="shared" si="61"/>
        <v>24705.600682827535</v>
      </c>
      <c r="AQ71" s="22">
        <f t="shared" si="61"/>
        <v>24667.200928067545</v>
      </c>
      <c r="AR71" s="22">
        <f t="shared" si="61"/>
        <v>24741.815712669752</v>
      </c>
      <c r="AS71" s="22">
        <f t="shared" si="61"/>
        <v>24918.501041437543</v>
      </c>
      <c r="AT71" s="22">
        <f t="shared" si="61"/>
        <v>25141.940285330391</v>
      </c>
      <c r="AU71" s="22">
        <f t="shared" si="61"/>
        <v>25425.083248501218</v>
      </c>
      <c r="AV71" s="22">
        <f t="shared" si="61"/>
        <v>25809.689060685581</v>
      </c>
      <c r="AW71" s="22">
        <f t="shared" si="61"/>
        <v>26288.099631532299</v>
      </c>
      <c r="AX71" s="22">
        <f t="shared" si="61"/>
        <v>26692.632116408411</v>
      </c>
      <c r="AY71" s="22">
        <f t="shared" si="61"/>
        <v>27138.104125354745</v>
      </c>
      <c r="AZ71" s="22">
        <f t="shared" si="61"/>
        <v>27601.291797387144</v>
      </c>
      <c r="BA71" s="22">
        <f t="shared" si="61"/>
        <v>28090.137632031965</v>
      </c>
      <c r="BB71" s="22">
        <f t="shared" si="61"/>
        <v>28593.470614323061</v>
      </c>
      <c r="BC71" s="22">
        <f t="shared" si="61"/>
        <v>29075.370859990799</v>
      </c>
      <c r="BD71" s="22">
        <f t="shared" si="61"/>
        <v>29585.386241568085</v>
      </c>
      <c r="BE71" s="22">
        <f t="shared" si="61"/>
        <v>30090.063218101986</v>
      </c>
      <c r="BF71" s="22">
        <f t="shared" si="61"/>
        <v>30586.43748483594</v>
      </c>
      <c r="BG71" s="22">
        <f t="shared" si="61"/>
        <v>31088.553078637469</v>
      </c>
      <c r="BH71" s="22">
        <f t="shared" si="61"/>
        <v>31647.977336169421</v>
      </c>
      <c r="BI71" s="22">
        <f t="shared" si="61"/>
        <v>32230.76140875899</v>
      </c>
      <c r="BJ71" s="22">
        <f t="shared" si="61"/>
        <v>32852.946142717265</v>
      </c>
      <c r="BK71" s="22">
        <f t="shared" si="61"/>
        <v>33484.230308851635</v>
      </c>
      <c r="BL71" s="22">
        <f t="shared" si="61"/>
        <v>34125.644083881562</v>
      </c>
      <c r="BM71" s="22">
        <f t="shared" si="61"/>
        <v>34807.822142615572</v>
      </c>
      <c r="BN71" s="22">
        <f t="shared" si="61"/>
        <v>35519.29117054223</v>
      </c>
      <c r="BO71" s="22">
        <f t="shared" si="61"/>
        <v>36252.238150048011</v>
      </c>
      <c r="BP71" s="22">
        <f t="shared" si="61"/>
        <v>37025.413306916489</v>
      </c>
      <c r="BQ71" s="22">
        <f t="shared" si="61"/>
        <v>37725.057217491965</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22897.455060347875</v>
      </c>
      <c r="AF72" s="22">
        <f t="shared" si="62"/>
        <v>22916.931601602209</v>
      </c>
      <c r="AG72" s="22">
        <f t="shared" si="62"/>
        <v>22902.965793483327</v>
      </c>
      <c r="AH72" s="22">
        <f t="shared" si="62"/>
        <v>22783.717172728906</v>
      </c>
      <c r="AI72" s="22">
        <f t="shared" si="62"/>
        <v>22638.455195046361</v>
      </c>
      <c r="AJ72" s="22">
        <f t="shared" si="62"/>
        <v>22428.717383211704</v>
      </c>
      <c r="AK72" s="22">
        <f t="shared" si="62"/>
        <v>22266.130401341314</v>
      </c>
      <c r="AL72" s="22">
        <f t="shared" si="62"/>
        <v>22119.9220695435</v>
      </c>
      <c r="AM72" s="22">
        <f t="shared" si="62"/>
        <v>21066.851364518014</v>
      </c>
      <c r="AN72" s="22">
        <f t="shared" si="62"/>
        <v>21518.166899748245</v>
      </c>
      <c r="AO72" s="22">
        <f t="shared" si="62"/>
        <v>21711.657758655714</v>
      </c>
      <c r="AP72" s="22">
        <f t="shared" si="62"/>
        <v>21682.302845408005</v>
      </c>
      <c r="AQ72" s="22">
        <f t="shared" si="62"/>
        <v>21664.714684998176</v>
      </c>
      <c r="AR72" s="22">
        <f t="shared" si="62"/>
        <v>21707.58026599227</v>
      </c>
      <c r="AS72" s="22">
        <f t="shared" si="62"/>
        <v>21805.332845410634</v>
      </c>
      <c r="AT72" s="22">
        <f t="shared" si="62"/>
        <v>21928.561291416416</v>
      </c>
      <c r="AU72" s="22">
        <f t="shared" si="62"/>
        <v>22083.352926219864</v>
      </c>
      <c r="AV72" s="22">
        <f t="shared" si="62"/>
        <v>22291.745671583874</v>
      </c>
      <c r="AW72" s="22">
        <f t="shared" si="62"/>
        <v>22550.026967845635</v>
      </c>
      <c r="AX72" s="22">
        <f t="shared" si="62"/>
        <v>22761.978025927001</v>
      </c>
      <c r="AY72" s="22">
        <f t="shared" si="62"/>
        <v>22994.650496069706</v>
      </c>
      <c r="AZ72" s="22">
        <f t="shared" si="62"/>
        <v>23235.680730457254</v>
      </c>
      <c r="BA72" s="22">
        <f t="shared" si="62"/>
        <v>23488.826955222266</v>
      </c>
      <c r="BB72" s="22">
        <f t="shared" si="62"/>
        <v>23748.230811498932</v>
      </c>
      <c r="BC72" s="22">
        <f t="shared" si="62"/>
        <v>23995.001082050243</v>
      </c>
      <c r="BD72" s="22">
        <f t="shared" si="62"/>
        <v>24254.435638222087</v>
      </c>
      <c r="BE72" s="22">
        <f t="shared" si="62"/>
        <v>24509.582568479706</v>
      </c>
      <c r="BF72" s="22">
        <f t="shared" si="62"/>
        <v>24757.976947088013</v>
      </c>
      <c r="BG72" s="22">
        <f t="shared" si="62"/>
        <v>25007.306666227323</v>
      </c>
      <c r="BH72" s="22">
        <f t="shared" si="62"/>
        <v>25290.44879882237</v>
      </c>
      <c r="BI72" s="22">
        <f t="shared" si="62"/>
        <v>25583.650381655225</v>
      </c>
      <c r="BJ72" s="22">
        <f t="shared" si="62"/>
        <v>25895.505768030125</v>
      </c>
      <c r="BK72" s="22">
        <f t="shared" si="62"/>
        <v>26210.506602489535</v>
      </c>
      <c r="BL72" s="22">
        <f t="shared" si="62"/>
        <v>26528.765620579015</v>
      </c>
      <c r="BM72" s="22">
        <f t="shared" si="62"/>
        <v>26865.783745220466</v>
      </c>
      <c r="BN72" s="22">
        <f t="shared" si="62"/>
        <v>27215.832236222563</v>
      </c>
      <c r="BO72" s="22">
        <f t="shared" si="62"/>
        <v>27574.665170253593</v>
      </c>
      <c r="BP72" s="22">
        <f t="shared" si="62"/>
        <v>27951.540802662363</v>
      </c>
      <c r="BQ72" s="22">
        <f t="shared" si="62"/>
        <v>28288.991468385262</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49879.473570311646</v>
      </c>
      <c r="AF73" s="22">
        <f t="shared" si="63"/>
        <v>49816.343766362683</v>
      </c>
      <c r="AG73" s="22">
        <f t="shared" si="63"/>
        <v>49837.693321354192</v>
      </c>
      <c r="AH73" s="22">
        <f t="shared" si="63"/>
        <v>49552.184012065802</v>
      </c>
      <c r="AI73" s="22">
        <f t="shared" si="63"/>
        <v>49119.04101406275</v>
      </c>
      <c r="AJ73" s="22">
        <f t="shared" si="63"/>
        <v>48506.139935969455</v>
      </c>
      <c r="AK73" s="22">
        <f t="shared" si="63"/>
        <v>48052.087616742072</v>
      </c>
      <c r="AL73" s="22">
        <f t="shared" si="63"/>
        <v>47638.317777423887</v>
      </c>
      <c r="AM73" s="22">
        <f t="shared" si="63"/>
        <v>44618.922250870528</v>
      </c>
      <c r="AN73" s="22">
        <f t="shared" si="63"/>
        <v>45951.455487649073</v>
      </c>
      <c r="AO73" s="22">
        <f t="shared" si="63"/>
        <v>46485.286322998043</v>
      </c>
      <c r="AP73" s="22">
        <f t="shared" si="63"/>
        <v>46387.90352823554</v>
      </c>
      <c r="AQ73" s="22">
        <f t="shared" si="63"/>
        <v>46331.915613065721</v>
      </c>
      <c r="AR73" s="22">
        <f t="shared" si="63"/>
        <v>46449.395978662025</v>
      </c>
      <c r="AS73" s="22">
        <f t="shared" si="63"/>
        <v>46723.833886848181</v>
      </c>
      <c r="AT73" s="22">
        <f t="shared" si="63"/>
        <v>47070.501576746807</v>
      </c>
      <c r="AU73" s="22">
        <f t="shared" si="63"/>
        <v>47508.436174721079</v>
      </c>
      <c r="AV73" s="22">
        <f t="shared" si="63"/>
        <v>48101.434732269452</v>
      </c>
      <c r="AW73" s="22">
        <f t="shared" si="63"/>
        <v>48838.126599377938</v>
      </c>
      <c r="AX73" s="22">
        <f t="shared" si="63"/>
        <v>49454.610142335412</v>
      </c>
      <c r="AY73" s="22">
        <f t="shared" si="63"/>
        <v>50132.75462142445</v>
      </c>
      <c r="AZ73" s="22">
        <f t="shared" si="63"/>
        <v>50836.972527844395</v>
      </c>
      <c r="BA73" s="22">
        <f t="shared" si="63"/>
        <v>51578.964587254231</v>
      </c>
      <c r="BB73" s="22">
        <f t="shared" si="63"/>
        <v>52341.701425821993</v>
      </c>
      <c r="BC73" s="22">
        <f t="shared" si="63"/>
        <v>53070.371942041042</v>
      </c>
      <c r="BD73" s="22">
        <f t="shared" si="63"/>
        <v>53839.821879790172</v>
      </c>
      <c r="BE73" s="22">
        <f t="shared" si="63"/>
        <v>54599.645786581692</v>
      </c>
      <c r="BF73" s="22">
        <f t="shared" si="63"/>
        <v>55344.414431923957</v>
      </c>
      <c r="BG73" s="22">
        <f t="shared" si="63"/>
        <v>56095.859744864792</v>
      </c>
      <c r="BH73" s="22">
        <f t="shared" si="63"/>
        <v>56938.426134991794</v>
      </c>
      <c r="BI73" s="22">
        <f t="shared" si="63"/>
        <v>57814.411790414219</v>
      </c>
      <c r="BJ73" s="22">
        <f t="shared" si="63"/>
        <v>58748.45191074739</v>
      </c>
      <c r="BK73" s="22">
        <f t="shared" si="63"/>
        <v>59694.73691134117</v>
      </c>
      <c r="BL73" s="22">
        <f t="shared" si="63"/>
        <v>60654.409704460573</v>
      </c>
      <c r="BM73" s="22">
        <f t="shared" si="63"/>
        <v>61673.605887836035</v>
      </c>
      <c r="BN73" s="22">
        <f t="shared" si="63"/>
        <v>62735.123406764789</v>
      </c>
      <c r="BO73" s="22">
        <f t="shared" si="63"/>
        <v>63826.903320301601</v>
      </c>
      <c r="BP73" s="22">
        <f t="shared" si="63"/>
        <v>64976.954109578852</v>
      </c>
      <c r="BQ73" s="22">
        <f t="shared" si="63"/>
        <v>66014.048685877235</v>
      </c>
    </row>
    <row r="74" spans="1:75" x14ac:dyDescent="0.25">
      <c r="F74" t="s">
        <v>929</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929</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929</v>
      </c>
      <c r="H76" t="s">
        <v>935</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928</v>
      </c>
      <c r="H77" t="s">
        <v>930</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928</v>
      </c>
      <c r="H78" t="s">
        <v>931</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928</v>
      </c>
      <c r="H79" t="s">
        <v>932</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-6.1935604806494356E-2</v>
      </c>
      <c r="AF80" s="49">
        <f t="shared" si="65"/>
        <v>-0.10492356125464231</v>
      </c>
      <c r="AG80" s="49">
        <f t="shared" si="65"/>
        <v>-0.10668176726843398</v>
      </c>
      <c r="AH80" s="49">
        <f t="shared" si="65"/>
        <v>-9.4260181583125921E-2</v>
      </c>
      <c r="AI80" s="49">
        <f t="shared" si="65"/>
        <v>-5.0716322987690743E-2</v>
      </c>
      <c r="AJ80" s="49">
        <f t="shared" si="65"/>
        <v>-6.1361999160036741E-2</v>
      </c>
    </row>
    <row r="113" spans="1:75" s="19" customFormat="1" ht="15.75" x14ac:dyDescent="0.25">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5546875" defaultRowHeight="15" x14ac:dyDescent="0.25"/>
  <cols>
    <col min="1" max="1" width="34.42578125" customWidth="1"/>
    <col min="2" max="7" width="9.7109375" customWidth="1"/>
    <col min="8" max="8" width="9.42578125" customWidth="1"/>
    <col min="23" max="24" width="9.42578125" customWidth="1"/>
    <col min="25" max="25" width="9.7109375" customWidth="1"/>
  </cols>
  <sheetData>
    <row r="1" spans="1:46" ht="18.75" x14ac:dyDescent="0.3">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75" x14ac:dyDescent="0.25">
      <c r="A2" s="19" t="s">
        <v>936</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937</v>
      </c>
      <c r="B4" s="79">
        <f>'Emissions summary'!AB73</f>
        <v>49879.473570311646</v>
      </c>
      <c r="C4" s="79">
        <f>'Emissions summary'!AC73</f>
        <v>49816.343766362683</v>
      </c>
      <c r="D4" s="79">
        <f>'Emissions summary'!AD73</f>
        <v>49837.693321354192</v>
      </c>
      <c r="E4" s="79">
        <f>'Emissions summary'!AE73</f>
        <v>49552.184012065802</v>
      </c>
      <c r="F4" s="79">
        <f>'Emissions summary'!AF73</f>
        <v>49119.04101406275</v>
      </c>
      <c r="G4" s="79">
        <f>'Emissions summary'!AG73</f>
        <v>48506.139935969455</v>
      </c>
      <c r="H4" s="79">
        <f>'Emissions summary'!AH73</f>
        <v>48052.087616742072</v>
      </c>
      <c r="I4" s="79">
        <f>'Emissions summary'!AI73</f>
        <v>47638.317777423887</v>
      </c>
      <c r="J4" s="79">
        <f>'Emissions summary'!AJ73</f>
        <v>44618.922250870528</v>
      </c>
      <c r="K4" s="79">
        <f>'Emissions summary'!AK73</f>
        <v>45951.455487649073</v>
      </c>
      <c r="L4" s="79">
        <f>'Emissions summary'!AL73</f>
        <v>46485.286322998043</v>
      </c>
      <c r="M4" s="79">
        <f>'Emissions summary'!AM73</f>
        <v>46387.90352823554</v>
      </c>
      <c r="N4" s="79">
        <f>'Emissions summary'!AN73</f>
        <v>46331.915613065721</v>
      </c>
      <c r="O4" s="79">
        <f>'Emissions summary'!AO73</f>
        <v>46449.395978662025</v>
      </c>
      <c r="P4" s="79">
        <f>'Emissions summary'!AP73</f>
        <v>46723.833886848181</v>
      </c>
      <c r="Q4" s="79">
        <f>'Emissions summary'!AQ73</f>
        <v>47070.501576746807</v>
      </c>
      <c r="R4" s="79">
        <f>'Emissions summary'!AR73</f>
        <v>47508.436174721079</v>
      </c>
      <c r="S4" s="79">
        <f>'Emissions summary'!AS73</f>
        <v>48101.434732269452</v>
      </c>
      <c r="T4" s="79">
        <f>'Emissions summary'!AT73</f>
        <v>48838.126599377938</v>
      </c>
      <c r="U4" s="79">
        <f>'Emissions summary'!AU73</f>
        <v>49454.610142335412</v>
      </c>
      <c r="V4" s="79">
        <f>'Emissions summary'!AV73</f>
        <v>50132.75462142445</v>
      </c>
      <c r="W4" s="79">
        <f>'Emissions summary'!AW73</f>
        <v>50836.972527844395</v>
      </c>
      <c r="X4" s="79">
        <f>'Emissions summary'!AX73</f>
        <v>51578.964587254231</v>
      </c>
      <c r="Y4" s="79">
        <f>'Emissions summary'!AY73</f>
        <v>52341.701425821993</v>
      </c>
      <c r="Z4" s="79">
        <f>'Emissions summary'!AZ73</f>
        <v>53070.371942041042</v>
      </c>
      <c r="AA4" s="79">
        <f>'Emissions summary'!BA73</f>
        <v>53839.821879790172</v>
      </c>
      <c r="AB4" s="79">
        <f>'Emissions summary'!BB73</f>
        <v>54599.645786581692</v>
      </c>
      <c r="AC4" s="79">
        <f>'Emissions summary'!BC73</f>
        <v>55344.414431923957</v>
      </c>
      <c r="AD4" s="79">
        <f>'Emissions summary'!BD73</f>
        <v>56095.859744864792</v>
      </c>
      <c r="AE4" s="79">
        <f>'Emissions summary'!BE73</f>
        <v>56938.426134991794</v>
      </c>
      <c r="AF4" s="79">
        <f>'Emissions summary'!BF73</f>
        <v>57814.411790414219</v>
      </c>
      <c r="AG4" s="79">
        <f>'Emissions summary'!BG73</f>
        <v>58748.45191074739</v>
      </c>
      <c r="AH4" s="79">
        <f>'Emissions summary'!BH73</f>
        <v>59694.73691134117</v>
      </c>
      <c r="AI4" s="79">
        <f>'Emissions summary'!BI73</f>
        <v>60654.409704460573</v>
      </c>
      <c r="AJ4" s="79">
        <f>'Emissions summary'!BJ73</f>
        <v>61673.605887836035</v>
      </c>
      <c r="AK4" s="79">
        <f>'Emissions summary'!BK73</f>
        <v>62735.123406764789</v>
      </c>
      <c r="AL4" s="79">
        <f>'Emissions summary'!BL73</f>
        <v>63826.903320301601</v>
      </c>
      <c r="AM4" s="79">
        <f>'Emissions summary'!BM73</f>
        <v>64976.954109578852</v>
      </c>
      <c r="AN4" s="79">
        <f>'Emissions summary'!BN73</f>
        <v>66014.048685877235</v>
      </c>
    </row>
    <row r="5" spans="1:46" x14ac:dyDescent="0.25">
      <c r="A5" t="s">
        <v>938</v>
      </c>
      <c r="B5" s="79">
        <f>'Net zero emission summary'!AE73</f>
        <v>49879.473570311646</v>
      </c>
      <c r="C5" s="79">
        <f>'Net zero emission summary'!AF73</f>
        <v>49816.343766362683</v>
      </c>
      <c r="D5" s="79">
        <f>'Net zero emission summary'!AG73</f>
        <v>49837.693321354192</v>
      </c>
      <c r="E5" s="79">
        <f>'Net zero emission summary'!AH73</f>
        <v>49552.184012065802</v>
      </c>
      <c r="F5" s="79">
        <f>'Net zero emission summary'!AI73</f>
        <v>49119.04101406275</v>
      </c>
      <c r="G5" s="79">
        <f>'Net zero emission summary'!AJ73</f>
        <v>48506.139935969455</v>
      </c>
      <c r="H5" s="79">
        <f>'Net zero emission summary'!AK73</f>
        <v>48052.087616742072</v>
      </c>
      <c r="I5" s="79">
        <f>'Net zero emission summary'!AL73</f>
        <v>47638.317777423887</v>
      </c>
      <c r="J5" s="79">
        <f>'Net zero emission summary'!AM73</f>
        <v>44618.922250870528</v>
      </c>
      <c r="K5" s="79">
        <f>'Net zero emission summary'!AN73</f>
        <v>45951.455487649073</v>
      </c>
      <c r="L5" s="79">
        <f>'Net zero emission summary'!AO73</f>
        <v>46485.286322998043</v>
      </c>
      <c r="M5" s="79">
        <f>'Net zero emission summary'!AP73</f>
        <v>46387.90352823554</v>
      </c>
      <c r="N5" s="79">
        <f>'Net zero emission summary'!AQ73</f>
        <v>46331.915613065721</v>
      </c>
      <c r="O5" s="79">
        <f>'Net zero emission summary'!AR73</f>
        <v>46449.395978662025</v>
      </c>
      <c r="P5" s="79">
        <f>'Net zero emission summary'!AS73</f>
        <v>46723.833886848181</v>
      </c>
      <c r="Q5" s="79">
        <f>'Net zero emission summary'!AT73</f>
        <v>47070.501576746807</v>
      </c>
      <c r="R5" s="79">
        <f>'Net zero emission summary'!AU73</f>
        <v>47508.436174721079</v>
      </c>
      <c r="S5" s="79">
        <f>'Net zero emission summary'!AV73</f>
        <v>48101.434732269452</v>
      </c>
      <c r="T5" s="79">
        <f>'Net zero emission summary'!AW73</f>
        <v>48838.126599377938</v>
      </c>
      <c r="U5" s="79">
        <f>'Net zero emission summary'!AX73</f>
        <v>49454.610142335412</v>
      </c>
      <c r="V5" s="79">
        <f>'Net zero emission summary'!AY73</f>
        <v>50132.75462142445</v>
      </c>
      <c r="W5" s="79">
        <f>'Net zero emission summary'!AZ73</f>
        <v>50836.972527844395</v>
      </c>
      <c r="X5" s="79">
        <f>'Net zero emission summary'!BA73</f>
        <v>51578.964587254231</v>
      </c>
      <c r="Y5" s="79">
        <f>'Net zero emission summary'!BB73</f>
        <v>52341.701425821993</v>
      </c>
      <c r="Z5" s="79">
        <f>'Net zero emission summary'!BC73</f>
        <v>53070.371942041042</v>
      </c>
      <c r="AA5" s="79">
        <f>'Net zero emission summary'!BD73</f>
        <v>53839.821879790172</v>
      </c>
      <c r="AB5" s="79">
        <f>'Net zero emission summary'!BE73</f>
        <v>54599.645786581692</v>
      </c>
      <c r="AC5" s="79">
        <f>'Net zero emission summary'!BF73</f>
        <v>55344.414431923957</v>
      </c>
      <c r="AD5" s="79">
        <f>'Net zero emission summary'!BG73</f>
        <v>56095.859744864792</v>
      </c>
      <c r="AE5" s="79">
        <f>'Net zero emission summary'!BH73</f>
        <v>56938.426134991794</v>
      </c>
      <c r="AF5" s="79">
        <f>'Net zero emission summary'!BI73</f>
        <v>57814.411790414219</v>
      </c>
      <c r="AG5" s="79">
        <f>'Net zero emission summary'!BJ73</f>
        <v>58748.45191074739</v>
      </c>
      <c r="AH5" s="79">
        <f>'Net zero emission summary'!BK73</f>
        <v>59694.73691134117</v>
      </c>
      <c r="AI5" s="79">
        <f>'Net zero emission summary'!BL73</f>
        <v>60654.409704460573</v>
      </c>
      <c r="AJ5" s="79">
        <f>'Net zero emission summary'!BM73</f>
        <v>61673.605887836035</v>
      </c>
      <c r="AK5" s="79">
        <f>'Net zero emission summary'!BN73</f>
        <v>62735.123406764789</v>
      </c>
      <c r="AL5" s="79">
        <f>'Net zero emission summary'!BO73</f>
        <v>63826.903320301601</v>
      </c>
      <c r="AM5" s="79">
        <f>'Net zero emission summary'!BP73</f>
        <v>64976.954109578852</v>
      </c>
      <c r="AN5" s="79">
        <f>'Net zero emission summary'!BQ73</f>
        <v>66014.048685877235</v>
      </c>
    </row>
    <row r="6" spans="1:46" x14ac:dyDescent="0.25">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25">
      <c r="T7" s="49">
        <f>T6/'Emissions summary'!AT58</f>
        <v>0</v>
      </c>
      <c r="AN7" s="49">
        <f>AN6/'Emissions summary'!BN58</f>
        <v>0</v>
      </c>
    </row>
    <row r="8" spans="1:46" x14ac:dyDescent="0.25">
      <c r="T8" s="49">
        <f>(T4-T5)/T4</f>
        <v>0</v>
      </c>
      <c r="AN8" s="49">
        <f>(AN4-AN5)/AN4</f>
        <v>0</v>
      </c>
    </row>
    <row r="9" spans="1:46" x14ac:dyDescent="0.25">
      <c r="T9">
        <f>(T4-T5)/G4</f>
        <v>0</v>
      </c>
      <c r="AN9">
        <f>0.4*AN4</f>
        <v>26405.619474350897</v>
      </c>
    </row>
    <row r="10" spans="1:46" x14ac:dyDescent="0.25">
      <c r="AN10">
        <f>0.75*AN4</f>
        <v>49510.536514407926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5546875" defaultRowHeight="15" x14ac:dyDescent="0.25"/>
  <sheetData>
    <row r="1" spans="1:13" x14ac:dyDescent="0.25">
      <c r="A1" t="s">
        <v>959</v>
      </c>
      <c r="C1" t="s">
        <v>959</v>
      </c>
      <c r="E1" t="s">
        <v>959</v>
      </c>
      <c r="G1" t="s">
        <v>959</v>
      </c>
      <c r="I1" t="s">
        <v>959</v>
      </c>
      <c r="K1" t="s">
        <v>959</v>
      </c>
      <c r="M1" t="s">
        <v>959</v>
      </c>
    </row>
    <row r="2" spans="1:13" x14ac:dyDescent="0.25">
      <c r="A2" t="s">
        <v>958</v>
      </c>
      <c r="C2" t="s">
        <v>981</v>
      </c>
      <c r="E2" t="s">
        <v>994</v>
      </c>
      <c r="G2" t="s">
        <v>995</v>
      </c>
      <c r="I2" t="s">
        <v>996</v>
      </c>
      <c r="K2" t="s">
        <v>997</v>
      </c>
      <c r="M2" t="s">
        <v>998</v>
      </c>
    </row>
    <row r="3" spans="1:13" x14ac:dyDescent="0.25">
      <c r="A3" t="s">
        <v>960</v>
      </c>
      <c r="C3" t="s">
        <v>942</v>
      </c>
      <c r="E3" t="s">
        <v>982</v>
      </c>
      <c r="G3" t="s">
        <v>986</v>
      </c>
      <c r="I3" t="s">
        <v>988</v>
      </c>
      <c r="K3" t="s">
        <v>990</v>
      </c>
      <c r="M3" t="s">
        <v>992</v>
      </c>
    </row>
    <row r="4" spans="1:13" x14ac:dyDescent="0.25">
      <c r="A4" t="s">
        <v>961</v>
      </c>
      <c r="C4" t="s">
        <v>943</v>
      </c>
      <c r="E4" t="s">
        <v>983</v>
      </c>
      <c r="G4" t="s">
        <v>987</v>
      </c>
      <c r="I4" t="s">
        <v>989</v>
      </c>
      <c r="K4" t="s">
        <v>991</v>
      </c>
      <c r="M4" t="s">
        <v>993</v>
      </c>
    </row>
    <row r="5" spans="1:13" x14ac:dyDescent="0.25">
      <c r="A5" t="s">
        <v>962</v>
      </c>
      <c r="C5" t="s">
        <v>944</v>
      </c>
      <c r="E5" t="s">
        <v>984</v>
      </c>
    </row>
    <row r="6" spans="1:13" x14ac:dyDescent="0.25">
      <c r="A6" t="s">
        <v>963</v>
      </c>
      <c r="C6" t="s">
        <v>945</v>
      </c>
      <c r="E6" t="s">
        <v>985</v>
      </c>
    </row>
    <row r="7" spans="1:13" x14ac:dyDescent="0.25">
      <c r="A7" t="s">
        <v>964</v>
      </c>
    </row>
    <row r="8" spans="1:13" x14ac:dyDescent="0.25">
      <c r="A8" t="s">
        <v>965</v>
      </c>
    </row>
    <row r="9" spans="1:13" x14ac:dyDescent="0.25">
      <c r="A9" t="s">
        <v>966</v>
      </c>
    </row>
    <row r="10" spans="1:13" x14ac:dyDescent="0.25">
      <c r="A10" t="s">
        <v>967</v>
      </c>
      <c r="C10" t="s">
        <v>959</v>
      </c>
      <c r="F10" t="s">
        <v>1002</v>
      </c>
      <c r="H10" t="s">
        <v>1003</v>
      </c>
      <c r="I10" t="str">
        <f>IF('Net zero activities &amp; levers'!C5="On",1,"Baseline")</f>
        <v>Baseline</v>
      </c>
    </row>
    <row r="11" spans="1:13" x14ac:dyDescent="0.25">
      <c r="A11" t="s">
        <v>968</v>
      </c>
      <c r="C11" t="s">
        <v>12</v>
      </c>
      <c r="F11" t="s">
        <v>943</v>
      </c>
      <c r="H11" t="s">
        <v>960</v>
      </c>
      <c r="I11" t="e">
        <f>IF('Net zero activities &amp; levers'!#REF!="On",2,"Baseline")</f>
        <v>#REF!</v>
      </c>
    </row>
    <row r="12" spans="1:13" x14ac:dyDescent="0.25">
      <c r="A12" t="s">
        <v>969</v>
      </c>
      <c r="C12" t="s">
        <v>13</v>
      </c>
      <c r="F12" t="s">
        <v>944</v>
      </c>
      <c r="H12" t="s">
        <v>961</v>
      </c>
      <c r="I12" t="str">
        <f>IF('Net zero activities &amp; levers'!C6="On",3,"Baseline")</f>
        <v>Baseline</v>
      </c>
    </row>
    <row r="13" spans="1:13" x14ac:dyDescent="0.25">
      <c r="A13" t="s">
        <v>970</v>
      </c>
      <c r="C13" t="s">
        <v>14</v>
      </c>
      <c r="F13" t="s">
        <v>945</v>
      </c>
      <c r="H13" t="s">
        <v>962</v>
      </c>
      <c r="I13" t="e">
        <f>IF('Net zero activities &amp; levers'!#REF!="On",4,"Baseline")</f>
        <v>#REF!</v>
      </c>
    </row>
    <row r="14" spans="1:13" x14ac:dyDescent="0.25">
      <c r="A14" t="s">
        <v>971</v>
      </c>
      <c r="F14" t="s">
        <v>982</v>
      </c>
      <c r="H14" t="s">
        <v>1020</v>
      </c>
      <c r="I14" t="str">
        <f>IF('Net zero activities &amp; levers'!C7="On",5,"Baseline")</f>
        <v>Baseline</v>
      </c>
    </row>
    <row r="15" spans="1:13" x14ac:dyDescent="0.25">
      <c r="A15" t="s">
        <v>972</v>
      </c>
      <c r="F15" t="s">
        <v>983</v>
      </c>
    </row>
    <row r="16" spans="1:13" x14ac:dyDescent="0.25">
      <c r="A16" t="s">
        <v>973</v>
      </c>
      <c r="C16" t="s">
        <v>959</v>
      </c>
      <c r="F16" t="s">
        <v>984</v>
      </c>
      <c r="H16" t="s">
        <v>965</v>
      </c>
      <c r="I16" t="e">
        <f>IF('Net zero activities &amp; levers'!#REF!="On",6,"Baseline")</f>
        <v>#REF!</v>
      </c>
    </row>
    <row r="17" spans="1:14" x14ac:dyDescent="0.25">
      <c r="A17" t="s">
        <v>974</v>
      </c>
      <c r="C17" t="s">
        <v>999</v>
      </c>
      <c r="F17" t="s">
        <v>985</v>
      </c>
      <c r="H17" t="s">
        <v>966</v>
      </c>
      <c r="I17" t="e">
        <f>IF('Net zero activities &amp; levers'!#REF!="On",7,"Baseline")</f>
        <v>#REF!</v>
      </c>
    </row>
    <row r="18" spans="1:14" x14ac:dyDescent="0.25">
      <c r="A18" t="s">
        <v>975</v>
      </c>
      <c r="C18" t="s">
        <v>1000</v>
      </c>
      <c r="F18" t="s">
        <v>986</v>
      </c>
      <c r="H18" t="s">
        <v>967</v>
      </c>
      <c r="I18" t="str">
        <f>IF('Net zero activities &amp; levers'!C8="On",8,"Baseline")</f>
        <v>Baseline</v>
      </c>
    </row>
    <row r="19" spans="1:14" x14ac:dyDescent="0.25">
      <c r="A19" t="s">
        <v>976</v>
      </c>
    </row>
    <row r="20" spans="1:14" x14ac:dyDescent="0.25">
      <c r="A20" t="s">
        <v>977</v>
      </c>
    </row>
    <row r="21" spans="1:14" x14ac:dyDescent="0.25">
      <c r="A21" t="s">
        <v>978</v>
      </c>
    </row>
    <row r="22" spans="1:14" x14ac:dyDescent="0.25">
      <c r="A22" t="s">
        <v>979</v>
      </c>
      <c r="L22" t="s">
        <v>1003</v>
      </c>
    </row>
    <row r="23" spans="1:14" x14ac:dyDescent="0.25">
      <c r="A23" t="s">
        <v>980</v>
      </c>
      <c r="L23" t="s">
        <v>961</v>
      </c>
      <c r="N23" t="str">
        <f>$L$22&amp;L23</f>
        <v>FSFA</v>
      </c>
    </row>
    <row r="24" spans="1:14" x14ac:dyDescent="0.25">
      <c r="L24" t="s">
        <v>1020</v>
      </c>
      <c r="N24" t="str">
        <f t="shared" ref="N24:N28" si="0">$L$22&amp;L24</f>
        <v>FSGS</v>
      </c>
    </row>
    <row r="25" spans="1:14" x14ac:dyDescent="0.25">
      <c r="L25" t="s">
        <v>967</v>
      </c>
      <c r="N25" t="str">
        <f t="shared" si="0"/>
        <v>FSPQ</v>
      </c>
    </row>
    <row r="26" spans="1:14" x14ac:dyDescent="0.25">
      <c r="L26" t="s">
        <v>968</v>
      </c>
      <c r="N26" t="str">
        <f t="shared" si="0"/>
        <v>FSNI</v>
      </c>
    </row>
    <row r="27" spans="1:14" x14ac:dyDescent="0.25">
      <c r="L27" t="s">
        <v>971</v>
      </c>
      <c r="N27" t="str">
        <f t="shared" si="0"/>
        <v>FSAD</v>
      </c>
    </row>
    <row r="28" spans="1:14" x14ac:dyDescent="0.25">
      <c r="B28" t="s">
        <v>1378</v>
      </c>
      <c r="L28" t="s">
        <v>1321</v>
      </c>
      <c r="N28" t="str">
        <f t="shared" si="0"/>
        <v>FSCM</v>
      </c>
    </row>
    <row r="29" spans="1:14" x14ac:dyDescent="0.25">
      <c r="B29" t="s">
        <v>1379</v>
      </c>
      <c r="N29" t="str">
        <f>$L$23&amp;L22</f>
        <v>FAFS</v>
      </c>
    </row>
    <row r="30" spans="1:14" x14ac:dyDescent="0.25">
      <c r="N30" t="str">
        <f>$L$23&amp;L24</f>
        <v>FAGS</v>
      </c>
    </row>
    <row r="31" spans="1:14" x14ac:dyDescent="0.25">
      <c r="B31" t="s">
        <v>1000</v>
      </c>
      <c r="N31" t="str">
        <f t="shared" ref="N31:N34" si="1">$L$23&amp;L25</f>
        <v>FAPQ</v>
      </c>
    </row>
    <row r="32" spans="1:14" x14ac:dyDescent="0.25">
      <c r="B32" t="s">
        <v>1380</v>
      </c>
      <c r="N32" t="str">
        <f t="shared" si="1"/>
        <v>FANI</v>
      </c>
    </row>
    <row r="33" spans="2:14" x14ac:dyDescent="0.25">
      <c r="B33" t="s">
        <v>1377</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3.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36</vt:i4>
      </vt:variant>
    </vt:vector>
  </HeadingPairs>
  <TitlesOfParts>
    <vt:vector size="63" baseType="lpstr">
      <vt:lpstr>Notes</vt:lpstr>
      <vt:lpstr>IndexG2E</vt:lpstr>
      <vt:lpstr>IndexE2G</vt:lpstr>
      <vt:lpstr>DriversCGE</vt:lpstr>
      <vt:lpstr>GHGSummary</vt:lpstr>
      <vt:lpstr>OtherSummary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Bruno Merven</cp:lastModifiedBy>
  <cp:revision/>
  <dcterms:created xsi:type="dcterms:W3CDTF">2017-04-05T21:08:35Z</dcterms:created>
  <dcterms:modified xsi:type="dcterms:W3CDTF">2024-06-14T13:13:01Z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